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tered Set" sheetId="1" r:id="rId4"/>
    <sheet state="visible" name="✅ Filter Rules" sheetId="2" r:id="rId5"/>
    <sheet state="visible" name="Breakdown by Filter" sheetId="3" r:id="rId6"/>
    <sheet state="visible" name="Original Set" sheetId="4" r:id="rId7"/>
    <sheet state="visible" name="﹪ Commits" sheetId="5" r:id="rId8"/>
    <sheet state="visible" name="﹪ Contributors" sheetId="6" r:id="rId9"/>
    <sheet state="visible" name="﹪ Releases" sheetId="7" r:id="rId10"/>
    <sheet state="visible" name="﹪ Age" sheetId="8" r:id="rId11"/>
  </sheets>
  <definedNames>
    <definedName hidden="1" localSheetId="0" name="Z_AA28E2F1_A5FE_4B5D_9798_9B6838474341_.wvu.FilterData">'Filtered Set'!$V$1:$V$134</definedName>
  </definedNames>
  <calcPr/>
  <customWorkbookViews>
    <customWorkbookView activeSheetId="0" maximized="1" windowHeight="0" windowWidth="0" guid="{AA28E2F1-A5FE-4B5D-9798-9B6838474341}" name="Age &gt;= 85 months"/>
  </customWorkbookViews>
</workbook>
</file>

<file path=xl/comments1.xml><?xml version="1.0" encoding="utf-8"?>
<comments xmlns:r="http://schemas.openxmlformats.org/officeDocument/2006/relationships" xmlns="http://schemas.openxmlformats.org/spreadsheetml/2006/main">
  <authors>
    <author/>
  </authors>
  <commentList>
    <comment authorId="0" ref="A2">
      <text>
        <t xml:space="preserve">Filtered by...
Commits &gt;= 1500
Contributors &gt;= 100
Python &gt;= 0.8 (80%)
Releases &gt;= 25
Age &gt;= 84 months (7 years)
-----------------------------------------
=filter(
'Original Set'!A2:V135, 
'Original Set'!H2:H135&gt;=1500,
'Original Set'!I2:I135&gt;=100,
REGEXMATCH('Original Set'!J2:J135, """ratio"": (0.[89]\d*)|(1.0), ""language"": ""Python"""),
'Original Set'!N2:N135&gt;=25,
'Original Set'!V2:V135&gt;=84
)</t>
      </text>
    </comment>
  </commentList>
</comments>
</file>

<file path=xl/comments2.xml><?xml version="1.0" encoding="utf-8"?>
<comments xmlns:r="http://schemas.openxmlformats.org/officeDocument/2006/relationships" xmlns="http://schemas.openxmlformats.org/spreadsheetml/2006/main">
  <authors>
    <author/>
  </authors>
  <commentList>
    <comment authorId="0" ref="C3">
      <text>
        <t xml:space="preserve">=filter('Original Set'!A2:V135, 'Original Set'!H2:H135&gt;=1500)</t>
      </text>
    </comment>
    <comment authorId="0" ref="C4">
      <text>
        <t xml:space="preserve">=filter('Original Set'!A2:V135, 'Original Set'!I2:I135&gt;=100)</t>
      </text>
    </comment>
    <comment authorId="0" ref="C5">
      <text>
        <t xml:space="preserve">=filter('Original Set'!A2:V135, REGEXMATCH('Original Set'!J2:J135, """ratio"": (0.[89]\d*)|(1.0), ""language"": ""Python"""))</t>
      </text>
    </comment>
    <comment authorId="0" ref="C6">
      <text>
        <t xml:space="preserve">=filter('Original Set'!A2:A135,'Original Set'!N2:N135&gt;=25)</t>
      </text>
    </comment>
    <comment authorId="0" ref="C7">
      <text>
        <t xml:space="preserve">=filter('Original Set'!A2:V135,'Original Set'!V2:V135&gt;=84)</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=filter(
'Original Set'!A2:A135, 
'Original Set'!H2:H135&gt;=1500,
'Original Set'!I2:I135&gt;=100,
REGEXMATCH('Original Set'!J2:J135, """ratio"": (0.[89]\d*)|(1.0), ""language"": ""Python"""),
'Original Set'!N2:N135&gt;=25,
'Original Set'!V2:V135&gt;=84
)</t>
      </text>
    </comment>
    <comment authorId="0" ref="B1">
      <text>
        <t xml:space="preserve">=filter('Original Set'!A2:A135, 'Original Set'!H2:H135&gt;=1500)</t>
      </text>
    </comment>
    <comment authorId="0" ref="C1">
      <text>
        <t xml:space="preserve">=filter('Original Set'!A2:A135, 'Original Set'!I2:I135&gt;=100)</t>
      </text>
    </comment>
    <comment authorId="0" ref="D1">
      <text>
        <t xml:space="preserve">=filter('Original Set'!A2:A135, REGEXMATCH('Original Set'!J2:J135, """ratio"": (0.[89]\d*)|(1.0), ""language"": ""Python"""))</t>
      </text>
    </comment>
    <comment authorId="0" ref="E1">
      <text>
        <t xml:space="preserve">=filter('Original Set'!A2:A135,'Original Set'!N2:N135&gt;=25)</t>
      </text>
    </comment>
    <comment authorId="0" ref="F1">
      <text>
        <t xml:space="preserve">=filter('Original Set'!A2:A135,'Original Set'!V2:V135&gt;=84)</t>
      </text>
    </comment>
    <comment authorId="0" ref="G1">
      <text>
        <t xml:space="preserve">=filter('Original Set'!A2:A135, REGEXMATCH('Original Set'!G2:G135, "\\""(\w+\-?\w+\-?\w+)\\"""))</t>
      </text>
    </comment>
  </commentList>
</comments>
</file>

<file path=xl/sharedStrings.xml><?xml version="1.0" encoding="utf-8"?>
<sst xmlns="http://schemas.openxmlformats.org/spreadsheetml/2006/main" count="2481" uniqueCount="1237">
  <si>
    <t>Full Name</t>
  </si>
  <si>
    <t>Description</t>
  </si>
  <si>
    <t>URL</t>
  </si>
  <si>
    <t>Stars</t>
  </si>
  <si>
    <t>Watchers</t>
  </si>
  <si>
    <t>Size</t>
  </si>
  <si>
    <t>Topics</t>
  </si>
  <si>
    <t>Number of Commits</t>
  </si>
  <si>
    <t>Number of Contributors</t>
  </si>
  <si>
    <t>Programming Languages</t>
  </si>
  <si>
    <t>Date Created</t>
  </si>
  <si>
    <t>Date Last Push</t>
  </si>
  <si>
    <t>Number of Open Issues</t>
  </si>
  <si>
    <t>Number of Releases</t>
  </si>
  <si>
    <t>Latest Tag</t>
  </si>
  <si>
    <t>Latest Commit SHA</t>
  </si>
  <si>
    <t>License</t>
  </si>
  <si>
    <t>Name</t>
  </si>
  <si>
    <t>Raw</t>
  </si>
  <si>
    <t>Age 
(in months)</t>
  </si>
  <si>
    <t>Python Ratio</t>
  </si>
  <si>
    <t>Listed Topics</t>
  </si>
  <si>
    <t>Column</t>
  </si>
  <si>
    <t>Rule / Criteria</t>
  </si>
  <si>
    <t>NOTES</t>
  </si>
  <si>
    <t>VALUE USED IN FORMULAS
FOR FILTERING DATA SET</t>
  </si>
  <si>
    <t>Original Guessed Values</t>
  </si>
  <si>
    <t>H</t>
  </si>
  <si>
    <t>long history of commits</t>
  </si>
  <si>
    <t>I</t>
  </si>
  <si>
    <t>large development teams (I is # of contributors)</t>
  </si>
  <si>
    <t>J</t>
  </si>
  <si>
    <t>80% python or higher</t>
  </si>
  <si>
    <t>(manually regex'd for 80%+)</t>
  </si>
  <si>
    <t>(manually regex'd)</t>
  </si>
  <si>
    <t>N</t>
  </si>
  <si>
    <t>many releases</t>
  </si>
  <si>
    <t>V</t>
  </si>
  <si>
    <t>Substantial age (V is in months)</t>
  </si>
  <si>
    <t>SLOC</t>
  </si>
  <si>
    <t>[$sloc .] or [$radon raw -s .] in the project directory after cloning on your machine to get this metric.</t>
  </si>
  <si>
    <t>G</t>
  </si>
  <si>
    <t>Variety in domain</t>
  </si>
  <si>
    <t>Extracted in column X; not filtered</t>
  </si>
  <si>
    <t>ALL COMBINED FILTERS</t>
  </si>
  <si>
    <t>80% or more Python</t>
  </si>
  <si>
    <t>1 topic or more</t>
  </si>
  <si>
    <t>full_name</t>
  </si>
  <si>
    <t>description</t>
  </si>
  <si>
    <t>repo_url</t>
  </si>
  <si>
    <t>stars</t>
  </si>
  <si>
    <t>watchers</t>
  </si>
  <si>
    <t>size</t>
  </si>
  <si>
    <t>topics</t>
  </si>
  <si>
    <t>number_of_commits</t>
  </si>
  <si>
    <t>number_of_contributers</t>
  </si>
  <si>
    <t>languages</t>
  </si>
  <si>
    <t>date_created</t>
  </si>
  <si>
    <t>date_last_push</t>
  </si>
  <si>
    <t>number_of_open_issues</t>
  </si>
  <si>
    <t>n_releases</t>
  </si>
  <si>
    <t>latest_tag</t>
  </si>
  <si>
    <t>latest_commit_sha</t>
  </si>
  <si>
    <t>license</t>
  </si>
  <si>
    <t>name</t>
  </si>
  <si>
    <t>raw</t>
  </si>
  <si>
    <t>age (in months)</t>
  </si>
  <si>
    <t>ajenti/ajenti</t>
  </si>
  <si>
    <t>Ajenti Core and stock plugins</t>
  </si>
  <si>
    <t>https://github.com/ajenti/ajenti</t>
  </si>
  <si>
    <t>"[\"administration\", \"ajenti\", \"angular\", \"javascript\", \"linux\", \"panel\", \"python\"]"</t>
  </si>
  <si>
    <t>[{"loc": 603527, "ratio": 0.5014606933889915, "language": "Python"}, {"loc": 374066, "ratio": 0.31080530901392395, "language": "JavaScript"}, {"loc": 115880, "ratio": 0.0962827928989363, "language": "CSS"}, {"loc": 87200, "ratio": 0.07245305092153301, "language": "CoffeeScript"}, {"loc": 15137, "ratio": 0.012577085227055565, "language": "HTML"}, {"loc": 4818, "ratio": 0.004003197240136996, "language": "Shell"}, {"loc": 2910, "ratio": 0.0024178713094227186, "language": "Makefile"}]</t>
  </si>
  <si>
    <t>1.2.23</t>
  </si>
  <si>
    <t>c8f16a80f9b0eced68de693f2aa9e7a9ccecf9fb</t>
  </si>
  <si>
    <t>null</t>
  </si>
  <si>
    <t>ajenti</t>
  </si>
  <si>
    <t>{"id": 544208, "url": "https://api.github.com/repos/ajenti/ajenti", "fork": false, "name": "ajenti", "size": 25837, "forks": 627, "owner": {"id": 10455701, "url": "https://api.github.com/users/ajenti", "type": "Organization", "login": "ajenti", "node_id": "MDEyOk9yZ2FuaXphdGlvbjEwNDU1NzAx", "html_url": "https://github.com/ajenti", "gists_url": "https://api.github.com/users/ajenti/gists{/gist_id}", "repos_url": "https://api.github.com/users/ajenti/repos", "avatar_url": "https://avatars0.githubusercontent.com/u/10455701?v=4", "events_url": "https://api.github.com/users/ajenti/events{/privacy}", "site_admin": false, "gravatar_id": "", "starred_url": "https://api.github.com/users/ajenti/starred{/owner}{/repo}", "followers_url": "https://api.github.com/users/ajenti/followers", "following_url": "https://api.github.com/users/ajenti/following{/other_user}", "organizations_url": "https://api.github.com/users/ajenti/orgs", "subscriptions_url": "https://api.github.com/users/ajenti/subscriptions", "received_events_url": "https://api.github.com/users/ajenti/received_events"}, "score": 1.0, "topics": ["administration", "ajenti", "angular", "javascript", "linux", "panel", "python"], "git_url": "git://github.com/ajenti/ajenti.git", "license": null, "node_id": "MDEwOlJlcG9zaXRvcnk1NDQyMDg=", "private": false, "ssh_url": "git@github.com:ajenti/ajenti.git", "svn_url": "https://github.com/ajenti/ajenti", "archived": false, "has_wiki": false, "homepage": "http://ajenti.org/core/", "html_url": "https://github.com/ajenti/ajenti", "keys_url": "https://api.github.com/repos/ajenti/ajenti/keys{/key_id}", "language": "Python", "tags_url": "https://api.github.com/repos/ajenti/ajenti/tags", "watchers": 5457, "blobs_url": "https://api.github.com/repos/ajenti/ajenti/git/blobs{/sha}", "clone_url": "https://github.com/ajenti/ajenti.git", "forks_url": "https://api.github.com/repos/ajenti/ajenti/forks", "full_name": "ajenti/ajenti", "has_pages": false, "hooks_url": "https://api.github.com/repos/ajenti/ajenti/hooks", "pulls_url": "https://api.github.com/repos/ajenti/ajenti/pulls{/number}", "pushed_at": "2018-12-10T11:27:52Z", "teams_url": "https://api.github.com/repos/ajenti/ajenti/teams", "trees_url": "https://api.github.com/repos/ajenti/ajenti/git/trees{/sha}", "created_at": "2010-03-03T08:04:15Z", "events_url": "https://api.github.com/repos/ajenti/ajenti/events", "has_issues": true, "issues_url": "https://api.github.com/repos/ajenti/ajenti/issues{/number}", "labels_url": "https://api.github.com/repos/ajenti/ajenti/labels{/name}", "merges_url": "https://api.github.com/repos/ajenti/ajenti/merges", "mirror_url": null, "updated_at": "2018-12-24T13:04:02Z", "archive_url": "https://api.github.com/repos/ajenti/ajenti/{archive_format}{/ref}", "commits_url": "https://api.github.com/repos/ajenti/ajenti/commits{/sha}", "compare_url": "https://api.github.com/repos/ajenti/ajenti/compare/{base}...{head}", "description": "Ajenti Core and stock plugins", "forks_count": 627, "open_issues": 450, "permissions": {"pull": true, "push": false, "admin": false}, "branches_url": "https://api.github.com/repos/ajenti/ajenti/branches{/branch}", "comments_url": "https://api.github.com/repos/ajenti/ajenti/comments{/number}", "contents_url": "https://api.github.com/repos/ajenti/ajenti/contents/{+path}", "git_refs_url": "https://api.github.com/repos/ajenti/ajenti/git/refs{/sha}", "git_tags_url": "https://api.github.com/repos/ajenti/ajenti/git/tags{/sha}", "has_projects": true, "releases_url": "https://api.github.com/repos/ajenti/ajenti/releases{/id}", "statuses_url": "https://api.github.com/repos/ajenti/ajenti/statuses/{sha}", "assignees_url": "https://api.github.com/repos/ajenti/ajenti/assignees{/user}", "downloads_url": "https://api.github.com/repos/ajenti/ajenti/downloads", "has_downloads": false, "languages_url": "https://api.github.com/repos/ajenti/ajenti/languages", "default_branch": "1.x", "milestones_url": "https://api.github.com/repos/ajenti/ajenti/milestones{/number}", "stargazers_url": "https://api.github.com/repos/ajenti/ajenti/stargazers", "watchers_count": 5457, "deployments_url": "https://api.github.com/repos/ajenti/ajenti/deployments", "git_commits_url": "https://api.github.com/repos/ajenti/ajenti/git/commits{/sha}", "subscribers_url": "https://api.github.com/repos/ajenti/ajenti/subscribers", "contributors_url": "https://api.github.com/repos/ajenti/ajenti/contributors", "issue_events_url": "https://api.github.com/repos/ajenti/ajenti/issues/events{/number}", "stargazers_count": 5457, "subscription_url": "https://api.github.com/repos/ajenti/ajenti/subscription", "collaborators_url": "https://api.github.com/repos/ajenti/ajenti/collaborators{/collaborator}", "issue_comment_url": "https://api.github.com/repos/ajenti/ajenti/issues/comments{/number}", "notifications_url": "https://api.github.com/repos/ajenti/ajenti/notifications{?since,all,participating}", "open_issues_count": 450}</t>
  </si>
  <si>
    <t>ansible/ansible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</si>
  <si>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</si>
  <si>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https://github.com/ansible/ansible</t>
  </si>
  <si>
    <t>"[\"ansible\", \"python\"]"</t>
  </si>
  <si>
    <t>[{"loc": 41633174, "ratio": 0.9663909602283025, "language": "Python"}, {"loc": 1159196, "ratio": 0.02690730559079659, "language": "PowerShell"}, {"loc": 134655, "ratio": 0.0031256174403023434, "language": "C#"}, {"loc": 121617, "ratio": 0.0028229788439883413, "language": "Shell"}, {"loc": 23922, "ratio": 0.0005552784553630587, "language": "Makefile"}, {"loc": 3223, "ratio": 0.00007481240956588654, "language": "Tcl"}, {"loc": 2010, "ratio": 0.00004665620329737262, "language": "Go"}, {"loc": 1362, "ratio": 0.00003161480044329428, "language": "Roff"}, {"loc": 1166, "ratio": 0.000027065240320764414, "language": "DIGITAL Command Language"}, {"loc": 329, "ratio": 0.000007636761634246563, "language": "Dockerfile"}, {"loc": 156, "ratio": 0.0000036210784648707107, "language": "SQLPL"}, {"loc": 144, "ratio": 0.000003342533967572964, "language": "Batchfile"}, {"loc": 80, "ratio": 0.0000018569633153183133, "language": "JavaScript"}, {"loc": 54, "ratio": 0.0000012534502378398615, "language": "HTML"}]</t>
  </si>
  <si>
    <t>v2.7.5</t>
  </si>
  <si>
    <t>a771ed93ab09691e53184c809d88a0f1073ef82d</t>
  </si>
  <si>
    <t>{"key": "gpl-3.0", "url": "https://api.github.com/licenses/gpl-3.0", "name": "GNU General Public License v3.0", "node_id": "MDc6TGljZW5zZTk=", "spdx_id": "GPL-3.0"}</t>
  </si>
  <si>
    <t>ansible</t>
  </si>
  <si>
    <t>{"id": 3638964, "url": "https://api.github.com/repos/ansible/ansible", "fork": false, "name": "ansible", "size": 148936, "forks": 13833, "owner": {"id": 1507452, "url": "https://api.github.com/users/ansible", "type": "Organization", "login": "ansible", "node_id": "MDEyOk9yZ2FuaXphdGlvbjE1MDc0NTI=", "html_url": "https://github.com/ansible", "gists_url": "https://api.github.com/users/ansible/gists{/gist_id}", "repos_url": "https://api.github.com/users/ansible/repos", "avatar_url": "https://avatars2.githubusercontent.com/u/1507452?v=4", "events_url": "https://api.github.com/users/ansible/events{/privacy}", "site_admin": false, "gravatar_id": "", "starred_url": "https://api.github.com/users/ansible/starred{/owner}{/repo}", "followers_url": "https://api.github.com/users/ansible/followers", "following_url": "https://api.github.com/users/ansible/following{/other_user}", "organizations_url": "https://api.github.com/users/ansible/orgs", "subscriptions_url": "https://api.github.com/users/ansible/subscriptions", "received_events_url": "https://api.github.com/users/ansible/received_events"}, "score": 1.0, "topics": ["ansible", "python"], "git_url": "git://github.com/ansible/ansible.git", "license": {"key": "gpl-3.0", "url": "https://api.github.com/licenses/gpl-3.0", "name": "GNU General Public License v3.0", "node_id": "MDc6TGljZW5zZTk=", "spdx_id": "GPL-3.0"}, "node_id": "MDEwOlJlcG9zaXRvcnkzNjM4OTY0", "private": false, "ssh_url": "git@github.com:ansible/ansible.git", "svn_url": "https://github.com/ansible/ansible", "archived": false, "has_wiki": false, "homepage": "https://www.ansible.com/", "html_url": "https://github.com/ansible/ansible", "keys_url": "https://api.github.com/repos/ansible/ansible/keys{/key_id}", "language": "Python", "tags_url": "https://api.github.com/repos/ansible/ansible/tags", "watchers": 34454, "blobs_url": "https://api.github.com/repos/ansible/ansible/git/blobs{/sha}", "clone_url": "https://github.com/ansible/ansible.git", "forks_url": "https://api.github.com/repos/ansible/ansible/forks", "full_name": "ansible/ansible", "has_pages": false, "hooks_url": "https://api.github.com/repos/ansible/ansible/hooks", "pulls_url": "https://api.github.com/repos/ansible/ansible/pulls{/number}", "pushed_at": "2018-12-24T18:05:42Z", "teams_url": "https://api.github.com/repos/ansible/ansible/teams", "trees_url": "https://api.github.com/repos/ansible/ansible/git/trees{/sha}", "created_at": "2012-03-06T14:58:02Z", "events_url": "https://api.github.com/repos/ansible/ansible/events", "has_issues": true, "issues_url": "https://api.github.com/repos/ansible/ansible/issues{/number}", "labels_url": "https://api.github.com/repos/ansible/ansible/labels{/name}", "merges_url": "https://api.github.com/repos/ansible/ansible/merges", "mirror_url": null, "updated_at": "2018-12-25T02:32:33Z", "archive_url": "https://api.github.com/repos/ansible/ansible/{archive_format}{/ref}", "commits_url": "https://api.github.com/repos/ansible/ansible/commits{/sha}", "compare_url": "https://api.github.com/repos/ansible/ansible/compare/{base}...{head}", "description": "Ansible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 "forks_count": 13833, "open_issues": 5531, "permissions": {"pull": true, "push": false, "admin": false}, "branches_url": "https://api.github.com/repos/ansible/ansible/branches{/branch}", "comments_url": "https://api.github.com/repos/ansible/ansible/comments{/number}", "contents_url": "https://api.github.com/repos/ansible/ansible/contents/{+path}", "git_refs_url": "https://api.github.com/repos/ansible/ansible/git/refs{/sha}", "git_tags_url": "https://api.github.com/repos/ansible/ansible/git/tags{/sha}", "has_projects": true, "releases_url": "https://api.github.com/repos/ansible/ansible/releases{/id}", "statuses_url": "https://api.github.com/repos/ansible/ansible/statuses/{sha}", "assignees_url": "https://api.github.com/repos/ansible/ansible/assignees{/user}", "downloads_url": "https://api.github.com/repos/ansible/ansible/downloads", "has_downloads": true, "languages_url": "https://api.github.com/repos/ansible/ansible/languages", "default_branch": "devel", "milestones_url": "https://api.github.com/repos/ansible/ansible/milestones{/number}", "stargazers_url": "https://api.github.com/repos/ansible/ansible/stargazers", "watchers_count": 34454, "deployments_url": "https://api.github.com/repos/ansible/ansible/deployments", "git_commits_url": "https://api.github.com/repos/ansible/ansible/git/commits{/sha}", "subscribers_url": "https://api.github.com/repos/ansible/ansible/subscribers", "contributors_url": "https://api.github.com/repos/ansible/ansible/contributors", "issue_events_url": "https://api.github.com/repos/ansible/ansible/issues/events{/number}", "stargazers_count": 34454, "subscription_url": "https://api.github.com/repos/ansible/ansible/subscription", "collaborators_url": "https://api.github.com/repos/ansible/ansible/collaborators{/collaborator}", "issue_comment_url": "https://api.github.com/repos/ansible/ansible/issues/comments{/number}", "notifications_url": "https://api.github.com/repos/ansible/ansible/notifications{?since,all,participating}", "open_issues_count": 5531}</t>
  </si>
  <si>
    <t>astropy/astropy</t>
  </si>
  <si>
    <t>Repository for the Astropy core package</t>
  </si>
  <si>
    <t>https://github.com/astropy/astropy</t>
  </si>
  <si>
    <t>"[\"astronomy\", \"python\", \"science\"]"</t>
  </si>
  <si>
    <t>[{"loc": 8946476, "ratio": 0.9540699379450304, "language": "Python"}, {"loc": 426997, "ratio": 0.0455358066452885, "language": "C"}, {"loc": 1172, "ratio": 0.0001249844036100444, "language": "HTML"}, {"loc": 1057, "ratio": 0.00011272057561076529, "language": "C++"}, {"loc": 853, "ratio": 0.0000909656111598702, "language": "TeX"}, {"loc": 615, "ratio": 0.00006558481930049258, "language": "Objective-C"}]</t>
  </si>
  <si>
    <t>v3.1</t>
  </si>
  <si>
    <t>743055cada122d6da8704ad28452806690679ef5</t>
  </si>
  <si>
    <t>{"key": "bsd-3-clause", "url": "https://api.github.com/licenses/bsd-3-clause", "name": "BSD 3-Clause \"New\" or \"Revised\" License", "node_id": "MDc6TGljZW5zZTU=", "spdx_id": "BSD-3-Clause"}</t>
  </si>
  <si>
    <t>astropy</t>
  </si>
  <si>
    <t>{"id": 2081289, "url": "https://api.github.com/repos/astropy/astropy", "fork": false, "name": "astropy", "size": 77648, "forks": 1001, "owner": {"id": 847984, "url": "https://api.github.com/users/astropy", "type": "Organization", "login": "astropy", "node_id": "MDEyOk9yZ2FuaXphdGlvbjg0Nzk4NA==", "html_url": "https://github.com/astropy", "gists_url": "https://api.github.com/users/astropy/gists{/gist_id}", "repos_url": "https://api.github.com/users/astropy/repos", "avatar_url": "https://avatars0.githubusercontent.com/u/847984?v=4", "events_url": "https://api.github.com/users/astropy/events{/privacy}", "site_admin": false, "gravatar_id": "", "starred_url": "https://api.github.com/users/astropy/starred{/owner}{/repo}", "followers_url": "https://api.github.com/users/astropy/followers", "following_url": "https://api.github.com/users/astropy/following{/other_user}", "organizations_url": "https://api.github.com/users/astropy/orgs", "subscriptions_url": "https://api.github.com/users/astropy/subscriptions", "received_events_url": "https://api.github.com/users/astropy/received_events"}, "score": 1.0, "topics": ["astronomy", "python", "science"], "git_url": "git://github.com/astropy/astropy.git", "license": {"key": "bsd-3-clause", "url": "https://api.github.com/licenses/bsd-3-clause", "name": "BSD 3-Clause \"New\" or \"Revised\" License", "node_id": "MDc6TGljZW5zZTU=", "spdx_id": "BSD-3-Clause"}, "node_id": "MDEwOlJlcG9zaXRvcnkyMDgxMjg5", "private": false, "ssh_url": "git@github.com:astropy/astropy.git", "svn_url": "https://github.com/astropy/astropy", "archived": false, "has_wiki": true, "homepage": "www.astropy.org", "html_url": "https://github.com/astropy/astropy", "keys_url": "https://api.github.com/repos/astropy/astropy/keys{/key_id}", "language": "Python", "tags_url": "https://api.github.com/repos/astropy/astropy/tags", "watchers": 1954, "blobs_url": "https://api.github.com/repos/astropy/astropy/git/blobs{/sha}", "clone_url": "https://github.com/astropy/astropy.git", "forks_url": "https://api.github.com/repos/astropy/astropy/forks", "full_name": "astropy/astropy", "has_pages": false, "hooks_url": "https://api.github.com/repos/astropy/astropy/hooks", "pulls_url": "https://api.github.com/repos/astropy/astropy/pulls{/number}", "pushed_at": "2018-12-24T18:22:17Z", "teams_url": "https://api.github.com/repos/astropy/astropy/teams", "trees_url": "https://api.github.com/repos/astropy/astropy/git/trees{/sha}", "created_at": "2011-07-21T01:33:49Z", "events_url": "https://api.github.com/repos/astropy/astropy/events", "has_issues": true, "issues_url": "https://api.github.com/repos/astropy/astropy/issues{/number}", "labels_url": "https://api.github.com/repos/astropy/astropy/labels{/name}", "merges_url": "https://api.github.com/repos/astropy/astropy/merges", "mirror_url": null, "updated_at": "2018-12-24T23:14:15Z", "archive_url": "https://api.github.com/repos/astropy/astropy/{archive_format}{/ref}", "commits_url": "https://api.github.com/repos/astropy/astropy/commits{/sha}", "compare_url": "https://api.github.com/repos/astropy/astropy/compare/{base}...{head}", "description": "Repository for the Astropy core package", "forks_count": 1001, "open_issues": 966, "permissions": {"pull": true, "push": false, "admin": false}, "branches_url": "https://api.github.com/repos/astropy/astropy/branches{/branch}", "comments_url": "https://api.github.com/repos/astropy/astropy/comments{/number}", "contents_url": "https://api.github.com/repos/astropy/astropy/contents/{+path}", "git_refs_url": "https://api.github.com/repos/astropy/astropy/git/refs{/sha}", "git_tags_url": "https://api.github.com/repos/astropy/astropy/git/tags{/sha}", "has_projects": true, "releases_url": "https://api.github.com/repos/astropy/astropy/releases{/id}", "statuses_url": "https://api.github.com/repos/astropy/astropy/statuses/{sha}", "assignees_url": "https://api.github.com/repos/astropy/astropy/assignees{/user}", "downloads_url": "https://api.github.com/repos/astropy/astropy/downloads", "has_downloads": true, "languages_url": "https://api.github.com/repos/astropy/astropy/languages", "default_branch": "master", "milestones_url": "https://api.github.com/repos/astropy/astropy/milestones{/number}", "stargazers_url": "https://api.github.com/repos/astropy/astropy/stargazers", "watchers_count": 1954, "deployments_url": "https://api.github.com/repos/astropy/astropy/deployments", "git_commits_url": "https://api.github.com/repos/astropy/astropy/git/commits{/sha}", "subscribers_url": "https://api.github.com/repos/astropy/astropy/subscribers", "contributors_url": "https://api.github.com/repos/astropy/astropy/contributors", "issue_events_url": "https://api.github.com/repos/astropy/astropy/issues/events{/number}", "stargazers_count": 1954, "subscription_url": "https://api.github.com/repos/astropy/astropy/subscription", "collaborators_url": "https://api.github.com/repos/astropy/astropy/collaborators{/collaborator}", "issue_comment_url": "https://api.github.com/repos/astropy/astropy/issues/comments{/number}", "notifications_url": "https://api.github.com/repos/astropy/astropy/notifications{?since,all,participating}", "open_issues_count": 966}</t>
  </si>
  <si>
    <t>crossbario/autobahn-python</t>
  </si>
  <si>
    <t>WebSocket and WAMP in Python for Twisted and asyncio</t>
  </si>
  <si>
    <t>https://github.com/crossbario/autobahn-python</t>
  </si>
  <si>
    <t>"[\"autobahn\", \"pubsub\", \"python\", \"real-time\", \"rpc\", \"wamp\", \"websocket\"]"</t>
  </si>
  <si>
    <t>[{"loc": 1391161, "ratio": 0.95890026661373, "language": "Python"}, {"loc": 40470, "ratio": 0.027895185237264163, "language": "Makefile"}, {"loc": 17063, "ratio": 0.011761194605965862, "language": "C"}, {"loc": 2094, "ratio": 0.0014433535430400583, "language": "Shell"}]</t>
  </si>
  <si>
    <t>v18.12.1</t>
  </si>
  <si>
    <t>bf699dbb03b74dc066830ec426d866af4e704e60</t>
  </si>
  <si>
    <t>{"key": "mit", "url": "https://api.github.com/licenses/mit", "name": "MIT License", "node_id": "MDc6TGljZW5zZTEz", "spdx_id": "MIT"}</t>
  </si>
  <si>
    <t>autobahn-python</t>
  </si>
  <si>
    <t>{"id": 2113510, "url": "https://api.github.com/repos/crossbario/autobahn-python", "fork": false, "name": "autobahn-python", "size": 12528, "forks": 550, "owner": {"id": 5656948, "url": "https://api.github.com/users/crossbario", "type": "Organization", "login": "crossbario", "node_id": "MDEyOk9yZ2FuaXphdGlvbjU2NTY5NDg=", "html_url": "https://github.com/crossbario", "gists_url": "https://api.github.com/users/crossbario/gists{/gist_id}", "repos_url": "https://api.github.com/users/crossbario/repos", "avatar_url": "https://avatars2.githubusercontent.com/u/5656948?v=4", "events_url": "https://api.github.com/users/crossbario/events{/privacy}", "site_admin": false, "gravatar_id": "", "starred_url": "https://api.github.com/users/crossbario/starred{/owner}{/repo}", "followers_url": "https://api.github.com/users/crossbario/followers", "following_url": "https://api.github.com/users/crossbario/following{/other_user}", "organizations_url": "https://api.github.com/users/crossbario/orgs", "subscriptions_url": "https://api.github.com/users/crossbario/subscriptions", "received_events_url": "https://api.github.com/users/crossbario/received_events"}, "score": 1.0, "topics": ["autobahn", "pubsub", "python", "real-time", "rpc", "wamp", "websocket"], "git_url": "git://github.com/crossbario/autobahn-python.git", "license": {"key": "mit", "url": "https://api.github.com/licenses/mit", "name": "MIT License", "node_id": "MDc6TGljZW5zZTEz", "spdx_id": "MIT"}, "node_id": "MDEwOlJlcG9zaXRvcnkyMTEzNTEw", "private": false, "ssh_url": "git@github.com:crossbario/autobahn-python.git", "svn_url": "https://github.com/crossbario/autobahn-python", "archived": false, "has_wiki": true, "homepage": "http://crossbar.io/autobahn", "html_url": "https://github.com/crossbario/autobahn-python", "keys_url": "https://api.github.com/repos/crossbario/autobahn-python/keys{/key_id}", "language": "Python", "tags_url": "https://api.github.com/repos/crossbario/autobahn-python/tags", "watchers": 1933, "blobs_url": "https://api.github.com/repos/crossbario/autobahn-python/git/blobs{/sha}", "clone_url": "https://github.com/crossbario/autobahn-python.git", "forks_url": "https://api.github.com/repos/crossbario/autobahn-python/forks", "full_name": "crossbario/autobahn-python", "has_pages": false, "hooks_url": "https://api.github.com/repos/crossbario/autobahn-python/hooks", "pulls_url": "https://api.github.com/repos/crossbario/autobahn-python/pulls{/number}", "pushed_at": "2018-12-17T17:22:30Z", "teams_url": "https://api.github.com/repos/crossbario/autobahn-python/teams", "trees_url": "https://api.github.com/repos/crossbario/autobahn-python/git/trees{/sha}", "created_at": "2011-07-27T15:22:13Z", "events_url": "https://api.github.com/repos/crossbario/autobahn-python/events", "has_issues": true, "issues_url": "https://api.github.com/repos/crossbario/autobahn-python/issues{/number}", "labels_url": "https://api.github.com/repos/crossbario/autobahn-python/labels{/name}", "merges_url": "https://api.github.com/repos/crossbario/autobahn-python/merges", "mirror_url": null, "updated_at": "2018-12-21T15:11:57Z", "archive_url": "https://api.github.com/repos/crossbario/autobahn-python/{archive_format}{/ref}", "commits_url": "https://api.github.com/repos/crossbario/autobahn-python/commits{/sha}", "compare_url": "https://api.github.com/repos/crossbario/autobahn-python/compare/{base}...{head}", "description": "WebSocket and WAMP in Python for Twisted and asyncio", "forks_count": 550, "open_issues": 103, "permissions": {"pull": true, "push": false, "admin": false}, "branches_url": "https://api.github.com/repos/crossbario/autobahn-python/branches{/branch}", "comments_url": "https://api.github.com/repos/crossbario/autobahn-python/comments{/number}", "contents_url": "https://api.github.com/repos/crossbario/autobahn-python/contents/{+path}", "git_refs_url": "https://api.github.com/repos/crossbario/autobahn-python/git/refs{/sha}", "git_tags_url": "https://api.github.com/repos/crossbario/autobahn-python/git/tags{/sha}", "has_projects": true, "releases_url": "https://api.github.com/repos/crossbario/autobahn-python/releases{/id}", "statuses_url": "https://api.github.com/repos/crossbario/autobahn-python/statuses/{sha}", "assignees_url": "https://api.github.com/repos/crossbario/autobahn-python/assignees{/user}", "downloads_url": "https://api.github.com/repos/crossbario/autobahn-python/downloads", "has_downloads": true, "languages_url": "https://api.github.com/repos/crossbario/autobahn-python/languages", "default_branch": "master", "milestones_url": "https://api.github.com/repos/crossbario/autobahn-python/milestones{/number}", "stargazers_url": "https://api.github.com/repos/crossbario/autobahn-python/stargazers", "watchers_count": 1933, "deployments_url": "https://api.github.com/repos/crossbario/autobahn-python/deployments", "git_commits_url": "https://api.github.com/repos/crossbario/autobahn-python/git/commits{/sha}", "subscribers_url": "https://api.github.com/repos/crossbario/autobahn-python/subscribers", "contributors_url": "https://api.github.com/repos/crossbario/autobahn-python/contributors", "issue_events_url": "https://api.github.com/repos/crossbario/autobahn-python/issues/events{/number}", "stargazers_count": 1933, "subscription_url": "https://api.github.com/repos/crossbario/autobahn-python/subscription", "collaborators_url": "https://api.github.com/repos/crossbario/autobahn-python/collaborators{/collaborator}", "issue_comment_url": "https://api.github.com/repos/crossbario/autobahn-python/issues/comments{/number}", "notifications_url": "https://api.github.com/repos/crossbario/autobahn-python/notifications{?since,all,participating}", "open_issues_count": 103}</t>
  </si>
  <si>
    <t>aws/aws-cli</t>
  </si>
  <si>
    <t>Universal Command Line Interface for Amazon Web Services</t>
  </si>
  <si>
    <t>https://github.com/aws/aws-cli</t>
  </si>
  <si>
    <t>"[\"aws\", \"aws-cli\", \"cloud\", \"cloud-management\"]"</t>
  </si>
  <si>
    <t>[{"loc": 3548203, "ratio": 0.9990879760953438, "language": "Python"}, {"loc": 1807, "ratio": 0.0005088074083710222, "language": "Shell"}, {"loc": 1432, "ratio": 0.0004032164962851709, "language": "Batchfile"}]</t>
  </si>
  <si>
    <t>1.16.96</t>
  </si>
  <si>
    <t>8bae3a2a1a20c56e2f7fbd72a2593b5252b323d9</t>
  </si>
  <si>
    <t>{"key": "other", "url": null, "name": "Other", "node_id": "MDc6TGljZW5zZTA=", "spdx_id": "NOASSERTION"}</t>
  </si>
  <si>
    <t>aws-cli</t>
  </si>
  <si>
    <t>{"id": 6780767, "url": "https://api.github.com/repos/aws/aws-cli", "fork": false, "name": "aws-cli", "size": 17717, "forks": 1529, "owner": {"id": 2232217, "url": "https://api.github.com/users/aws", "type": "Organization", "login": "aws", "node_id": "MDEyOk9yZ2FuaXphdGlvbjIyMzIyMTc=", "html_url": "https://github.com/aws", "gists_url": "https://api.github.com/users/aws/gists{/gist_id}", "repos_url": "https://api.github.com/users/aws/repos", "avatar_url": "https://avatars3.githubusercontent.com/u/2232217?v=4", "events_url": "https://api.github.com/users/aws/events{/privacy}", "site_admin": false, "gravatar_id": "", "starred_url": "https://api.github.com/users/aws/starred{/owner}{/repo}", "followers_url": "https://api.github.com/users/aws/followers", "following_url": "https://api.github.com/users/aws/following{/other_user}", "organizations_url": "https://api.github.com/users/aws/orgs", "subscriptions_url": "https://api.github.com/users/aws/subscriptions", "received_events_url": "https://api.github.com/users/aws/received_events"}, "score": 1.0, "topics": ["aws", "aws-cli", "cloud", "cloud-management"], "git_url": "git://github.com/aws/aws-cli.git", "license": {"key": "other", "url": null, "name": "Other", "node_id": "MDc6TGljZW5zZTA=", "spdx_id": "NOASSERTION"}, "node_id": "MDEwOlJlcG9zaXRvcnk2NzgwNzY3", "private": false, "ssh_url": "git@github.com:aws/aws-cli.git", "svn_url": "https://github.com/aws/aws-cli", "archived": false, "has_wiki": false, "homepage": null, "html_url": "https://github.com/aws/aws-cli", "keys_url": "https://api.github.com/repos/aws/aws-cli/keys{/key_id}", "language": "Python", "tags_url": "https://api.github.com/repos/aws/aws-cli/tags", "watchers": 7340, "blobs_url": "https://api.github.com/repos/aws/aws-cli/git/blobs{/sha}", "clone_url": "https://github.com/aws/aws-cli.git", "forks_url": "https://api.github.com/repos/aws/aws-cli/forks", "full_name": "aws/aws-cli", "has_pages": false, "hooks_url": "https://api.github.com/repos/aws/aws-cli/hooks", "pulls_url": "https://api.github.com/repos/aws/aws-cli/pulls{/number}", "pushed_at": "2018-12-21T23:06:05Z", "teams_url": "https://api.github.com/repos/aws/aws-cli/teams", "trees_url": "https://api.github.com/repos/aws/aws-cli/git/trees{/sha}", "created_at": "2012-11-20T16:07:36Z", "events_url": "https://api.github.com/repos/aws/aws-cli/events", "has_issues": true, "issues_url": "https://api.github.com/repos/aws/aws-cli/issues{/number}", "labels_url": "https://api.github.com/repos/aws/aws-cli/labels{/name}", "merges_url": "https://api.github.com/repos/aws/aws-cli/merges", "mirror_url": null, "updated_at": "2018-12-24T17:08:06Z", "archive_url": "https://api.github.com/repos/aws/aws-cli/{archive_format}{/ref}", "commits_url": "https://api.github.com/repos/aws/aws-cli/commits{/sha}", "compare_url": "https://api.github.com/repos/aws/aws-cli/compare/{base}...{head}", "description": "Universal Command Line Interface for Amazon Web Services", "forks_count": 1529, "open_issues": 480, "permissions": {"pull": true, "push": false, "admin": false}, "branches_url": "https://api.github.com/repos/aws/aws-cli/branches{/branch}", "comments_url": "https://api.github.com/repos/aws/aws-cli/comments{/number}", "contents_url": "https://api.github.com/repos/aws/aws-cli/contents/{+path}", "git_refs_url": "https://api.github.com/repos/aws/aws-cli/git/refs{/sha}", "git_tags_url": "https://api.github.com/repos/aws/aws-cli/git/tags{/sha}", "has_projects": true, "releases_url": "https://api.github.com/repos/aws/aws-cli/releases{/id}", "statuses_url": "https://api.github.com/repos/aws/aws-cli/statuses/{sha}", "assignees_url": "https://api.github.com/repos/aws/aws-cli/assignees{/user}", "downloads_url": "https://api.github.com/repos/aws/aws-cli/downloads", "has_downloads": true, "languages_url": "https://api.github.com/repos/aws/aws-cli/languages", "default_branch": "develop", "milestones_url": "https://api.github.com/repos/aws/aws-cli/milestones{/number}", "stargazers_url": "https://api.github.com/repos/aws/aws-cli/stargazers", "watchers_count": 7340, "deployments_url": "https://api.github.com/repos/aws/aws-cli/deployments", "git_commits_url": "https://api.github.com/repos/aws/aws-cli/git/commits{/sha}", "subscribers_url": "https://api.github.com/repos/aws/aws-cli/subscribers", "contributors_url": "https://api.github.com/repos/aws/aws-cli/contributors", "issue_events_url": "https://api.github.com/repos/aws/aws-cli/issues/events{/number}", "stargazers_count": 7340, "subscription_url": "https://api.github.com/repos/aws/aws-cli/subscription", "collaborators_url": "https://api.github.com/repos/aws/aws-cli/collaborators{/collaborator}", "issue_comment_url": "https://api.github.com/repos/aws/aws-cli/issues/comments{/number}", "notifications_url": "https://api.github.com/repos/aws/aws-cli/notifications{?since,all,participating}", "open_issues_count": 480}</t>
  </si>
  <si>
    <t>beetbox/beets</t>
  </si>
  <si>
    <t>music library manager and MusicBrainz tagger</t>
  </si>
  <si>
    <t>https://github.com/beetbox/beets</t>
  </si>
  <si>
    <t>"[\"cli\", \"music\", \"music-library\", \"musicbrainz\", \"python\"]"</t>
  </si>
  <si>
    <t>[{"loc": 1942780, "ratio": 0.9512091467427067, "language": "Python"}, {"loc": 85947, "ratio": 0.04208071553912199, "language": "JavaScript"}, {"loc": 7448, "ratio": 0.0036466330335599914, "language": "Shell"}, {"loc": 3306, "ratio": 0.001618658540406731, "language": "HTML"}, {"loc": 2951, "ratio": 0.0014448461442045561, "language": "CSS"}]</t>
  </si>
  <si>
    <t>v1.4.7</t>
  </si>
  <si>
    <t>a469b3284ef09d5d4be8610dd9cd34cf0283a91a</t>
  </si>
  <si>
    <t>beets</t>
  </si>
  <si>
    <t>{"id": 827590, "url": "https://api.github.com/repos/beetbox/beets", "fork": false, "name": "beets", "size": 17991, "forks": 1492, "owner": {"id": 15920313, "url": "https://api.github.com/users/beetbox", "type": "Organization", "login": "beetbox", "node_id": "MDEyOk9yZ2FuaXphdGlvbjE1OTIwMzEz", "html_url": "https://github.com/beetbox", "gists_url": "https://api.github.com/users/beetbox/gists{/gist_id}", "repos_url": "https://api.github.com/users/beetbox/repos", "avatar_url": "https://avatars1.githubusercontent.com/u/15920313?v=4", "events_url": "https://api.github.com/users/beetbox/events{/privacy}", "site_admin": false, "gravatar_id": "", "starred_url": "https://api.github.com/users/beetbox/starred{/owner}{/repo}", "followers_url": "https://api.github.com/users/beetbox/followers", "following_url": "https://api.github.com/users/beetbox/following{/other_user}", "organizations_url": "https://api.github.com/users/beetbox/orgs", "subscriptions_url": "https://api.github.com/users/beetbox/subscriptions", "received_events_url": "https://api.github.com/users/beetbox/received_events"}, "score": 1.0, "topics": ["cli", "music", "music-library", "musicbrainz", "python"], "git_url": "git://github.com/beetbox/beets.git", "license": {"key": "mit", "url": "https://api.github.com/licenses/mit", "name": "MIT License", "node_id": "MDc6TGljZW5zZTEz", "spdx_id": "MIT"}, "node_id": "MDEwOlJlcG9zaXRvcnk4Mjc1OTA=", "private": false, "ssh_url": "git@github.com:beetbox/beets.git", "svn_url": "https://github.com/beetbox/beets", "archived": false, "has_wiki": true, "homepage": "http://beets.io/", "html_url": "https://github.com/beetbox/beets", "keys_url": "https://api.github.com/repos/beetbox/beets/keys{/key_id}", "language": "Python", "tags_url": "https://api.github.com/repos/beetbox/beets/tags", "watchers": 8410, "blobs_url": "https://api.github.com/repos/beetbox/beets/git/blobs{/sha}", "clone_url": "https://github.com/beetbox/beets.git", "forks_url": "https://api.github.com/repos/beetbox/beets/forks", "full_name": "beetbox/beets", "has_pages": true, "hooks_url": "https://api.github.com/repos/beetbox/beets/hooks", "pulls_url": "https://api.github.com/repos/beetbox/beets/pulls{/number}", "pushed_at": "2018-12-21T16:45:41Z", "teams_url": "https://api.github.com/repos/beetbox/beets/teams", "trees_url": "https://api.github.com/repos/beetbox/beets/git/trees{/sha}", "created_at": "2010-08-09T23:17:20Z", "events_url": "https://api.github.com/repos/beetbox/beets/events", "has_issues": true, "issues_url": "https://api.github.com/repos/beetbox/beets/issues{/number}", "labels_url": "https://api.github.com/repos/beetbox/beets/labels{/name}", "merges_url": "https://api.github.com/repos/beetbox/beets/merges", "mirror_url": null, "updated_at": "2018-12-24T18:23:56Z", "archive_url": "https://api.github.com/repos/beetbox/beets/{archive_format}{/ref}", "commits_url": "https://api.github.com/repos/beetbox/beets/commits{/sha}", "compare_url": "https://api.github.com/repos/beetbox/beets/compare/{base}...{head}", "description": "music library manager and MusicBrainz tagger", "forks_count": 1492, "open_issues": 631, "permissions": {"pull": true, "push": false, "admin": false}, "branches_url": "https://api.github.com/repos/beetbox/beets/branches{/branch}", "comments_url": "https://api.github.com/repos/beetbox/beets/comments{/number}", "contents_url": "https://api.github.com/repos/beetbox/beets/contents/{+path}", "git_refs_url": "https://api.github.com/repos/beetbox/beets/git/refs{/sha}", "git_tags_url": "https://api.github.com/repos/beetbox/beets/git/tags{/sha}", "has_projects": true, "releases_url": "https://api.github.com/repos/beetbox/beets/releases{/id}", "statuses_url": "https://api.github.com/repos/beetbox/beets/statuses/{sha}", "assignees_url": "https://api.github.com/repos/beetbox/beets/assignees{/user}", "downloads_url": "https://api.github.com/repos/beetbox/beets/downloads", "has_downloads": false, "languages_url": "https://api.github.com/repos/beetbox/beets/languages", "default_branch": "master", "milestones_url": "https://api.github.com/repos/beetbox/beets/milestones{/number}", "stargazers_url": "https://api.github.com/repos/beetbox/beets/stargazers", "watchers_count": 8410, "deployments_url": "https://api.github.com/repos/beetbox/beets/deployments", "git_commits_url": "https://api.github.com/repos/beetbox/beets/git/commits{/sha}", "subscribers_url": "https://api.github.com/repos/beetbox/beets/subscribers", "contributors_url": "https://api.github.com/repos/beetbox/beets/contributors", "issue_events_url": "https://api.github.com/repos/beetbox/beets/issues/events{/number}", "stargazers_count": 8410, "subscription_url": "https://api.github.com/repos/beetbox/beets/subscription", "collaborators_url": "https://api.github.com/repos/beetbox/beets/collaborators{/collaborator}", "issue_comment_url": "https://api.github.com/repos/beetbox/beets/issues/comments{/number}", "notifications_url": "https://api.github.com/repos/beetbox/beets/notifications{?since,all,participating}", "open_issues_count": 631}</t>
  </si>
  <si>
    <t>biopython/biopython</t>
  </si>
  <si>
    <t>Official git repository for Biopython (converted from CVS)</t>
  </si>
  <si>
    <t>https://github.com/biopython/biopython</t>
  </si>
  <si>
    <t>"[]"</t>
  </si>
  <si>
    <t>[{"loc": 11778623, "ratio": 0.9081052704943539, "language": "Python"}, {"loc": 601577, "ratio": 0.04638023004116711, "language": "C"}, {"loc": 454926, "ratio": 0.035073768664207555, "language": "Parrot"}, {"loc": 75122, "ratio": 0.0057917367870655885, "language": "HTML"}, {"loc": 43350, "ratio": 0.0033421872383495284, "language": "PLpgSQL"}, {"loc": 8928, "ratio": 0.0006883286658358614, "language": "Nu"}, {"loc": 5568, "ratio": 0.00042928024320946194, "language": "Gnuplot"}, {"loc": 1927, "ratio": 0.00014856735428603324, "language": "Prolog"}, {"loc": 527, "ratio": 0.00004063051152503348, "language": "Roff"}]</t>
  </si>
  <si>
    <t>biopython-173</t>
  </si>
  <si>
    <t>9c4785fc9eaf8a3bc436c6c0b16e7a05019cade1</t>
  </si>
  <si>
    <t>biopython</t>
  </si>
  <si>
    <t>{"id": 151541, "url": "https://api.github.com/repos/biopython/biopython", "fork": false, "name": "biopython", "size": 47835, "forks": 829, "owner": {"id": 54555, "url": "https://api.github.com/users/biopython", "type": "Organization", "login": "biopython", "node_id": "MDEyOk9yZ2FuaXphdGlvbjU0NTU1", "html_url": "https://github.com/biopython", "gists_url": "https://api.github.com/users/biopython/gists{/gist_id}", "repos_url": "https://api.github.com/users/biopython/repos", "avatar_url": "https://avatars3.githubusercontent.com/u/54555?v=4", "events_url": "https://api.github.com/users/biopython/events{/privacy}", "site_admin": false, "gravatar_id": "", "starred_url": "https://api.github.com/users/biopython/starred{/owner}{/repo}", "followers_url": "https://api.github.com/users/biopython/followers", "following_url": "https://api.github.com/users/biopython/following{/other_user}", "organizations_url": "https://api.github.com/users/biopython/orgs", "subscriptions_url": "https://api.github.com/users/biopython/subscriptions", "received_events_url": "https://api.github.com/users/biopython/received_events"}, "score": 1.0, "topics": [], "git_url": "git://github.com/biopython/biopython.git", "license": {"key": "other", "url": null, "name": "Other", "node_id": "MDc6TGljZW5zZTA=", "spdx_id": "NOASSERTION"}, "node_id": "MDEwOlJlcG9zaXRvcnkxNTE1NDE=", "private": false, "ssh_url": "git@github.com:biopython/biopython.git", "svn_url": "https://github.com/biopython/biopython", "archived": false, "has_wiki": false, "homepage": "http://biopython.org/", "html_url": "https://github.com/biopython/biopython", "keys_url": "https://api.github.com/repos/biopython/biopython/keys{/key_id}", "language": "Python", "tags_url": "https://api.github.com/repos/biopython/biopython/tags", "watchers": 1581, "blobs_url": "https://api.github.com/repos/biopython/biopython/git/blobs{/sha}", "clone_url": "https://github.com/biopython/biopython.git", "forks_url": "https://api.github.com/repos/biopython/biopython/forks", "full_name": "biopython/biopython", "has_pages": false, "hooks_url": "https://api.github.com/repos/biopython/biopython/hooks", "pulls_url": "https://api.github.com/repos/biopython/biopython/pulls{/number}", "pushed_at": "2018-12-24T14:27:13Z", "teams_url": "https://api.github.com/repos/biopython/biopython/teams", "trees_url": "https://api.github.com/repos/biopython/biopython/git/trees{/sha}", "created_at": "2009-03-15T21:09:53Z", "events_url": "https://api.github.com/repos/biopython/biopython/events", "has_issues": true, "issues_url": "https://api.github.com/repos/biopython/biopython/issues{/number}", "labels_url": "https://api.github.com/repos/biopython/biopython/labels{/name}", "merges_url": "https://api.github.com/repos/biopython/biopython/merges", "mirror_url": null, "updated_at": "2018-12-24T11:29:50Z", "archive_url": "https://api.github.com/repos/biopython/biopython/{archive_format}{/ref}", "commits_url": "https://api.github.com/repos/biopython/biopython/commits{/sha}", "compare_url": "https://api.github.com/repos/biopython/biopython/compare/{base}...{head}", "description": "Official git repository for Biopython (converted from CVS)", "forks_count": 829, "open_issues": 334, "permissions": {"pull": true, "push": false, "admin": false}, "branches_url": "https://api.github.com/repos/biopython/biopython/branches{/branch}", "comments_url": "https://api.github.com/repos/biopython/biopython/comments{/number}", "contents_url": "https://api.github.com/repos/biopython/biopython/contents/{+path}", "git_refs_url": "https://api.github.com/repos/biopython/biopython/git/refs{/sha}", "git_tags_url": "https://api.github.com/repos/biopython/biopython/git/tags{/sha}", "has_projects": false, "releases_url": "https://api.github.com/repos/biopython/biopython/releases{/id}", "statuses_url": "https://api.github.com/repos/biopython/biopython/statuses/{sha}", "assignees_url": "https://api.github.com/repos/biopython/biopython/assignees{/user}", "downloads_url": "https://api.github.com/repos/biopython/biopython/downloads", "has_downloads": false, "languages_url": "https://api.github.com/repos/biopython/biopython/languages", "default_branch": "master", "milestones_url": "https://api.github.com/repos/biopython/biopython/milestones{/number}", "stargazers_url": "https://api.github.com/repos/biopython/biopython/stargazers", "watchers_count": 1581, "deployments_url": "https://api.github.com/repos/biopython/biopython/deployments", "git_commits_url": "https://api.github.com/repos/biopython/biopython/git/commits{/sha}", "subscribers_url": "https://api.github.com/repos/biopython/biopython/subscribers", "contributors_url": "https://api.github.com/repos/biopython/biopython/contributors", "issue_events_url": "https://api.github.com/repos/biopython/biopython/issues/events{/number}", "stargazers_count": 1581, "subscription_url": "https://api.github.com/repos/biopython/biopython/subscription", "collaborators_url": "https://api.github.com/repos/biopython/biopython/collaborators{/collaborator}", "issue_comment_url": "https://api.github.com/repos/biopython/biopython/issues/comments{/number}", "notifications_url": "https://api.github.com/repos/biopython/biopython/notifications{?since,all,participating}", "open_issues_count": 334}</t>
  </si>
  <si>
    <t>blaze/blaze</t>
  </si>
  <si>
    <t>NumPy and Pandas interface to Big Data</t>
  </si>
  <si>
    <t>https://github.com/blaze/blaze</t>
  </si>
  <si>
    <t>[{"loc": 974207, "ratio": 0.9999260991974578, "language": "Python"}, {"loc": 37, "ratio": 0.000037976801306401966, "language": "Batchfile"}, {"loc": 35, "ratio": 0.00003592400123578564, "language": "Shell"}]</t>
  </si>
  <si>
    <t>0.11.3</t>
  </si>
  <si>
    <t>fec892027b50c78a26a20b2f8faa0a3b1bbbe010</t>
  </si>
  <si>
    <t>blaze</t>
  </si>
  <si>
    <t>{"id": 6404963, "url": "https://api.github.com/repos/blaze/blaze", "fork": false, "name": "blaze", "size": 22935, "forks": 337, "owner": {"id": 12833921, "url": "https://api.github.com/users/blaze", "type": "Organization", "login": "blaze", "node_id": "MDEyOk9yZ2FuaXphdGlvbjEyODMzOTIx", "html_url": "https://github.com/blaze", "gists_url": "https://api.github.com/users/blaze/gists{/gist_id}", "repos_url": "https://api.github.com/users/blaze/repos", "avatar_url": "https://avatars0.githubusercontent.com/u/12833921?v=4", "events_url": "https://api.github.com/users/blaze/events{/privacy}", "site_admin": false, "gravatar_id": "", "starred_url": "https://api.github.com/users/blaze/starred{/owner}{/repo}", "followers_url": "https://api.github.com/users/blaze/followers", "following_url": "https://api.github.com/users/blaze/following{/other_user}", "organizations_url": "https://api.github.com/users/blaze/orgs", "subscriptions_url": "https://api.github.com/users/blaze/subscriptions", "received_events_url": "https://api.github.com/users/blaze/received_events"}, "score": 1.0, "topics": [], "git_url": "git://github.com/blaze/blaze.git", "license": {"key": "other", "url": null, "name": "Other", "node_id": "MDc6TGljZW5zZTA=", "spdx_id": "NOASSERTION"}, "node_id": "MDEwOlJlcG9zaXRvcnk2NDA0OTYz", "private": false, "ssh_url": "git@github.com:blaze/blaze.git", "svn_url": "https://github.com/blaze/blaze", "archived": false, "has_wiki": true, "homepage": "blaze.pydata.org", "html_url": "https://github.com/blaze/blaze", "keys_url": "https://api.github.com/repos/blaze/blaze/keys{/key_id}", "language": "Python", "tags_url": "https://api.github.com/repos/blaze/blaze/tags", "watchers": 2558, "blobs_url": "https://api.github.com/repos/blaze/blaze/git/blobs{/sha}", "clone_url": "https://github.com/blaze/blaze.git", "forks_url": "https://api.github.com/repos/blaze/blaze/forks", "full_name": "blaze/blaze", "has_pages": true, "hooks_url": "https://api.github.com/repos/blaze/blaze/hooks", "pulls_url": "https://api.github.com/repos/blaze/blaze/pulls{/number}", "pushed_at": "2018-08-20T04:57:26Z", "teams_url": "https://api.github.com/repos/blaze/blaze/teams", "trees_url": "https://api.github.com/repos/blaze/blaze/git/trees{/sha}", "created_at": "2012-10-26T14:25:22Z", "events_url": "https://api.github.com/repos/blaze/blaze/events", "has_issues": true, "issues_url": "https://api.github.com/repos/blaze/blaze/issues{/number}", "labels_url": "https://api.github.com/repos/blaze/blaze/labels{/name}", "merges_url": "https://api.github.com/repos/blaze/blaze/merges", "mirror_url": null, "updated_at": "2018-12-24T14:32:57Z", "archive_url": "https://api.github.com/repos/blaze/blaze/{archive_format}{/ref}", "commits_url": "https://api.github.com/repos/blaze/blaze/commits{/sha}", "compare_url": "https://api.github.com/repos/blaze/blaze/compare/{base}...{head}", "description": "NumPy and Pandas interface to Big Data", "forks_count": 337, "open_issues": 253, "permissions": {"pull": true, "push": false, "admin": false}, "branches_url": "https://api.github.com/repos/blaze/blaze/branches{/branch}", "comments_url": "https://api.github.com/repos/blaze/blaze/comments{/number}", "contents_url": "https://api.github.com/repos/blaze/blaze/contents/{+path}", "git_refs_url": "https://api.github.com/repos/blaze/blaze/git/refs{/sha}", "git_tags_url": "https://api.github.com/repos/blaze/blaze/git/tags{/sha}", "has_projects": true, "releases_url": "https://api.github.com/repos/blaze/blaze/releases{/id}", "statuses_url": "https://api.github.com/repos/blaze/blaze/statuses/{sha}", "assignees_url": "https://api.github.com/repos/blaze/blaze/assignees{/user}", "downloads_url": "https://api.github.com/repos/blaze/blaze/downloads", "has_downloads": true, "languages_url": "https://api.github.com/repos/blaze/blaze/languages", "default_branch": "master", "milestones_url": "https://api.github.com/repos/blaze/blaze/milestones{/number}", "stargazers_url": "https://api.github.com/repos/blaze/blaze/stargazers", "watchers_count": 2558, "deployments_url": "https://api.github.com/repos/blaze/blaze/deployments", "git_commits_url": "https://api.github.com/repos/blaze/blaze/git/commits{/sha}", "subscribers_url": "https://api.github.com/repos/blaze/blaze/subscribers", "contributors_url": "https://api.github.com/repos/blaze/blaze/contributors", "issue_events_url": "https://api.github.com/repos/blaze/blaze/issues/events{/number}", "stargazers_count": 2558, "subscription_url": "https://api.github.com/repos/blaze/blaze/subscription", "collaborators_url": "https://api.github.com/repos/blaze/blaze/collaborators{/collaborator}", "issue_comment_url": "https://api.github.com/repos/blaze/blaze/issues/comments{/number}", "notifications_url": "https://api.github.com/repos/blaze/blaze/notifications{?since,all,participating}", "open_issues_count": 253}</t>
  </si>
  <si>
    <t>bokeh/bokeh</t>
  </si>
  <si>
    <t>Interactive Web Plotting for Python</t>
  </si>
  <si>
    <t>https://github.com/bokeh/bokeh</t>
  </si>
  <si>
    <t>"[\"bokeh\", \"data-visualisation\", \"interactive-plots\", \"javascript\", \"plots\", \"plotting\", \"python\", \"visualization\"]"</t>
  </si>
  <si>
    <t>[{"loc": 3542403, "ratio": 0.6126233084086387, "language": "Python"}, {"loc": 1634964, "ratio": 0.28275073581662546, "language": "TypeScript"}, {"loc": 413184, "ratio": 0.07145605654170768, "language": "CoffeeScript"}, {"loc": 102333, "ratio": 0.017697472879110936, "language": "CSS"}, {"loc": 47532, "ratio": 0.008220185872493731, "language": "HTML"}, {"loc": 25344, "ratio": 0.004382992315755304, "language": "JavaScript"}, {"loc": 9209, "ratio": 0.0015926048072834043, "language": "Shell"}, {"loc": 4099, "ratio": 0.0007088812145786377, "language": "Dockerfile"}, {"loc": 1442, "ratio": 0.0002493795343797013, "language": "Batchfile"}, {"loc": 1150, "ratio": 0.0001988810433680003, "language": "Makefile"}, {"loc": 691, "ratio": 0.0001195015660585115, "language": "PowerShell"}]</t>
  </si>
  <si>
    <t>1.0.2</t>
  </si>
  <si>
    <t>daf9d511ec847a0498bd5ebafc5eaa7ee3bc09f4</t>
  </si>
  <si>
    <t>bokeh</t>
  </si>
  <si>
    <t>{"id": 3834332, "url": "https://api.github.com/repos/bokeh/bokeh", "fork": false, "name": "bokeh", "size": 146771, "forks": 2343, "owner": {"id": 8440965, "url": "https://api.github.com/users/bokeh", "type": "Organization", "login": "bokeh", "node_id": "MDEyOk9yZ2FuaXphdGlvbjg0NDA5NjU=", "html_url": "https://github.com/bokeh", "gists_url": "https://api.github.com/users/bokeh/gists{/gist_id}", "repos_url": "https://api.github.com/users/bokeh/repos", "avatar_url": "https://avatars2.githubusercontent.com/u/8440965?v=4", "events_url": "https://api.github.com/users/bokeh/events{/privacy}", "site_admin": false, "gravatar_id": "", "starred_url": "https://api.github.com/users/bokeh/starred{/owner}{/repo}", "followers_url": "https://api.github.com/users/bokeh/followers", "following_url": "https://api.github.com/users/bokeh/following{/other_user}", "organizations_url": "https://api.github.com/users/bokeh/orgs", "subscriptions_url": "https://api.github.com/users/bokeh/subscriptions", "received_events_url": "https://api.github.com/users/bokeh/received_events"}, "score": 1.0, "topics": ["bokeh", "data-visualisation", "interactive-plots", "javascript", "plots", "plotting", "python", "visualization"], "git_url": "git://github.com/bokeh/bokeh.git", "license": {"key": "bsd-3-clause", "url": "https://api.github.com/licenses/bsd-3-clause", "name": "BSD 3-Clause \"New\" or \"Revised\" License", "node_id": "MDc6TGljZW5zZTU=", "spdx_id": "BSD-3-Clause"}, "node_id": "MDEwOlJlcG9zaXRvcnkzODM0MzMy", "private": false, "ssh_url": "git@github.com:bokeh/bokeh.git", "svn_url": "https://github.com/bokeh/bokeh", "archived": false, "has_wiki": true, "homepage": "http://bokeh.pydata.org/en/latest/", "html_url": "https://github.com/bokeh/bokeh", "keys_url": "https://api.github.com/repos/bokeh/bokeh/keys{/key_id}", "language": "Python", "tags_url": "https://api.github.com/repos/bokeh/bokeh/tags", "watchers": 8722, "blobs_url": "https://api.github.com/repos/bokeh/bokeh/git/blobs{/sha}", "clone_url": "https://github.com/bokeh/bokeh.git", "forks_url": "https://api.github.com/repos/bokeh/bokeh/forks", "full_name": "bokeh/bokeh", "has_pages": false, "hooks_url": "https://api.github.com/repos/bokeh/bokeh/hooks", "pulls_url": "https://api.github.com/repos/bokeh/bokeh/pulls{/number}", "pushed_at": "2018-12-24T12:40:06Z", "teams_url": "https://api.github.com/repos/bokeh/bokeh/teams", "trees_url": "https://api.github.com/repos/bokeh/bokeh/git/trees{/sha}", "created_at": "2012-03-26T15:40:01Z", "events_url": "https://api.github.com/repos/bokeh/bokeh/events", "has_issues": true, "issues_url": "https://api.github.com/repos/bokeh/bokeh/issues{/number}", "labels_url": "https://api.github.com/repos/bokeh/bokeh/labels{/name}", "merges_url": "https://api.github.com/repos/bokeh/bokeh/merges", "mirror_url": null, "updated_at": "2018-12-25T01:31:22Z", "archive_url": "https://api.github.com/repos/bokeh/bokeh/{archive_format}{/ref}", "commits_url": "https://api.github.com/repos/bokeh/bokeh/commits{/sha}", "compare_url": "https://api.github.com/repos/bokeh/bokeh/compare/{base}...{head}", "description": "Interactive Web Plotting for Python", "forks_count": 2343, "open_issues": 473, "permissions": {"pull": true, "push": false, "admin": false}, "branches_url": "https://api.github.com/repos/bokeh/bokeh/branches{/branch}", "comments_url": "https://api.github.com/repos/bokeh/bokeh/comments{/number}", "contents_url": "https://api.github.com/repos/bokeh/bokeh/contents/{+path}", "git_refs_url": "https://api.github.com/repos/bokeh/bokeh/git/refs{/sha}", "git_tags_url": "https://api.github.com/repos/bokeh/bokeh/git/tags{/sha}", "has_projects": true, "releases_url": "https://api.github.com/repos/bokeh/bokeh/releases{/id}", "statuses_url": "https://api.github.com/repos/bokeh/bokeh/statuses/{sha}", "assignees_url": "https://api.github.com/repos/bokeh/bokeh/assignees{/user}", "downloads_url": "https://api.github.com/repos/bokeh/bokeh/downloads", "has_downloads": true, "languages_url": "https://api.github.com/repos/bokeh/bokeh/languages", "default_branch": "master", "milestones_url": "https://api.github.com/repos/bokeh/bokeh/milestones{/number}", "stargazers_url": "https://api.github.com/repos/bokeh/bokeh/stargazers", "watchers_count": 8722, "deployments_url": "https://api.github.com/repos/bokeh/bokeh/deployments", "git_commits_url": "https://api.github.com/repos/bokeh/bokeh/git/commits{/sha}", "subscribers_url": "https://api.github.com/repos/bokeh/bokeh/subscribers", "contributors_url": "https://api.github.com/repos/bokeh/bokeh/contributors", "issue_events_url": "https://api.github.com/repos/bokeh/bokeh/issues/events{/number}", "stargazers_count": 8722, "subscription_url": "https://api.github.com/repos/bokeh/bokeh/subscription", "collaborators_url": "https://api.github.com/repos/bokeh/bokeh/collaborators{/collaborator}", "issue_comment_url": "https://api.github.com/repos/bokeh/bokeh/issues/comments{/number}", "notifications_url": "https://api.github.com/repos/bokeh/bokeh/notifications{?since,all,participating}", "open_issues_count": 473}</t>
  </si>
  <si>
    <t>boto/boto</t>
  </si>
  <si>
    <t>For the latest version of boto, see https://github.com/boto/boto3 -- Python interface to Amazon Web Services</t>
  </si>
  <si>
    <t>https://github.com/boto/boto</t>
  </si>
  <si>
    <t>[{"loc": 6684894, "ratio": 1.0, "language": "Python"}]</t>
  </si>
  <si>
    <t>v2.13.2</t>
  </si>
  <si>
    <t>1ab0270cceca3ff30f5abb23951a6fb991ed3da4</t>
  </si>
  <si>
    <t>boto</t>
  </si>
  <si>
    <t>{"id": 771016, "url": "https://api.github.com/repos/boto/boto", "fork": false, "name": "boto", "size": 15822, "forks": 2264, "owner": {"id": 327752, "url": "https://api.github.com/users/boto", "type": "Organization", "login": "boto", "node_id": "MDEyOk9yZ2FuaXphdGlvbjMyNzc1Mg==", "html_url": "https://github.com/boto", "gists_url": "https://api.github.com/users/boto/gists{/gist_id}", "repos_url": "https://api.github.com/users/boto/repos", "avatar_url": "https://avatars2.githubusercontent.com/u/327752?v=4", "events_url": "https://api.github.com/users/boto/events{/privacy}", "site_admin": false, "gravatar_id": "", "starred_url": "https://api.github.com/users/boto/starred{/owner}{/repo}", "followers_url": "https://api.github.com/users/boto/followers", "following_url": "https://api.github.com/users/boto/following{/other_user}", "organizations_url": "https://api.github.com/users/boto/orgs", "subscriptions_url": "https://api.github.com/users/boto/subscriptions", "received_events_url": "https://api.github.com/users/boto/received_events"}, "score": 1.0, "topics": [], "git_url": "git://github.com/boto/boto.git", "license": {"key": "other", "url": null, "name": "Other", "node_id": "MDc6TGljZW5zZTA=", "spdx_id": "NOASSERTION"}, "node_id": "MDEwOlJlcG9zaXRvcnk3NzEwMTY=", "private": false, "ssh_url": "git@github.com:boto/boto.git", "svn_url": "https://github.com/boto/boto", "archived": false, "has_wiki": false, "homepage": "http://docs.pythonboto.org/", "html_url": "https://github.com/boto/boto", "keys_url": "https://api.github.com/repos/boto/boto/keys{/key_id}", "language": "Python", "tags_url": "https://api.github.com/repos/boto/boto/tags", "watchers": 6258, "blobs_url": "https://api.github.com/repos/boto/boto/git/blobs{/sha}", "clone_url": "https://github.com/boto/boto.git", "forks_url": "https://api.github.com/repos/boto/boto/forks", "full_name": "boto/boto", "has_pages": false, "hooks_url": "https://api.github.com/repos/boto/boto/hooks", "pulls_url": "https://api.github.com/repos/boto/boto/pulls{/number}", "pushed_at": "2018-11-04T22:09:07Z", "teams_url": "https://api.github.com/repos/boto/boto/teams", "trees_url": "https://api.github.com/repos/boto/boto/git/trees{/sha}", "created_at": "2010-07-12T19:15:33Z", "events_url": "https://api.github.com/repos/boto/boto/events", "has_issues": true, "issues_url": "https://api.github.com/repos/boto/boto/issues{/number}", "labels_url": "https://api.github.com/repos/boto/boto/labels{/name}", "merges_url": "https://api.github.com/repos/boto/boto/merges", "mirror_url": null, "updated_at": "2018-12-22T20:23:36Z", "archive_url": "https://api.github.com/repos/boto/boto/{archive_format}{/ref}", "commits_url": "https://api.github.com/repos/boto/boto/commits{/sha}", "compare_url": "https://api.github.com/repos/boto/boto/compare/{base}...{head}", "description": "For the latest version of boto, see https://github.com/boto/boto3 -- Python interface to Amazon Web Services", "forks_count": 2264, "open_issues": 1161, "permissions": {"pull": true, "push": false, "admin": false}, "branches_url": "https://api.github.com/repos/boto/boto/branches{/branch}", "comments_url": "https://api.github.com/repos/boto/boto/comments{/number}", "contents_url": "https://api.github.com/repos/boto/boto/contents/{+path}", "git_refs_url": "https://api.github.com/repos/boto/boto/git/refs{/sha}", "git_tags_url": "https://api.github.com/repos/boto/boto/git/tags{/sha}", "has_projects": true, "releases_url": "https://api.github.com/repos/boto/boto/releases{/id}", "statuses_url": "https://api.github.com/repos/boto/boto/statuses/{sha}", "assignees_url": "https://api.github.com/repos/boto/boto/assignees{/user}", "downloads_url": "https://api.github.com/repos/boto/boto/downloads", "has_downloads": true, "languages_url": "https://api.github.com/repos/boto/boto/languages", "default_branch": "develop", "milestones_url": "https://api.github.com/repos/boto/boto/milestones{/number}", "stargazers_url": "https://api.github.com/repos/boto/boto/stargazers", "watchers_count": 6258, "deployments_url": "https://api.github.com/repos/boto/boto/deployments", "git_commits_url": "https://api.github.com/repos/boto/boto/git/commits{/sha}", "subscribers_url": "https://api.github.com/repos/boto/boto/subscribers", "contributors_url": "https://api.github.com/repos/boto/boto/contributors", "issue_events_url": "https://api.github.com/repos/boto/boto/issues/events{/number}", "stargazers_count": 6258, "subscription_url": "https://api.github.com/repos/boto/boto/subscription", "collaborators_url": "https://api.github.com/repos/boto/boto/collaborators{/collaborator}", "issue_comment_url": "https://api.github.com/repos/boto/boto/issues/comments{/number}", "notifications_url": "https://api.github.com/repos/boto/boto/notifications{?since,all,participating}", "open_issues_count": 1161}</t>
  </si>
  <si>
    <t>boto/boto3</t>
  </si>
  <si>
    <t>AWS SDK for Python</t>
  </si>
  <si>
    <t>https://github.com/boto/boto3</t>
  </si>
  <si>
    <t>"[\"aws\", \"aws-sdk\", \"cloud\", \"cloud-management\", \"python\"]"</t>
  </si>
  <si>
    <t>[{"loc": 655066, "ratio": 1.0, "language": "Python"}]</t>
  </si>
  <si>
    <t>1.9.71</t>
  </si>
  <si>
    <t>a82c5de3a2d9835615b63e80ccd9e854adaac998</t>
  </si>
  <si>
    <t>boto3</t>
  </si>
  <si>
    <t>{"id": 24774658, "url": "https://api.github.com/repos/boto/boto3", "fork": false, "name": "boto3", "size": 6127, "forks": 824, "owner": {"id": 327752, "url": "https://api.github.com/users/boto", "type": "Organization", "login": "boto", "node_id": "MDEyOk9yZ2FuaXphdGlvbjMyNzc1Mg==", "html_url": "https://github.com/boto", "gists_url": "https://api.github.com/users/boto/gists{/gist_id}", "repos_url": "https://api.github.com/users/boto/repos", "avatar_url": "https://avatars2.githubusercontent.com/u/327752?v=4", "events_url": "https://api.github.com/users/boto/events{/privacy}", "site_admin": false, "gravatar_id": "", "starred_url": "https://api.github.com/users/boto/starred{/owner}{/repo}", "followers_url": "https://api.github.com/users/boto/followers", "following_url": "https://api.github.com/users/boto/following{/other_user}", "organizations_url": "https://api.github.com/users/boto/orgs", "subscriptions_url": "https://api.github.com/users/boto/subscriptions", "received_events_url": "https://api.github.com/users/boto/received_events"}, "score": 1.0, "topics": ["aws", "aws-sdk", "cloud", "cloud-management", "python"], "git_url": "git://github.com/boto/boto3.git", "license": {"key": "other", "url": null, "name": "Other", "node_id": "MDc6TGljZW5zZTA=", "spdx_id": "NOASSERTION"}, "node_id": "MDEwOlJlcG9zaXRvcnkyNDc3NDY1OA==", "private": false, "ssh_url": "git@github.com:boto/boto3.git", "svn_url": "https://github.com/boto/boto3", "archived": false, "has_wiki": false, "homepage": "http://aws.amazon.com/sdk-for-python/", "html_url": "https://github.com/boto/boto3", "keys_url": "https://api.github.com/repos/boto/boto3/keys{/key_id}", "language": "Python", "tags_url": "https://api.github.com/repos/boto/boto3/tags", "watchers": 3997, "blobs_url": "https://api.github.com/repos/boto/boto3/git/blobs{/sha}", "clone_url": "https://github.com/boto/boto3.git", "forks_url": "https://api.github.com/repos/boto/boto3/forks", "full_name": "boto/boto3", "has_pages": false, "hooks_url": "https://api.github.com/repos/boto/boto3/hooks", "pulls_url": "https://api.github.com/repos/boto/boto3/pulls{/number}", "pushed_at": "2018-12-24T21:01:47Z", "teams_url": "https://api.github.com/repos/boto/boto3/teams", "trees_url": "https://api.github.com/repos/boto/boto3/git/trees{/sha}", "created_at": "2014-10-03T21:38:03Z", "events_url": "https://api.github.com/repos/boto/boto3/events", "has_issues": true, "issues_url": "https://api.github.com/repos/boto/boto3/issues{/number}", "labels_url": "https://api.github.com/repos/boto/boto3/labels{/name}", "merges_url": "https://api.github.com/repos/boto/boto3/merges", "mirror_url": null, "updated_at": "2018-12-24T21:29:18Z", "archive_url": "https://api.github.com/repos/boto/boto3/{archive_format}{/ref}", "commits_url": "https://api.github.com/repos/boto/boto3/commits{/sha}", "compare_url": "https://api.github.com/repos/boto/boto3/compare/{base}...{head}", "description": "AWS SDK for Python", "forks_count": 824, "open_issues": 313, "permissions": {"pull": true, "push": false, "admin": false}, "branches_url": "https://api.github.com/repos/boto/boto3/branches{/branch}", "comments_url": "https://api.github.com/repos/boto/boto3/comments{/number}", "contents_url": "https://api.github.com/repos/boto/boto3/contents/{+path}", "git_refs_url": "https://api.github.com/repos/boto/boto3/git/refs{/sha}", "git_tags_url": "https://api.github.com/repos/boto/boto3/git/tags{/sha}", "has_projects": true, "releases_url": "https://api.github.com/repos/boto/boto3/releases{/id}", "statuses_url": "https://api.github.com/repos/boto/boto3/statuses/{sha}", "assignees_url": "https://api.github.com/repos/boto/boto3/assignees{/user}", "downloads_url": "https://api.github.com/repos/boto/boto3/downloads", "has_downloads": true, "languages_url": "https://api.github.com/repos/boto/boto3/languages", "default_branch": "develop", "milestones_url": "https://api.github.com/repos/boto/boto3/milestones{/number}", "stargazers_url": "https://api.github.com/repos/boto/boto3/stargazers", "watchers_count": 3997, "deployments_url": "https://api.github.com/repos/boto/boto3/deployments", "git_commits_url": "https://api.github.com/repos/boto/boto3/git/commits{/sha}", "subscribers_url": "https://api.github.com/repos/boto/boto3/subscribers", "contributors_url": "https://api.github.com/repos/boto/boto3/contributors", "issue_events_url": "https://api.github.com/repos/boto/boto3/issues/events{/number}", "stargazers_count": 3997, "subscription_url": "https://api.github.com/repos/boto/boto3/subscription", "collaborators_url": "https://api.github.com/repos/boto/boto3/collaborators{/collaborator}", "issue_comment_url": "https://api.github.com/repos/boto/boto3/issues/comments{/number}", "notifications_url": "https://api.github.com/repos/boto/boto3/notifications{?since,all,participating}", "open_issues_count": 313}</t>
  </si>
  <si>
    <t>buildbot/buildbot</t>
  </si>
  <si>
    <t>Python-based continuous integration testing framework; your pull requests are more than welcome!</t>
  </si>
  <si>
    <t>https://github.com/buildbot/buildbot</t>
  </si>
  <si>
    <t>"[\"ci\", \"ci-framework\", \"continuous-integration\", \"python\"]"</t>
  </si>
  <si>
    <t>[{"loc": 6760895, "ratio": 0.9256063013944685, "language": "Python"}, {"loc": 319909, "ratio": 0.043797424197950574, "language": "CoffeeScript"}, {"loc": 64787, "ratio": 0.008869721456766217, "language": "RAML"}, {"loc": 52025, "ratio": 0.007122528574995948, "language": "HTML"}, {"loc": 38942, "ratio": 0.005331388904709124, "language": "TypeScript"}, {"loc": 19710, "ratio": 0.0026984149584463263, "language": "CSS"}, {"loc": 15095, "ratio": 0.0020665943073438506, "language": "Shell"}, {"loc": 12185, "ratio": 0.0016681981871470566, "language": "Makefile"}, {"loc": 12137, "ratio": 0.001661626704752058, "language": "Roff"}, {"loc": 4991, "ratio": 0.0006832972631966319, "language": "Dockerfile"}, {"loc": 3612, "ratio": 0.0004945040502236495, "language": "JavaScript"}]</t>
  </si>
  <si>
    <t>v1.7.0</t>
  </si>
  <si>
    <t>8f5fb0a3e18b526dc289975b8c157b8e7196a095</t>
  </si>
  <si>
    <t>{"key": "gpl-2.0", "url": "https://api.github.com/licenses/gpl-2.0", "name": "GNU General Public License v2.0", "node_id": "MDc6TGljZW5zZTg=", "spdx_id": "GPL-2.0"}</t>
  </si>
  <si>
    <t>buildbot</t>
  </si>
  <si>
    <t>{"id": 760165, "url": "https://api.github.com/repos/buildbot/buildbot", "fork": false, "name": "buildbot", "size": 48804, "forks": 1308, "owner": {"id": 324515, "url": "https://api.github.com/users/buildbot", "type": "Organization", "login": "buildbot", "node_id": "MDEyOk9yZ2FuaXphdGlvbjMyNDUxNQ==", "html_url": "https://github.com/buildbot", "gists_url": "https://api.github.com/users/buildbot/gists{/gist_id}", "repos_url": "https://api.github.com/users/buildbot/repos", "avatar_url": "https://avatars2.githubusercontent.com/u/324515?v=4", "events_url": "https://api.github.com/users/buildbot/events{/privacy}", "site_admin": false, "gravatar_id": "", "starred_url": "https://api.github.com/users/buildbot/starred{/owner}{/repo}", "followers_url": "https://api.github.com/users/buildbot/followers", "following_url": "https://api.github.com/users/buildbot/following{/other_user}", "organizations_url": "https://api.github.com/users/buildbot/orgs", "subscriptions_url": "https://api.github.com/users/buildbot/subscriptions", "received_events_url": "https://api.github.com/users/buildbot/received_events"}, "score": 1.0, "topics": ["ci", "ci-framework", "continuous-integration", "python"], "git_url": "git://github.com/buildbot/buildbot.git", "license": {"key": "gpl-2.0", "url": "https://api.github.com/licenses/gpl-2.0", "name": "GNU General Public License v2.0", "node_id": "MDc6TGljZW5zZTg=", "spdx_id": "GPL-2.0"}, "node_id": "MDEwOlJlcG9zaXRvcnk3NjAxNjU=", "private": false, "ssh_url": "git@github.com:buildbot/buildbot.git", "svn_url": "https://github.com/buildbot/buildbot", "archived": false, "has_wiki": true, "homepage": "https://www.buildbot.net", "html_url": "https://github.com/buildbot/buildbot", "keys_url": "https://api.github.com/repos/buildbot/buildbot/keys{/key_id}", "language": "Python", "tags_url": "https://api.github.com/repos/buildbot/buildbot/tags", "watchers": 3705, "blobs_url": "https://api.github.com/repos/buildbot/buildbot/git/blobs{/sha}", "clone_url": "https://github.com/buildbot/buildbot.git", "forks_url": "https://api.github.com/repos/buildbot/buildbot/forks", "full_name": "buildbot/buildbot", "has_pages": false, "hooks_url": "https://api.github.com/repos/buildbot/buildbot/hooks", "pulls_url": "https://api.github.com/repos/buildbot/buildbot/pulls{/number}", "pushed_at": "2018-12-24T13:58:20Z", "teams_url": "https://api.github.com/repos/buildbot/buildbot/teams", "trees_url": "https://api.github.com/repos/buildbot/buildbot/git/trees{/sha}", "created_at": "2010-07-06T17:56:53Z", "events_url": "https://api.github.com/repos/buildbot/buildbot/events", "has_issues": true, "issues_url": "https://api.github.com/repos/buildbot/buildbot/issues{/number}", "labels_url": "https://api.github.com/repos/buildbot/buildbot/labels{/name}", "merges_url": "https://api.github.com/repos/buildbot/buildbot/merges", "mirror_url": null, "updated_at": "2018-12-24T17:17:30Z", "archive_url": "https://api.github.com/repos/buildbot/buildbot/{archive_format}{/ref}", "commits_url": "https://api.github.com/repos/buildbot/buildbot/commits{/sha}", "compare_url": "https://api.github.com/repos/buildbot/buildbot/compare/{base}...{head}", "description": "Python-based continuous integration testing framework; your pull requests are more than welcome!", "forks_count": 1308, "open_issues": 481, "permissions": {"pull": true, "push": false, "admin": false}, "branches_url": "https://api.github.com/repos/buildbot/buildbot/branches{/branch}", "comments_url": "https://api.github.com/repos/buildbot/buildbot/comments{/number}", "contents_url": "https://api.github.com/repos/buildbot/buildbot/contents/{+path}", "git_refs_url": "https://api.github.com/repos/buildbot/buildbot/git/refs{/sha}", "git_tags_url": "https://api.github.com/repos/buildbot/buildbot/git/tags{/sha}", "has_projects": true, "releases_url": "https://api.github.com/repos/buildbot/buildbot/releases{/id}", "statuses_url": "https://api.github.com/repos/buildbot/buildbot/statuses/{sha}", "assignees_url": "https://api.github.com/repos/buildbot/buildbot/assignees{/user}", "downloads_url": "https://api.github.com/repos/buildbot/buildbot/downloads", "has_downloads": true, "languages_url": "https://api.github.com/repos/buildbot/buildbot/languages", "default_branch": "master", "milestones_url": "https://api.github.com/repos/buildbot/buildbot/milestones{/number}", "stargazers_url": "https://api.github.com/repos/buildbot/buildbot/stargazers", "watchers_count": 3705, "deployments_url": "https://api.github.com/repos/buildbot/buildbot/deployments", "git_commits_url": "https://api.github.com/repos/buildbot/buildbot/git/commits{/sha}", "subscribers_url": "https://api.github.com/repos/buildbot/buildbot/subscribers", "contributors_url": "https://api.github.com/repos/buildbot/buildbot/contributors", "issue_events_url": "https://api.github.com/repos/buildbot/buildbot/issues/events{/number}", "stargazers_count": 3705, "subscription_url": "https://api.github.com/repos/buildbot/buildbot/subscription", "collaborators_url": "https://api.github.com/repos/buildbot/buildbot/collaborators{/collaborator}", "issue_comment_url": "https://api.github.com/repos/buildbot/buildbot/issues/comments{/number}", "notifications_url": "https://api.github.com/repos/buildbot/buildbot/notifications{?since,all,participating}", "open_issues_count": 481}</t>
  </si>
  <si>
    <t>bup/bup</t>
  </si>
  <si>
    <t>Very efficient backup system based on the git packfile format, providing fast incremental saves and global deduplication (among and within files, including virtual machine images). Current release is 0.29.1, and the development branch is master. Please post problems or patches to the mailing list for discussion (see the end of the README below).</t>
  </si>
  <si>
    <t>https://github.com/bup/bup</t>
  </si>
  <si>
    <t>[{"loc": 580796, "ratio": 0.6998031187721552, "language": "Python"}, {"loc": 173404, "ratio": 0.20893508221056412, "language": "Shell"}, {"loc": 56513, "ratio": 0.06809271009299445, "language": "C"}, {"loc": 8625, "ratio": 0.010392292473449952, "language": "Makefile"}, {"loc": 8504, "ratio": 0.010246499152952856, "language": "Perl"}, {"loc": 1600, "ratio": 0.001927845560292165, "language": "HTML"}, {"loc": 283, "ratio": 0.0003409876834766767, "language": "Emacs Lisp"}, {"loc": 217, "ratio": 0.0002614640541146249, "language": "CSS"}]</t>
  </si>
  <si>
    <t>bup-0.25-rc2</t>
  </si>
  <si>
    <t>53ffc4d336b06b3cecac0d817d192d22cb75a1bd</t>
  </si>
  <si>
    <t>bup</t>
  </si>
  <si>
    <t>{"id": 5664897, "url": "https://api.github.com/repos/bup/bup", "fork": false, "name": "bup", "size": 4733, "forks": 344, "owner": {"id": 2273743, "url": "https://api.github.com/users/bup", "type": "Organization", "login": "bup", "node_id": "MDEyOk9yZ2FuaXphdGlvbjIyNzM3NDM=", "html_url": "https://github.com/bup", "gists_url": "https://api.github.com/users/bup/gists{/gist_id}", "repos_url": "https://api.github.com/users/bup/repos", "avatar_url": "https://avatars1.githubusercontent.com/u/2273743?v=4", "events_url": "https://api.github.com/users/bup/events{/privacy}", "site_admin": false, "gravatar_id": "", "starred_url": "https://api.github.com/users/bup/starred{/owner}{/repo}", "followers_url": "https://api.github.com/users/bup/followers", "following_url": "https://api.github.com/users/bup/following{/other_user}", "organizations_url": "https://api.github.com/users/bup/orgs", "subscriptions_url": "https://api.github.com/users/bup/subscriptions", "received_events_url": "https://api.github.com/users/bup/received_events"}, "score": 1.0, "topics": [], "git_url": "git://github.com/bup/bup.git", "license": {"key": "other", "url": null, "name": "Other", "node_id": "MDc6TGljZW5zZTA=", "spdx_id": "NOASSERTION"}, "node_id": "MDEwOlJlcG9zaXRvcnk1NjY0ODk3", "private": false, "ssh_url": "git@github.com:bup/bup.git", "svn_url": "https://github.com/bup/bup", "archived": false, "has_wiki": false, "homepage": "https://bup.github.io/", "html_url": "https://github.com/bup/bup", "keys_url": "https://api.github.com/repos/bup/bup/keys{/key_id}", "language": "Python", "tags_url": "https://api.github.com/repos/bup/bup/tags", "watchers": 5733, "blobs_url": "https://api.github.com/repos/bup/bup/git/blobs{/sha}", "clone_url": "https://github.com/bup/bup.git", "forks_url": "https://api.github.com/repos/bup/bup/forks", "full_name": "bup/bup", "has_pages": false, "hooks_url": "https://api.github.com/repos/bup/bup/hooks", "pulls_url": "https://api.github.com/repos/bup/bup/pulls{/number}", "pushed_at": "2018-12-08T22:23:44Z", "teams_url": "https://api.github.com/repos/bup/bup/teams", "trees_url": "https://api.github.com/repos/bup/bup/git/trees{/sha}", "created_at": "2012-09-03T22:51:40Z", "events_url": "https://api.github.com/repos/bup/bup/events", "has_issues": false, "issues_url": "https://api.github.com/repos/bup/bup/issues{/number}", "labels_url": "https://api.github.com/repos/bup/bup/labels{/name}", "merges_url": "https://api.github.com/repos/bup/bup/merges", "mirror_url": null, "updated_at": "2018-12-24T02:29:15Z", "archive_url": "https://api.github.com/repos/bup/bup/{archive_format}{/ref}", "commits_url": "https://api.github.com/repos/bup/bup/commits{/sha}", "compare_url": "https://api.github.com/repos/bup/bup/compare/{base}...{head}", "description": "Very efficient backup system based on the git packfile format, providing fast incremental saves and global deduplication (among and within files, including virtual machine images). Current release is 0.29.1, and the development branch is master. Please post problems or patches to the mailing list for discussion (see the end of the README below).", "forks_count": 344, "open_issues": 11, "permissions": {"pull": true, "push": false, "admin": false}, "branches_url": "https://api.github.com/repos/bup/bup/branches{/branch}", "comments_url": "https://api.github.com/repos/bup/bup/comments{/number}", "contents_url": "https://api.github.com/repos/bup/bup/contents/{+path}", "git_refs_url": "https://api.github.com/repos/bup/bup/git/refs{/sha}", "git_tags_url": "https://api.github.com/repos/bup/bup/git/tags{/sha}", "has_projects": true, "releases_url": "https://api.github.com/repos/bup/bup/releases{/id}", "statuses_url": "https://api.github.com/repos/bup/bup/statuses/{sha}", "assignees_url": "https://api.github.com/repos/bup/bup/assignees{/user}", "downloads_url": "https://api.github.com/repos/bup/bup/downloads", "has_downloads": true, "languages_url": "https://api.github.com/repos/bup/bup/languages", "default_branch": "master", "milestones_url": "https://api.github.com/repos/bup/bup/milestones{/number}", "stargazers_url": "https://api.github.com/repos/bup/bup/stargazers", "watchers_count": 5733, "deployments_url": "https://api.github.com/repos/bup/bup/deployments", "git_commits_url": "https://api.github.com/repos/bup/bup/git/commits{/sha}", "subscribers_url": "https://api.github.com/repos/bup/bup/subscribers", "contributors_url": "https://api.github.com/repos/bup/bup/contributors", "issue_events_url": "https://api.github.com/repos/bup/bup/issues/events{/number}", "stargazers_count": 5733, "subscription_url": "https://api.github.com/repos/bup/bup/subscription", "collaborators_url": "https://api.github.com/repos/bup/bup/collaborators{/collaborator}", "issue_comment_url": "https://api.github.com/repos/bup/bup/issues/comments{/number}", "notifications_url": "https://api.github.com/repos/bup/bup/notifications{?since,all,participating}", "open_issues_count": 11}</t>
  </si>
  <si>
    <t>kovidgoyal/calibre</t>
  </si>
  <si>
    <t>The official source code repository for the calibre ebook manager</t>
  </si>
  <si>
    <t>https://github.com/kovidgoyal/calibre</t>
  </si>
  <si>
    <t>"[\"calibre\", \"ebook\", \"ebook-formats\", \"ebook-manager\", \"ebook-reader\", \"ebooks\", \"epub\", \"epub-generation\", \"kindle\", \"python\"]"</t>
  </si>
  <si>
    <t>[{"loc": 19596757, "ratio": 0.6878752524147715, "language": "Python"}, {"loc": 5396797, "ratio": 0.18943558358182844, "language": "C"}, {"loc": 1716169, "ratio": 0.0602400787059515, "language": "JavaScript"}, {"loc": 1388646, "ratio": 0.048743535359690525, "language": "C++"}, {"loc": 97479, "ratio": 0.0034216575594696362, "language": "CoffeeScript"}, {"loc": 97393, "ratio": 0.003418638831845077, "language": "HTML"}, {"loc": 46350, "ratio": 0.0016269537837012857, "language": "Shell"}, {"loc": 44074, "ratio": 0.0015470628061024913, "language": "XSLT"}, {"loc": 37312, "ratio": 0.0013097065712505368, "language": "Objective-C++"}, {"loc": 25729, "ratio": 0.0009031260820032446, "language": "Makefile"}, {"loc": 24804, "ratio": 0.0008706572092972318, "language": "CSS"}, {"loc": 7972, "ratio": 0.00027982903049981984, "language": "Objective-C"}, {"loc": 7842, "ratio": 0.00027526583757897483, "language": "Batchfile"}, {"loc": 1500, "ratio": 0.00005265222600975035, "language": "Vim script"}]</t>
  </si>
  <si>
    <t>v3.36.0</t>
  </si>
  <si>
    <t>d8d08a449f86021c7ab1ef3193545f6a56506aff</t>
  </si>
  <si>
    <t>calibre</t>
  </si>
  <si>
    <t>{"id": 10332822, "url": "https://api.github.com/repos/kovidgoyal/calibre", "fork": false, "name": "calibre", "size": 247250, "forks": 954, "owner": {"id": 1308621, "url": "https://api.github.com/users/kovidgoyal", "type": "User", "login": "kovidgoyal", "node_id": "MDQ6VXNlcjEzMDg2MjE=", "html_url": "https://github.com/kovidgoyal", "gists_url": "https://api.github.com/users/kovidgoyal/gists{/gist_id}", "repos_url": "https://api.github.com/users/kovidgoyal/repos", "avatar_url": "https://avatars0.githubusercontent.com/u/1308621?v=4", "events_url": "https://api.github.com/users/kovidgoyal/events{/privacy}", "site_admin": false, "gravatar_id": "", "starred_url": "https://api.github.com/users/kovidgoyal/starred{/owner}{/repo}", "followers_url": "https://api.github.com/users/kovidgoyal/followers", "following_url": "https://api.github.com/users/kovidgoyal/following{/other_user}", "organizations_url": "https://api.github.com/users/kovidgoyal/orgs", "subscriptions_url": "https://api.github.com/users/kovidgoyal/subscriptions", "received_events_url": "https://api.github.com/users/kovidgoyal/received_events"}, "score": 1.0, "topics": ["calibre", "ebook", "ebook-formats", "ebook-manager", "ebook-reader", "ebooks", "epub", "epub-generation", "kindle", "python"], "git_url": "git://github.com/kovidgoyal/calibre.git", "license": {"key": "other", "url": null, "name": "Other", "node_id": "MDc6TGljZW5zZTA=", "spdx_id": "NOASSERTION"}, "node_id": "MDEwOlJlcG9zaXRvcnkxMDMzMjgyMg==", "private": false, "ssh_url": "git@github.com:kovidgoyal/calibre.git", "svn_url": "https://github.com/kovidgoyal/calibre", "archived": false, "has_wiki": false, "homepage": "https://calibre-ebook.com", "html_url": "https://github.com/kovidgoyal/calibre", "keys_url": "https://api.github.com/repos/kovidgoyal/calibre/keys{/key_id}", "language": "Python", "tags_url": "https://api.github.com/repos/kovidgoyal/calibre/tags", "watchers": 5117, "blobs_url": "https://api.github.com/repos/kovidgoyal/calibre/git/blobs{/sha}", "clone_url": "https://github.com/kovidgoyal/calibre.git", "forks_url": "https://api.github.com/repos/kovidgoyal/calibre/forks", "full_name": "kovidgoyal/calibre", "has_pages": false, "hooks_url": "https://api.github.com/repos/kovidgoyal/calibre/hooks", "pulls_url": "https://api.github.com/repos/kovidgoyal/calibre/pulls{/number}", "pushed_at": "2018-12-24T23:39:16Z", "teams_url": "https://api.github.com/repos/kovidgoyal/calibre/teams", "trees_url": "https://api.github.com/repos/kovidgoyal/calibre/git/trees{/sha}", "created_at": "2013-05-28T10:03:23Z", "events_url": "https://api.github.com/repos/kovidgoyal/calibre/events", "has_issues": false, "issues_url": "https://api.github.com/repos/kovidgoyal/calibre/issues{/number}", "labels_url": "https://api.github.com/repos/kovidgoyal/calibre/labels{/name}", "merges_url": "https://api.github.com/repos/kovidgoyal/calibre/merges", "mirror_url": null, "updated_at": "2018-12-25T01:25:00Z", "archive_url": "https://api.github.com/repos/kovidgoyal/calibre/{archive_format}{/ref}", "commits_url": "https://api.github.com/repos/kovidgoyal/calibre/commits{/sha}", "compare_url": "https://api.github.com/repos/kovidgoyal/calibre/compare/{base}...{head}", "description": "The official source code repository for the calibre ebook manager", "forks_count": 954, "open_issues": 4, "permissions": {"pull": true, "push": false, "admin": false}, "branches_url": "https://api.github.com/repos/kovidgoyal/calibre/branches{/branch}", "comments_url": "https://api.github.com/repos/kovidgoyal/calibre/comments{/number}", "contents_url": "https://api.github.com/repos/kovidgoyal/calibre/contents/{+path}", "git_refs_url": "https://api.github.com/repos/kovidgoyal/calibre/git/refs{/sha}", "git_tags_url": "https://api.github.com/repos/kovidgoyal/calibre/git/tags{/sha}", "has_projects": true, "releases_url": "https://api.github.com/repos/kovidgoyal/calibre/releases{/id}", "statuses_url": "https://api.github.com/repos/kovidgoyal/calibre/statuses/{sha}", "assignees_url": "https://api.github.com/repos/kovidgoyal/calibre/assignees{/user}", "downloads_url": "https://api.github.com/repos/kovidgoyal/calibre/downloads", "has_downloads": true, "languages_url": "https://api.github.com/repos/kovidgoyal/calibre/languages", "default_branch": "master", "milestones_url": "https://api.github.com/repos/kovidgoyal/calibre/milestones{/number}", "stargazers_url": "https://api.github.com/repos/kovidgoyal/calibre/stargazers", "watchers_count": 5117, "deployments_url": "https://api.github.com/repos/kovidgoyal/calibre/deployments", "git_commits_url": "https://api.github.com/repos/kovidgoyal/calibre/git/commits{/sha}", "subscribers_url": "https://api.github.com/repos/kovidgoyal/calibre/subscribers", "contributors_url": "https://api.github.com/repos/kovidgoyal/calibre/contributors", "issue_events_url": "https://api.github.com/repos/kovidgoyal/calibre/issues/events{/number}", "stargazers_count": 5117, "subscription_url": "https://api.github.com/repos/kovidgoyal/calibre/subscription", "collaborators_url": "https://api.github.com/repos/kovidgoyal/calibre/collaborators{/collaborator}", "issue_comment_url": "https://api.github.com/repos/kovidgoyal/calibre/issues/comments{/number}", "notifications_url": "https://api.github.com/repos/kovidgoyal/calibre/notifications{?since,all,participating}", "open_issues_count": 4}</t>
  </si>
  <si>
    <t>celery/celery</t>
  </si>
  <si>
    <t>Distributed Task Queue (development branch)</t>
  </si>
  <si>
    <t>https://github.com/celery/celery</t>
  </si>
  <si>
    <t>"[\"amqp\", \"python\", \"python-library\", \"python2\", \"python3\", \"queue-tasks\", \"queue-workers\", \"queued-jobs\", \"redis\", \"sqs\", \"sqs-queue\", \"task-manager\", \"task-runner\", \"task-scheduler\"]"</t>
  </si>
  <si>
    <t>[{"loc": 2221569, "ratio": 0.9795705368091464, "language": "Python"}, {"loc": 31933, "ratio": 0.014080420618007575, "language": "Shell"}, {"loc": 4247, "ratio": 0.0018726566988594298, "language": "Makefile"}, {"loc": 4227, "ratio": 0.0018638379717633177, "language": "Batchfile"}, {"loc": 3138, "ratio": 0.0013836582813800073, "language": "Dockerfile"}, {"loc": 2787, "ratio": 0.0012288896208432379, "language": "PowerShell"}]</t>
  </si>
  <si>
    <t>v4.2.1</t>
  </si>
  <si>
    <t>16d424877d8766395f3f6a5b2eba1b489127994a</t>
  </si>
  <si>
    <t>celery</t>
  </si>
  <si>
    <t>{"id": 184460, "url": "https://api.github.com/repos/celery/celery", "fork": false, "name": "celery", "size": 28195, "forks": 3037, "owner": {"id": 319983, "url": "https://api.github.com/users/celery", "type": "Organization", "login": "celery", "node_id": "MDEyOk9yZ2FuaXphdGlvbjMxOTk4Mw==", "html_url": "https://github.com/celery", "gists_url": "https://api.github.com/users/celery/gists{/gist_id}", "repos_url": "https://api.github.com/users/celery/repos", "avatar_url": "https://avatars2.githubusercontent.com/u/319983?v=4", "events_url": "https://api.github.com/users/celery/events{/privacy}", "site_admin": false, "gravatar_id": "", "starred_url": "https://api.github.com/users/celery/starred{/owner}{/repo}", "followers_url": "https://api.github.com/users/celery/followers", "following_url": "https://api.github.com/users/celery/following{/other_user}", "organizations_url": "https://api.github.com/users/celery/orgs", "subscriptions_url": "https://api.github.com/users/celery/subscriptions", "received_events_url": "https://api.github.com/users/celery/received_events"}, "score": 1.0, "topics": ["amqp", "python", "python-library", "python2", "python3", "queue-tasks", "queue-workers", "queued-jobs", "redis", "sqs", "sqs-queue", "task-manager", "task-runner", "task-scheduler"], "git_url": "git://github.com/celery/celery.git", "license": {"key": "other", "url": null, "name": "Other", "node_id": "MDc6TGljZW5zZTA=", "spdx_id": "NOASSERTION"}, "node_id": "MDEwOlJlcG9zaXRvcnkxODQ0NjA=", "private": false, "ssh_url": "git@github.com:celery/celery.git", "svn_url": "https://github.com/celery/celery", "archived": false, "has_wiki": true, "homepage": "http://celeryproject.org", "html_url": "https://github.com/celery/celery", "keys_url": "https://api.github.com/repos/celery/celery/keys{/key_id}", "language": "Python", "tags_url": "https://api.github.com/repos/celery/celery/tags", "watchers": 11242, "blobs_url": "https://api.github.com/repos/celery/celery/git/blobs{/sha}", "clone_url": "https://github.com/celery/celery.git", "forks_url": "https://api.github.com/repos/celery/celery/forks", "full_name": "celery/celery", "has_pages": false, "hooks_url": "https://api.github.com/repos/celery/celery/hooks", "pulls_url": "https://api.github.com/repos/celery/celery/pulls{/number}", "pushed_at": "2018-12-22T09:55:31Z", "teams_url": "https://api.github.com/repos/celery/celery/teams", "trees_url": "https://api.github.com/repos/celery/celery/git/trees{/sha}", "created_at": "2009-04-24T11:31:24Z", "events_url": "https://api.github.com/repos/celery/celery/events", "has_issues": true, "issues_url": "https://api.github.com/repos/celery/celery/issues{/number}", "labels_url": "https://api.github.com/repos/celery/celery/labels{/name}", "merges_url": "https://api.github.com/repos/celery/celery/merges", "mirror_url": null, "updated_at": "2018-12-24T20:47:29Z", "archive_url": "https://api.github.com/repos/celery/celery/{archive_format}{/ref}", "commits_url": "https://api.github.com/repos/celery/celery/commits{/sha}", "compare_url": "https://api.github.com/repos/celery/celery/compare/{base}...{head}", "description": "Distributed Task Queue (development branch)", "forks_count": 3037, "open_issues": 431, "permissions": {"pull": true, "push": false, "admin": false}, "branches_url": "https://api.github.com/repos/celery/celery/branches{/branch}", "comments_url": "https://api.github.com/repos/celery/celery/comments{/number}", "contents_url": "https://api.github.com/repos/celery/celery/contents/{+path}", "git_refs_url": "https://api.github.com/repos/celery/celery/git/refs{/sha}", "git_tags_url": "https://api.github.com/repos/celery/celery/git/tags{/sha}", "has_projects": true, "releases_url": "https://api.github.com/repos/celery/celery/releases{/id}", "statuses_url": "https://api.github.com/repos/celery/celery/statuses/{sha}", "assignees_url": "https://api.github.com/repos/celery/celery/assignees{/user}", "downloads_url": "https://api.github.com/repos/celery/celery/downloads", "has_downloads": true, "languages_url": "https://api.github.com/repos/celery/celery/languages", "default_branch": "master", "milestones_url": "https://api.github.com/repos/celery/celery/milestones{/number}", "stargazers_url": "https://api.github.com/repos/celery/celery/stargazers", "watchers_count": 11242, "deployments_url": "https://api.github.com/repos/celery/celery/deployments", "git_commits_url": "https://api.github.com/repos/celery/celery/git/commits{/sha}", "subscribers_url": "https://api.github.com/repos/celery/celery/subscribers", "contributors_url": "https://api.github.com/repos/celery/celery/contributors", "issue_events_url": "https://api.github.com/repos/celery/celery/issues/events{/number}", "stargazers_count": 11242, "subscription_url": "https://api.github.com/repos/celery/celery/subscription", "collaborators_url": "https://api.github.com/repos/celery/celery/collaborators{/collaborator}", "issue_comment_url": "https://api.github.com/repos/celery/celery/issues/comments{/number}", "notifications_url": "https://api.github.com/repos/celery/celery/notifications{?since,all,participating}", "open_issues_count": 431}</t>
  </si>
  <si>
    <t>certbot/certbot</t>
  </si>
  <si>
    <t>Certbot is EFF's tool to obtain certs from Let's Encrypt and (optionally) auto-enable HTTPS on your server.  It can also act as a client for any other CA that uses the ACME protocol.</t>
  </si>
  <si>
    <t>https://github.com/certbot/certbot</t>
  </si>
  <si>
    <t>"[\"acme\", \"acme-client\", \"certbot\", \"certificate\", \"letsencrypt\", \"python\"]"</t>
  </si>
  <si>
    <t>[{"loc": 2527786, "ratio": 0.8631515758288903, "language": "Python"}, {"loc": 290716, "ratio": 0.09926946882318032, "language": "Shell"}, {"loc": 46808, "ratio": 0.015983314632409033, "language": "Batchfile"}, {"loc": 46495, "ratio": 0.01587643594757003, "language": "Makefile"}, {"loc": 7527, "ratio": 0.0025702104178376086, "language": "Augeas"}, {"loc": 4641, "ratio": 0.001584741138459458, "language": "Dockerfile"}, {"loc": 3273, "ratio": 0.001117616407278131, "language": "C"}, {"loc": 1086, "ratio": 0.0003708314751921938, "language": "DIGITAL Command Language"}, {"loc": 222, "ratio": 0.00007580532918293465, "language": "Roff"}]</t>
  </si>
  <si>
    <t>v0.29.1</t>
  </si>
  <si>
    <t>be8638dad0e934880ded0cc4a583d42a65451546</t>
  </si>
  <si>
    <t>certbot</t>
  </si>
  <si>
    <t>{"id": 26516210, "url": "https://api.github.com/repos/certbot/certbot", "fork": false, "name": "certbot", "size": 20506, "forks": 2381, "owner": {"id": 17889013, "url": "https://api.github.com/users/certbot", "type": "Organization", "login": "certbot", "node_id": "MDEyOk9yZ2FuaXphdGlvbjE3ODg5MDEz", "html_url": "https://github.com/certbot", "gists_url": "https://api.github.com/users/certbot/gists{/gist_id}", "repos_url": "https://api.github.com/users/certbot/repos", "avatar_url": "https://avatars2.githubusercontent.com/u/17889013?v=4", "events_url": "https://api.github.com/users/certbot/events{/privacy}", "site_admin": false, "gravatar_id": "", "starred_url": "https://api.github.com/users/certbot/starred{/owner}{/repo}", "followers_url": "https://api.github.com/users/certbot/followers", "following_url": "https://api.github.com/users/certbot/following{/other_user}", "organizations_url": "https://api.github.com/users/certbot/orgs", "subscriptions_url": "https://api.github.com/users/certbot/subscriptions", "received_events_url": "https://api.github.com/users/certbot/received_events"}, "score": 1.0, "topics": ["acme", "acme-client", "certbot", "certificate", "letsencrypt", "python"], "git_url": "git://github.com/certbot/certbot.git", "license": {"key": "other", "url": null, "name": "Other", "node_id": "MDc6TGljZW5zZTA=", "spdx_id": "NOASSERTION"}, "node_id": "MDEwOlJlcG9zaXRvcnkyNjUxNjIxMA==", "private": false, "ssh_url": "git@github.com:certbot/certbot.git", "svn_url": "https://github.com/certbot/certbot", "archived": false, "has_wiki": false, "homepage": "", "html_url": "https://github.com/certbot/certbot", "keys_url": "https://api.github.com/repos/certbot/certbot/keys{/key_id}", "language": "Python", "tags_url": "https://api.github.com/repos/certbot/certbot/tags", "watchers": 23876, "blobs_url": "https://api.github.com/repos/certbot/certbot/git/blobs{/sha}", "clone_url": "https://github.com/certbot/certbot.git", "forks_url": "https://api.github.com/repos/certbot/certbot/forks", "full_name": "certbot/certbot", "has_pages": false, "hooks_url": "https://api.github.com/repos/certbot/certbot/hooks", "pulls_url": "https://api.github.com/repos/certbot/certbot/pulls{/number}", "pushed_at": "2018-12-24T17:06:02Z", "teams_url": "https://api.github.com/repos/certbot/certbot/teams", "trees_url": "https://api.github.com/repos/certbot/certbot/git/trees{/sha}", "created_at": "2014-11-12T02:52:20Z", "events_url": "https://api.github.com/repos/certbot/certbot/events", "has_issues": true, "issues_url": "https://api.github.com/repos/certbot/certbot/issues{/number}", "labels_url": "https://api.github.com/repos/certbot/certbot/labels{/name}", "merges_url": "https://api.github.com/repos/certbot/certbot/merges", "mirror_url": null, "updated_at": "2018-12-25T02:23:29Z", "archive_url": "https://api.github.com/repos/certbot/certbot/{archive_format}{/ref}", "commits_url": "https://api.github.com/repos/certbot/certbot/commits{/sha}", "compare_url": "https://api.github.com/repos/certbot/certbot/compare/{base}...{head}", "description": "Certbot is EFF's tool to obtain certs from Let's Encrypt and (optionally) auto-enable HTTPS on your server.  It can also act as a client for any other CA that uses the ACME protocol.", "forks_count": 2381, "open_issues": 905, "permissions": {"pull": true, "push": false, "admin": false}, "branches_url": "https://api.github.com/repos/certbot/certbot/branches{/branch}", "comments_url": "https://api.github.com/repos/certbot/certbot/comments{/number}", "contents_url": "https://api.github.com/repos/certbot/certbot/contents/{+path}", "git_refs_url": "https://api.github.com/repos/certbot/certbot/git/refs{/sha}", "git_tags_url": "https://api.github.com/repos/certbot/certbot/git/tags{/sha}", "has_projects": true, "releases_url": "https://api.github.com/repos/certbot/certbot/releases{/id}", "statuses_url": "https://api.github.com/repos/certbot/certbot/statuses/{sha}", "assignees_url": "https://api.github.com/repos/certbot/certbot/assignees{/user}", "downloads_url": "https://api.github.com/repos/certbot/certbot/downloads", "has_downloads": true, "languages_url": "https://api.github.com/repos/certbot/certbot/languages", "default_branch": "master", "milestones_url": "https://api.github.com/repos/certbot/certbot/milestones{/number}", "stargazers_url": "https://api.github.com/repos/certbot/certbot/stargazers", "watchers_count": 23876, "deployments_url": "https://api.github.com/repos/certbot/certbot/deployments", "git_commits_url": "https://api.github.com/repos/certbot/certbot/git/commits{/sha}", "subscribers_url": "https://api.github.com/repos/certbot/certbot/subscribers", "contributors_url": "https://api.github.com/repos/certbot/certbot/contributors", "issue_events_url": "https://api.github.com/repos/certbot/certbot/issues/events{/number}", "stargazers_count": 23876, "subscription_url": "https://api.github.com/repos/certbot/certbot/subscription", "collaborators_url": "https://api.github.com/repos/certbot/certbot/collaborators{/collaborator}", "issue_comment_url": "https://api.github.com/repos/certbot/certbot/issues/comments{/number}", "notifications_url": "https://api.github.com/repos/certbot/certbot/notifications{?since,all,participating}", "open_issues_count": 905}</t>
  </si>
  <si>
    <t>ckan/ckan</t>
  </si>
  <si>
    <t>CKAN is an open-source DMS (data management system) for powering data hubs and data portals. CKAN makes it easy to publish, share and use data. It powers datahub.io, catalog.data.gov and europeandataportal.eu/data/en/dataset among many other sites.</t>
  </si>
  <si>
    <t>https://github.com/ckan/ckan</t>
  </si>
  <si>
    <t>"[\"api\", \"catalog\", \"ckan\", \"ckanext\", \"data\", \"open-data\", \"python\"]"</t>
  </si>
  <si>
    <t>[{"loc": 3970202, "ratio": 0.49073928150772156, "language": "Python"}, {"loc": 2700770, "ratio": 0.3338303515331485, "language": "CSS"}, {"loc": 705993, "ratio": 0.08726470279584789, "language": "JavaScript"}, {"loc": 694589, "ratio": 0.08585510430027661, "language": "HTML"}, {"loc": 10812, "ratio": 0.0013364239682669764, "language": "Shell"}, {"loc": 4171, "ratio": 0.0005155590428821271, "language": "PLpgSQL"}, {"loc": 3710, "ratio": 0.0004585768518563154, "language": "Dockerfile"}]</t>
  </si>
  <si>
    <t>ckan-2.8.2</t>
  </si>
  <si>
    <t>2ac24b76f922cd12cf13ed8496c8597c95222083</t>
  </si>
  <si>
    <t>ckan</t>
  </si>
  <si>
    <t>{"id": 2750721, "url": "https://api.github.com/repos/ckan/ckan", "fork": false, "name": "ckan", "size": 149186, "forks": 1172, "owner": {"id": 1630326, "url": "https://api.github.com/users/ckan", "type": "Organization", "login": "ckan", "node_id": "MDEyOk9yZ2FuaXphdGlvbjE2MzAzMjY=", "html_url": "https://github.com/ckan", "gists_url": "https://api.github.com/users/ckan/gists{/gist_id}", "repos_url": "https://api.github.com/users/ckan/repos", "avatar_url": "https://avatars3.githubusercontent.com/u/1630326?v=4", "events_url": "https://api.github.com/users/ckan/events{/privacy}", "site_admin": false, "gravatar_id": "", "starred_url": "https://api.github.com/users/ckan/starred{/owner}{/repo}", "followers_url": "https://api.github.com/users/ckan/followers", "following_url": "https://api.github.com/users/ckan/following{/other_user}", "organizations_url": "https://api.github.com/users/ckan/orgs", "subscriptions_url": "https://api.github.com/users/ckan/subscriptions", "received_events_url": "https://api.github.com/users/ckan/received_events"}, "score": 1.0, "topics": ["api", "catalog", "ckan", "ckanext", "data", "open-data", "python"], "git_url": "git://github.com/ckan/ckan.git", "license": {"key": "other", "url": null, "name": "Other", "node_id": "MDc6TGljZW5zZTA=", "spdx_id": "NOASSERTION"}, "node_id": "MDEwOlJlcG9zaXRvcnkyNzUwNzIx", "private": false, "ssh_url": "git@github.com:ckan/ckan.git", "svn_url": "https://github.com/ckan/ckan", "archived": false, "has_wiki": true, "homepage": "http://ckan.org/", "html_url": "https://github.com/ckan/ckan", "keys_url": "https://api.github.com/repos/ckan/ckan/keys{/key_id}", "language": "Python", "tags_url": "https://api.github.com/repos/ckan/ckan/tags", "watchers": 2137, "blobs_url": "https://api.github.com/repos/ckan/ckan/git/blobs{/sha}", "clone_url": "https://github.com/ckan/ckan.git", "forks_url": "https://api.github.com/repos/ckan/ckan/forks", "full_name": "ckan/ckan", "has_pages": false, "hooks_url": "https://api.github.com/repos/ckan/ckan/hooks", "pulls_url": "https://api.github.com/repos/ckan/ckan/pulls{/number}", "pushed_at": "2018-12-24T05:03:09Z", "teams_url": "https://api.github.com/repos/ckan/ckan/teams", "trees_url": "https://api.github.com/repos/ckan/ckan/git/trees{/sha}", "created_at": "2011-11-10T18:42:17Z", "events_url": "https://api.github.com/repos/ckan/ckan/events", "has_issues": true, "issues_url": "https://api.github.com/repos/ckan/ckan/issues{/number}", "labels_url": "https://api.github.com/repos/ckan/ckan/labels{/name}", "merges_url": "https://api.github.com/repos/ckan/ckan/merges", "mirror_url": null, "updated_at": "2018-12-22T17:50:13Z", "archive_url": "https://api.github.com/repos/ckan/ckan/{archive_format}{/ref}", "commits_url": "https://api.github.com/repos/ckan/ckan/commits{/sha}", "compare_url": "https://api.github.com/repos/ckan/ckan/compare/{base}...{head}", "description": "CKAN is an open-source DMS (data management system) for powering data hubs and data portals. CKAN makes it easy to publish, share and use data. It powers datahub.io, catalog.data.gov and europeandataportal.eu/data/en/dataset among many other sites.", "forks_count": 1172, "open_issues": 365, "permissions": {"pull": true, "push": false, "admin": false}, "branches_url": "https://api.github.com/repos/ckan/ckan/branches{/branch}", "comments_url": "https://api.github.com/repos/ckan/ckan/comments{/number}", "contents_url": "https://api.github.com/repos/ckan/ckan/contents/{+path}", "git_refs_url": "https://api.github.com/repos/ckan/ckan/git/refs{/sha}", "git_tags_url": "https://api.github.com/repos/ckan/ckan/git/tags{/sha}", "has_projects": true, "releases_url": "https://api.github.com/repos/ckan/ckan/releases{/id}", "statuses_url": "https://api.github.com/repos/ckan/ckan/statuses/{sha}", "assignees_url": "https://api.github.com/repos/ckan/ckan/assignees{/user}", "downloads_url": "https://api.github.com/repos/ckan/ckan/downloads", "has_downloads": true, "languages_url": "https://api.github.com/repos/ckan/ckan/languages", "default_branch": "master", "milestones_url": "https://api.github.com/repos/ckan/ckan/milestones{/number}", "stargazers_url": "https://api.github.com/repos/ckan/ckan/stargazers", "watchers_count": 2137, "deployments_url": "https://api.github.com/repos/ckan/ckan/deployments", "git_commits_url": "https://api.github.com/repos/ckan/ckan/git/commits{/sha}", "subscribers_url": "https://api.github.com/repos/ckan/ckan/subscribers", "contributors_url": "https://api.github.com/repos/ckan/ckan/contributors", "issue_events_url": "https://api.github.com/repos/ckan/ckan/issues/events{/number}", "stargazers_count": 2137, "subscription_url": "https://api.github.com/repos/ckan/ckan/subscription", "collaborators_url": "https://api.github.com/repos/ckan/ckan/collaborators{/collaborator}", "issue_comment_url": "https://api.github.com/repos/ckan/ckan/issues/comments{/number}", "notifications_url": "https://api.github.com/repos/ckan/ckan/notifications{?since,all,participating}", "open_issues_count": 365}</t>
  </si>
  <si>
    <t>cobbler/cobbler</t>
  </si>
  <si>
    <t>Cobbler is a versatile Linux deployment server</t>
  </si>
  <si>
    <t>https://github.com/cobbler/cobbler</t>
  </si>
  <si>
    <t>"[\"cobbler\", \"deployment\", \"dhcp\", \"pxe\", \"python\", \"tftp\"]"</t>
  </si>
  <si>
    <t>[{"loc": 1052785, "ratio": 0.9554894230315439, "language": "Python"}, {"loc": 25522, "ratio": 0.023163324947269446, "language": "Shell"}, {"loc": 9598, "ratio": 0.00871097848303002, "language": "JavaScript"}, {"loc": 8915, "ratio": 0.008091099518255119, "language": "CSS"}, {"loc": 4735, "ratio": 0.004297403950525853, "language": "Makefile"}, {"loc": 273, "ratio": 0.0002477700693756194, "language": "HTML"}]</t>
  </si>
  <si>
    <t>v2.8.4</t>
  </si>
  <si>
    <t>f88f4e35adc368316148b86169382914fcd6f480</t>
  </si>
  <si>
    <t>cobbler</t>
  </si>
  <si>
    <t>{"id": 2734482, "url": "https://api.github.com/repos/cobbler/cobbler", "fork": false, "name": "cobbler", "size": 17881, "forks": 482, "owner": {"id": 1179083, "url": "https://api.github.com/users/cobbler", "type": "Organization", "login": "cobbler", "node_id": "MDEyOk9yZ2FuaXphdGlvbjExNzkwODM=", "html_url": "https://github.com/cobbler", "gists_url": "https://api.github.com/users/cobbler/gists{/gist_id}", "repos_url": "https://api.github.com/users/cobbler/repos", "avatar_url": "https://avatars2.githubusercontent.com/u/1179083?v=4", "events_url": "https://api.github.com/users/cobbler/events{/privacy}", "site_admin": false, "gravatar_id": "", "starred_url": "https://api.github.com/users/cobbler/starred{/owner}{/repo}", "followers_url": "https://api.github.com/users/cobbler/followers", "following_url": "https://api.github.com/users/cobbler/following{/other_user}", "organizations_url": "https://api.github.com/users/cobbler/orgs", "subscriptions_url": "https://api.github.com/users/cobbler/subscriptions", "received_events_url": "https://api.github.com/users/cobbler/received_events"}, "score": 1.0, "topics": ["cobbler", "deployment", "dhcp", "pxe", "python", "tftp"], "git_url": "git://github.com/cobbler/cobbler.git", "license": {"key": "gpl-2.0", "url": "https://api.github.com/licenses/gpl-2.0", "name": "GNU General Public License v2.0", "node_id": "MDc6TGljZW5zZTg=", "spdx_id": "GPL-2.0"}, "node_id": "MDEwOlJlcG9zaXRvcnkyNzM0NDgy", "private": false, "ssh_url": "git@github.com:cobbler/cobbler.git", "svn_url": "https://github.com/cobbler/cobbler", "archived": false, "has_wiki": true, "homepage": "https://cobbler.github.io", "html_url": "https://github.com/cobbler/cobbler", "keys_url": "https://api.github.com/repos/cobbler/cobbler/keys{/key_id}", "language": "Python", "tags_url": "https://api.github.com/repos/cobbler/cobbler/tags", "watchers": 1668, "blobs_url": "https://api.github.com/repos/cobbler/cobbler/git/blobs{/sha}", "clone_url": "https://github.com/cobbler/cobbler.git", "forks_url": "https://api.github.com/repos/cobbler/cobbler/forks", "full_name": "cobbler/cobbler", "has_pages": false, "hooks_url": "https://api.github.com/repos/cobbler/cobbler/hooks", "pulls_url": "https://api.github.com/repos/cobbler/cobbler/pulls{/number}", "pushed_at": "2018-12-23T15:02:05Z", "teams_url": "https://api.github.com/repos/cobbler/cobbler/teams", "trees_url": "https://api.github.com/repos/cobbler/cobbler/git/trees{/sha}", "created_at": "2011-11-08T15:01:00Z", "events_url": "https://api.github.com/repos/cobbler/cobbler/events", "has_issues": true, "issues_url": "https://api.github.com/repos/cobbler/cobbler/issues{/number}", "labels_url": "https://api.github.com/repos/cobbler/cobbler/labels{/name}", "merges_url": "https://api.github.com/repos/cobbler/cobbler/merges", "mirror_url": null, "updated_at": "2018-12-24T15:00:11Z", "archive_url": "https://api.github.com/repos/cobbler/cobbler/{archive_format}{/ref}", "commits_url": "https://api.github.com/repos/cobbler/cobbler/commits{/sha}", "compare_url": "https://api.github.com/repos/cobbler/cobbler/compare/{base}...{head}", "description": "Cobbler is a versatile Linux deployment server", "forks_count": 482, "open_issues": 215, "permissions": {"pull": true, "push": false, "admin": false}, "branches_url": "https://api.github.com/repos/cobbler/cobbler/branches{/branch}", "comments_url": "https://api.github.com/repos/cobbler/cobbler/comments{/number}", "contents_url": "https://api.github.com/repos/cobbler/cobbler/contents/{+path}", "git_refs_url": "https://api.github.com/repos/cobbler/cobbler/git/refs{/sha}", "git_tags_url": "https://api.github.com/repos/cobbler/cobbler/git/tags{/sha}", "has_projects": true, "releases_url": "https://api.github.com/repos/cobbler/cobbler/releases{/id}", "statuses_url": "https://api.github.com/repos/cobbler/cobbler/statuses/{sha}", "assignees_url": "https://api.github.com/repos/cobbler/cobbler/assignees{/user}", "downloads_url": "https://api.github.com/repos/cobbler/cobbler/downloads", "has_downloads": true, "languages_url": "https://api.github.com/repos/cobbler/cobbler/languages", "default_branch": "master", "milestones_url": "https://api.github.com/repos/cobbler/cobbler/milestones{/number}", "stargazers_url": "https://api.github.com/repos/cobbler/cobbler/stargazers", "watchers_count": 1668, "deployments_url": "https://api.github.com/repos/cobbler/cobbler/deployments", "git_commits_url": "https://api.github.com/repos/cobbler/cobbler/git/commits{/sha}", "subscribers_url": "https://api.github.com/repos/cobbler/cobbler/subscribers", "contributors_url": "https://api.github.com/repos/cobbler/cobbler/contributors", "issue_events_url": "https://api.github.com/repos/cobbler/cobbler/issues/events{/number}", "stargazers_count": 1668, "subscription_url": "https://api.github.com/repos/cobbler/cobbler/subscription", "collaborators_url": "https://api.github.com/repos/cobbler/cobbler/collaborators{/collaborator}", "issue_comment_url": "https://api.github.com/repos/cobbler/cobbler/issues/comments{/number}", "notifications_url": "https://api.github.com/repos/cobbler/cobbler/notifications{?since,all,participating}", "open_issues_count": 215}</t>
  </si>
  <si>
    <t>elastic/curator</t>
  </si>
  <si>
    <t>Curator: Tending your Elasticsearch indices</t>
  </si>
  <si>
    <t>https://github.com/elastic/curator</t>
  </si>
  <si>
    <t>[{"loc": 845465, "ratio": 0.9795428687949096, "language": "Python"}, {"loc": 17157, "ratio": 0.019877838822321758, "language": "Shell"}, {"loc": 500, "ratio": 0.0005792923827686005, "language": "Dockerfile"}]</t>
  </si>
  <si>
    <t>v5.6.0</t>
  </si>
  <si>
    <t>fa8e31d928a51914b18d27bc8642d068a4134dfd</t>
  </si>
  <si>
    <t>curator</t>
  </si>
  <si>
    <t>{"id": 12235583, "url": "https://api.github.com/repos/elastic/curator", "fork": false, "name": "curator", "size": 2840, "forks": 459, "owner": {"id": 6764390, "url": "https://api.github.com/users/elastic", "type": "Organization", "login": "elastic", "node_id": "MDEyOk9yZ2FuaXphdGlvbjY3NjQzOTA=", "html_url": "https://github.com/elastic", "gists_url": "https://api.github.com/users/elastic/gists{/gist_id}", "repos_url": "https://api.github.com/users/elastic/repos", "avatar_url": "https://avatars0.githubusercontent.com/u/6764390?v=4", "events_url": "https://api.github.com/users/elastic/events{/privacy}", "site_admin": false, "gravatar_id": "", "starred_url": "https://api.github.com/users/elastic/starred{/owner}{/repo}", "followers_url": "https://api.github.com/users/elastic/followers", "following_url": "https://api.github.com/users/elastic/following{/other_user}", "organizations_url": "https://api.github.com/users/elastic/orgs", "subscriptions_url": "https://api.github.com/users/elastic/subscriptions", "received_events_url": "https://api.github.com/users/elastic/received_events"}, "score": 1.0, "topics": [], "git_url": "git://github.com/elastic/curator.git", "license": {"key": "other", "url": null, "name": "Other", "node_id": "MDc6TGljZW5zZTA=", "spdx_id": "NOASSERTION"}, "node_id": "MDEwOlJlcG9zaXRvcnkxMjIzNTU4Mw==", "private": false, "ssh_url": "git@github.com:elastic/curator.git", "svn_url": "https://github.com/elastic/curator", "archived": false, "has_wiki": true, "homepage": "", "html_url": "https://github.com/elastic/curator", "keys_url": "https://api.github.com/repos/elastic/curator/keys{/key_id}", "language": "Python", "tags_url": "https://api.github.com/repos/elastic/curator/tags", "watchers": 2190, "blobs_url": "https://api.github.com/repos/elastic/curator/git/blobs{/sha}", "clone_url": "https://github.com/elastic/curator.git", "forks_url": "https://api.github.com/repos/elastic/curator/forks", "full_name": "elastic/curator", "has_pages": false, "hooks_url": "https://api.github.com/repos/elastic/curator/hooks", "pulls_url": "https://api.github.com/repos/elastic/curator/pulls{/number}", "pushed_at": "2018-12-19T14:27:42Z", "teams_url": "https://api.github.com/repos/elastic/curator/teams", "trees_url": "https://api.github.com/repos/elastic/curator/git/trees{/sha}", "created_at": "2013-08-20T05:45:34Z", "events_url": "https://api.github.com/repos/elastic/curator/events", "has_issues": true, "issues_url": "https://api.github.com/repos/elastic/curator/issues{/number}", "labels_url": "https://api.github.com/repos/elastic/curator/labels{/name}", "merges_url": "https://api.github.com/repos/elastic/curator/merges", "mirror_url": null, "updated_at": "2018-12-24T07:38:42Z", "archive_url": "https://api.github.com/repos/elastic/curator/{archive_format}{/ref}", "commits_url": "https://api.github.com/repos/elastic/curator/commits{/sha}", "compare_url": "https://api.github.com/repos/elastic/curator/compare/{base}...{head}", "description": "Curator: Tending your Elasticsearch indices", "forks_count": 459, "open_issues": 78, "permissions": {"pull": true, "push": false, "admin": false}, "branches_url": "https://api.github.com/repos/elastic/curator/branches{/branch}", "comments_url": "https://api.github.com/repos/elastic/curator/comments{/number}", "contents_url": "https://api.github.com/repos/elastic/curator/contents/{+path}", "git_refs_url": "https://api.github.com/repos/elastic/curator/git/refs{/sha}", "git_tags_url": "https://api.github.com/repos/elastic/curator/git/tags{/sha}", "has_projects": true, "releases_url": "https://api.github.com/repos/elastic/curator/releases{/id}", "statuses_url": "https://api.github.com/repos/elastic/curator/statuses/{sha}", "assignees_url": "https://api.github.com/repos/elastic/curator/assignees{/user}", "downloads_url": "https://api.github.com/repos/elastic/curator/downloads", "has_downloads": true, "languages_url": "https://api.github.com/repos/elastic/curator/languages", "default_branch": "master", "milestones_url": "https://api.github.com/repos/elastic/curator/milestones{/number}", "stargazers_url": "https://api.github.com/repos/elastic/curator/stargazers", "watchers_count": 2190, "deployments_url": "https://api.github.com/repos/elastic/curator/deployments", "git_commits_url": "https://api.github.com/repos/elastic/curator/git/commits{/sha}", "subscribers_url": "https://api.github.com/repos/elastic/curator/subscribers", "contributors_url": "https://api.github.com/repos/elastic/curator/contributors", "issue_events_url": "https://api.github.com/repos/elastic/curator/issues/events{/number}", "stargazers_count": 2190, "subscription_url": "https://api.github.com/repos/elastic/curator/subscription", "collaborators_url": "https://api.github.com/repos/elastic/curator/collaborators{/collaborator}", "issue_comment_url": "https://api.github.com/repos/elastic/curator/issues/comments{/number}", "notifications_url": "https://api.github.com/repos/elastic/curator/notifications{?since,all,participating}", "open_issues_count": 78}</t>
  </si>
  <si>
    <t>docker/compose</t>
  </si>
  <si>
    <t>Define and run multi-container applications with Docker</t>
  </si>
  <si>
    <t>https://github.com/docker/compose</t>
  </si>
  <si>
    <t>"[\"docker\", \"docker-compose\", \"orchestration\", \"python\"]"</t>
  </si>
  <si>
    <t>[{"loc": 1033671, "ratio": 0.9628773673223583, "language": "Python"}, {"loc": 32090, "ratio": 0.029892233328955225, "language": "Shell"}, {"loc": 7057, "ratio": 0.006573683097614118, "language": "PowerShell"}, {"loc": 705, "ratio": 0.0006567162510724036, "language": "Dockerfile"}]</t>
  </si>
  <si>
    <t>1.24.0-rc1</t>
  </si>
  <si>
    <t>429320a4f8f4040b273fd4d1be9f1d0b1283dc23</t>
  </si>
  <si>
    <t>{"key": "apache-2.0", "url": "https://api.github.com/licenses/apache-2.0", "name": "Apache License 2.0", "node_id": "MDc6TGljZW5zZTI=", "spdx_id": "Apache-2.0"}</t>
  </si>
  <si>
    <t>compose</t>
  </si>
  <si>
    <t>{"id": 15045751, "url": "https://api.github.com/repos/docker/compose", "fork": false, "name": "compose", "size": 10501, "forks": 2241, "owner": {"id": 5429470, "url": "https://api.github.com/users/docker", "type": "Organization", "login": "docker", "node_id": "MDEyOk9yZ2FuaXphdGlvbjU0Mjk0NzA=", "html_url": "https://github.com/docker", "gists_url": "https://api.github.com/users/docker/gists{/gist_id}", "repos_url": "https://api.github.com/users/docker/repos", "avatar_url": "https://avatars1.githubusercontent.com/u/5429470?v=4", "events_url": "https://api.github.com/users/docker/events{/privacy}", "site_admin": false, "gravatar_id": "", "starred_url": "https://api.github.com/users/docker/starred{/owner}{/repo}", "followers_url": "https://api.github.com/users/docker/followers", "following_url": "https://api.github.com/users/docker/following{/other_user}", "organizations_url": "https://api.github.com/users/docker/orgs", "subscriptions_url": "https://api.github.com/users/docker/subscriptions", "received_events_url": "https://api.github.com/users/docker/received_events"}, "score": 1.0, "topics": ["docker", "docker-compose", "orchestration", "python"], "git_url": "git://github.com/docker/compose.git", "license": {"key": "apache-2.0", "url": "https://api.github.com/licenses/apache-2.0", "name": "Apache License 2.0", "node_id": "MDc6TGljZW5zZTI=", "spdx_id": "Apache-2.0"}, "node_id": "MDEwOlJlcG9zaXRvcnkxNTA0NTc1MQ==", "private": false, "ssh_url": "git@github.com:docker/compose.git", "svn_url": "https://github.com/docker/compose", "archived": false, "has_wiki": false, "homepage": "https://docs.docker.com/compose/", "html_url": "https://github.com/docker/compose", "keys_url": "https://api.github.com/repos/docker/compose/keys{/key_id}", "language": "Python", "tags_url": "https://api.github.com/repos/docker/compose/tags", "watchers": 14702, "blobs_url": "https://api.github.com/repos/docker/compose/git/blobs{/sha}", "clone_url": "https://github.com/docker/compose.git", "forks_url": "https://api.github.com/repos/docker/compose/forks", "full_name": "docker/compose", "has_pages": false, "hooks_url": "https://api.github.com/repos/docker/compose/hooks", "pulls_url": "https://api.github.com/repos/docker/compose/pulls{/number}", "pushed_at": "2018-12-21T09:35:37Z", "teams_url": "https://api.github.com/repos/docker/compose/teams", "trees_url": "https://api.github.com/repos/docker/compose/git/trees{/sha}", "created_at": "2013-12-09T11:40:58Z", "events_url": "https://api.github.com/repos/docker/compose/events", "has_issues": true, "issues_url": "https://api.github.com/repos/docker/compose/issues{/number}", "labels_url": "https://api.github.com/repos/docker/compose/labels{/name}", "merges_url": "https://api.github.com/repos/docker/compose/merges", "mirror_url": null, "updated_at": "2018-12-25T00:37:42Z", "archive_url": "https://api.github.com/repos/docker/compose/{archive_format}{/ref}", "commits_url": "https://api.github.com/repos/docker/compose/commits{/sha}", "compare_url": "https://api.github.com/repos/docker/compose/compare/{base}...{head}", "description": "Define and run multi-container applications with Docker", "forks_count": 2241, "open_issues": 605, "permissions": {"pull": true, "push": false, "admin": false}, "branches_url": "https://api.github.com/repos/docker/compose/branches{/branch}", "comments_url": "https://api.github.com/repos/docker/compose/comments{/number}", "contents_url": "https://api.github.com/repos/docker/compose/contents/{+path}", "git_refs_url": "https://api.github.com/repos/docker/compose/git/refs{/sha}", "git_tags_url": "https://api.github.com/repos/docker/compose/git/tags{/sha}", "has_projects": true, "releases_url": "https://api.github.com/repos/docker/compose/releases{/id}", "statuses_url": "https://api.github.com/repos/docker/compose/statuses/{sha}", "assignees_url": "https://api.github.com/repos/docker/compose/assignees{/user}", "downloads_url": "https://api.github.com/repos/docker/compose/downloads", "has_downloads": true, "languages_url": "https://api.github.com/repos/docker/compose/languages", "default_branch": "master", "milestones_url": "https://api.github.com/repos/docker/compose/milestones{/number}", "stargazers_url": "https://api.github.com/repos/docker/compose/stargazers", "watchers_count": 14702, "deployments_url": "https://api.github.com/repos/docker/compose/deployments", "git_commits_url": "https://api.github.com/repos/docker/compose/git/commits{/sha}", "subscribers_url": "https://api.github.com/repos/docker/compose/subscribers", "contributors_url": "https://api.github.com/repos/docker/compose/contributors", "issue_events_url": "https://api.github.com/repos/docker/compose/issues/events{/number}", "stargazers_count": 14702, "subscription_url": "https://api.github.com/repos/docker/compose/subscription", "collaborators_url": "https://api.github.com/repos/docker/compose/collaborators{/collaborator}", "issue_comment_url": "https://api.github.com/repos/docker/compose/issues/comments{/number}", "notifications_url": "https://api.github.com/repos/docker/compose/notifications{?since,all,participating}", "open_issues_count": 605}</t>
  </si>
  <si>
    <t>conda/conda</t>
  </si>
  <si>
    <t>OS-agnostic, system-level binary package manager and ecosystem</t>
  </si>
  <si>
    <t>https://github.com/conda/conda</t>
  </si>
  <si>
    <t>"[\"conda\", \"package-management\"]"</t>
  </si>
  <si>
    <t>[{"loc": 2254611, "ratio": 0.9808196020274059, "language": "Python"}, {"loc": 28529, "ratio": 0.012410922516673547, "language": "Shell"}, {"loc": 7280, "ratio": 0.0031670060612493754, "language": "PowerShell"}, {"loc": 5352, "ratio": 0.002328271488984431, "language": "Batchfile"}, {"loc": 2640, "ratio": 0.0011484747255080152, "language": "Makefile"}, {"loc": 289, "ratio": 0.00012572318017871833, "language": "Jupyter Notebook"}]</t>
  </si>
  <si>
    <t>4.6.0b1</t>
  </si>
  <si>
    <t>1471f043eed980d62f46944e223f0add6a9a790b</t>
  </si>
  <si>
    <t>conda</t>
  </si>
  <si>
    <t>{"id": 6235174, "url": "https://api.github.com/repos/conda/conda", "fork": false, "name": "conda", "size": 46461, "forks": 643, "owner": {"id": 6392739, "url": "https://api.github.com/users/conda", "type": "Organization", "login": "conda", "node_id": "MDEyOk9yZ2FuaXphdGlvbjYzOTI3Mzk=", "html_url": "https://github.com/conda", "gists_url": "https://api.github.com/users/conda/gists{/gist_id}", "repos_url": "https://api.github.com/users/conda/repos", "avatar_url": "https://avatars0.githubusercontent.com/u/6392739?v=4", "events_url": "https://api.github.com/users/conda/events{/privacy}", "site_admin": false, "gravatar_id": "", "starred_url": "https://api.github.com/users/conda/starred{/owner}{/repo}", "followers_url": "https://api.github.com/users/conda/followers", "following_url": "https://api.github.com/users/conda/following{/other_user}", "organizations_url": "https://api.github.com/users/conda/orgs", "subscriptions_url": "https://api.github.com/users/conda/subscriptions", "received_events_url": "https://api.github.com/users/conda/received_events"}, "score": 1.0, "topics": ["conda", "package-management"], "git_url": "git://github.com/conda/conda.git", "license": {"key": "other", "url": null, "name": "Other", "node_id": "MDc6TGljZW5zZTA=", "spdx_id": "NOASSERTION"}, "node_id": "MDEwOlJlcG9zaXRvcnk2MjM1MTc0", "private": false, "ssh_url": "git@github.com:conda/conda.git", "svn_url": "https://github.com/conda/conda", "archived": false, "has_wiki": true, "homepage": "https://conda.io", "html_url": "https://github.com/conda/conda", "keys_url": "https://api.github.com/repos/conda/conda/keys{/key_id}", "language": "Python", "tags_url": "https://api.github.com/repos/conda/conda/tags", "watchers": 2600, "blobs_url": "https://api.github.com/repos/conda/conda/git/blobs{/sha}", "clone_url": "https://github.com/conda/conda.git", "forks_url": "https://api.github.com/repos/conda/conda/forks", "full_name": "conda/conda", "has_pages": false, "hooks_url": "https://api.github.com/repos/conda/conda/hooks", "pulls_url": "https://api.github.com/repos/conda/conda/pulls{/number}", "pushed_at": "2018-12-20T14:16:13Z", "teams_url": "https://api.github.com/repos/conda/conda/teams", "trees_url": "https://api.github.com/repos/conda/conda/git/trees{/sha}", "created_at": "2012-10-15T22:08:03Z", "events_url": "https://api.github.com/repos/conda/conda/events", "has_issues": true, "issues_url": "https://api.github.com/repos/conda/conda/issues{/number}", "labels_url": "https://api.github.com/repos/conda/conda/labels{/name}", "merges_url": "https://api.github.com/repos/conda/conda/merges", "mirror_url": null, "updated_at": "2018-12-24T23:14:16Z", "archive_url": "https://api.github.com/repos/conda/conda/{archive_format}{/ref}", "commits_url": "https://api.github.com/repos/conda/conda/commits{/sha}", "compare_url": "https://api.github.com/repos/conda/conda/compare/{base}...{head}", "description": "OS-agnostic, system-level binary package manager and ecosystem", "forks_count": 643, "open_issues": 796, "permissions": {"pull": true, "push": false, "admin": false}, "branches_url": "https://api.github.com/repos/conda/conda/branches{/branch}", "comments_url": "https://api.github.com/repos/conda/conda/comments{/number}", "contents_url": "https://api.github.com/repos/conda/conda/contents/{+path}", "git_refs_url": "https://api.github.com/repos/conda/conda/git/refs{/sha}", "git_tags_url": "https://api.github.com/repos/conda/conda/git/tags{/sha}", "has_projects": false, "releases_url": "https://api.github.com/repos/conda/conda/releases{/id}", "statuses_url": "https://api.github.com/repos/conda/conda/statuses/{sha}", "assignees_url": "https://api.github.com/repos/conda/conda/assignees{/user}", "downloads_url": "https://api.github.com/repos/conda/conda/downloads", "has_downloads": true, "languages_url": "https://api.github.com/repos/conda/conda/languages", "default_branch": "master", "milestones_url": "https://api.github.com/repos/conda/conda/milestones{/number}", "stargazers_url": "https://api.github.com/repos/conda/conda/stargazers", "watchers_count": 2600, "deployments_url": "https://api.github.com/repos/conda/conda/deployments", "git_commits_url": "https://api.github.com/repos/conda/conda/git/commits{/sha}", "subscribers_url": "https://api.github.com/repos/conda/conda/subscribers", "contributors_url": "https://api.github.com/repos/conda/conda/contributors", "issue_events_url": "https://api.github.com/repos/conda/conda/issues/events{/number}", "stargazers_count": 2600, "subscription_url": "https://api.github.com/repos/conda/conda/subscription", "collaborators_url": "https://api.github.com/repos/conda/conda/collaborators{/collaborator}", "issue_comment_url": "https://api.github.com/repos/conda/conda/issues/comments{/number}", "notifications_url": "https://api.github.com/repos/conda/conda/notifications{?since,all,participating}", "open_issues_count": 796}</t>
  </si>
  <si>
    <t>CouchPotato/CouchPotatoServer</t>
  </si>
  <si>
    <t>Automatic Movie Downloading via NZBs &amp; Torrents</t>
  </si>
  <si>
    <t>https://github.com/CouchPotato/CouchPotatoServer</t>
  </si>
  <si>
    <t>[{"loc": 6524321, "ratio": 0.955857356296613, "language": "Python"}, {"loc": 198311, "ratio": 0.029053908933134594, "language": "JavaScript"}, {"loc": 74940, "ratio": 0.010979219183248061, "language": "CSS"}, {"loc": 14494, "ratio": 0.0021234694801440805, "language": "HTML"}, {"loc": 10944, "ratio": 0.0016033703595071628, "language": "Shell"}, {"loc": 1542, "ratio": 0.00022591347718933162, "language": "Ruby"}, {"loc": 1070, "ratio": 0.0001567622701638034, "language": "C"}]</t>
  </si>
  <si>
    <t>build/3.0.1</t>
  </si>
  <si>
    <t>e9593f60e5f709a13c2401e0b8d94e1073efb2e2</t>
  </si>
  <si>
    <t>CouchPotatoServer</t>
  </si>
  <si>
    <t>{"id": 1334821, "url": "https://api.github.com/repos/CouchPotato/CouchPotatoServer", "fork": false, "name": "CouchPotatoServer", "size": 22914, "forks": 1345, "owner": {"id": 350209, "url": "https://api.github.com/users/CouchPotato", "type": "Organization", "login": "CouchPotato", "node_id": "MDEyOk9yZ2FuaXphdGlvbjM1MDIwOQ==", "html_url": "https://github.com/CouchPotato", "gists_url": "https://api.github.com/users/CouchPotato/gists{/gist_id}", "repos_url": "https://api.github.com/users/CouchPotato/repos", "avatar_url": "https://avatars3.githubusercontent.com/u/350209?v=4", "events_url": "https://api.github.com/users/CouchPotato/events{/privacy}", "site_admin": false, "gravatar_id": "", "starred_url": "https://api.github.com/users/CouchPotato/starred{/owner}{/repo}", "followers_url": "https://api.github.com/users/CouchPotato/followers", "following_url": "https://api.github.com/users/CouchPotato/following{/other_user}", "organizations_url": "https://api.github.com/users/CouchPotato/orgs", "subscriptions_url": "https://api.github.com/users/CouchPotato/subscriptions", "received_events_url": "https://api.github.com/users/CouchPotato/received_events"}, "score": 1.0, "topics": [], "git_url": "git://github.com/CouchPotato/CouchPotatoServer.git", "license": {"key": "gpl-3.0", "url": "https://api.github.com/licenses/gpl-3.0", "name": "GNU General Public License v3.0", "node_id": "MDc6TGljZW5zZTk=", "spdx_id": "GPL-3.0"}, "node_id": "MDEwOlJlcG9zaXRvcnkxMzM0ODIx", "private": false, "ssh_url": "git@github.com:CouchPotato/CouchPotatoServer.git", "svn_url": "https://github.com/CouchPotato/CouchPotatoServer", "archived": false, "has_wiki": true, "homepage": "couchpota.to", "html_url": "https://github.com/CouchPotato/CouchPotatoServer", "keys_url": "https://api.github.com/repos/CouchPotato/CouchPotatoServer/keys{/key_id}", "language": "Python", "tags_url": "https://api.github.com/repos/CouchPotato/CouchPotatoServer/tags", "watchers": 3402, "blobs_url": "https://api.github.com/repos/CouchPotato/CouchPotatoServer/git/blobs{/sha}", "clone_url": "https://github.com/CouchPotato/CouchPotatoServer.git", "forks_url": "https://api.github.com/repos/CouchPotato/CouchPotatoServer/forks", "full_name": "CouchPotato/CouchPotatoServer", "has_pages": false, "hooks_url": "https://api.github.com/repos/CouchPotato/CouchPotatoServer/hooks", "pulls_url": "https://api.github.com/repos/CouchPotato/CouchPotatoServer/pulls{/number}", "pushed_at": "2018-12-06T04:27:56Z", "teams_url": "https://api.github.com/repos/CouchPotato/CouchPotatoServer/teams", "trees_url": "https://api.github.com/repos/CouchPotato/CouchPotatoServer/git/trees{/sha}", "created_at": "2011-02-06T17:14:17Z", "events_url": "https://api.github.com/repos/CouchPotato/CouchPotatoServer/events", "has_issues": false, "issues_url": "https://api.github.com/repos/CouchPotato/CouchPotatoServer/issues{/number}", "labels_url": "https://api.github.com/repos/CouchPotato/CouchPotatoServer/labels{/name}", "merges_url": "https://api.github.com/repos/CouchPotato/CouchPotatoServer/merges", "mirror_url": null, "updated_at": "2018-12-23T02:29:13Z", "archive_url": "https://api.github.com/repos/CouchPotato/CouchPotatoServer/{archive_format}{/ref}", "commits_url": "https://api.github.com/repos/CouchPotato/CouchPotatoServer/commits{/sha}", "compare_url": "https://api.github.com/repos/CouchPotato/CouchPotatoServer/compare/{base}...{head}", "description": "Automatic Movie Downloading via NZBs &amp; Torrents", "forks_count": 1345, "open_issues": 1309, "permissions": {"pull": true, "push": false, "admin": false}, "branches_url": "https://api.github.com/repos/CouchPotato/CouchPotatoServer/branches{/branch}", "comments_url": "https://api.github.com/repos/CouchPotato/CouchPotatoServer/comments{/number}", "contents_url": "https://api.github.com/repos/CouchPotato/CouchPotatoServer/contents/{+path}", "git_refs_url": "https://api.github.com/repos/CouchPotato/CouchPotatoServer/git/refs{/sha}", "git_tags_url": "https://api.github.com/repos/CouchPotato/CouchPotatoServer/git/tags{/sha}", "has_projects": true, "releases_url": "https://api.github.com/repos/CouchPotato/CouchPotatoServer/releases{/id}", "statuses_url": "https://api.github.com/repos/CouchPotato/CouchPotatoServer/statuses/{sha}", "assignees_url": "https://api.github.com/repos/CouchPotato/CouchPotatoServer/assignees{/user}", "downloads_url": "https://api.github.com/repos/CouchPotato/CouchPotatoServer/downloads", "has_downloads": true, "languages_url": "https://api.github.com/repos/CouchPotato/CouchPotatoServer/languages", "default_branch": "master", "milestones_url": "https://api.github.com/repos/CouchPotato/CouchPotatoServer/milestones{/number}", "stargazers_url": "https://api.github.com/repos/CouchPotato/CouchPotatoServer/stargazers", "watchers_count": 3402, "deployments_url": "https://api.github.com/repos/CouchPotato/CouchPotatoServer/deployments", "git_commits_url": "https://api.github.com/repos/CouchPotato/CouchPotatoServer/git/commits{/sha}", "subscribers_url": "https://api.github.com/repos/CouchPotato/CouchPotatoServer/subscribers", "contributors_url": "https://api.github.com/repos/CouchPotato/CouchPotatoServer/contributors", "issue_events_url": "https://api.github.com/repos/CouchPotato/CouchPotatoServer/issues/events{/number}", "stargazers_count": 3402, "subscription_url": "https://api.github.com/repos/CouchPotato/CouchPotatoServer/subscription", "collaborators_url": "https://api.github.com/repos/CouchPotato/CouchPotatoServer/collaborators{/collaborator}", "issue_comment_url": "https://api.github.com/repos/CouchPotato/CouchPotatoServer/issues/comments{/number}", "notifications_url": "https://api.github.com/repos/CouchPotato/CouchPotatoServer/notifications{?since,all,participating}", "open_issues_count": 1309}</t>
  </si>
  <si>
    <t>pyca/cryptography</t>
  </si>
  <si>
    <t>cryptography is a package designed to expose cryptographic primitives and recipes to Python developers.</t>
  </si>
  <si>
    <t>https://github.com/pyca/cryptography</t>
  </si>
  <si>
    <t>"[\"cryptography\", \"python\"]"</t>
  </si>
  <si>
    <t>[{"loc": 1928444, "ratio": 0.9821651755929068, "language": "Python"}, {"loc": 25262, "ratio": 0.012866049864983381, "language": "C"}, {"loc": 6969, "ratio": 0.0035493429462856935, "language": "Shell"}, {"loc": 2787, "ratio": 0.0014194315958241106, "language": "Roff"}]</t>
  </si>
  <si>
    <t>2.4.2</t>
  </si>
  <si>
    <t>704fe0fcaf206462b6a994ab69ad302601d9fad3</t>
  </si>
  <si>
    <t>cryptography</t>
  </si>
  <si>
    <t>{"id": 11939484, "url": "https://api.github.com/repos/pyca/cryptography", "fork": false, "name": "cryptography", "size": 45683, "forks": 562, "owner": {"id": 5615737, "url": "https://api.github.com/users/pyca", "type": "Organization", "login": "pyca", "node_id": "MDEyOk9yZ2FuaXphdGlvbjU2MTU3Mzc=", "html_url": "https://github.com/pyca", "gists_url": "https://api.github.com/users/pyca/gists{/gist_id}", "repos_url": "https://api.github.com/users/pyca/repos", "avatar_url": "https://avatars1.githubusercontent.com/u/5615737?v=4", "events_url": "https://api.github.com/users/pyca/events{/privacy}", "site_admin": false, "gravatar_id": "", "starred_url": "https://api.github.com/users/pyca/starred{/owner}{/repo}", "followers_url": "https://api.github.com/users/pyca/followers", "following_url": "https://api.github.com/users/pyca/following{/other_user}", "organizations_url": "https://api.github.com/users/pyca/orgs", "subscriptions_url": "https://api.github.com/users/pyca/subscriptions", "received_events_url": "https://api.github.com/users/pyca/received_events"}, "score": 1.0, "topics": ["cryptography", "python"], "git_url": "git://github.com/pyca/cryptography.git", "license": {"key": "other", "url": null, "name": "Other", "node_id": "MDc6TGljZW5zZTA=", "spdx_id": "NOASSERTION"}, "node_id": "MDEwOlJlcG9zaXRvcnkxMTkzOTQ4NA==", "private": false, "ssh_url": "git@github.com:pyca/cryptography.git", "svn_url": "https://github.com/pyca/cryptography", "archived": false, "has_wiki": false, "homepage": "https://cryptography.io/", "html_url": "https://github.com/pyca/cryptography", "keys_url": "https://api.github.com/repos/pyca/cryptography/keys{/key_id}", "language": "Python", "tags_url": "https://api.github.com/repos/pyca/cryptography/tags", "watchers": 2524, "blobs_url": "https://api.github.com/repos/pyca/cryptography/git/blobs{/sha}", "clone_url": "https://github.com/pyca/cryptography.git", "forks_url": "https://api.github.com/repos/pyca/cryptography/forks", "full_name": "pyca/cryptography", "has_pages": false, "hooks_url": "https://api.github.com/repos/pyca/cryptography/hooks", "pulls_url": "https://api.github.com/repos/pyca/cryptography/pulls{/number}", "pushed_at": "2018-12-24T17:09:24Z", "teams_url": "https://api.github.com/repos/pyca/cryptography/teams", "trees_url": "https://api.github.com/repos/pyca/cryptography/git/trees{/sha}", "created_at": "2013-08-07T02:23:38Z", "events_url": "https://api.github.com/repos/pyca/cryptography/events", "has_issues": true, "issues_url": "https://api.github.com/repos/pyca/cryptography/issues{/number}", "labels_url": "https://api.github.com/repos/pyca/cryptography/labels{/name}", "merges_url": "https://api.github.com/repos/pyca/cryptography/merges", "mirror_url": null, "updated_at": "2018-12-24T17:09:19Z", "archive_url": "https://api.github.com/repos/pyca/cryptography/{archive_format}{/ref}", "commits_url": "https://api.github.com/repos/pyca/cryptography/commits{/sha}", "compare_url": "https://api.github.com/repos/pyca/cryptography/compare/{base}...{head}", "description": "cryptography is a package designed to expose cryptographic primitives and recipes to Python developers.", "forks_count": 562, "open_issues": 55, "permissions": {"pull": true, "push": false, "admin": false}, "branches_url": "https://api.github.com/repos/pyca/cryptography/branches{/branch}", "comments_url": "https://api.github.com/repos/pyca/cryptography/comments{/number}", "contents_url": "https://api.github.com/repos/pyca/cryptography/contents/{+path}", "git_refs_url": "https://api.github.com/repos/pyca/cryptography/git/refs{/sha}", "git_tags_url": "https://api.github.com/repos/pyca/cryptography/git/tags{/sha}", "has_projects": true, "releases_url": "https://api.github.com/repos/pyca/cryptography/releases{/id}", "statuses_url": "https://api.github.com/repos/pyca/cryptography/statuses/{sha}", "assignees_url": "https://api.github.com/repos/pyca/cryptography/assignees{/user}", "downloads_url": "https://api.github.com/repos/pyca/cryptography/downloads", "has_downloads": true, "languages_url": "https://api.github.com/repos/pyca/cryptography/languages", "default_branch": "master", "milestones_url": "https://api.github.com/repos/pyca/cryptography/milestones{/number}", "stargazers_url": "https://api.github.com/repos/pyca/cryptography/stargazers", "watchers_count": 2524, "deployments_url": "https://api.github.com/repos/pyca/cryptography/deployments", "git_commits_url": "https://api.github.com/repos/pyca/cryptography/git/commits{/sha}", "subscribers_url": "https://api.github.com/repos/pyca/cryptography/subscribers", "contributors_url": "https://api.github.com/repos/pyca/cryptography/contributors", "issue_events_url": "https://api.github.com/repos/pyca/cryptography/issues/events{/number}", "stargazers_count": 2524, "subscription_url": "https://api.github.com/repos/pyca/cryptography/subscription", "collaborators_url": "https://api.github.com/repos/pyca/cryptography/collaborators{/collaborator}", "issue_comment_url": "https://api.github.com/repos/pyca/cryptography/issues/comments{/number}", "notifications_url": "https://api.github.com/repos/pyca/cryptography/notifications{?since,all,participating}", "open_issues_count": 55}</t>
  </si>
  <si>
    <t>cython/cython</t>
  </si>
  <si>
    <t>The most widely used Python to C compiler</t>
  </si>
  <si>
    <t>https://github.com/cython/cython</t>
  </si>
  <si>
    <t>"[\"big-data\", \"c\", \"cpp\", \"cpython\", \"cpython-extensions\", \"cython\", \"performance\", \"python\"]"</t>
  </si>
  <si>
    <t>[{"loc": 6136536, "ratio": 0.9003568394073012, "language": "Python"}, {"loc": 628974, "ratio": 0.0922835037078521, "language": "C"}, {"loc": 29617, "ratio": 0.004345426884601678, "language": "C++"}, {"loc": 11963, "ratio": 0.0017552196988381628, "language": "Emacs Lisp"}, {"loc": 3803, "ratio": 0.0005579788108903731, "language": "PowerShell"}, {"loc": 1924, "ratio": 0.0002822906211288661, "language": "Makefile"}, {"loc": 1429, "ratio": 0.00020966387608791563, "language": "Batchfile"}, {"loc": 807, "ratio": 0.00011840360252130715, "language": "sed"}, {"loc": 618, "ratio": 0.00009067339077839878, "language": "Smalltalk"}]</t>
  </si>
  <si>
    <t>0.29.2</t>
  </si>
  <si>
    <t>433e6992ca89e0c7059b87cbae0e9536f11aa58f</t>
  </si>
  <si>
    <t>cython</t>
  </si>
  <si>
    <t>{"id": 1099265, "url": "https://api.github.com/repos/cython/cython", "fork": false, "name": "cython", "size": 53058, "forks": 783, "owner": {"id": 486082, "url": "https://api.github.com/users/cython", "type": "Organization", "login": "cython", "node_id": "MDEyOk9yZ2FuaXphdGlvbjQ4NjA4Mg==", "html_url": "https://github.com/cython", "gists_url": "https://api.github.com/users/cython/gists{/gist_id}", "repos_url": "https://api.github.com/users/cython/repos", "avatar_url": "https://avatars3.githubusercontent.com/u/486082?v=4", "events_url": "https://api.github.com/users/cython/events{/privacy}", "site_admin": false, "gravatar_id": "", "starred_url": "https://api.github.com/users/cython/starred{/owner}{/repo}", "followers_url": "https://api.github.com/users/cython/followers", "following_url": "https://api.github.com/users/cython/following{/other_user}", "organizations_url": "https://api.github.com/users/cython/orgs", "subscriptions_url": "https://api.github.com/users/cython/subscriptions", "received_events_url": "https://api.github.com/users/cython/received_events"}, "score": 1.0, "topics": ["big-data", "c", "cpp", "cpython", "cpython-extensions", "cython", "performance", "python"], "git_url": "git://github.com/cython/cython.git", "license": {"key": "other", "url": null, "name": "Other", "node_id": "MDc6TGljZW5zZTA=", "spdx_id": "NOASSERTION"}, "node_id": "MDEwOlJlcG9zaXRvcnkxMDk5MjY1", "private": false, "ssh_url": "git@github.com:cython/cython.git", "svn_url": "https://github.com/cython/cython", "archived": false, "has_wiki": true, "homepage": "https://cython.org", "html_url": "https://github.com/cython/cython", "keys_url": "https://api.github.com/repos/cython/cython/keys{/key_id}", "language": "Python", "tags_url": "https://api.github.com/repos/cython/cython/tags", "watchers": 3718, "blobs_url": "https://api.github.com/repos/cython/cython/git/blobs{/sha}", "clone_url": "https://github.com/cython/cython.git", "forks_url": "https://api.github.com/repos/cython/cython/forks", "full_name": "cython/cython", "has_pages": false, "hooks_url": "https://api.github.com/repos/cython/cython/hooks", "pulls_url": "https://api.github.com/repos/cython/cython/pulls{/number}", "pushed_at": "2018-12-24T23:53:33Z", "teams_url": "https://api.github.com/repos/cython/cython/teams", "trees_url": "https://api.github.com/repos/cython/cython/git/trees{/sha}", "created_at": "2010-11-21T07:44:20Z", "events_url": "https://api.github.com/repos/cython/cython/events", "has_issues": true, "issues_url": "https://api.github.com/repos/cython/cython/issues{/number}", "labels_url": "https://api.github.com/repos/cython/cython/labels{/name}", "merges_url": "https://api.github.com/repos/cython/cython/merges", "mirror_url": null, "updated_at": "2018-12-24T01:01:21Z", "archive_url": "https://api.github.com/repos/cython/cython/{archive_format}{/ref}", "commits_url": "https://api.github.com/repos/cython/cython/commits{/sha}", "compare_url": "https://api.github.com/repos/cython/cython/compare/{base}...{head}", "description": "The most widely used Python to C compiler", "forks_count": 783, "open_issues": 614, "permissions": {"pull": true, "push": false, "admin": false}, "branches_url": "https://api.github.com/repos/cython/cython/branches{/branch}", "comments_url": "https://api.github.com/repos/cython/cython/comments{/number}", "contents_url": "https://api.github.com/repos/cython/cython/contents/{+path}", "git_refs_url": "https://api.github.com/repos/cython/cython/git/refs{/sha}", "git_tags_url": "https://api.github.com/repos/cython/cython/git/tags{/sha}", "has_projects": true, "releases_url": "https://api.github.com/repos/cython/cython/releases{/id}", "statuses_url": "https://api.github.com/repos/cython/cython/statuses/{sha}", "assignees_url": "https://api.github.com/repos/cython/cython/assignees{/user}", "downloads_url": "https://api.github.com/repos/cython/cython/downloads", "has_downloads": true, "languages_url": "https://api.github.com/repos/cython/cython/languages", "default_branch": "master", "milestones_url": "https://api.github.com/repos/cython/cython/milestones{/number}", "stargazers_url": "https://api.github.com/repos/cython/cython/stargazers", "watchers_count": 3718, "deployments_url": "https://api.github.com/repos/cython/cython/deployments", "git_commits_url": "https://api.github.com/repos/cython/cython/git/commits{/sha}", "subscribers_url": "https://api.github.com/repos/cython/cython/subscribers", "contributors_url": "https://api.github.com/repos/cython/cython/contributors", "issue_events_url": "https://api.github.com/repos/cython/cython/issues/events{/number}", "stargazers_count": 3718, "subscription_url": "https://api.github.com/repos/cython/cython/subscription", "collaborators_url": "https://api.github.com/repos/cython/cython/collaborators{/collaborator}", "issue_comment_url": "https://api.github.com/repos/cython/cython/issues/comments{/number}", "notifications_url": "https://api.github.com/repos/cython/cython/notifications{?since,all,participating}", "open_issues_count": 614}</t>
  </si>
  <si>
    <t>django/django</t>
  </si>
  <si>
    <t>The Web framework for perfectionists with deadlines.</t>
  </si>
  <si>
    <t>https://github.com/django/django</t>
  </si>
  <si>
    <t>"[\"apps\", \"django\", \"framework\", \"models\", \"orm\", \"python\", \"templates\", \"views\", \"web\"]"</t>
  </si>
  <si>
    <t>[{"loc": 12868737, "ratio": 0.9577669648564012, "language": "Python"}, {"loc": 257097, "ratio": 0.019134668255609402, "language": "JavaScript"}, {"loc": 224316, "ratio": 0.01669491376571986, "language": "HTML"}, {"loc": 84974, "ratio": 0.006324263995115281, "language": "CSS"}, {"loc": 809, "ratio": 0.00006021052995090572, "language": "Shell"}, {"loc": 130, "ratio": 0.00000967536328012082, "language": "Smarty"}, {"loc": 125, "ratio": 0.000009303233923193096, "language": "Makefile"}]</t>
  </si>
  <si>
    <t>2.1.4</t>
  </si>
  <si>
    <t>f1374f34da90e1d16e272c89ac07786e907e3778</t>
  </si>
  <si>
    <t>django</t>
  </si>
  <si>
    <t>{"id": 4164482, "url": "https://api.github.com/repos/django/django", "fork": false, "name": "django", "size": 184771, "forks": 16605, "owner": {"id": 27804, "url": "https://api.github.com/users/django", "type": "Organization", "login": "django", "node_id": "MDEyOk9yZ2FuaXphdGlvbjI3ODA0", "html_url": "https://github.com/django", "gists_url": "https://api.github.com/users/django/gists{/gist_id}", "repos_url": "https://api.github.com/users/django/repos", "avatar_url": "https://avatars2.githubusercontent.com/u/27804?v=4", "events_url": "https://api.github.com/users/django/events{/privacy}", "site_admin": false, "gravatar_id": "", "starred_url": "https://api.github.com/users/django/starred{/owner}{/repo}", "followers_url": "https://api.github.com/users/django/followers", "following_url": "https://api.github.com/users/django/following{/other_user}", "organizations_url": "https://api.github.com/users/django/orgs", "subscriptions_url": "https://api.github.com/users/django/subscriptions", "received_events_url": "https://api.github.com/users/django/received_events"}, "score": 1.0, "topics": ["apps", "django", "framework", "models", "orm", "python", "templates", "views", "web"], "git_url": "git://github.com/django/django.git", "license": {"key": "other", "url": null, "name": "Other", "node_id": "MDc6TGljZW5zZTA=", "spdx_id": "NOASSERTION"}, "node_id": "MDEwOlJlcG9zaXRvcnk0MTY0NDgy", "private": false, "ssh_url": "git@github.com:django/django.git", "svn_url": "https://github.com/django/django", "archived": false, "has_wiki": false, "homepage": "https://www.djangoproject.com/", "html_url": "https://github.com/django/django", "keys_url": "https://api.github.com/repos/django/django/keys{/key_id}", "language": "Python", "tags_url": "https://api.github.com/repos/django/django/tags", "watchers": 38408, "blobs_url": "https://api.github.com/repos/django/django/git/blobs{/sha}", "clone_url": "https://github.com/django/django.git", "forks_url": "https://api.github.com/repos/django/django/forks", "full_name": "django/django", "has_pages": false, "hooks_url": "https://api.github.com/repos/django/django/hooks", "pulls_url": "https://api.github.com/repos/django/django/pulls{/number}", "pushed_at": "2018-12-24T21:36:18Z", "teams_url": "https://api.github.com/repos/django/django/teams", "trees_url": "https://api.github.com/repos/django/django/git/trees{/sha}", "created_at": "2012-04-28T02:47:18Z", "events_url": "https://api.github.com/repos/django/django/events", "has_issues": false, "issues_url": "https://api.github.com/repos/django/django/issues{/number}", "labels_url": "https://api.github.com/repos/django/django/labels{/name}", "merges_url": "https://api.github.com/repos/django/django/merges", "mirror_url": null, "updated_at": "2018-12-25T02:08:59Z", "archive_url": "https://api.github.com/repos/django/django/{archive_format}{/ref}", "commits_url": "https://api.github.com/repos/django/django/commits{/sha}", "compare_url": "https://api.github.com/repos/django/django/compare/{base}...{head}", "description": "The Web framework for perfectionists with deadlines.", "forks_count": 16605, "open_issues": 187, "permissions": {"pull": true, "push": false, "admin": false}, "branches_url": "https://api.github.com/repos/django/django/branches{/branch}", "comments_url": "https://api.github.com/repos/django/django/comments{/number}", "contents_url": "https://api.github.com/repos/django/django/contents/{+path}", "git_refs_url": "https://api.github.com/repos/django/django/git/refs{/sha}", "git_tags_url": "https://api.github.com/repos/django/django/git/tags{/sha}", "has_projects": false, "releases_url": "https://api.github.com/repos/django/django/releases{/id}", "statuses_url": "https://api.github.com/repos/django/django/statuses/{sha}", "assignees_url": "https://api.github.com/repos/django/django/assignees{/user}", "downloads_url": "https://api.github.com/repos/django/django/downloads", "has_downloads": true, "languages_url": "https://api.github.com/repos/django/django/languages", "default_branch": "master", "milestones_url": "https://api.github.com/repos/django/django/milestones{/number}", "stargazers_url": "https://api.github.com/repos/django/django/stargazers", "watchers_count": 38408, "deployments_url": "https://api.github.com/repos/django/django/deployments", "git_commits_url": "https://api.github.com/repos/django/django/git/commits{/sha}", "subscribers_url": "https://api.github.com/repos/django/django/subscribers", "contributors_url": "https://api.github.com/repos/django/django/contributors", "issue_events_url": "https://api.github.com/repos/django/django/issues/events{/number}", "stargazers_count": 38408, "subscription_url": "https://api.github.com/repos/django/django/subscription", "collaborators_url": "https://api.github.com/repos/django/django/collaborators{/collaborator}", "issue_comment_url": "https://api.github.com/repos/django/django/issues/comments{/number}", "notifications_url": "https://api.github.com/repos/django/django/notifications{?since,all,participating}", "open_issues_count": 187}</t>
  </si>
  <si>
    <t>pennersr/django-allauth</t>
  </si>
  <si>
    <t>Integrated set of Django applications addressing authentication, registration, account management as well as 3rd party (social) account authentication.</t>
  </si>
  <si>
    <t>https://github.com/pennersr/django-allauth</t>
  </si>
  <si>
    <t>[{"loc": 718067, "ratio": 0.9399188708412798, "language": "Python"}, {"loc": 42152, "ratio": 0.055175158089289196, "language": "HTML"}, {"loc": 3248, "ratio": 0.0042514925382902665, "language": "JavaScript"}, {"loc": 396, "ratio": 0.0005183469966634685, "language": "Makefile"}, {"loc": 104, "ratio": 0.00013613153447727453, "language": "Emacs Lisp"}]</t>
  </si>
  <si>
    <t>0.37.0</t>
  </si>
  <si>
    <t>6756c146dc3a765d645c1318f81496ccd672bdee</t>
  </si>
  <si>
    <t>django-allauth</t>
  </si>
  <si>
    <t>{"id": 976994, "url": "https://api.github.com/repos/pennersr/django-allauth", "fork": false, "name": "django-allauth", "size": 5217, "forks": 1508, "owner": {"id": 201022, "url": "https://api.github.com/users/pennersr", "type": "User", "login": "pennersr", "node_id": "MDQ6VXNlcjIwMTAyMg==", "html_url": "https://github.com/pennersr", "gists_url": "https://api.github.com/users/pennersr/gists{/gist_id}", "repos_url": "https://api.github.com/users/pennersr/repos", "avatar_url": "https://avatars3.githubusercontent.com/u/201022?v=4", "events_url": "https://api.github.com/users/pennersr/events{/privacy}", "site_admin": false, "gravatar_id": "", "starred_url": "https://api.github.com/users/pennersr/starred{/owner}{/repo}", "followers_url": "https://api.github.com/users/pennersr/followers", "following_url": "https://api.github.com/users/pennersr/following{/other_user}", "organizations_url": "https://api.github.com/users/pennersr/orgs", "subscriptions_url": "https://api.github.com/users/pennersr/subscriptions", "received_events_url": "https://api.github.com/users/pennersr/received_events"}, "score": 1.0, "topics": [], "git_url": "git://github.com/pennersr/django-allauth.git", "license": {"key": "mit", "url": "https://api.github.com/licenses/mit", "name": "MIT License", "node_id": "MDc6TGljZW5zZTEz", "spdx_id": "MIT"}, "node_id": "MDEwOlJlcG9zaXRvcnk5NzY5OTQ=", "private": false, "ssh_url": "git@github.com:pennersr/django-allauth.git", "svn_url": "https://github.com/pennersr/django-allauth", "archived": false, "has_wiki": false, "homepage": "http://www.intenct.nl/projects/django-allauth/", "html_url": "https://github.com/pennersr/django-allauth", "keys_url": "https://api.github.com/repos/pennersr/django-allauth/keys{/key_id}", "language": "Python", "tags_url": "https://api.github.com/repos/pennersr/django-allauth/tags", "watchers": 4229, "blobs_url": "https://api.github.com/repos/pennersr/django-allauth/git/blobs{/sha}", "clone_url": "https://github.com/pennersr/django-allauth.git", "forks_url": "https://api.github.com/repos/pennersr/django-allauth/forks", "full_name": "pennersr/django-allauth", "has_pages": false, "hooks_url": "https://api.github.com/repos/pennersr/django-allauth/hooks", "pulls_url": "https://api.github.com/repos/pennersr/django-allauth/pulls{/number}", "pushed_at": "2018-12-21T02:01:50Z", "teams_url": "https://api.github.com/repos/pennersr/django-allauth/teams", "trees_url": "https://api.github.com/repos/pennersr/django-allauth/git/trees{/sha}", "created_at": "2010-10-10T20:10:52Z", "events_url": "https://api.github.com/repos/pennersr/django-allauth/events", "has_issues": true, "issues_url": "https://api.github.com/repos/pennersr/django-allauth/issues{/number}", "labels_url": "https://api.github.com/repos/pennersr/django-allauth/labels{/name}", "merges_url": "https://api.github.com/repos/pennersr/django-allauth/merges", "mirror_url": null, "updated_at": "2018-12-24T16:14:35Z", "archive_url": "https://api.github.com/repos/pennersr/django-allauth/{archive_format}{/ref}", "commits_url": "https://api.github.com/repos/pennersr/django-allauth/commits{/sha}", "compare_url": "https://api.github.com/repos/pennersr/django-allauth/compare/{base}...{head}", "description": "Integrated set of Django applications addressing authentication, registration, account management as well as 3rd party (social) account authentication.", "forks_count": 1508, "open_issues": 223, "permissions": {"pull": true, "push": false, "admin": false}, "branches_url": "https://api.github.com/repos/pennersr/django-allauth/branches{/branch}", "comments_url": "https://api.github.com/repos/pennersr/django-allauth/comments{/number}", "contents_url": "https://api.github.com/repos/pennersr/django-allauth/contents/{+path}", "git_refs_url": "https://api.github.com/repos/pennersr/django-allauth/git/refs{/sha}", "git_tags_url": "https://api.github.com/repos/pennersr/django-allauth/git/tags{/sha}", "has_projects": true, "releases_url": "https://api.github.com/repos/pennersr/django-allauth/releases{/id}", "statuses_url": "https://api.github.com/repos/pennersr/django-allauth/statuses/{sha}", "assignees_url": "https://api.github.com/repos/pennersr/django-allauth/assignees{/user}", "downloads_url": "https://api.github.com/repos/pennersr/django-allauth/downloads", "has_downloads": true, "languages_url": "https://api.github.com/repos/pennersr/django-allauth/languages", "default_branch": "master", "milestones_url": "https://api.github.com/repos/pennersr/django-allauth/milestones{/number}", "stargazers_url": "https://api.github.com/repos/pennersr/django-allauth/stargazers", "watchers_count": 4229, "deployments_url": "https://api.github.com/repos/pennersr/django-allauth/deployments", "git_commits_url": "https://api.github.com/repos/pennersr/django-allauth/git/commits{/sha}", "subscribers_url": "https://api.github.com/repos/pennersr/django-allauth/subscribers", "contributors_url": "https://api.github.com/repos/pennersr/django-allauth/contributors", "issue_events_url": "https://api.github.com/repos/pennersr/django-allauth/issues/events{/number}", "stargazers_count": 4229, "subscription_url": "https://api.github.com/repos/pennersr/django-allauth/subscription", "collaborators_url": "https://api.github.com/repos/pennersr/django-allauth/collaborators{/collaborator}", "issue_comment_url": "https://api.github.com/repos/pennersr/django-allauth/issues/comments{/number}", "notifications_url": "https://api.github.com/repos/pennersr/django-allauth/notifications{?since,all,participating}", "open_issues_count": 223}</t>
  </si>
  <si>
    <t>Fantomas42/django-blog-zinnia</t>
  </si>
  <si>
    <t>Simple yet powerful and really extendable application for managing a blog within your Django Web site.</t>
  </si>
  <si>
    <t>https://github.com/Fantomas42/django-blog-zinnia</t>
  </si>
  <si>
    <t>"[\"blog\", \"django\", \"python\"]"</t>
  </si>
  <si>
    <t>[{"loc": 543486, "ratio": 0.6601897168095798, "language": "Python"}, {"loc": 112104, "ratio": 0.1361762915939346, "language": "CSS"}, {"loc": 87448, "ratio": 0.1062258647979233, "language": "JavaScript"}, {"loc": 78415, "ratio": 0.0952531926188038, "language": "HTML"}, {"loc": 1774, "ratio": 0.0021549341797584384, "language": "Makefile"}]</t>
  </si>
  <si>
    <t>v0.20</t>
  </si>
  <si>
    <t>c0fbdf8f086f538e02fc2d1ea01219b86b79e4cb</t>
  </si>
  <si>
    <t>django-blog-zinnia</t>
  </si>
  <si>
    <t>{"id": 250052, "url": "https://api.github.com/repos/Fantomas42/django-blog-zinnia", "fork": false, "name": "django-blog-zinnia", "size": 7958, "forks": 703, "owner": {"id": 100376, "url": "https://api.github.com/users/Fantomas42", "type": "User", "login": "Fantomas42", "node_id": "MDQ6VXNlcjEwMDM3Ng==", "html_url": "https://github.com/Fantomas42", "gists_url": "https://api.github.com/users/Fantomas42/gists{/gist_id}", "repos_url": "https://api.github.com/users/Fantomas42/repos", "avatar_url": "https://avatars0.githubusercontent.com/u/100376?v=4", "events_url": "https://api.github.com/users/Fantomas42/events{/privacy}", "site_admin": false, "gravatar_id": "", "starred_url": "https://api.github.com/users/Fantomas42/starred{/owner}{/repo}", "followers_url": "https://api.github.com/users/Fantomas42/followers", "following_url": "https://api.github.com/users/Fantomas42/following{/other_user}", "organizations_url": "https://api.github.com/users/Fantomas42/orgs", "subscriptions_url": "https://api.github.com/users/Fantomas42/subscriptions", "received_events_url": "https://api.github.com/users/Fantomas42/received_events"}, "score": 1.0, "topics": ["blog", "django", "python"], "git_url": "git://github.com/Fantomas42/django-blog-zinnia.git", "license": {"key": "bsd-3-clause", "url": "https://api.github.com/licenses/bsd-3-clause", "name": "BSD 3-Clause \"New\" or \"Revised\" License", "node_id": "MDc6TGljZW5zZTU=", "spdx_id": "BSD-3-Clause"}, "node_id": "MDEwOlJlcG9zaXRvcnkyNTAwNTI=", "private": false, "ssh_url": "git@github.com:Fantomas42/django-blog-zinnia.git", "svn_url": "https://github.com/Fantomas42/django-blog-zinnia", "archived": false, "has_wiki": false, "homepage": "http://django-blog-zinnia.com/", "html_url": "https://github.com/Fantomas42/django-blog-zinnia", "keys_url": "https://api.github.com/repos/Fantomas42/django-blog-zinnia/keys{/key_id}", "language": "Python", "tags_url": "https://api.github.com/repos/Fantomas42/django-blog-zinnia/tags", "watchers": 1827, "blobs_url": "https://api.github.com/repos/Fantomas42/django-blog-zinnia/git/blobs{/sha}", "clone_url": "https://github.com/Fantomas42/django-blog-zinnia.git", "forks_url": "https://api.github.com/repos/Fantomas42/django-blog-zinnia/forks", "full_name": "Fantomas42/django-blog-zinnia", "has_pages": false, "hooks_url": "https://api.github.com/repos/Fantomas42/django-blog-zinnia/hooks", "pulls_url": "https://api.github.com/repos/Fantomas42/django-blog-zinnia/pulls{/number}", "pushed_at": "2018-12-15T15:57:30Z", "teams_url": "https://api.github.com/repos/Fantomas42/django-blog-zinnia/teams", "trees_url": "https://api.github.com/repos/Fantomas42/django-blog-zinnia/git/trees{/sha}", "created_at": "2009-07-13T14:58:26Z", "events_url": "https://api.github.com/repos/Fantomas42/django-blog-zinnia/events", "has_issues": true, "issues_url": "https://api.github.com/repos/Fantomas42/django-blog-zinnia/issues{/number}", "labels_url": "https://api.github.com/repos/Fantomas42/django-blog-zinnia/labels{/name}", "merges_url": "https://api.github.com/repos/Fantomas42/django-blog-zinnia/merges", "mirror_url": null, "updated_at": "2018-12-24T16:35:34Z", "archive_url": "https://api.github.com/repos/Fantomas42/django-blog-zinnia/{archive_format}{/ref}", "commits_url": "https://api.github.com/repos/Fantomas42/django-blog-zinnia/commits{/sha}", "compare_url": "https://api.github.com/repos/Fantomas42/django-blog-zinnia/compare/{base}...{head}", "description": "Simple yet powerful and really extendable application for managing a blog within your Django Web site.", "forks_count": 703, "open_issues": 22, "permissions": {"pull": true, "push": false, "admin": false}, "branches_url": "https://api.github.com/repos/Fantomas42/django-blog-zinnia/branches{/branch}", "comments_url": "https://api.github.com/repos/Fantomas42/django-blog-zinnia/comments{/number}", "contents_url": "https://api.github.com/repos/Fantomas42/django-blog-zinnia/contents/{+path}", "git_refs_url": "https://api.github.com/repos/Fantomas42/django-blog-zinnia/git/refs{/sha}", "git_tags_url": "https://api.github.com/repos/Fantomas42/django-blog-zinnia/git/tags{/sha}", "has_projects": false, "releases_url": "https://api.github.com/repos/Fantomas42/django-blog-zinnia/releases{/id}", "statuses_url": "https://api.github.com/repos/Fantomas42/django-blog-zinnia/statuses/{sha}", "assignees_url": "https://api.github.com/repos/Fantomas42/django-blog-zinnia/assignees{/user}", "downloads_url": "https://api.github.com/repos/Fantomas42/django-blog-zinnia/downloads", "has_downloads": false, "languages_url": "https://api.github.com/repos/Fantomas42/django-blog-zinnia/languages", "default_branch": "develop", "milestones_url": "https://api.github.com/repos/Fantomas42/django-blog-zinnia/milestones{/number}", "stargazers_url": "https://api.github.com/repos/Fantomas42/django-blog-zinnia/stargazers", "watchers_count": 1827, "deployments_url": "https://api.github.com/repos/Fantomas42/django-blog-zinnia/deployments", "git_commits_url": "https://api.github.com/repos/Fantomas42/django-blog-zinnia/git/commits{/sha}", "subscribers_url": "https://api.github.com/repos/Fantomas42/django-blog-zinnia/subscribers", "contributors_url": "https://api.github.com/repos/Fantomas42/django-blog-zinnia/contributors", "issue_events_url": "https://api.github.com/repos/Fantomas42/django-blog-zinnia/issues/events{/number}", "stargazers_count": 1827, "subscription_url": "https://api.github.com/repos/Fantomas42/django-blog-zinnia/subscription", "collaborators_url": "https://api.github.com/repos/Fantomas42/django-blog-zinnia/collaborators{/collaborator}", "issue_comment_url": "https://api.github.com/repos/Fantomas42/django-blog-zinnia/issues/comments{/number}", "notifications_url": "https://api.github.com/repos/Fantomas42/django-blog-zinnia/notifications{?since,all,participating}", "open_issues_count": 22}</t>
  </si>
  <si>
    <t>divio/django-cms</t>
  </si>
  <si>
    <t>The easy-to-use and developer-friendly CMS</t>
  </si>
  <si>
    <t>https://github.com/divio/django-cms</t>
  </si>
  <si>
    <t>"[\"cms\", \"django\", \"django-cms\", \"python\", \"web\"]"</t>
  </si>
  <si>
    <t>[{"loc": 2350662, "ratio": 0.5992975661094004, "language": "Python"}, {"loc": 1237035, "ratio": 0.3153801204478322, "language": "JavaScript"}, {"loc": 201228, "ratio": 0.05130276093843455, "language": "HTML"}, {"loc": 132990, "ratio": 0.03390559055997381, "language": "CSS"}, {"loc": 447, "ratio": 0.00011396194435903672, "language": "Shell"}]</t>
  </si>
  <si>
    <t>3.6.0rc1</t>
  </si>
  <si>
    <t>577d8e12998dc69af2ee53c9625c40a068ad32b9</t>
  </si>
  <si>
    <t>django-cms</t>
  </si>
  <si>
    <t>{"id": 143580, "url": "https://api.github.com/repos/divio/django-cms", "fork": false, "name": "django-cms", "size": 82150, "forks": 2221, "owner": {"id": 117904, "url": "https://api.github.com/users/divio", "type": "Organization", "login": "divio", "node_id": "MDEyOk9yZ2FuaXphdGlvbjExNzkwNA==", "html_url": "https://github.com/divio", "gists_url": "https://api.github.com/users/divio/gists{/gist_id}", "repos_url": "https://api.github.com/users/divio/repos", "avatar_url": "https://avatars0.githubusercontent.com/u/117904?v=4", "events_url": "https://api.github.com/users/divio/events{/privacy}", "site_admin": false, "gravatar_id": "", "starred_url": "https://api.github.com/users/divio/starred{/owner}{/repo}", "followers_url": "https://api.github.com/users/divio/followers", "following_url": "https://api.github.com/users/divio/following{/other_user}", "organizations_url": "https://api.github.com/users/divio/orgs", "subscriptions_url": "https://api.github.com/users/divio/subscriptions", "received_events_url": "https://api.github.com/users/divio/received_events"}, "score": 1.0, "topics": ["cms", "django", "django-cms", "python", "web"], "git_url": "git://github.com/divio/django-cms.git", "license": {"key": "bsd-3-clause", "url": "https://api.github.com/licenses/bsd-3-clause", "name": "BSD 3-Clause \"New\" or \"Revised\" License", "node_id": "MDc6TGljZW5zZTU=", "spdx_id": "BSD-3-Clause"}, "node_id": "MDEwOlJlcG9zaXRvcnkxNDM1ODA=", "private": false, "ssh_url": "git@github.com:divio/django-cms.git", "svn_url": "https://github.com/divio/django-cms", "archived": false, "has_wiki": false, "homepage": "http://www.django-cms.org", "html_url": "https://github.com/divio/django-cms", "keys_url": "https://api.github.com/repos/divio/django-cms/keys{/key_id}", "language": "Python", "tags_url": "https://api.github.com/repos/divio/django-cms/tags", "watchers": 6410, "blobs_url": "https://api.github.com/repos/divio/django-cms/git/blobs{/sha}", "clone_url": "https://github.com/divio/django-cms.git", "forks_url": "https://api.github.com/repos/divio/django-cms/forks", "full_name": "divio/django-cms", "has_pages": false, "hooks_url": "https://api.github.com/repos/divio/django-cms/hooks", "pulls_url": "https://api.github.com/repos/divio/django-cms/pulls{/number}", "pushed_at": "2018-12-20T14:07:59Z", "teams_url": "https://api.github.com/repos/divio/django-cms/teams", "trees_url": "https://api.github.com/repos/divio/django-cms/git/trees{/sha}", "created_at": "2009-03-05T10:14:18Z", "events_url": "https://api.github.com/repos/divio/django-cms/events", "has_issues": true, "issues_url": "https://api.github.com/repos/divio/django-cms/issues{/number}", "labels_url": "https://api.github.com/repos/divio/django-cms/labels{/name}", "merges_url": "https://api.github.com/repos/divio/django-cms/merges", "mirror_url": null, "updated_at": "2018-12-24T21:58:16Z", "archive_url": "https://api.github.com/repos/divio/django-cms/{archive_format}{/ref}", "commits_url": "https://api.github.com/repos/divio/django-cms/commits{/sha}", "compare_url": "https://api.github.com/repos/divio/django-cms/compare/{base}...{head}", "description": "The easy-to-use and developer-friendly CMS", "forks_count": 2221, "open_issues": 266, "permissions": {"pull": true, "push": false, "admin": false}, "branches_url": "https://api.github.com/repos/divio/django-cms/branches{/branch}", "comments_url": "https://api.github.com/repos/divio/django-cms/comments{/number}", "contents_url": "https://api.github.com/repos/divio/django-cms/contents/{+path}", "git_refs_url": "https://api.github.com/repos/divio/django-cms/git/refs{/sha}", "git_tags_url": "https://api.github.com/repos/divio/django-cms/git/tags{/sha}", "has_projects": false, "releases_url": "https://api.github.com/repos/divio/django-cms/releases{/id}", "statuses_url": "https://api.github.com/repos/divio/django-cms/statuses/{sha}", "assignees_url": "https://api.github.com/repos/divio/django-cms/assignees{/user}", "downloads_url": "https://api.github.com/repos/divio/django-cms/downloads", "has_downloads": true, "languages_url": "https://api.github.com/repos/divio/django-cms/languages", "default_branch": "develop", "milestones_url": "https://api.github.com/repos/divio/django-cms/milestones{/number}", "stargazers_url": "https://api.github.com/repos/divio/django-cms/stargazers", "watchers_count": 6410, "deployments_url": "https://api.github.com/repos/divio/django-cms/deployments", "git_commits_url": "https://api.github.com/repos/divio/django-cms/git/commits{/sha}", "subscribers_url": "https://api.github.com/repos/divio/django-cms/subscribers", "contributors_url": "https://api.github.com/repos/divio/django-cms/contributors", "issue_events_url": "https://api.github.com/repos/divio/django-cms/issues/events{/number}", "stargazers_count": 6410, "subscription_url": "https://api.github.com/repos/divio/django-cms/subscription", "collaborators_url": "https://api.github.com/repos/divio/django-cms/collaborators{/collaborator}", "issue_comment_url": "https://api.github.com/repos/divio/django-cms/issues/comments{/number}", "notifications_url": "https://api.github.com/repos/divio/django-cms/notifications{?since,all,participating}", "open_issues_count": 266}</t>
  </si>
  <si>
    <t>django-extensions/django-extensions</t>
  </si>
  <si>
    <t>This is a repository for collecting global custom management extensions for the Django Framework.</t>
  </si>
  <si>
    <t>https://github.com/django-extensions/django-extensions</t>
  </si>
  <si>
    <t>[{"loc": 624922, "ratio": 0.9320183026499469, "language": "Python"}, {"loc": 41410, "ratio": 0.06175951224750337, "language": "JavaScript"}, {"loc": 2138, "ratio": 0.003188646152744801, "language": "HTML"}, {"loc": 1294, "ratio": 0.0019298915442711752, "language": "Makefile"}, {"loc": 740, "ratio": 0.0011036474055337478, "language": "CSS"}]</t>
  </si>
  <si>
    <t>dfd4cbdd03c8192c89ca089fca4811f164c56de1</t>
  </si>
  <si>
    <t>django-extensions</t>
  </si>
  <si>
    <t>{"id": 155815, "url": "https://api.github.com/repos/django-extensions/django-extensions", "fork": false, "name": "django-extensions", "size": 2881, "forks": 841, "owner": {"id": 65559, "url": "https://api.github.com/users/django-extensions", "type": "Organization", "login": "django-extensions", "node_id": "MDEyOk9yZ2FuaXphdGlvbjY1NTU5", "html_url": "https://github.com/django-extensions", "gists_url": "https://api.github.com/users/django-extensions/gists{/gist_id}", "repos_url": "https://api.github.com/users/django-extensions/repos", "avatar_url": "https://avatars1.githubusercontent.com/u/65559?v=4", "events_url": "https://api.github.com/users/django-extensions/events{/privacy}", "site_admin": false, "gravatar_id": "", "starred_url": "https://api.github.com/users/django-extensions/starred{/owner}{/repo}", "followers_url": "https://api.github.com/users/django-extensions/followers", "following_url": "https://api.github.com/users/django-extensions/following{/other_user}", "organizations_url": "https://api.github.com/users/django-extensions/orgs", "subscriptions_url": "https://api.github.com/users/django-extensions/subscriptions", "received_events_url": "https://api.github.com/users/django-extensions/received_events"}, "score": 1.0, "topics": [], "git_url": "git://github.com/django-extensions/django-extensions.git", "license": {"key": "mit", "url": "https://api.github.com/licenses/mit", "name": "MIT License", "node_id": "MDc6TGljZW5zZTEz", "spdx_id": "MIT"}, "node_id": "MDEwOlJlcG9zaXRvcnkxNTU4MTU=", "private": false, "ssh_url": "git@github.com:django-extensions/django-extensions.git", "svn_url": "https://github.com/django-extensions/django-extensions", "archived": false, "has_wiki": true, "homepage": "https://django-extensions.readthedocs.io", "html_url": "https://github.com/django-extensions/django-extensions", "keys_url": "https://api.github.com/repos/django-extensions/django-extensions/keys{/key_id}", "language": "Python", "tags_url": "https://api.github.com/repos/django-extensions/django-extensions/tags", "watchers": 4011, "blobs_url": "https://api.github.com/repos/django-extensions/django-extensions/git/blobs{/sha}", "clone_url": "https://github.com/django-extensions/django-extensions.git", "forks_url": "https://api.github.com/repos/django-extensions/django-extensions/forks", "full_name": "django-extensions/django-extensions", "has_pages": false, "hooks_url": "https://api.github.com/repos/django-extensions/django-extensions/hooks", "pulls_url": "https://api.github.com/repos/django-extensions/django-extensions/pulls{/number}", "pushed_at": "2018-12-14T06:07:39Z", "teams_url": "https://api.github.com/repos/django-extensions/django-extensions/teams", "trees_url": "https://api.github.com/repos/django-extensions/django-extensions/git/trees{/sha}", "created_at": "2009-03-21T16:11:19Z", "events_url": "https://api.github.com/repos/django-extensions/django-extensions/events", "has_issues": true, "issues_url": "https://api.github.com/repos/django-extensions/django-extensions/issues{/number}", "labels_url": "https://api.github.com/repos/django-extensions/django-extensions/labels{/name}", "merges_url": "https://api.github.com/repos/django-extensions/django-extensions/merges", "mirror_url": null, "updated_at": "2018-12-25T00:33:41Z", "archive_url": "https://api.github.com/repos/django-extensions/django-extensions/{archive_format}{/ref}", "commits_url": "https://api.github.com/repos/django-extensions/django-extensions/commits{/sha}", "compare_url": "https://api.github.com/repos/django-extensions/django-extensions/compare/{base}...{head}", "description": "This is a repository for collecting global custom management extensions for the Django Framework. ", "forks_count": 841, "open_issues": 44, "permissions": {"pull": true, "push": false, "admin": false}, "branches_url": "https://api.github.com/repos/django-extensions/django-extensions/branches{/branch}", "comments_url": "https://api.github.com/repos/django-extensions/django-extensions/comments{/number}", "contents_url": "https://api.github.com/repos/django-extensions/django-extensions/contents/{+path}", "git_refs_url": "https://api.github.com/repos/django-extensions/django-extensions/git/refs{/sha}", "git_tags_url": "https://api.github.com/repos/django-extensions/django-extensions/git/tags{/sha}", "has_projects": true, "releases_url": "https://api.github.com/repos/django-extensions/django-extensions/releases{/id}", "statuses_url": "https://api.github.com/repos/django-extensions/django-extensions/statuses/{sha}", "assignees_url": "https://api.github.com/repos/django-extensions/django-extensions/assignees{/user}", "downloads_url": "https://api.github.com/repos/django-extensions/django-extensions/downloads", "has_downloads": true, "languages_url": "https://api.github.com/repos/django-extensions/django-extensions/languages", "default_branch": "master", "milestones_url": "https://api.github.com/repos/django-extensions/django-extensions/milestones{/number}", "stargazers_url": "https://api.github.com/repos/django-extensions/django-extensions/stargazers", "watchers_count": 4011, "deployments_url": "https://api.github.com/repos/django-extensions/django-extensions/deployments", "git_commits_url": "https://api.github.com/repos/django-extensions/django-extensions/git/commits{/sha}", "subscribers_url": "https://api.github.com/repos/django-extensions/django-extensions/subscribers", "contributors_url": "https://api.github.com/repos/django-extensions/django-extensions/contributors", "issue_events_url": "https://api.github.com/repos/django-extensions/django-extensions/issues/events{/number}", "stargazers_count": 4011, "subscription_url": "https://api.github.com/repos/django-extensions/django-extensions/subscription", "collaborators_url": "https://api.github.com/repos/django-extensions/django-extensions/collaborators{/collaborator}", "issue_comment_url": "https://api.github.com/repos/django-extensions/django-extensions/issues/comments{/number}", "notifications_url": "https://api.github.com/repos/django-extensions/django-extensions/notifications{?since,all,participating}", "open_issues_count": 44}</t>
  </si>
  <si>
    <t>django-haystack/django-haystack</t>
  </si>
  <si>
    <t>Modular search for Django</t>
  </si>
  <si>
    <t>https://github.com/django-haystack/django-haystack</t>
  </si>
  <si>
    <t>[{"loc": 1023786, "ratio": 0.9965386404916766, "language": "Python"}, {"loc": 2125, "ratio": 0.0020684445880729107, "language": "Shell"}, {"loc": 1431, "ratio": 0.0013929149202505106, "language": "HTML"}]</t>
  </si>
  <si>
    <t>v2.8.1</t>
  </si>
  <si>
    <t>1f010774c8b52e71a6c629f4469934d093a3bdf1</t>
  </si>
  <si>
    <t>django-haystack</t>
  </si>
  <si>
    <t>{"id": 117549, "url": "https://api.github.com/repos/django-haystack/django-haystack", "fork": false, "name": "django-haystack", "size": 3789, "forks": 1114, "owner": {"id": 10821528, "url": "https://api.github.com/users/django-haystack", "type": "Organization", "login": "django-haystack", "node_id": "MDEyOk9yZ2FuaXphdGlvbjEwODIxNTI4", "html_url": "https://github.com/django-haystack", "gists_url": "https://api.github.com/users/django-haystack/gists{/gist_id}", "repos_url": "https://api.github.com/users/django-haystack/repos", "avatar_url": "https://avatars2.githubusercontent.com/u/10821528?v=4", "events_url": "https://api.github.com/users/django-haystack/events{/privacy}", "site_admin": false, "gravatar_id": "", "starred_url": "https://api.github.com/users/django-haystack/starred{/owner}{/repo}", "followers_url": "https://api.github.com/users/django-haystack/followers", "following_url": "https://api.github.com/users/django-haystack/following{/other_user}", "organizations_url": "https://api.github.com/users/django-haystack/orgs", "subscriptions_url": "https://api.github.com/users/django-haystack/subscriptions", "received_events_url": "https://api.github.com/users/django-haystack/received_events"}, "score": 1.0, "topics": [], "git_url": "git://github.com/django-haystack/django-haystack.git", "license": {"key": "other", "url": null, "name": "Other", "node_id": "MDc6TGljZW5zZTA=", "spdx_id": "NOASSERTION"}, "node_id": "MDEwOlJlcG9zaXRvcnkxMTc1NDk=", "private": false, "ssh_url": "git@github.com:django-haystack/django-haystack.git", "svn_url": "https://github.com/django-haystack/django-haystack", "archived": false, "has_wiki": false, "homepage": "http://haystacksearch.org/", "html_url": "https://github.com/django-haystack/django-haystack", "keys_url": "https://api.github.com/repos/django-haystack/django-haystack/keys{/key_id}", "language": "Python", "tags_url": "https://api.github.com/repos/django-haystack/django-haystack/tags", "watchers": 2602, "blobs_url": "https://api.github.com/repos/django-haystack/django-haystack/git/blobs{/sha}", "clone_url": "https://github.com/django-haystack/django-haystack.git", "forks_url": "https://api.github.com/repos/django-haystack/django-haystack/forks", "full_name": "django-haystack/django-haystack", "has_pages": false, "hooks_url": "https://api.github.com/repos/django-haystack/django-haystack/hooks", "pulls_url": "https://api.github.com/repos/django-haystack/django-haystack/pulls{/number}", "pushed_at": "2018-12-19T13:13:00Z", "teams_url": "https://api.github.com/repos/django-haystack/django-haystack/teams", "trees_url": "https://api.github.com/repos/django-haystack/django-haystack/git/trees{/sha}", "created_at": "2009-01-29T20:23:57Z", "events_url": "https://api.github.com/repos/django-haystack/django-haystack/events", "has_issues": true, "issues_url": "https://api.github.com/repos/django-haystack/django-haystack/issues{/number}", "labels_url": "https://api.github.com/repos/django-haystack/django-haystack/labels{/name}", "merges_url": "https://api.github.com/repos/django-haystack/django-haystack/merges", "mirror_url": null, "updated_at": "2018-12-22T02:39:07Z", "archive_url": "https://api.github.com/repos/django-haystack/django-haystack/{archive_format}{/ref}", "commits_url": "https://api.github.com/repos/django-haystack/django-haystack/commits{/sha}", "compare_url": "https://api.github.com/repos/django-haystack/django-haystack/compare/{base}...{head}", "description": "Modular search for Django", "forks_count": 1114, "open_issues": 541, "permissions": {"pull": true, "push": false, "admin": false}, "branches_url": "https://api.github.com/repos/django-haystack/django-haystack/branches{/branch}", "comments_url": "https://api.github.com/repos/django-haystack/django-haystack/comments{/number}", "contents_url": "https://api.github.com/repos/django-haystack/django-haystack/contents/{+path}", "git_refs_url": "https://api.github.com/repos/django-haystack/django-haystack/git/refs{/sha}", "git_tags_url": "https://api.github.com/repos/django-haystack/django-haystack/git/tags{/sha}", "has_projects": true, "releases_url": "https://api.github.com/repos/django-haystack/django-haystack/releases{/id}", "statuses_url": "https://api.github.com/repos/django-haystack/django-haystack/statuses/{sha}", "assignees_url": "https://api.github.com/repos/django-haystack/django-haystack/assignees{/user}", "downloads_url": "https://api.github.com/repos/django-haystack/django-haystack/downloads", "has_downloads": true, "languages_url": "https://api.github.com/repos/django-haystack/django-haystack/languages", "default_branch": "master", "milestones_url": "https://api.github.com/repos/django-haystack/django-haystack/milestones{/number}", "stargazers_url": "https://api.github.com/repos/django-haystack/django-haystack/stargazers", "watchers_count": 2602, "deployments_url": "https://api.github.com/repos/django-haystack/django-haystack/deployments", "git_commits_url": "https://api.github.com/repos/django-haystack/django-haystack/git/commits{/sha}", "subscribers_url": "https://api.github.com/repos/django-haystack/django-haystack/subscribers", "contributors_url": "https://api.github.com/repos/django-haystack/django-haystack/contributors", "issue_events_url": "https://api.github.com/repos/django-haystack/django-haystack/issues/events{/number}", "stargazers_count": 2602, "subscription_url": "https://api.github.com/repos/django-haystack/django-haystack/subscription", "collaborators_url": "https://api.github.com/repos/django-haystack/django-haystack/collaborators{/collaborator}", "issue_comment_url": "https://api.github.com/repos/django-haystack/django-haystack/issues/comments{/number}", "notifications_url": "https://api.github.com/repos/django-haystack/django-haystack/notifications{?since,all,participating}", "open_issues_count": 541}</t>
  </si>
  <si>
    <t>django-oscar/django-oscar</t>
  </si>
  <si>
    <t>Domain-driven e-commerce for Django</t>
  </si>
  <si>
    <t>https://github.com/django-oscar/django-oscar</t>
  </si>
  <si>
    <t>"[\"django\", \"django-oscar\", \"ecommerce\", \"oscar\"]"</t>
  </si>
  <si>
    <t>[{"loc": 1989332, "ratio": 0.6085977543462047, "language": "Python"}, {"loc": 539177, "ratio": 0.1649508032822694, "language": "HTML"}, {"loc": 390394, "ratio": 0.11943351421996541, "language": "CSS"}, {"loc": 345001, "ratio": 0.1055464014288188, "language": "JavaScript"}, {"loc": 2714, "ratio": 0.0008302959512517767, "language": "Makefile"}, {"loc": 1643, "ratio": 0.0005026441591402613, "language": "Shell"}, {"loc": 453, "ratio": 0.0001385866123496886, "language": "Dockerfile"}]</t>
  </si>
  <si>
    <t>1.6.4</t>
  </si>
  <si>
    <t>41b824102609b90a6f1ee00172a413f584d4920d</t>
  </si>
  <si>
    <t>django-oscar</t>
  </si>
  <si>
    <t>{"id": 1151051, "url": "https://api.github.com/repos/django-oscar/django-oscar", "fork": false, "name": "django-oscar", "size": 93194, "forks": 1359, "owner": {"id": 9057806, "url": "https://api.github.com/users/django-oscar", "type": "Organization", "login": "django-oscar", "node_id": "MDEyOk9yZ2FuaXphdGlvbjkwNTc4MDY=", "html_url": "https://github.com/django-oscar", "gists_url": "https://api.github.com/users/django-oscar/gists{/gist_id}", "repos_url": "https://api.github.com/users/django-oscar/repos", "avatar_url": "https://avatars3.githubusercontent.com/u/9057806?v=4", "events_url": "https://api.github.com/users/django-oscar/events{/privacy}", "site_admin": false, "gravatar_id": "", "starred_url": "https://api.github.com/users/django-oscar/starred{/owner}{/repo}", "followers_url": "https://api.github.com/users/django-oscar/followers", "following_url": "https://api.github.com/users/django-oscar/following{/other_user}", "organizations_url": "https://api.github.com/users/django-oscar/orgs", "subscriptions_url": "https://api.github.com/users/django-oscar/subscriptions", "received_events_url": "https://api.github.com/users/django-oscar/received_events"}, "score": 1.0, "topics": ["django", "django-oscar", "ecommerce", "oscar"], "git_url": "git://github.com/django-oscar/django-oscar.git", "license": {"key": "other", "url": null, "name": "Other", "node_id": "MDc6TGljZW5zZTA=", "spdx_id": "NOASSERTION"}, "node_id": "MDEwOlJlcG9zaXRvcnkxMTUxMDUx", "private": false, "ssh_url": "git@github.com:django-oscar/django-oscar.git", "svn_url": "https://github.com/django-oscar/django-oscar", "archived": false, "has_wiki": true, "homepage": "http://oscarcommerce.com", "html_url": "https://github.com/django-oscar/django-oscar", "keys_url": "https://api.github.com/repos/django-oscar/django-oscar/keys{/key_id}", "language": "Python", "tags_url": "https://api.github.com/repos/django-oscar/django-oscar/tags", "watchers": 3496, "blobs_url": "https://api.github.com/repos/django-oscar/django-oscar/git/blobs{/sha}", "clone_url": "https://github.com/django-oscar/django-oscar.git", "forks_url": "https://api.github.com/repos/django-oscar/django-oscar/forks", "full_name": "django-oscar/django-oscar", "has_pages": false, "hooks_url": "https://api.github.com/repos/django-oscar/django-oscar/hooks", "pulls_url": "https://api.github.com/repos/django-oscar/django-oscar/pulls{/number}", "pushed_at": "2018-12-21T07:39:50Z", "teams_url": "https://api.github.com/repos/django-oscar/django-oscar/teams", "trees_url": "https://api.github.com/repos/django-oscar/django-oscar/git/trees{/sha}", "created_at": "2010-12-08T21:30:32Z", "events_url": "https://api.github.com/repos/django-oscar/django-oscar/events", "has_issues": true, "issues_url": "https://api.github.com/repos/django-oscar/django-oscar/issues{/number}", "labels_url": "https://api.github.com/repos/django-oscar/django-oscar/labels{/name}", "merges_url": "https://api.github.com/repos/django-oscar/django-oscar/merges", "mirror_url": null, "updated_at": "2018-12-24T09:56:35Z", "archive_url": "https://api.github.com/repos/django-oscar/django-oscar/{archive_format}{/ref}", "commits_url": "https://api.github.com/repos/django-oscar/django-oscar/commits{/sha}", "compare_url": "https://api.github.com/repos/django-oscar/django-oscar/compare/{base}...{head}", "description": "Domain-driven e-commerce for Django", "forks_count": 1359, "open_issues": 119, "permissions": {"pull": true, "push": false, "admin": false}, "branches_url": "https://api.github.com/repos/django-oscar/django-oscar/branches{/branch}", "comments_url": "https://api.github.com/repos/django-oscar/django-oscar/comments{/number}", "contents_url": "https://api.github.com/repos/django-oscar/django-oscar/contents/{+path}", "git_refs_url": "https://api.github.com/repos/django-oscar/django-oscar/git/refs{/sha}", "git_tags_url": "https://api.github.com/repos/django-oscar/django-oscar/git/tags{/sha}", "has_projects": true, "releases_url": "https://api.github.com/repos/django-oscar/django-oscar/releases{/id}", "statuses_url": "https://api.github.com/repos/django-oscar/django-oscar/statuses/{sha}", "assignees_url": "https://api.github.com/repos/django-oscar/django-oscar/assignees{/user}", "downloads_url": "https://api.github.com/repos/django-oscar/django-oscar/downloads", "has_downloads": true, "languages_url": "https://api.github.com/repos/django-oscar/django-oscar/languages", "default_branch": "master", "milestones_url": "https://api.github.com/repos/django-oscar/django-oscar/milestones{/number}", "stargazers_url": "https://api.github.com/repos/django-oscar/django-oscar/stargazers", "watchers_count": 3496, "deployments_url": "https://api.github.com/repos/django-oscar/django-oscar/deployments", "git_commits_url": "https://api.github.com/repos/django-oscar/django-oscar/git/commits{/sha}", "subscribers_url": "https://api.github.com/repos/django-oscar/django-oscar/subscribers", "contributors_url": "https://api.github.com/repos/django-oscar/django-oscar/contributors", "issue_events_url": "https://api.github.com/repos/django-oscar/django-oscar/issues/events{/number}", "stargazers_count": 3496, "subscription_url": "https://api.github.com/repos/django-oscar/django-oscar/subscription", "collaborators_url": "https://api.github.com/repos/django-oscar/django-oscar/collaborators{/collaborator}", "issue_comment_url": "https://api.github.com/repos/django-oscar/django-oscar/issues/comments{/number}", "notifications_url": "https://api.github.com/repos/django-oscar/django-oscar/notifications{?since,all,participating}", "open_issues_count": 119}</t>
  </si>
  <si>
    <t>encode/django-rest-framework</t>
  </si>
  <si>
    <t>Web APIs for Django. ⚡️</t>
  </si>
  <si>
    <t>https://github.com/encode/django-rest-framework</t>
  </si>
  <si>
    <t>"[\"api\", \"django\", \"python\", \"rest\"]"</t>
  </si>
  <si>
    <t>[{"loc": 1294037, "ratio": 0.8998710036334556, "language": "Python"}, {"loc": 86061, "ratio": 0.05984666469637176, "language": "HTML"}, {"loc": 39720, "ratio": 0.02762121659915509, "language": "CSS"}, {"loc": 18207, "ratio": 0.012661115071017541, "language": "JavaScript"}]</t>
  </si>
  <si>
    <t>3.9.0</t>
  </si>
  <si>
    <t>75edc4f0ecbfc8a1d416ac1e1eb0ea1fe70f06a4</t>
  </si>
  <si>
    <t>django-rest-framework</t>
  </si>
  <si>
    <t>{"id": 1431547, "url": "https://api.github.com/repos/encode/django-rest-framework", "fork": false, "name": "django-rest-framework", "size": 41001, "forks": 3841, "owner": {"id": 19159390, "url": "https://api.github.com/users/encode", "type": "Organization", "login": "encode", "node_id": "MDEyOk9yZ2FuaXphdGlvbjE5MTU5Mzkw", "html_url": "https://github.com/encode", "gists_url": "https://api.github.com/users/encode/gists{/gist_id}", "repos_url": "https://api.github.com/users/encode/repos", "avatar_url": "https://avatars1.githubusercontent.com/u/19159390?v=4", "events_url": "https://api.github.com/users/encode/events{/privacy}", "site_admin": false, "gravatar_id": "", "starred_url": "https://api.github.com/users/encode/starred{/owner}{/repo}", "followers_url": "https://api.github.com/users/encode/followers", "following_url": "https://api.github.com/users/encode/following{/other_user}", "organizations_url": "https://api.github.com/users/encode/orgs", "subscriptions_url": "https://api.github.com/users/encode/subscriptions", "received_events_url": "https://api.github.com/users/encode/received_events"}, "score": 1.0, "topics": ["api", "django", "python", "rest"], "git_url": "git://github.com/encode/django-rest-framework.git", "license": {"key": "other", "url": null, "name": "Other", "node_id": "MDc6TGljZW5zZTA=", "spdx_id": "NOASSERTION"}, "node_id": "MDEwOlJlcG9zaXRvcnkxNDMxNTQ3", "private": false, "ssh_url": "git@github.com:encode/django-rest-framework.git", "svn_url": "https://github.com/encode/django-rest-framework", "archived": false, "has_wiki": false, "homepage": "https://www.django-rest-framework.org", "html_url": "https://github.com/encode/django-rest-framework", "keys_url": "https://api.github.com/repos/encode/django-rest-framework/keys{/key_id}", "language": "Python", "tags_url": "https://api.github.com/repos/encode/django-rest-framework/tags", "watchers": 12575, "blobs_url": "https://api.github.com/repos/encode/django-rest-framework/git/blobs{/sha}", "clone_url": "https://github.com/encode/django-rest-framework.git", "forks_url": "https://api.github.com/repos/encode/django-rest-framework/forks", "full_name": "encode/django-rest-framework", "has_pages": true, "hooks_url": "https://api.github.com/repos/encode/django-rest-framework/hooks", "pulls_url": "https://api.github.com/repos/encode/django-rest-framework/pulls{/number}", "pushed_at": "2018-12-24T15:54:28Z", "teams_url": "https://api.github.com/repos/encode/django-rest-framework/teams", "trees_url": "https://api.github.com/repos/encode/django-rest-framework/git/trees{/sha}", "created_at": "2011-03-02T17:13:56Z", "events_url": "https://api.github.com/repos/encode/django-rest-framework/events", "has_issues": true, "issues_url": "https://api.github.com/repos/encode/django-rest-framework/issues{/number}", "labels_url": "https://api.github.com/repos/encode/django-rest-framework/labels{/name}", "merges_url": "https://api.github.com/repos/encode/django-rest-framework/merges", "mirror_url": null, "updated_at": "2018-12-25T01:29:01Z", "archive_url": "https://api.github.com/repos/encode/django-rest-framework/{archive_format}{/ref}", "commits_url": "https://api.github.com/repos/encode/django-rest-framework/commits{/sha}", "compare_url": "https://api.github.com/repos/encode/django-rest-framework/compare/{base}...{head}", "description": "Web APIs for Django. ⚡️", "forks_count": 3841, "open_issues": 197, "permissions": {"pull": true, "push": false, "admin": false}, "branches_url": "https://api.github.com/repos/encode/django-rest-framework/branches{/branch}", "comments_url": "https://api.github.com/repos/encode/django-rest-framework/comments{/number}", "contents_url": "https://api.github.com/repos/encode/django-rest-framework/contents/{+path}", "git_refs_url": "https://api.github.com/repos/encode/django-rest-framework/git/refs{/sha}", "git_tags_url": "https://api.github.com/repos/encode/django-rest-framework/git/tags{/sha}", "has_projects": true, "releases_url": "https://api.github.com/repos/encode/django-rest-framework/releases{/id}", "statuses_url": "https://api.github.com/repos/encode/django-rest-framework/statuses/{sha}", "assignees_url": "https://api.github.com/repos/encode/django-rest-framework/assignees{/user}", "downloads_url": "https://api.github.com/repos/encode/django-rest-framework/downloads", "has_downloads": true, "languages_url": "https://api.github.com/repos/encode/django-rest-framework/languages", "default_branch": "master", "milestones_url": "https://api.github.com/repos/encode/django-rest-framework/milestones{/number}", "stargazers_url": "https://api.github.com/repos/encode/django-rest-framework/stargazers", "watchers_count": 12575, "deployments_url": "https://api.github.com/repos/encode/django-rest-framework/deployments", "git_commits_url": "https://api.github.com/repos/encode/django-rest-framework/git/commits{/sha}", "subscribers_url": "https://api.github.com/repos/encode/django-rest-framework/subscribers", "contributors_url": "https://api.github.com/repos/encode/django-rest-framework/contributors", "issue_events_url": "https://api.github.com/repos/encode/django-rest-framework/issues/events{/number}", "stargazers_count": 12575, "subscription_url": "https://api.github.com/repos/encode/django-rest-framework/subscription", "collaborators_url": "https://api.github.com/repos/encode/django-rest-framework/collaborators{/collaborator}", "issue_comment_url": "https://api.github.com/repos/encode/django-rest-framework/issues/comments{/number}", "notifications_url": "https://api.github.com/repos/encode/django-rest-framework/notifications{?since,all,participating}", "open_issues_count": 197}</t>
  </si>
  <si>
    <t>awesto/django-shop</t>
  </si>
  <si>
    <t>A Django based shop system</t>
  </si>
  <si>
    <t>https://github.com/awesto/django-shop</t>
  </si>
  <si>
    <t>[{"loc": 782967, "ratio": 0.8213512059055857, "language": "Python"}, {"loc": 112667, "ratio": 0.11819039156920359, "language": "HTML"}, {"loc": 47185, "ratio": 0.04949819935023451, "language": "JavaScript"}, {"loc": 7939, "ratio": 0.008328201857401966, "language": "CSS"}, {"loc": 1926, "ratio": 0.0020204203019720604, "language": "Dockerfile"}, {"loc": 583, "ratio": 0.0006115810156021345, "language": "Shell"}]</t>
  </si>
  <si>
    <t>0.12.1</t>
  </si>
  <si>
    <t>62292666a252f45a6e8430964dd4a1ac25d99483</t>
  </si>
  <si>
    <t>django-shop</t>
  </si>
  <si>
    <t>{"id": 1094430, "url": "https://api.github.com/repos/awesto/django-shop", "fork": false, "name": "django-shop", "size": 8325, "forks": 639, "owner": {"id": 16817610, "url": "https://api.github.com/users/awesto", "type": "Organization", "login": "awesto", "node_id": "MDEyOk9yZ2FuaXphdGlvbjE2ODE3NjEw", "html_url": "https://github.com/awesto", "gists_url": "https://api.github.com/users/awesto/gists{/gist_id}", "repos_url": "https://api.github.com/users/awesto/repos", "avatar_url": "https://avatars1.githubusercontent.com/u/16817610?v=4", "events_url": "https://api.github.com/users/awesto/events{/privacy}", "site_admin": false, "gravatar_id": "", "starred_url": "https://api.github.com/users/awesto/starred{/owner}{/repo}", "followers_url": "https://api.github.com/users/awesto/followers", "following_url": "https://api.github.com/users/awesto/following{/other_user}", "organizations_url": "https://api.github.com/users/awesto/orgs", "subscriptions_url": "https://api.github.com/users/awesto/subscriptions", "received_events_url": "https://api.github.com/users/awesto/received_events"}, "score": 1.0, "topics": [], "git_url": "git://github.com/awesto/django-shop.git", "license": {"key": "bsd-3-clause", "url": "https://api.github.com/licenses/bsd-3-clause", "name": "BSD 3-Clause \"New\" or \"Revised\" License", "node_id": "MDc6TGljZW5zZTU=", "spdx_id": "BSD-3-Clause"}, "node_id": "MDEwOlJlcG9zaXRvcnkxMDk0NDMw", "private": false, "ssh_url": "git@github.com:awesto/django-shop.git", "svn_url": "https://github.com/awesto/django-shop", "archived": false, "has_wiki": true, "homepage": "http://www.django-shop.org", "html_url": "https://github.com/awesto/django-shop", "keys_url": "https://api.github.com/repos/awesto/django-shop/keys{/key_id}", "language": "Python", "tags_url": "https://api.github.com/repos/awesto/django-shop/tags", "watchers": 1732, "blobs_url": "https://api.github.com/repos/awesto/django-shop/git/blobs{/sha}", "clone_url": "https://github.com/awesto/django-shop.git", "forks_url": "https://api.github.com/repos/awesto/django-shop/forks", "full_name": "awesto/django-shop", "has_pages": false, "hooks_url": "https://api.github.com/repos/awesto/django-shop/hooks", "pulls_url": "https://api.github.com/repos/awesto/django-shop/pulls{/number}", "pushed_at": "2018-12-24T23:18:42Z", "teams_url": "https://api.github.com/repos/awesto/django-shop/teams", "trees_url": "https://api.github.com/repos/awesto/django-shop/git/trees{/sha}", "created_at": "2010-11-19T11:15:48Z", "events_url": "https://api.github.com/repos/awesto/django-shop/events", "has_issues": true, "issues_url": "https://api.github.com/repos/awesto/django-shop/issues{/number}", "labels_url": "https://api.github.com/repos/awesto/django-shop/labels{/name}", "merges_url": "https://api.github.com/repos/awesto/django-shop/merges", "mirror_url": null, "updated_at": "2018-12-24T13:56:24Z", "archive_url": "https://api.github.com/repos/awesto/django-shop/{archive_format}{/ref}", "commits_url": "https://api.github.com/repos/awesto/django-shop/commits{/sha}", "compare_url": "https://api.github.com/repos/awesto/django-shop/compare/{base}...{head}", "description": "A Django based shop system", "forks_count": 639, "open_issues": 66, "permissions": {"pull": true, "push": false, "admin": false}, "branches_url": "https://api.github.com/repos/awesto/django-shop/branches{/branch}", "comments_url": "https://api.github.com/repos/awesto/django-shop/comments{/number}", "contents_url": "https://api.github.com/repos/awesto/django-shop/contents/{+path}", "git_refs_url": "https://api.github.com/repos/awesto/django-shop/git/refs{/sha}", "git_tags_url": "https://api.github.com/repos/awesto/django-shop/git/tags{/sha}", "has_projects": true, "releases_url": "https://api.github.com/repos/awesto/django-shop/releases{/id}", "statuses_url": "https://api.github.com/repos/awesto/django-shop/statuses/{sha}", "assignees_url": "https://api.github.com/repos/awesto/django-shop/assignees{/user}", "downloads_url": "https://api.github.com/repos/awesto/django-shop/downloads", "has_downloads": true, "languages_url": "https://api.github.com/repos/awesto/django-shop/languages", "default_branch": "master", "milestones_url": "https://api.github.com/repos/awesto/django-shop/milestones{/number}", "stargazers_url": "https://api.github.com/repos/awesto/django-shop/stargazers", "watchers_count": 1732, "deployments_url": "https://api.github.com/repos/awesto/django-shop/deployments", "git_commits_url": "https://api.github.com/repos/awesto/django-shop/git/commits{/sha}", "subscribers_url": "https://api.github.com/repos/awesto/django-shop/subscribers", "contributors_url": "https://api.github.com/repos/awesto/django-shop/contributors", "issue_events_url": "https://api.github.com/repos/awesto/django-shop/issues/events{/number}", "stargazers_count": 1732, "subscription_url": "https://api.github.com/repos/awesto/django-shop/subscription", "collaborators_url": "https://api.github.com/repos/awesto/django-shop/collaborators{/collaborator}", "issue_comment_url": "https://api.github.com/repos/awesto/django-shop/issues/comments{/number}", "notifications_url": "https://api.github.com/repos/awesto/django-shop/notifications{?since,all,participating}", "open_issues_count": 66}</t>
  </si>
  <si>
    <t>django-tastypie/django-tastypie</t>
  </si>
  <si>
    <t>Creating delicious APIs for Django apps since 2010.</t>
  </si>
  <si>
    <t>https://github.com/django-tastypie/django-tastypie</t>
  </si>
  <si>
    <t>[{"loc": 835967, "ratio": 0.9973264392608995, "language": "Python"}, {"loc": 1253, "ratio": 0.001494855692143239, "language": "Shell"}, {"loc": 988, "ratio": 0.0011787050469573184, "language": "HTML"}]</t>
  </si>
  <si>
    <t>v0.14.1</t>
  </si>
  <si>
    <t>d346f95108e73d48e3e9098006fc03d07ac6bfb3</t>
  </si>
  <si>
    <t>django-tastypie</t>
  </si>
  <si>
    <t>{"id": 584410, "url": "https://api.github.com/repos/django-tastypie/django-tastypie", "fork": false, "name": "django-tastypie", "size": 2863, "forks": 1122, "owner": {"id": 10821692, "url": "https://api.github.com/users/django-tastypie", "type": "Organization", "login": "django-tastypie", "node_id": "MDEyOk9yZ2FuaXphdGlvbjEwODIxNjky", "html_url": "https://github.com/django-tastypie", "gists_url": "https://api.github.com/users/django-tastypie/gists{/gist_id}", "repos_url": "https://api.github.com/users/django-tastypie/repos", "avatar_url": "https://avatars1.githubusercontent.com/u/10821692?v=4", "events_url": "https://api.github.com/users/django-tastypie/events{/privacy}", "site_admin": false, "gravatar_id": "", "starred_url": "https://api.github.com/users/django-tastypie/starred{/owner}{/repo}", "followers_url": "https://api.github.com/users/django-tastypie/followers", "following_url": "https://api.github.com/users/django-tastypie/following{/other_user}", "organizations_url": "https://api.github.com/users/django-tastypie/orgs", "subscriptions_url": "https://api.github.com/users/django-tastypie/subscriptions", "received_events_url": "https://api.github.com/users/django-tastypie/received_events"}, "score": 1.0, "topics": [], "git_url": "git://github.com/django-tastypie/django-tastypie.git", "license": {"key": "other", "url": null, "name": "Other", "node_id": "MDc6TGljZW5zZTA=", "spdx_id": "NOASSERTION"}, "node_id": "MDEwOlJlcG9zaXRvcnk1ODQ0MTA=", "private": false, "ssh_url": "git@github.com:django-tastypie/django-tastypie.git", "svn_url": "https://github.com/django-tastypie/django-tastypie", "archived": false, "has_wiki": false, "homepage": "http://tastypieapi.org/", "html_url": "https://github.com/django-tastypie/django-tastypie", "keys_url": "https://api.github.com/repos/django-tastypie/django-tastypie/keys{/key_id}", "language": "Python", "tags_url": "https://api.github.com/repos/django-tastypie/django-tastypie/tags", "watchers": 3443, "blobs_url": "https://api.github.com/repos/django-tastypie/django-tastypie/git/blobs{/sha}", "clone_url": "https://github.com/django-tastypie/django-tastypie.git", "forks_url": "https://api.github.com/repos/django-tastypie/django-tastypie/forks", "full_name": "django-tastypie/django-tastypie", "has_pages": true, "hooks_url": "https://api.github.com/repos/django-tastypie/django-tastypie/hooks", "pulls_url": "https://api.github.com/repos/django-tastypie/django-tastypie/pulls{/number}", "pushed_at": "2018-11-27T13:58:58Z", "teams_url": "https://api.github.com/repos/django-tastypie/django-tastypie/teams", "trees_url": "https://api.github.com/repos/django-tastypie/django-tastypie/git/trees{/sha}", "created_at": "2010-03-29T06:01:45Z", "events_url": "https://api.github.com/repos/django-tastypie/django-tastypie/events", "has_issues": true, "issues_url": "https://api.github.com/repos/django-tastypie/django-tastypie/issues{/number}", "labels_url": "https://api.github.com/repos/django-tastypie/django-tastypie/labels{/name}", "merges_url": "https://api.github.com/repos/django-tastypie/django-tastypie/merges", "mirror_url": null, "updated_at": "2018-12-23T08:03:36Z", "archive_url": "https://api.github.com/repos/django-tastypie/django-tastypie/{archive_format}{/ref}", "commits_url": "https://api.github.com/repos/django-tastypie/django-tastypie/commits{/sha}", "compare_url": "https://api.github.com/repos/django-tastypie/django-tastypie/compare/{base}...{head}", "description": "Creating delicious APIs for Django apps since 2010.", "forks_count": 1122, "open_issues": 421, "permissions": {"pull": true, "push": false, "admin": false}, "branches_url": "https://api.github.com/repos/django-tastypie/django-tastypie/branches{/branch}", "comments_url": "https://api.github.com/repos/django-tastypie/django-tastypie/comments{/number}", "contents_url": "https://api.github.com/repos/django-tastypie/django-tastypie/contents/{+path}", "git_refs_url": "https://api.github.com/repos/django-tastypie/django-tastypie/git/refs{/sha}", "git_tags_url": "https://api.github.com/repos/django-tastypie/django-tastypie/git/tags{/sha}", "has_projects": true, "releases_url": "https://api.github.com/repos/django-tastypie/django-tastypie/releases{/id}", "statuses_url": "https://api.github.com/repos/django-tastypie/django-tastypie/statuses/{sha}", "assignees_url": "https://api.github.com/repos/django-tastypie/django-tastypie/assignees{/user}", "downloads_url": "https://api.github.com/repos/django-tastypie/django-tastypie/downloads", "has_downloads": true, "languages_url": "https://api.github.com/repos/django-tastypie/django-tastypie/languages", "default_branch": "master", "milestones_url": "https://api.github.com/repos/django-tastypie/django-tastypie/milestones{/number}", "stargazers_url": "https://api.github.com/repos/django-tastypie/django-tastypie/stargazers", "watchers_count": 3443, "deployments_url": "https://api.github.com/repos/django-tastypie/django-tastypie/deployments", "git_commits_url": "https://api.github.com/repos/django-tastypie/django-tastypie/git/commits{/sha}", "subscribers_url": "https://api.github.com/repos/django-tastypie/django-tastypie/subscribers", "contributors_url": "https://api.github.com/repos/django-tastypie/django-tastypie/contributors", "issue_events_url": "https://api.github.com/repos/django-tastypie/django-tastypie/issues/events{/number}", "stargazers_count": 3443, "subscription_url": "https://api.github.com/repos/django-tastypie/django-tastypie/subscription", "collaborators_url": "https://api.github.com/repos/django-tastypie/django-tastypie/collaborators{/collaborator}", "issue_comment_url": "https://api.github.com/repos/django-tastypie/django-tastypie/issues/comments{/number}", "notifications_url": "https://api.github.com/repos/django-tastypie/django-tastypie/notifications{?since,all,participating}", "open_issues_count": 421}</t>
  </si>
  <si>
    <t>docker/docker-py</t>
  </si>
  <si>
    <t>A Python library for the Docker Engine API</t>
  </si>
  <si>
    <t>https://github.com/docker/docker-py</t>
  </si>
  <si>
    <t>"[\"docker\", \"docker-engine-api\", \"docker-swarm\", \"python\", \"python-library\"]"</t>
  </si>
  <si>
    <t>[{"loc": 943545, "ratio": 0.9946123779325698, "language": "Python"}, {"loc": 3920, "ratio": 0.004132161710883608, "language": "Makefile"}, {"loc": 938, "ratio": 0.0009887672665328633, "language": "Shell"}, {"loc": 253, "ratio": 0.00026669309001366143, "language": "Dockerfile"}]</t>
  </si>
  <si>
    <t>3.6.0</t>
  </si>
  <si>
    <t>d74bfa69ab1b44e0a745efe15e4b771d10c9cd54</t>
  </si>
  <si>
    <t>docker-py</t>
  </si>
  <si>
    <t>{"id": 10247874, "url": "https://api.github.com/repos/docker/docker-py", "fork": false, "name": "docker-py", "size": 4321, "forks": 1170, "owner": {"id": 5429470, "url": "https://api.github.com/users/docker", "type": "Organization", "login": "docker", "node_id": "MDEyOk9yZ2FuaXphdGlvbjU0Mjk0NzA=", "html_url": "https://github.com/docker", "gists_url": "https://api.github.com/users/docker/gists{/gist_id}", "repos_url": "https://api.github.com/users/docker/repos", "avatar_url": "https://avatars1.githubusercontent.com/u/5429470?v=4", "events_url": "https://api.github.com/users/docker/events{/privacy}", "site_admin": false, "gravatar_id": "", "starred_url": "https://api.github.com/users/docker/starred{/owner}{/repo}", "followers_url": "https://api.github.com/users/docker/followers", "following_url": "https://api.github.com/users/docker/following{/other_user}", "organizations_url": "https://api.github.com/users/docker/orgs", "subscriptions_url": "https://api.github.com/users/docker/subscriptions", "received_events_url": "https://api.github.com/users/docker/received_events"}, "score": 1.0, "topics": ["docker", "docker-engine-api", "docker-swarm", "python", "python-library"], "git_url": "git://github.com/docker/docker-py.git", "license": {"key": "apache-2.0", "url": "https://api.github.com/licenses/apache-2.0", "name": "Apache License 2.0", "node_id": "MDc6TGljZW5zZTI=", "spdx_id": "Apache-2.0"}, "node_id": "MDEwOlJlcG9zaXRvcnkxMDI0Nzg3NA==", "private": false, "ssh_url": "git@github.com:docker/docker-py.git", "svn_url": "https://github.com/docker/docker-py", "archived": false, "has_wiki": false, "homepage": "https://docker-py.readthedocs.io/", "html_url": "https://github.com/docker/docker-py", "keys_url": "https://api.github.com/repos/docker/docker-py/keys{/key_id}", "language": "Python", "tags_url": "https://api.github.com/repos/docker/docker-py/tags", "watchers": 3522, "blobs_url": "https://api.github.com/repos/docker/docker-py/git/blobs{/sha}", "clone_url": "https://github.com/docker/docker-py.git", "forks_url": "https://api.github.com/repos/docker/docker-py/forks", "full_name": "docker/docker-py", "has_pages": false, "hooks_url": "https://api.github.com/repos/docker/docker-py/hooks", "pulls_url": "https://api.github.com/repos/docker/docker-py/pulls{/number}", "pushed_at": "2018-12-24T15:08:48Z", "teams_url": "https://api.github.com/repos/docker/docker-py/teams", "trees_url": "https://api.github.com/repos/docker/docker-py/git/trees{/sha}", "created_at": "2013-05-23T16:15:07Z", "events_url": "https://api.github.com/repos/docker/docker-py/events", "has_issues": true, "issues_url": "https://api.github.com/repos/docker/docker-py/issues{/number}", "labels_url": "https://api.github.com/repos/docker/docker-py/labels{/name}", "merges_url": "https://api.github.com/repos/docker/docker-py/merges", "mirror_url": null, "updated_at": "2018-12-25T02:32:48Z", "archive_url": "https://api.github.com/repos/docker/docker-py/{archive_format}{/ref}", "commits_url": "https://api.github.com/repos/docker/docker-py/commits{/sha}", "compare_url": "https://api.github.com/repos/docker/docker-py/compare/{base}...{head}", "description": "A Python library for the Docker Engine API", "forks_count": 1170, "open_issues": 173, "permissions": {"pull": true, "push": false, "admin": false}, "branches_url": "https://api.github.com/repos/docker/docker-py/branches{/branch}", "comments_url": "https://api.github.com/repos/docker/docker-py/comments{/number}", "contents_url": "https://api.github.com/repos/docker/docker-py/contents/{+path}", "git_refs_url": "https://api.github.com/repos/docker/docker-py/git/refs{/sha}", "git_tags_url": "https://api.github.com/repos/docker/docker-py/git/tags{/sha}", "has_projects": true, "releases_url": "https://api.github.com/repos/docker/docker-py/releases{/id}", "statuses_url": "https://api.github.com/repos/docker/docker-py/statuses/{sha}", "assignees_url": "https://api.github.com/repos/docker/docker-py/assignees{/user}", "downloads_url": "https://api.github.com/repos/docker/docker-py/downloads", "has_downloads": true, "languages_url": "https://api.github.com/repos/docker/docker-py/languages", "default_branch": "master", "milestones_url": "https://api.github.com/repos/docker/docker-py/milestones{/number}", "stargazers_url": "https://api.github.com/repos/docker/docker-py/stargazers", "watchers_count": 3522, "deployments_url": "https://api.github.com/repos/docker/docker-py/deployments", "git_commits_url": "https://api.github.com/repos/docker/docker-py/git/commits{/sha}", "subscribers_url": "https://api.github.com/repos/docker/docker-py/subscribers", "contributors_url": "https://api.github.com/repos/docker/docker-py/contributors", "issue_events_url": "https://api.github.com/repos/docker/docker-py/issues/events{/number}", "stargazers_count": 3522, "subscription_url": "https://api.github.com/repos/docker/docker-py/subscription", "collaborators_url": "https://api.github.com/repos/docker/docker-py/collaborators{/collaborator}", "issue_comment_url": "https://api.github.com/repos/docker/docker-py/issues/comments{/number}", "notifications_url": "https://api.github.com/repos/docker/docker-py/notifications{?since,all,participating}", "open_issues_count": 173}</t>
  </si>
  <si>
    <t>edx/edx-platform</t>
  </si>
  <si>
    <t>The Open edX platform, the software that powers edX!</t>
  </si>
  <si>
    <t>https://github.com/edx/edx-platform</t>
  </si>
  <si>
    <t>[{"loc": 23279167, "ratio": 0.5738853400649929, "language": "Python"}, {"loc": 8949912, "ratio": 0.22063604301957027, "language": "JavaScript"}, {"loc": 6735295, "ratio": 0.16604060882045504, "language": "HTML"}, {"loc": 1515780, "ratio": 0.03736748487451097, "language": "CSS"}, {"loc": 40549, "ratio": 0.0009996266900055056, "language": "Shell"}, {"loc": 36528, "ratio": 0.0009004997344575972, "language": "Gherkin"}, {"loc": 3539, "ratio": 0.00008724454008556276, "language": "ActionScript"}, {"loc": 2808, "ratio": 0.00006922369837814644, "language": "Makefile"}, {"loc": 565, "ratio": 0.000013928557544035874, "language": "SRecode Template"}]</t>
  </si>
  <si>
    <t>v2.1.0</t>
  </si>
  <si>
    <t>f511a5e0dd4756b11aa896b62cba2864816cd759</t>
  </si>
  <si>
    <t>{"key": "agpl-3.0", "url": "https://api.github.com/licenses/agpl-3.0", "name": "GNU Affero General Public License v3.0", "node_id": "MDc6TGljZW5zZTE=", "spdx_id": "AGPL-3.0"}</t>
  </si>
  <si>
    <t>edx-platform</t>
  </si>
  <si>
    <t>{"id": 10391073, "url": "https://api.github.com/repos/edx/edx-platform", "fork": false, "name": "edx-platform", "size": 994554, "forks": 2274, "owner": {"id": 3179841, "url": "https://api.github.com/users/edx", "type": "Organization", "login": "edx", "node_id": "MDEyOk9yZ2FuaXphdGlvbjMxNzk4NDE=", "html_url": "https://github.com/edx", "gists_url": "https://api.github.com/users/edx/gists{/gist_id}", "repos_url": "https://api.github.com/users/edx/repos", "avatar_url": "https://avatars3.githubusercontent.com/u/3179841?v=4", "events_url": "https://api.github.com/users/edx/events{/privacy}", "site_admin": false, "gravatar_id": "", "starred_url": "https://api.github.com/users/edx/starred{/owner}{/repo}", "followers_url": "https://api.github.com/users/edx/followers", "following_url": "https://api.github.com/users/edx/following{/other_user}", "organizations_url": "https://api.github.com/users/edx/orgs", "subscriptions_url": "https://api.github.com/users/edx/subscriptions", "received_events_url": "https://api.github.com/users/edx/received_events"}, "score": 1.0, "topics": [], "git_url": "git://github.com/edx/edx-platform.git", "license": {"key": "agpl-3.0", "url": "https://api.github.com/licenses/agpl-3.0", "name": "GNU Affero General Public License v3.0", "node_id": "MDc6TGljZW5zZTE=", "spdx_id": "AGPL-3.0"}, "node_id": "MDEwOlJlcG9zaXRvcnkxMDM5MTA3Mw==", "private": false, "ssh_url": "git@github.com:edx/edx-platform.git", "svn_url": "https://github.com/edx/edx-platform", "archived": false, "has_wiki": true, "homepage": "http://open.edx.org/", "html_url": "https://github.com/edx/edx-platform", "keys_url": "https://api.github.com/repos/edx/edx-platform/keys{/key_id}", "language": "Python", "tags_url": "https://api.github.com/repos/edx/edx-platform/tags", "watchers": 4021, "blobs_url": "https://api.github.com/repos/edx/edx-platform/git/blobs{/sha}", "clone_url": "https://github.com/edx/edx-platform.git", "forks_url": "https://api.github.com/repos/edx/edx-platform/forks", "full_name": "edx/edx-platform", "has_pages": false, "hooks_url": "https://api.github.com/repos/edx/edx-platform/hooks", "pulls_url": "https://api.github.com/repos/edx/edx-platform/pulls{/number}", "pushed_at": "2018-12-24T15:04:14Z", "teams_url": "https://api.github.com/repos/edx/edx-platform/teams", "trees_url": "https://api.github.com/repos/edx/edx-platform/git/trees{/sha}", "created_at": "2013-05-30T20:20:38Z", "events_url": "https://api.github.com/repos/edx/edx-platform/events", "has_issues": false, "issues_url": "https://api.github.com/repos/edx/edx-platform/issues{/number}", "labels_url": "https://api.github.com/repos/edx/edx-platform/labels{/name}", "merges_url": "https://api.github.com/repos/edx/edx-platform/merges", "mirror_url": null, "updated_at": "2018-12-24T19:13:29Z", "archive_url": "https://api.github.com/repos/edx/edx-platform/{archive_format}{/ref}", "commits_url": "https://api.github.com/repos/edx/edx-platform/commits{/sha}", "compare_url": "https://api.github.com/repos/edx/edx-platform/compare/{base}...{head}", "description": "The Open edX platform, the software that powers edX!", "forks_count": 2274, "open_issues": 210, "permissions": {"pull": true, "push": false, "admin": false}, "branches_url": "https://api.github.com/repos/edx/edx-platform/branches{/branch}", "comments_url": "https://api.github.com/repos/edx/edx-platform/comments{/number}", "contents_url": "https://api.github.com/repos/edx/edx-platform/contents/{+path}", "git_refs_url": "https://api.github.com/repos/edx/edx-platform/git/refs{/sha}", "git_tags_url": "https://api.github.com/repos/edx/edx-platform/git/tags{/sha}", "has_projects": false, "releases_url": "https://api.github.com/repos/edx/edx-platform/releases{/id}", "statuses_url": "https://api.github.com/repos/edx/edx-platform/statuses/{sha}", "assignees_url": "https://api.github.com/repos/edx/edx-platform/assignees{/user}", "downloads_url": "https://api.github.com/repos/edx/edx-platform/downloads", "has_downloads": true, "languages_url": "https://api.github.com/repos/edx/edx-platform/languages", "default_branch": "master", "milestones_url": "https://api.github.com/repos/edx/edx-platform/milestones{/number}", "stargazers_url": "https://api.github.com/repos/edx/edx-platform/stargazers", "watchers_count": 4021, "deployments_url": "https://api.github.com/repos/edx/edx-platform/deployments", "git_commits_url": "https://api.github.com/repos/edx/edx-platform/git/commits{/sha}", "subscribers_url": "https://api.github.com/repos/edx/edx-platform/subscribers", "contributors_url": "https://api.github.com/repos/edx/edx-platform/contributors", "issue_events_url": "https://api.github.com/repos/edx/edx-platform/issues/events{/number}", "stargazers_count": 4021, "subscription_url": "https://api.github.com/repos/edx/edx-platform/subscription", "collaborators_url": "https://api.github.com/repos/edx/edx-platform/collaborators{/collaborator}", "issue_comment_url": "https://api.github.com/repos/edx/edx-platform/issues/comments{/number}", "notifications_url": "https://api.github.com/repos/edx/edx-platform/notifications{?since,all,participating}", "open_issues_count": 210}</t>
  </si>
  <si>
    <t>Yelp/elastalert</t>
  </si>
  <si>
    <t>Easy &amp; Flexible Alerting With ElasticSearch</t>
  </si>
  <si>
    <t>https://github.com/Yelp/elastalert</t>
  </si>
  <si>
    <t>[{"loc": 541486, "ratio": 0.9991143355856271, "language": "Python"}, {"loc": 480, "ratio": 0.0008856644143728573, "language": "Makefile"}]</t>
  </si>
  <si>
    <t>v0.2.0b1</t>
  </si>
  <si>
    <t>c5934546b640d5882529af7ecefea5fb6614807e</t>
  </si>
  <si>
    <t>elastalert</t>
  </si>
  <si>
    <t>{"id": 27091760, "url": "https://api.github.com/repos/Yelp/elastalert", "fork": false, "name": "elastalert", "size": 3379, "forks": 1124, "owner": {"id": 49071, "url": "https://api.github.com/users/Yelp", "type": "Organization", "login": "Yelp", "node_id": "MDEyOk9yZ2FuaXphdGlvbjQ5MDcx", "html_url": "https://github.com/Yelp", "gists_url": "https://api.github.com/users/Yelp/gists{/gist_id}", "repos_url": "https://api.github.com/users/Yelp/repos", "avatar_url": "https://avatars1.githubusercontent.com/u/49071?v=4", "events_url": "https://api.github.com/users/Yelp/events{/privacy}", "site_admin": false, "gravatar_id": "", "starred_url": "https://api.github.com/users/Yelp/starred{/owner}{/repo}", "followers_url": "https://api.github.com/users/Yelp/followers", "following_url": "https://api.github.com/users/Yelp/following{/other_user}", "organizations_url": "https://api.github.com/users/Yelp/orgs", "subscriptions_url": "https://api.github.com/users/Yelp/subscriptions", "received_events_url": "https://api.github.com/users/Yelp/received_events"}, "score": 1.0, "topics": [], "git_url": "git://github.com/Yelp/elastalert.git", "license": {"key": "apache-2.0", "url": "https://api.github.com/licenses/apache-2.0", "name": "Apache License 2.0", "node_id": "MDc6TGljZW5zZTI=", "spdx_id": "Apache-2.0"}, "node_id": "MDEwOlJlcG9zaXRvcnkyNzA5MTc2MA==", "private": false, "ssh_url": "git@github.com:Yelp/elastalert.git", "svn_url": "https://github.com/Yelp/elastalert", "archived": false, "has_wiki": true, "homepage": "https://elastalert.readthedocs.org", "html_url": "https://github.com/Yelp/elastalert", "keys_url": "https://api.github.com/repos/Yelp/elastalert/keys{/key_id}", "language": "Python", "tags_url": "https://api.github.com/repos/Yelp/elastalert/tags", "watchers": 5264, "blobs_url": "https://api.github.com/repos/Yelp/elastalert/git/blobs{/sha}", "clone_url": "https://github.com/Yelp/elastalert.git", "forks_url": "https://api.github.com/repos/Yelp/elastalert/forks", "full_name": "Yelp/elastalert", "has_pages": false, "hooks_url": "https://api.github.com/repos/Yelp/elastalert/hooks", "pulls_url": "https://api.github.com/repos/Yelp/elastalert/pulls{/number}", "pushed_at": "2018-12-19T18:39:09Z", "teams_url": "https://api.github.com/repos/Yelp/elastalert/teams", "trees_url": "https://api.github.com/repos/Yelp/elastalert/git/trees{/sha}", "created_at": "2014-11-24T19:39:19Z", "events_url": "https://api.github.com/repos/Yelp/elastalert/events", "has_issues": true, "issues_url": "https://api.github.com/repos/Yelp/elastalert/issues{/number}", "labels_url": "https://api.github.com/repos/Yelp/elastalert/labels{/name}", "merges_url": "https://api.github.com/repos/Yelp/elastalert/merges", "mirror_url": null, "updated_at": "2018-12-25T01:57:35Z", "archive_url": "https://api.github.com/repos/Yelp/elastalert/{archive_format}{/ref}", "commits_url": "https://api.github.com/repos/Yelp/elastalert/commits{/sha}", "compare_url": "https://api.github.com/repos/Yelp/elastalert/compare/{base}...{head}", "description": "Easy &amp; Flexible Alerting With ElasticSearch", "forks_count": 1124, "open_issues": 722, "permissions": {"pull": true, "push": false, "admin": false}, "branches_url": "https://api.github.com/repos/Yelp/elastalert/branches{/branch}", "comments_url": "https://api.github.com/repos/Yelp/elastalert/comments{/number}", "contents_url": "https://api.github.com/repos/Yelp/elastalert/contents/{+path}", "git_refs_url": "https://api.github.com/repos/Yelp/elastalert/git/refs{/sha}", "git_tags_url": "https://api.github.com/repos/Yelp/elastalert/git/tags{/sha}", "has_projects": true, "releases_url": "https://api.github.com/repos/Yelp/elastalert/releases{/id}", "statuses_url": "https://api.github.com/repos/Yelp/elastalert/statuses/{sha}", "assignees_url": "https://api.github.com/repos/Yelp/elastalert/assignees{/user}", "downloads_url": "https://api.github.com/repos/Yelp/elastalert/downloads", "has_downloads": true, "languages_url": "https://api.github.com/repos/Yelp/elastalert/languages", "default_branch": "master", "milestones_url": "https://api.github.com/repos/Yelp/elastalert/milestones{/number}", "stargazers_url": "https://api.github.com/repos/Yelp/elastalert/stargazers", "watchers_count": 5264, "deployments_url": "https://api.github.com/repos/Yelp/elastalert/deployments", "git_commits_url": "https://api.github.com/repos/Yelp/elastalert/git/commits{/sha}", "subscribers_url": "https://api.github.com/repos/Yelp/elastalert/subscribers", "contributors_url": "https://api.github.com/repos/Yelp/elastalert/contributors", "issue_events_url": "https://api.github.com/repos/Yelp/elastalert/issues/events{/number}", "stargazers_count": 5264, "subscription_url": "https://api.github.com/repos/Yelp/elastalert/subscription", "collaborators_url": "https://api.github.com/repos/Yelp/elastalert/collaborators{/collaborator}", "issue_comment_url": "https://api.github.com/repos/Yelp/elastalert/issues/comments{/number}", "notifications_url": "https://api.github.com/repos/Yelp/elastalert/notifications{?since,all,participating}", "open_issues_count": 722}</t>
  </si>
  <si>
    <t>spesmilo/electrum</t>
  </si>
  <si>
    <t>Electrum; Bitcoin thin client</t>
  </si>
  <si>
    <t>https://github.com/spesmilo/electrum</t>
  </si>
  <si>
    <t>[{"loc": 2298310, "ratio": 0.9823579822917312, "language": "Python"}, {"loc": 23485, "ratio": 0.010038105048544934, "language": "Shell"}, {"loc": 7316, "ratio": 0.0031270503102045874, "language": "NSIS"}, {"loc": 6379, "ratio": 0.002726551931218571, "language": "Dockerfile"}, {"loc": 2929, "ratio": 0.0012519314322839306, "language": "Java"}, {"loc": 877, "ratio": 0.0003748528050915013, "language": "Makefile"}, {"loc": 289, "ratio": 0.00012352618092524955, "language": "GLSL"}]</t>
  </si>
  <si>
    <t>3.3.3</t>
  </si>
  <si>
    <t>084a2f60aedd2d1c9de5b36105bad641b7549f3d</t>
  </si>
  <si>
    <t>electrum</t>
  </si>
  <si>
    <t>{"id": 5274894, "url": "https://api.github.com/repos/spesmilo/electrum", "fork": false, "name": "electrum", "size": 28418, "forks": 1632, "owner": {"id": 2084673, "url": "https://api.github.com/users/spesmilo", "type": "Organization", "login": "spesmilo", "node_id": "MDEyOk9yZ2FuaXphdGlvbjIwODQ2NzM=", "html_url": "https://github.com/spesmilo", "gists_url": "https://api.github.com/users/spesmilo/gists{/gist_id}", "repos_url": "https://api.github.com/users/spesmilo/repos", "avatar_url": "https://avatars2.githubusercontent.com/u/2084673?v=4", "events_url": "https://api.github.com/users/spesmilo/events{/privacy}", "site_admin": false, "gravatar_id": "", "starred_url": "https://api.github.com/users/spesmilo/starred{/owner}{/repo}", "followers_url": "https://api.github.com/users/spesmilo/followers", "following_url": "https://api.github.com/users/spesmilo/following{/other_user}", "organizations_url": "https://api.github.com/users/spesmilo/orgs", "subscriptions_url": "https://api.github.com/users/spesmilo/subscriptions", "received_events_url": "https://api.github.com/users/spesmilo/received_events"}, "score": 1.0, "topics": [], "git_url": "git://github.com/spesmilo/electrum.git", "license": {"key": "mit", "url": "https://api.github.com/licenses/mit", "name": "MIT License", "node_id": "MDc6TGljZW5zZTEz", "spdx_id": "MIT"}, "node_id": "MDEwOlJlcG9zaXRvcnk1Mjc0ODk0", "private": false, "ssh_url": "git@github.com:spesmilo/electrum.git", "svn_url": "https://github.com/spesmilo/electrum", "archived": false, "has_wiki": true, "homepage": null, "html_url": "https://github.com/spesmilo/electrum", "keys_url": "https://api.github.com/repos/spesmilo/electrum/keys{/key_id}", "language": "Python", "tags_url": "https://api.github.com/repos/spesmilo/electrum/tags", "watchers": 3142, "blobs_url": "https://api.github.com/repos/spesmilo/electrum/git/blobs{/sha}", "clone_url": "https://github.com/spesmilo/electrum.git", "forks_url": "https://api.github.com/repos/spesmilo/electrum/forks", "full_name": "spesmilo/electrum", "has_pages": false, "hooks_url": "https://api.github.com/repos/spesmilo/electrum/hooks", "pulls_url": "https://api.github.com/repos/spesmilo/electrum/pulls{/number}", "pushed_at": "2018-12-24T18:03:20Z", "teams_url": "https://api.github.com/repos/spesmilo/electrum/teams", "trees_url": "https://api.github.com/repos/spesmilo/electrum/git/trees{/sha}", "created_at": "2012-08-02T16:24:30Z", "events_url": "https://api.github.com/repos/spesmilo/electrum/events", "has_issues": true, "issues_url": "https://api.github.com/repos/spesmilo/electrum/issues{/number}", "labels_url": "https://api.github.com/repos/spesmilo/electrum/labels{/name}", "merges_url": "https://api.github.com/repos/spesmilo/electrum/merges", "mirror_url": null, "updated_at": "2018-12-24T18:03:24Z", "archive_url": "https://api.github.com/repos/spesmilo/electrum/{archive_format}{/ref}", "commits_url": "https://api.github.com/repos/spesmilo/electrum/commits{/sha}", "compare_url": "https://api.github.com/repos/spesmilo/electrum/compare/{base}...{head}", "description": "Electrum; Bitcoin thin client", "forks_count": 1632, "open_issues": 467, "permissions": {"pull": true, "push": false, "admin": false}, "branches_url": "https://api.github.com/repos/spesmilo/electrum/branches{/branch}", "comments_url": "https://api.github.com/repos/spesmilo/electrum/comments{/number}", "contents_url": "https://api.github.com/repos/spesmilo/electrum/contents/{+path}", "git_refs_url": "https://api.github.com/repos/spesmilo/electrum/git/refs{/sha}", "git_tags_url": "https://api.github.com/repos/spesmilo/electrum/git/tags{/sha}", "has_projects": true, "releases_url": "https://api.github.com/repos/spesmilo/electrum/releases{/id}", "statuses_url": "https://api.github.com/repos/spesmilo/electrum/statuses/{sha}", "assignees_url": "https://api.github.com/repos/spesmilo/electrum/assignees{/user}", "downloads_url": "https://api.github.com/repos/spesmilo/electrum/downloads", "has_downloads": true, "languages_url": "https://api.github.com/repos/spesmilo/electrum/languages", "default_branch": "master", "milestones_url": "https://api.github.com/repos/spesmilo/electrum/milestones{/number}", "stargazers_url": "https://api.github.com/repos/spesmilo/electrum/stargazers", "watchers_count": 3142, "deployments_url": "https://api.github.com/repos/spesmilo/electrum/deployments", "git_commits_url": "https://api.github.com/repos/spesmilo/electrum/git/commits{/sha}", "subscribers_url": "https://api.github.com/repos/spesmilo/electrum/subscribers", "contributors_url": "https://api.github.com/repos/spesmilo/electrum/contributors", "issue_events_url": "https://api.github.com/repos/spesmilo/electrum/issues/events{/number}", "stargazers_count": 3142, "subscription_url": "https://api.github.com/repos/spesmilo/electrum/subscription", "collaborators_url": "https://api.github.com/repos/spesmilo/electrum/collaborators{/collaborator}", "issue_comment_url": "https://api.github.com/repos/spesmilo/electrum/issues/comments{/number}", "notifications_url": "https://api.github.com/repos/spesmilo/electrum/notifications{?since,all,participating}", "open_issues_count": 467}</t>
  </si>
  <si>
    <t>frappe/erpnext</t>
  </si>
  <si>
    <t>Open Source ERP built for the web</t>
  </si>
  <si>
    <t>https://github.com/frappe/erpnext</t>
  </si>
  <si>
    <t>"[\"accounting\", \"crm\", \"e-commerce\", \"erp\", \"erp-framework\", \"erpnext\", \"frappe\", \"inventory\", \"payroll\", \"python\", \"school-systems\"]"</t>
  </si>
  <si>
    <t>[{"loc": 4377362, "ratio": 0.6893637621502717, "language": "Python"}, {"loc": 1690561, "ratio": 0.26623603236481824, "language": "JavaScript"}, {"loc": 179317, "ratio": 0.028239529135927133, "language": "HTML"}, {"loc": 52189, "ratio": 0.008218923950740316, "language": "Vue"}, {"loc": 50102, "ratio": 0.007890255183659226, "language": "CSS"}, {"loc": 327, "ratio": 0.000051497214583381234, "language": "Shell"}]</t>
  </si>
  <si>
    <t>v11.0.3</t>
  </si>
  <si>
    <t>47b82789aeff6cf9f0d3b7a9364167dc5ff5e235</t>
  </si>
  <si>
    <t>erpnext</t>
  </si>
  <si>
    <t>{"id": 1864233, "url": "https://api.github.com/repos/frappe/erpnext", "fork": false, "name": "erpnext", "size": 712467, "forks": 1873, "owner": {"id": 836974, "url": "https://api.github.com/users/frappe", "type": "Organization", "login": "frappe", "node_id": "MDEyOk9yZ2FuaXphdGlvbjgzNjk3NA==", "html_url": "https://github.com/frappe", "gists_url": "https://api.github.com/users/frappe/gists{/gist_id}", "repos_url": "https://api.github.com/users/frappe/repos", "avatar_url": "https://avatars2.githubusercontent.com/u/836974?v=4", "events_url": "https://api.github.com/users/frappe/events{/privacy}", "site_admin": false, "gravatar_id": "", "starred_url": "https://api.github.com/users/frappe/starred{/owner}{/repo}", "followers_url": "https://api.github.com/users/frappe/followers", "following_url": "https://api.github.com/users/frappe/following{/other_user}", "organizations_url": "https://api.github.com/users/frappe/orgs", "subscriptions_url": "https://api.github.com/users/frappe/subscriptions", "received_events_url": "https://api.github.com/users/frappe/received_events"}, "score": 1.0, "topics": ["accounting", "crm", "e-commerce", "erp", "erp-framework", "erpnext", "frappe", "inventory", "payroll", "python", "school-systems"], "git_url": "git://github.com/frappe/erpnext.git", "license": {"key": "gpl-3.0", "url": "https://api.github.com/licenses/gpl-3.0", "name": "GNU General Public License v3.0", "node_id": "MDc6TGljZW5zZTk=", "spdx_id": "GPL-3.0"}, "node_id": "MDEwOlJlcG9zaXRvcnkxODY0MjMz", "private": false, "ssh_url": "git@github.com:frappe/erpnext.git", "svn_url": "https://github.com/frappe/erpnext", "archived": false, "has_wiki": true, "homepage": "http://erpnext.com", "html_url": "https://github.com/frappe/erpnext", "keys_url": "https://api.github.com/repos/frappe/erpnext/keys{/key_id}", "language": "Python", "tags_url": "https://api.github.com/repos/frappe/erpnext/tags", "watchers": 4067, "blobs_url": "https://api.github.com/repos/frappe/erpnext/git/blobs{/sha}", "clone_url": "https://github.com/frappe/erpnext.git", "forks_url": "https://api.github.com/repos/frappe/erpnext/forks", "full_name": "frappe/erpnext", "has_pages": false, "hooks_url": "https://api.github.com/repos/frappe/erpnext/hooks", "pulls_url": "https://api.github.com/repos/frappe/erpnext/pulls{/number}", "pushed_at": "2018-12-24T18:01:30Z", "teams_url": "https://api.github.com/repos/frappe/erpnext/teams", "trees_url": "https://api.github.com/repos/frappe/erpnext/git/trees{/sha}", "created_at": "2011-06-08T08:20:56Z", "events_url": "https://api.github.com/repos/frappe/erpnext/events", "has_issues": true, "issues_url": "https://api.github.com/repos/frappe/erpnext/issues{/number}", "labels_url": "https://api.github.com/repos/frappe/erpnext/labels{/name}", "merges_url": "https://api.github.com/repos/frappe/erpnext/merges", "mirror_url": null, "updated_at": "2018-12-25T02:42:40Z", "archive_url": "https://api.github.com/repos/frappe/erpnext/{archive_format}{/ref}", "commits_url": "https://api.github.com/repos/frappe/erpnext/commits{/sha}", "compare_url": "https://api.github.com/repos/frappe/erpnext/compare/{base}...{head}", "description": "Open Source ERP built for the web", "forks_count": 1873, "open_issues": 1699, "permissions": {"pull": true, "push": false, "admin": false}, "branches_url": "https://api.github.com/repos/frappe/erpnext/branches{/branch}", "comments_url": "https://api.github.com/repos/frappe/erpnext/comments{/number}", "contents_url": "https://api.github.com/repos/frappe/erpnext/contents/{+path}", "git_refs_url": "https://api.github.com/repos/frappe/erpnext/git/refs{/sha}", "git_tags_url": "https://api.github.com/repos/frappe/erpnext/git/tags{/sha}", "has_projects": true, "releases_url": "https://api.github.com/repos/frappe/erpnext/releases{/id}", "statuses_url": "https://api.github.com/repos/frappe/erpnext/statuses/{sha}", "assignees_url": "https://api.github.com/repos/frappe/erpnext/assignees{/user}", "downloads_url": "https://api.github.com/repos/frappe/erpnext/downloads", "has_downloads": true, "languages_url": "https://api.github.com/repos/frappe/erpnext/languages", "default_branch": "develop", "milestones_url": "https://api.github.com/repos/frappe/erpnext/milestones{/number}", "stargazers_url": "https://api.github.com/repos/frappe/erpnext/stargazers", "watchers_count": 4067, "deployments_url": "https://api.github.com/repos/frappe/erpnext/deployments", "git_commits_url": "https://api.github.com/repos/frappe/erpnext/git/commits{/sha}", "subscribers_url": "https://api.github.com/repos/frappe/erpnext/subscribers", "contributors_url": "https://api.github.com/repos/frappe/erpnext/contributors", "issue_events_url": "https://api.github.com/repos/frappe/erpnext/issues/events{/number}", "stargazers_count": 4067, "subscription_url": "https://api.github.com/repos/frappe/erpnext/subscription", "collaborators_url": "https://api.github.com/repos/frappe/erpnext/collaborators{/collaborator}", "issue_comment_url": "https://api.github.com/repos/frappe/erpnext/issues/comments{/number}", "notifications_url": "https://api.github.com/repos/frappe/erpnext/notifications{?since,all,participating}", "open_issues_count": 1699}</t>
  </si>
  <si>
    <t>pyeve/eve</t>
  </si>
  <si>
    <t>REST API framework designed for human beings</t>
  </si>
  <si>
    <t>https://github.com/pyeve/eve</t>
  </si>
  <si>
    <t>"[\"flask\", \"mongodb\", \"python\", \"rest\"]"</t>
  </si>
  <si>
    <t>[{"loc": 823914, "ratio": 0.999240788803454, "language": "Python"}, {"loc": 626, "ratio": 0.0007592111965459529, "language": "Makefile"}]</t>
  </si>
  <si>
    <t>v0.8.1</t>
  </si>
  <si>
    <t>e3838be901833b2de0eb298d37f784f743f23141</t>
  </si>
  <si>
    <t>eve</t>
  </si>
  <si>
    <t>{"id": 6331139, "url": "https://api.github.com/repos/pyeve/eve", "fork": false, "name": "eve", "size": 16402, "forks": 651, "owner": {"id": 26229868, "url": "https://api.github.com/users/pyeve", "type": "Organization", "login": "pyeve", "node_id": "MDEyOk9yZ2FuaXphdGlvbjI2MjI5ODY4", "html_url": "https://github.com/pyeve", "gists_url": "https://api.github.com/users/pyeve/gists{/gist_id}", "repos_url": "https://api.github.com/users/pyeve/repos", "avatar_url": "https://avatars3.githubusercontent.com/u/26229868?v=4", "events_url": "https://api.github.com/users/pyeve/events{/privacy}", "site_admin": false, "gravatar_id": "", "starred_url": "https://api.github.com/users/pyeve/starred{/owner}{/repo}", "followers_url": "https://api.github.com/users/pyeve/followers", "following_url": "https://api.github.com/users/pyeve/following{/other_user}", "organizations_url": "https://api.github.com/users/pyeve/orgs", "subscriptions_url": "https://api.github.com/users/pyeve/subscriptions", "received_events_url": "https://api.github.com/users/pyeve/received_events"}, "score": 1.0, "topics": ["flask", "mongodb", "python", "rest"], "git_url": "git://github.com/pyeve/eve.git", "license": {"key": "other", "url": null, "name": "Other", "node_id": "MDc6TGljZW5zZTA=", "spdx_id": "NOASSERTION"}, "node_id": "MDEwOlJlcG9zaXRvcnk2MzMxMTM5", "private": false, "ssh_url": "git@github.com:pyeve/eve.git", "svn_url": "https://github.com/pyeve/eve", "archived": false, "has_wiki": false, "homepage": "http://python-eve.org", "html_url": "https://github.com/pyeve/eve", "keys_url": "https://api.github.com/repos/pyeve/eve/keys{/key_id}", "language": "Python", "tags_url": "https://api.github.com/repos/pyeve/eve/tags", "watchers": 5387, "blobs_url": "https://api.github.com/repos/pyeve/eve/git/blobs{/sha}", "clone_url": "https://github.com/pyeve/eve.git", "forks_url": "https://api.github.com/repos/pyeve/eve/forks", "full_name": "pyeve/eve", "has_pages": true, "hooks_url": "https://api.github.com/repos/pyeve/eve/hooks", "pulls_url": "https://api.github.com/repos/pyeve/eve/pulls{/number}", "pushed_at": "2018-12-10T07:13:03Z", "teams_url": "https://api.github.com/repos/pyeve/eve/teams", "trees_url": "https://api.github.com/repos/pyeve/eve/git/trees{/sha}", "created_at": "2012-10-22T07:39:33Z", "events_url": "https://api.github.com/repos/pyeve/eve/events", "has_issues": true, "issues_url": "https://api.github.com/repos/pyeve/eve/issues{/number}", "labels_url": "https://api.github.com/repos/pyeve/eve/labels{/name}", "merges_url": "https://api.github.com/repos/pyeve/eve/merges", "mirror_url": null, "updated_at": "2018-12-24T21:19:50Z", "archive_url": "https://api.github.com/repos/pyeve/eve/{archive_format}{/ref}", "commits_url": "https://api.github.com/repos/pyeve/eve/commits{/sha}", "compare_url": "https://api.github.com/repos/pyeve/eve/compare/{base}...{head}", "description": "REST API framework designed for human beings", "forks_count": 651, "open_issues": 27, "permissions": {"pull": true, "push": false, "admin": false}, "branches_url": "https://api.github.com/repos/pyeve/eve/branches{/branch}", "comments_url": "https://api.github.com/repos/pyeve/eve/comments{/number}", "contents_url": "https://api.github.com/repos/pyeve/eve/contents/{+path}", "git_refs_url": "https://api.github.com/repos/pyeve/eve/git/refs{/sha}", "git_tags_url": "https://api.github.com/repos/pyeve/eve/git/tags{/sha}", "has_projects": true, "releases_url": "https://api.github.com/repos/pyeve/eve/releases{/id}", "statuses_url": "https://api.github.com/repos/pyeve/eve/statuses/{sha}", "assignees_url": "https://api.github.com/repos/pyeve/eve/assignees{/user}", "downloads_url": "https://api.github.com/repos/pyeve/eve/downloads", "has_downloads": true, "languages_url": "https://api.github.com/repos/pyeve/eve/languages", "default_branch": "master", "milestones_url": "https://api.github.com/repos/pyeve/eve/milestones{/number}", "stargazers_url": "https://api.github.com/repos/pyeve/eve/stargazers", "watchers_count": 5387, "deployments_url": "https://api.github.com/repos/pyeve/eve/deployments", "git_commits_url": "https://api.github.com/repos/pyeve/eve/git/commits{/sha}", "subscribers_url": "https://api.github.com/repos/pyeve/eve/subscribers", "contributors_url": "https://api.github.com/repos/pyeve/eve/contributors", "issue_events_url": "https://api.github.com/repos/pyeve/eve/issues/events{/number}", "stargazers_count": 5387, "subscription_url": "https://api.github.com/repos/pyeve/eve/subscription", "collaborators_url": "https://api.github.com/repos/pyeve/eve/collaborators{/collaborator}", "issue_comment_url": "https://api.github.com/repos/pyeve/eve/issues/comments{/number}", "notifications_url": "https://api.github.com/repos/pyeve/eve/notifications{?since,all,participating}", "open_issues_count": 27}</t>
  </si>
  <si>
    <t>fail2ban/fail2ban</t>
  </si>
  <si>
    <t>Daemon to ban hosts that cause multiple authentication errors</t>
  </si>
  <si>
    <t>https://github.com/fail2ban/fail2ban</t>
  </si>
  <si>
    <t>"[\"anti-bot\", \"attack-prevention\", \"ban-hosts\", \"bsd\", \"fail2ban\", \"gplv2\", \"ids\", \"intrusion-detection\", \"intrusion-prevention\", \"ips\", \"linux\", \"macos\", \"python\", \"security\"]"</t>
  </si>
  <si>
    <t>[{"loc": 994060, "ratio": 0.9534616048648545, "language": "Python"}, {"loc": 28198, "ratio": 0.027046365746513458, "language": "Shell"}, {"loc": 20322, "ratio": 0.019492029388632048, "language": "Perl"}]</t>
  </si>
  <si>
    <t>debian/0.10.2-2</t>
  </si>
  <si>
    <t>5273fd34a59a521a7d67d620d4194bf4ea58bc64</t>
  </si>
  <si>
    <t>fail2ban</t>
  </si>
  <si>
    <t>{"id": 2476162, "url": "https://api.github.com/repos/fail2ban/fail2ban", "fork": false, "name": "fail2ban", "size": 10145, "forks": 692, "owner": {"id": 1087378, "url": "https://api.github.com/users/fail2ban", "type": "Organization", "login": "fail2ban", "node_id": "MDEyOk9yZ2FuaXphdGlvbjEwODczNzg=", "html_url": "https://github.com/fail2ban", "gists_url": "https://api.github.com/users/fail2ban/gists{/gist_id}", "repos_url": "https://api.github.com/users/fail2ban/repos", "avatar_url": "https://avatars2.githubusercontent.com/u/1087378?v=4", "events_url": "https://api.github.com/users/fail2ban/events{/privacy}", "site_admin": false, "gravatar_id": "", "starred_url": "https://api.github.com/users/fail2ban/starred{/owner}{/repo}", "followers_url": "https://api.github.com/users/fail2ban/followers", "following_url": "https://api.github.com/users/fail2ban/following{/other_user}", "organizations_url": "https://api.github.com/users/fail2ban/orgs", "subscriptions_url": "https://api.github.com/users/fail2ban/subscriptions", "received_events_url": "https://api.github.com/users/fail2ban/received_events"}, "score": 1.0, "topics": ["anti-bot", "attack-prevention", "ban-hosts", "bsd", "fail2ban", "gplv2", "ids", "intrusion-detection", "intrusion-prevention", "ips", "linux", "macos", "python", "security"], "git_url": "git://github.com/fail2ban/fail2ban.git", "license": {"key": "gpl-2.0", "url": "https://api.github.com/licenses/gpl-2.0", "name": "GNU General Public License v2.0", "node_id": "MDc6TGljZW5zZTg=", "spdx_id": "GPL-2.0"}, "node_id": "MDEwOlJlcG9zaXRvcnkyNDc2MTYy", "private": false, "ssh_url": "git@github.com:fail2ban/fail2ban.git", "svn_url": "https://github.com/fail2ban/fail2ban", "archived": false, "has_wiki": true, "homepage": "http://www.fail2ban.org", "html_url": "https://github.com/fail2ban/fail2ban", "keys_url": "https://api.github.com/repos/fail2ban/fail2ban/keys{/key_id}", "language": "Python", "tags_url": "https://api.github.com/repos/fail2ban/fail2ban/tags", "watchers": 3640, "blobs_url": "https://api.github.com/repos/fail2ban/fail2ban/git/blobs{/sha}", "clone_url": "https://github.com/fail2ban/fail2ban.git", "forks_url": "https://api.github.com/repos/fail2ban/fail2ban/forks", "full_name": "fail2ban/fail2ban", "has_pages": false, "hooks_url": "https://api.github.com/repos/fail2ban/fail2ban/hooks", "pulls_url": "https://api.github.com/repos/fail2ban/fail2ban/pulls{/number}", "pushed_at": "2018-12-19T11:20:30Z", "teams_url": "https://api.github.com/repos/fail2ban/fail2ban/teams", "trees_url": "https://api.github.com/repos/fail2ban/fail2ban/git/trees{/sha}", "created_at": "2011-09-28T16:24:20Z", "events_url": "https://api.github.com/repos/fail2ban/fail2ban/events", "has_issues": true, "issues_url": "https://api.github.com/repos/fail2ban/fail2ban/issues{/number}", "labels_url": "https://api.github.com/repos/fail2ban/fail2ban/labels{/name}", "merges_url": "https://api.github.com/repos/fail2ban/fail2ban/merges", "mirror_url": null, "updated_at": "2018-12-25T01:56:24Z", "archive_url": "https://api.github.com/repos/fail2ban/fail2ban/{archive_format}{/ref}", "commits_url": "https://api.github.com/repos/fail2ban/fail2ban/commits{/sha}", "compare_url": "https://api.github.com/repos/fail2ban/fail2ban/compare/{base}...{head}", "description": "Daemon to ban hosts that cause multiple authentication errors", "forks_count": 692, "open_issues": 132, "permissions": {"pull": true, "push": false, "admin": false}, "branches_url": "https://api.github.com/repos/fail2ban/fail2ban/branches{/branch}", "comments_url": "https://api.github.com/repos/fail2ban/fail2ban/comments{/number}", "contents_url": "https://api.github.com/repos/fail2ban/fail2ban/contents/{+path}", "git_refs_url": "https://api.github.com/repos/fail2ban/fail2ban/git/refs{/sha}", "git_tags_url": "https://api.github.com/repos/fail2ban/fail2ban/git/tags{/sha}", "has_projects": true, "releases_url": "https://api.github.com/repos/fail2ban/fail2ban/releases{/id}", "statuses_url": "https://api.github.com/repos/fail2ban/fail2ban/statuses/{sha}", "assignees_url": "https://api.github.com/repos/fail2ban/fail2ban/assignees{/user}", "downloads_url": "https://api.github.com/repos/fail2ban/fail2ban/downloads", "has_downloads": true, "languages_url": "https://api.github.com/repos/fail2ban/fail2ban/languages", "default_branch": "0.11", "milestones_url": "https://api.github.com/repos/fail2ban/fail2ban/milestones{/number}", "stargazers_url": "https://api.github.com/repos/fail2ban/fail2ban/stargazers", "watchers_count": 3640, "deployments_url": "https://api.github.com/repos/fail2ban/fail2ban/deployments", "git_commits_url": "https://api.github.com/repos/fail2ban/fail2ban/git/commits{/sha}", "subscribers_url": "https://api.github.com/repos/fail2ban/fail2ban/subscribers", "contributors_url": "https://api.github.com/repos/fail2ban/fail2ban/contributors", "issue_events_url": "https://api.github.com/repos/fail2ban/fail2ban/issues/events{/number}", "stargazers_count": 3640, "subscription_url": "https://api.github.com/repos/fail2ban/fail2ban/subscription", "collaborators_url": "https://api.github.com/repos/fail2ban/fail2ban/collaborators{/collaborator}", "issue_comment_url": "https://api.github.com/repos/fail2ban/fail2ban/issues/comments{/number}", "notifications_url": "https://api.github.com/repos/fail2ban/fail2ban/notifications{?since,all,participating}", "open_issues_count": 132}</t>
  </si>
  <si>
    <t>joke2k/faker</t>
  </si>
  <si>
    <t>Faker is a Python package that generates fake data for you.</t>
  </si>
  <si>
    <t>https://github.com/joke2k/faker</t>
  </si>
  <si>
    <t>"[\"dataset\", \"fake\", \"fake-data\", \"python\", \"test-data\", \"test-data-generator\", \"testing\"]"</t>
  </si>
  <si>
    <t>[{"loc": 2990272, "ratio": 0.9999404771857079, "language": "Python"}, {"loc": 178, "ratio": 0.000059522814292163385, "language": "Makefile"}]</t>
  </si>
  <si>
    <t>v1.0.1</t>
  </si>
  <si>
    <t>9f145ba4102533e63eabe4f7e321c096223d7088</t>
  </si>
  <si>
    <t>faker</t>
  </si>
  <si>
    <t>{"id": 6662075, "url": "https://api.github.com/repos/joke2k/faker", "fork": false, "name": "faker", "size": 3758, "forks": 847, "owner": {"id": 359076, "url": "https://api.github.com/users/joke2k", "type": "User", "login": "joke2k", "node_id": "MDQ6VXNlcjM1OTA3Ng==", "html_url": "https://github.com/joke2k", "gists_url": "https://api.github.com/users/joke2k/gists{/gist_id}", "repos_url": "https://api.github.com/users/joke2k/repos", "avatar_url": "https://avatars0.githubusercontent.com/u/359076?v=4", "events_url": "https://api.github.com/users/joke2k/events{/privacy}", "site_admin": false, "gravatar_id": "", "starred_url": "https://api.github.com/users/joke2k/starred{/owner}{/repo}", "followers_url": "https://api.github.com/users/joke2k/followers", "following_url": "https://api.github.com/users/joke2k/following{/other_user}", "organizations_url": "https://api.github.com/users/joke2k/orgs", "subscriptions_url": "https://api.github.com/users/joke2k/subscriptions", "received_events_url": "https://api.github.com/users/joke2k/received_events"}, "score": 1.0, "topics": ["dataset", "fake", "fake-data", "python", "test-data", "test-data-generator", "testing"], "git_url": "git://github.com/joke2k/faker.git", "license": {"key": "mit", "url": "https://api.github.com/licenses/mit", "name": "MIT License", "node_id": "MDc6TGljZW5zZTEz", "spdx_id": "MIT"}, "node_id": "MDEwOlJlcG9zaXRvcnk2NjYyMDc1", "private": false, "ssh_url": "git@github.com:joke2k/faker.git", "svn_url": "https://github.com/joke2k/faker", "archived": false, "has_wiki": true, "homepage": "http://faker.rtfd.org", "html_url": "https://github.com/joke2k/faker", "keys_url": "https://api.github.com/repos/joke2k/faker/keys{/key_id}", "language": "Python", "tags_url": "https://api.github.com/repos/joke2k/faker/tags", "watchers": 7071, "blobs_url": "https://api.github.com/repos/joke2k/faker/git/blobs{/sha}", "clone_url": "https://github.com/joke2k/faker.git", "forks_url": "https://api.github.com/repos/joke2k/faker/forks", "full_name": "joke2k/faker", "has_pages": false, "hooks_url": "https://api.github.com/repos/joke2k/faker/hooks", "pulls_url": "https://api.github.com/repos/joke2k/faker/pulls{/number}", "pushed_at": "2018-12-22T12:57:41Z", "teams_url": "https://api.github.com/repos/joke2k/faker/teams", "trees_url": "https://api.github.com/repos/joke2k/faker/git/trees{/sha}", "created_at": "2012-11-12T23:00:09Z", "events_url": "https://api.github.com/repos/joke2k/faker/events", "has_issues": true, "issues_url": "https://api.github.com/repos/joke2k/faker/issues{/number}", "labels_url": "https://api.github.com/repos/joke2k/faker/labels{/name}", "merges_url": "https://api.github.com/repos/joke2k/faker/merges", "mirror_url": null, "updated_at": "2018-12-25T02:29:43Z", "archive_url": "https://api.github.com/repos/joke2k/faker/{archive_format}{/ref}", "commits_url": "https://api.github.com/repos/joke2k/faker/commits{/sha}", "compare_url": "https://api.github.com/repos/joke2k/faker/compare/{base}...{head}", "description": "Faker is a Python package that generates fake data for you.", "forks_count": 847, "open_issues": 84, "permissions": {"pull": true, "push": false, "admin": false}, "branches_url": "https://api.github.com/repos/joke2k/faker/branches{/branch}", "comments_url": "https://api.github.com/repos/joke2k/faker/comments{/number}", "contents_url": "https://api.github.com/repos/joke2k/faker/contents/{+path}", "git_refs_url": "https://api.github.com/repos/joke2k/faker/git/refs{/sha}", "git_tags_url": "https://api.github.com/repos/joke2k/faker/git/tags{/sha}", "has_projects": true, "releases_url": "https://api.github.com/repos/joke2k/faker/releases{/id}", "statuses_url": "https://api.github.com/repos/joke2k/faker/statuses/{sha}", "assignees_url": "https://api.github.com/repos/joke2k/faker/assignees{/user}", "downloads_url": "https://api.github.com/repos/joke2k/faker/downloads", "has_downloads": true, "languages_url": "https://api.github.com/repos/joke2k/faker/languages", "default_branch": "master", "milestones_url": "https://api.github.com/repos/joke2k/faker/milestones{/number}", "stargazers_url": "https://api.github.com/repos/joke2k/faker/stargazers", "watchers_count": 7071, "deployments_url": "https://api.github.com/repos/joke2k/faker/deployments", "git_commits_url": "https://api.github.com/repos/joke2k/faker/git/commits{/sha}", "subscribers_url": "https://api.github.com/repos/joke2k/faker/subscribers", "contributors_url": "https://api.github.com/repos/joke2k/faker/contributors", "issue_events_url": "https://api.github.com/repos/joke2k/faker/issues/events{/number}", "stargazers_count": 7071, "subscription_url": "https://api.github.com/repos/joke2k/faker/subscription", "collaborators_url": "https://api.github.com/repos/joke2k/faker/collaborators{/collaborator}", "issue_comment_url": "https://api.github.com/repos/joke2k/faker/issues/comments{/number}", "notifications_url": "https://api.github.com/repos/joke2k/faker/notifications{?since,all,participating}", "open_issues_count": 84}</t>
  </si>
  <si>
    <t>falconry/falcon</t>
  </si>
  <si>
    <t>Falcon is a bare-metal Python web API framework for building high-performance microservices, app backends, and higher-level frameworks.</t>
  </si>
  <si>
    <t>https://github.com/falconry/falcon</t>
  </si>
  <si>
    <t>"[\"api\", \"framework\", \"http\", \"microservices\", \"python\", \"rest\", \"web\"]"</t>
  </si>
  <si>
    <t>[{"loc": 803901, "ratio": 0.9892230320466517, "language": "Python"}, {"loc": 4398, "ratio": 0.0054118640167647196, "language": "Shell"}, {"loc": 1531, "ratio": 0.00188393901993333, "language": "HTML"}, {"loc": 1526, "ratio": 0.0018777863778042204, "language": "Dockerfile"}, {"loc": 734, "ratio": 0.0009032078645532752, "language": "Makefile"}, {"loc": 569, "ratio": 0.0007001706742926615, "language": "CSS"}]</t>
  </si>
  <si>
    <t>1.4.1</t>
  </si>
  <si>
    <t>1e3f52b28d37aabd7572f220c4195b1d96280941</t>
  </si>
  <si>
    <t>falcon</t>
  </si>
  <si>
    <t>{"id": 7040500, "url": "https://api.github.com/repos/falconry/falcon", "fork": false, "name": "falcon", "size": 4828, "forks": 627, "owner": {"id": 11353642, "url": "https://api.github.com/users/falconry", "type": "Organization", "login": "falconry", "node_id": "MDEyOk9yZ2FuaXphdGlvbjExMzUzNjQy", "html_url": "https://github.com/falconry", "gists_url": "https://api.github.com/users/falconry/gists{/gist_id}", "repos_url": "https://api.github.com/users/falconry/repos", "avatar_url": "https://avatars0.githubusercontent.com/u/11353642?v=4", "events_url": "https://api.github.com/users/falconry/events{/privacy}", "site_admin": false, "gravatar_id": "", "starred_url": "https://api.github.com/users/falconry/starred{/owner}{/repo}", "followers_url": "https://api.github.com/users/falconry/followers", "following_url": "https://api.github.com/users/falconry/following{/other_user}", "organizations_url": "https://api.github.com/users/falconry/orgs", "subscriptions_url": "https://api.github.com/users/falconry/subscriptions", "received_events_url": "https://api.github.com/users/falconry/received_events"}, "score": 1.0, "topics": ["api", "framework", "http", "microservices", "python", "rest", "web"], "git_url": "git://github.com/falconry/falcon.git", "license": {"key": "other", "url": null, "name": "Other", "node_id": "MDc6TGljZW5zZTA=", "spdx_id": "NOASSERTION"}, "node_id": "MDEwOlJlcG9zaXRvcnk3MDQwNTAw", "private": false, "ssh_url": "git@github.com:falconry/falcon.git", "svn_url": "https://github.com/falconry/falcon", "archived": false, "has_wiki": true, "homepage": "https://falcon.readthedocs.io/en/stable/", "html_url": "https://github.com/falconry/falcon", "keys_url": "https://api.github.com/repos/falconry/falcon/keys{/key_id}", "language": "Python", "tags_url": "https://api.github.com/repos/falconry/falcon/tags", "watchers": 5998, "blobs_url": "https://api.github.com/repos/falconry/falcon/git/blobs{/sha}", "clone_url": "https://github.com/falconry/falcon.git", "forks_url": "https://api.github.com/repos/falconry/falcon/forks", "full_name": "falconry/falcon", "has_pages": false, "hooks_url": "https://api.github.com/repos/falconry/falcon/hooks", "pulls_url": "https://api.github.com/repos/falconry/falcon/pulls{/number}", "pushed_at": "2018-12-23T21:33:51Z", "teams_url": "https://api.github.com/repos/falconry/falcon/teams", "trees_url": "https://api.github.com/repos/falconry/falcon/git/trees{/sha}", "created_at": "2012-12-06T18:17:51Z", "events_url": "https://api.github.com/repos/falconry/falcon/events", "has_issues": true, "issues_url": "https://api.github.com/repos/falconry/falcon/issues{/number}", "labels_url": "https://api.github.com/repos/falconry/falcon/labels{/name}", "merges_url": "https://api.github.com/repos/falconry/falcon/merges", "mirror_url": null, "updated_at": "2018-12-24T14:56:56Z", "archive_url": "https://api.github.com/repos/falconry/falcon/{archive_format}{/ref}", "commits_url": "https://api.github.com/repos/falconry/falcon/commits{/sha}", "compare_url": "https://api.github.com/repos/falconry/falcon/compare/{base}...{head}", "description": "Falcon is a bare-metal Python web API framework for building high-performance microservices, app backends, and higher-level frameworks.", "forks_count": 627, "open_issues": 224, "permissions": {"pull": true, "push": false, "admin": false}, "branches_url": "https://api.github.com/repos/falconry/falcon/branches{/branch}", "comments_url": "https://api.github.com/repos/falconry/falcon/comments{/number}", "contents_url": "https://api.github.com/repos/falconry/falcon/contents/{+path}", "git_refs_url": "https://api.github.com/repos/falconry/falcon/git/refs{/sha}", "git_tags_url": "https://api.github.com/repos/falconry/falcon/git/tags{/sha}", "has_projects": true, "releases_url": "https://api.github.com/repos/falconry/falcon/releases{/id}", "statuses_url": "https://api.github.com/repos/falconry/falcon/statuses/{sha}", "assignees_url": "https://api.github.com/repos/falconry/falcon/assignees{/user}", "downloads_url": "https://api.github.com/repos/falconry/falcon/downloads", "has_downloads": true, "languages_url": "https://api.github.com/repos/falconry/falcon/languages", "default_branch": "master", "milestones_url": "https://api.github.com/repos/falconry/falcon/milestones{/number}", "stargazers_url": "https://api.github.com/repos/falconry/falcon/stargazers", "watchers_count": 5998, "deployments_url": "https://api.github.com/repos/falconry/falcon/deployments", "git_commits_url": "https://api.github.com/repos/falconry/falcon/git/commits{/sha}", "subscribers_url": "https://api.github.com/repos/falconry/falcon/subscribers", "contributors_url": "https://api.github.com/repos/falconry/falcon/contributors", "issue_events_url": "https://api.github.com/repos/falconry/falcon/issues/events{/number}", "stargazers_count": 5998, "subscription_url": "https://api.github.com/repos/falconry/falcon/subscription", "collaborators_url": "https://api.github.com/repos/falconry/falcon/collaborators{/collaborator}", "issue_comment_url": "https://api.github.com/repos/falconry/falcon/issues/comments{/number}", "notifications_url": "https://api.github.com/repos/falconry/falcon/notifications{?since,all,participating}", "open_issues_count": 224}</t>
  </si>
  <si>
    <t>pallets/flask</t>
  </si>
  <si>
    <t>The Python micro framework for building web applications.</t>
  </si>
  <si>
    <t>https://github.com/pallets/flask</t>
  </si>
  <si>
    <t>"[\"flask\", \"jinja\", \"python\", \"web-framework\", \"werkzeug\", \"wsgi\"]"</t>
  </si>
  <si>
    <t>[{"loc": 497238, "ratio": 0.9980490154754019, "language": "Python"}, {"loc": 550, "ratio": 0.0011039521486923185, "language": "Makefile"}, {"loc": 404, "ratio": 0.0008109030328576303, "language": "HTML"}, {"loc": 18, "ratio": 0.00003612934304811224, "language": "CSS"}]</t>
  </si>
  <si>
    <t>dfd3619d6f8796d48fc4e32f819cec9e8aa59156</t>
  </si>
  <si>
    <t>flask</t>
  </si>
  <si>
    <t>{"id": 596892, "url": "https://api.github.com/repos/pallets/flask", "fork": false, "name": "flask", "size": 6407, "forks": 11768, "owner": {"id": 16748505, "url": "https://api.github.com/users/pallets", "type": "Organization", "login": "pallets", "node_id": "MDEyOk9yZ2FuaXphdGlvbjE2NzQ4NTA1", "html_url": "https://github.com/pallets", "gists_url": "https://api.github.com/users/pallets/gists{/gist_id}", "repos_url": "https://api.github.com/users/pallets/repos", "avatar_url": "https://avatars3.githubusercontent.com/u/16748505?v=4", "events_url": "https://api.github.com/users/pallets/events{/privacy}", "site_admin": false, "gravatar_id": "", "starred_url": "https://api.github.com/users/pallets/starred{/owner}{/repo}", "followers_url": "https://api.github.com/users/pallets/followers", "following_url": "https://api.github.com/users/pallets/following{/other_user}", "organizations_url": "https://api.github.com/users/pallets/orgs", "subscriptions_url": "https://api.github.com/users/pallets/subscriptions", "received_events_url": "https://api.github.com/users/pallets/received_events"}, "score": 1.0, "topics": ["flask", "jinja", "python", "web-framework", "werkzeug", "wsgi"], "git_url": "git://github.com/pallets/flask.git", "license": {"key": "other", "url": null, "name": "Other", "node_id": "MDc6TGljZW5zZTA=", "spdx_id": "NOASSERTION"}, "node_id": "MDEwOlJlcG9zaXRvcnk1OTY4OTI=", "private": false, "ssh_url": "git@github.com:pallets/flask.git", "svn_url": "https://github.com/pallets/flask", "archived": false, "has_wiki": false, "homepage": "https://www.palletsprojects.com/p/flask/", "html_url": "https://github.com/pallets/flask", "keys_url": "https://api.github.com/repos/pallets/flask/keys{/key_id}", "language": "Python", "tags_url": "https://api.github.com/repos/pallets/flask/tags", "watchers": 40833, "blobs_url": "https://api.github.com/repos/pallets/flask/git/blobs{/sha}", "clone_url": "https://github.com/pallets/flask.git", "forks_url": "https://api.github.com/repos/pallets/flask/forks", "full_name": "pallets/flask", "has_pages": false, "hooks_url": "https://api.github.com/repos/pallets/flask/hooks", "pulls_url": "https://api.github.com/repos/pallets/flask/pulls{/number}", "pushed_at": "2018-12-24T01:28:45Z", "teams_url": "https://api.github.com/repos/pallets/flask/teams", "trees_url": "https://api.github.com/repos/pallets/flask/git/trees{/sha}", "created_at": "2010-04-06T11:11:59Z", "events_url": "https://api.github.com/repos/pallets/flask/events", "has_issues": true, "issues_url": "https://api.github.com/repos/pallets/flask/issues{/number}", "labels_url": "https://api.github.com/repos/pallets/flask/labels{/name}", "merges_url": "https://api.github.com/repos/pallets/flask/merges", "mirror_url": null, "updated_at": "2018-12-25T02:33:25Z", "archive_url": "https://api.github.com/repos/pallets/flask/{archive_format}{/ref}", "commits_url": "https://api.github.com/repos/pallets/flask/commits{/sha}", "compare_url": "https://api.github.com/repos/pallets/flask/compare/{base}...{head}", "description": "The Python micro framework for building web applications.", "forks_count": 11768, "open_issues": 71, "permissions": {"pull": true, "push": false, "admin": false}, "branches_url": "https://api.github.com/repos/pallets/flask/branches{/branch}", "comments_url": "https://api.github.com/repos/pallets/flask/comments{/number}", "contents_url": "https://api.github.com/repos/pallets/flask/contents/{+path}", "git_refs_url": "https://api.github.com/repos/pallets/flask/git/refs{/sha}", "git_tags_url": "https://api.github.com/repos/pallets/flask/git/tags{/sha}", "has_projects": false, "releases_url": "https://api.github.com/repos/pallets/flask/releases{/id}", "statuses_url": "https://api.github.com/repos/pallets/flask/statuses/{sha}", "assignees_url": "https://api.github.com/repos/pallets/flask/assignees{/user}", "downloads_url": "https://api.github.com/repos/pallets/flask/downloads", "has_downloads": true, "languages_url": "https://api.github.com/repos/pallets/flask/languages", "default_branch": "master", "milestones_url": "https://api.github.com/repos/pallets/flask/milestones{/number}", "stargazers_url": "https://api.github.com/repos/pallets/flask/stargazers", "watchers_count": 40833, "deployments_url": "https://api.github.com/repos/pallets/flask/deployments", "git_commits_url": "https://api.github.com/repos/pallets/flask/git/commits{/sha}", "subscribers_url": "https://api.github.com/repos/pallets/flask/subscribers", "contributors_url": "https://api.github.com/repos/pallets/flask/contributors", "issue_events_url": "https://api.github.com/repos/pallets/flask/issues/events{/number}", "stargazers_count": 40833, "subscription_url": "https://api.github.com/repos/pallets/flask/subscription", "collaborators_url": "https://api.github.com/repos/pallets/flask/collaborators{/collaborator}", "issue_comment_url": "https://api.github.com/repos/pallets/flask/issues/comments{/number}", "notifications_url": "https://api.github.com/repos/pallets/flask/notifications{?since,all,participating}", "open_issues_count": 71}</t>
  </si>
  <si>
    <t>fonttools/fonttools</t>
  </si>
  <si>
    <t>A library to manipulate font files from Python.</t>
  </si>
  <si>
    <t>https://github.com/fonttools/fonttools</t>
  </si>
  <si>
    <t>[{"loc": 3796381, "ratio": 0.9993082406490745, "language": "Python"}, {"loc": 2304, "ratio": 0.0006064739514962982, "language": "Shell"}, {"loc": 324, "ratio": 0.00008528539942916693, "language": "Makefile"}]</t>
  </si>
  <si>
    <t>RoboFog-1.6.3</t>
  </si>
  <si>
    <t>df83623cfe09733750eed2c2ed5f4bde674bb9f9</t>
  </si>
  <si>
    <t>fonttools</t>
  </si>
  <si>
    <t>{"id": 11639637, "url": "https://api.github.com/repos/fonttools/fonttools", "fork": false, "name": "fonttools", "size": 14271, "forks": 208, "owner": {"id": 20555868, "url": "https://api.github.com/users/fonttools", "type": "Organization", "login": "fonttools", "node_id": "MDEyOk9yZ2FuaXphdGlvbjIwNTU1ODY4", "html_url": "https://github.com/fonttools", "gists_url": "https://api.github.com/users/fonttools/gists{/gist_id}", "repos_url": "https://api.github.com/users/fonttools/repos", "avatar_url": "https://avatars3.githubusercontent.com/u/20555868?v=4", "events_url": "https://api.github.com/users/fonttools/events{/privacy}", "site_admin": false, "gravatar_id": "", "starred_url": "https://api.github.com/users/fonttools/starred{/owner}{/repo}", "followers_url": "https://api.github.com/users/fonttools/followers", "following_url": "https://api.github.com/users/fonttools/following{/other_user}", "organizations_url": "https://api.github.com/users/fonttools/orgs", "subscriptions_url": "https://api.github.com/users/fonttools/subscriptions", "received_events_url": "https://api.github.com/users/fonttools/received_events"}, "score": 1.0, "topics": [], "git_url": "git://github.com/fonttools/fonttools.git", "license": {"key": "other", "url": null, "name": "Other", "node_id": "MDc6TGljZW5zZTA=", "spdx_id": "NOASSERTION"}, "node_id": "MDEwOlJlcG9zaXRvcnkxMTYzOTYzNw==", "private": false, "ssh_url": "git@github.com:fonttools/fonttools.git", "svn_url": "https://github.com/fonttools/fonttools", "archived": false, "has_wiki": true, "homepage": "https://groups.google.com/d/forum/fonttools", "html_url": "https://github.com/fonttools/fonttools", "keys_url": "https://api.github.com/repos/fonttools/fonttools/keys{/key_id}", "language": "Python", "tags_url": "https://api.github.com/repos/fonttools/fonttools/tags", "watchers": 1463, "blobs_url": "https://api.github.com/repos/fonttools/fonttools/git/blobs{/sha}", "clone_url": "https://github.com/fonttools/fonttools.git", "forks_url": "https://api.github.com/repos/fonttools/fonttools/forks", "full_name": "fonttools/fonttools", "has_pages": false, "hooks_url": "https://api.github.com/repos/fonttools/fonttools/hooks", "pulls_url": "https://api.github.com/repos/fonttools/fonttools/pulls{/number}", "pushed_at": "2018-12-24T15:06:11Z", "teams_url": "https://api.github.com/repos/fonttools/fonttools/teams", "trees_url": "https://api.github.com/repos/fonttools/fonttools/git/trees{/sha}", "created_at": "2013-07-24T16:28:35Z", "events_url": "https://api.github.com/repos/fonttools/fonttools/events", "has_issues": true, "issues_url": "https://api.github.com/repos/fonttools/fonttools/issues{/number}", "labels_url": "https://api.github.com/repos/fonttools/fonttools/labels{/name}", "merges_url": "https://api.github.com/repos/fonttools/fonttools/merges", "mirror_url": null, "updated_at": "2018-12-25T02:40:39Z", "archive_url": "https://api.github.com/repos/fonttools/fonttools/{archive_format}{/ref}", "commits_url": "https://api.github.com/repos/fonttools/fonttools/commits{/sha}", "compare_url": "https://api.github.com/repos/fonttools/fonttools/compare/{base}...{head}", "description": "A library to manipulate font files from Python.", "forks_count": 208, "open_issues": 270, "permissions": {"pull": true, "push": false, "admin": false}, "branches_url": "https://api.github.com/repos/fonttools/fonttools/branches{/branch}", "comments_url": "https://api.github.com/repos/fonttools/fonttools/comments{/number}", "contents_url": "https://api.github.com/repos/fonttools/fonttools/contents/{+path}", "git_refs_url": "https://api.github.com/repos/fonttools/fonttools/git/refs{/sha}", "git_tags_url": "https://api.github.com/repos/fonttools/fonttools/git/tags{/sha}", "has_projects": true, "releases_url": "https://api.github.com/repos/fonttools/fonttools/releases{/id}", "statuses_url": "https://api.github.com/repos/fonttools/fonttools/statuses/{sha}", "assignees_url": "https://api.github.com/repos/fonttools/fonttools/assignees{/user}", "downloads_url": "https://api.github.com/repos/fonttools/fonttools/downloads", "has_downloads": true, "languages_url": "https://api.github.com/repos/fonttools/fonttools/languages", "default_branch": "master", "milestones_url": "https://api.github.com/repos/fonttools/fonttools/milestones{/number}", "stargazers_url": "https://api.github.com/repos/fonttools/fonttools/stargazers", "watchers_count": 1463, "deployments_url": "https://api.github.com/repos/fonttools/fonttools/deployments", "git_commits_url": "https://api.github.com/repos/fonttools/fonttools/git/commits{/sha}", "subscribers_url": "https://api.github.com/repos/fonttools/fonttools/subscribers", "contributors_url": "https://api.github.com/repos/fonttools/fonttools/contributors", "issue_events_url": "https://api.github.com/repos/fonttools/fonttools/issues/events{/number}", "stargazers_count": 1463, "subscription_url": "https://api.github.com/repos/fonttools/fonttools/subscription", "collaborators_url": "https://api.github.com/repos/fonttools/fonttools/collaborators{/collaborator}", "issue_comment_url": "https://api.github.com/repos/fonttools/fonttools/issues/comments{/number}", "notifications_url": "https://api.github.com/repos/fonttools/fonttools/notifications{?since,all,participating}", "open_issues_count": 270}</t>
  </si>
  <si>
    <t>RaRe-Technologies/gensim</t>
  </si>
  <si>
    <t>Topic Modelling for Humans</t>
  </si>
  <si>
    <t>https://github.com/RaRe-Technologies/gensim</t>
  </si>
  <si>
    <t>"[\"data-mining\", \"data-science\", \"document-similarity\", \"fasttext\", \"gensim\", \"information-retrieval\", \"machine-learning\", \"natural-language-processing\", \"neural-network\", \"nlp\", \"python\", \"text-summarization\", \"topic-modeling\", \"word-embeddings\", \"word-similarity\", \"word2vec\"]"</t>
  </si>
  <si>
    <t>[{"loc": 2815059, "ratio": 0.9866207912217474, "language": "Python"}, {"loc": 18813, "ratio": 0.006593572974937553, "language": "Jupyter Notebook"}, {"loc": 7195, "ratio": 0.002521700821489167, "language": "PowerShell"}, {"loc": 5548, "ratio": 0.0019444608975152046, "language": "Dockerfile"}, {"loc": 3366, "ratio": 0.0011797143801435073, "language": "Batchfile"}, {"loc": 1742, "ratio": 0.0006105354872875787, "language": "Shell"}, {"loc": 1200, "ratio": 0.00042057553659305077, "language": "C++"}, {"loc": 310, "ratio": 0.00010864868028653811, "language": "C"}]</t>
  </si>
  <si>
    <t>21c0d4fe40c2eccdeda0b4258ee18fa6ac650041</t>
  </si>
  <si>
    <t>{"key": "lgpl-2.1", "url": "https://api.github.com/licenses/lgpl-2.1", "name": "GNU Lesser General Public License v2.1", "node_id": "MDc6TGljZW5zZTEx", "spdx_id": "LGPL-2.1"}</t>
  </si>
  <si>
    <t>gensim</t>
  </si>
  <si>
    <t>{"id": 1349775, "url": "https://api.github.com/repos/RaRe-Technologies/gensim", "fork": false, "name": "gensim", "size": 63281, "forks": 3161, "owner": {"id": 12515886, "url": "https://api.github.com/users/RaRe-Technologies", "type": "Organization", "login": "RaRe-Technologies", "node_id": "MDEyOk9yZ2FuaXphdGlvbjEyNTE1ODg2", "html_url": "https://github.com/RaRe-Technologies", "gists_url": "https://api.github.com/users/RaRe-Technologies/gists{/gist_id}", "repos_url": "https://api.github.com/users/RaRe-Technologies/repos", "avatar_url": "https://avatars3.githubusercontent.com/u/12515886?v=4", "events_url": "https://api.github.com/users/RaRe-Technologies/events{/privacy}", "site_admin": false, "gravatar_id": "", "starred_url": "https://api.github.com/users/RaRe-Technologies/starred{/owner}{/repo}", "followers_url": "https://api.github.com/users/RaRe-Technologies/followers", "following_url": "https://api.github.com/users/RaRe-Technologies/following{/other_user}", "organizations_url": "https://api.github.com/users/RaRe-Technologies/orgs", "subscriptions_url": "https://api.github.com/users/RaRe-Technologies/subscriptions", "received_events_url": "https://api.github.com/users/RaRe-Technologies/received_events"}, "score": 1.0, "topics": ["data-mining", "data-science", "document-similarity", "fasttext", "gensim", "information-retrieval", "machine-learning", "natural-language-processing", "neural-network", "nlp", "python", "text-summarization", "topic-modeling", "word-embeddings", "word-similarity", "word2vec"], "git_url": "git://github.com/RaRe-Technologies/gensim.git", "license": {"key": "lgpl-2.1", "url": "https://api.github.com/licenses/lgpl-2.1", "name": "GNU Lesser General Public License v2.1", "node_id": "MDc6TGljZW5zZTEx", "spdx_id": "LGPL-2.1"}, "node_id": "MDEwOlJlcG9zaXRvcnkxMzQ5Nzc1", "private": false, "ssh_url": "git@github.com:RaRe-Technologies/gensim.git", "svn_url": "https://github.com/RaRe-Technologies/gensim", "archived": false, "has_wiki": true, "homepage": "", "html_url": "https://github.com/RaRe-Technologies/gensim", "keys_url": "https://api.github.com/repos/RaRe-Technologies/gensim/keys{/key_id}", "language": "Python", "tags_url": "https://api.github.com/repos/RaRe-Technologies/gensim/tags", "watchers": 8343, "blobs_url": "https://api.github.com/repos/RaRe-Technologies/gensim/git/blobs{/sha}", "clone_url": "https://github.com/RaRe-Technologies/gensim.git", "forks_url": "https://api.github.com/repos/RaRe-Technologies/gensim/forks", "full_name": "RaRe-Technologies/gensim", "has_pages": false, "hooks_url": "https://api.github.com/repos/RaRe-Technologies/gensim/hooks", "pulls_url": "https://api.github.com/repos/RaRe-Technologies/gensim/pulls{/number}", "pushed_at": "2018-12-24T08:11:30Z", "teams_url": "https://api.github.com/repos/RaRe-Technologies/gensim/teams", "trees_url": "https://api.github.com/repos/RaRe-Technologies/gensim/git/trees{/sha}", "created_at": "2011-02-10T07:43:04Z", "events_url": "https://api.github.com/repos/RaRe-Technologies/gensim/events", "has_issues": true, "issues_url": "https://api.github.com/repos/RaRe-Technologies/gensim/issues{/number}", "labels_url": "https://api.github.com/repos/RaRe-Technologies/gensim/labels{/name}", "merges_url": "https://api.github.com/repos/RaRe-Technologies/gensim/merges", "mirror_url": null, "updated_at": "2018-12-25T01:58:23Z", "archive_url": "https://api.github.com/repos/RaRe-Technologies/gensim/{archive_format}{/ref}", "commits_url": "https://api.github.com/repos/RaRe-Technologies/gensim/commits{/sha}", "compare_url": "https://api.github.com/repos/RaRe-Technologies/gensim/compare/{base}...{head}", "description": "Topic Modelling for Humans", "forks_count": 3161, "open_issues": 232, "permissions": {"pull": true, "push": false, "admin": false}, "branches_url": "https://api.github.com/repos/RaRe-Technologies/gensim/branches{/branch}", "comments_url": "https://api.github.com/repos/RaRe-Technologies/gensim/comments{/number}", "contents_url": "https://api.github.com/repos/RaRe-Technologies/gensim/contents/{+path}", "git_refs_url": "https://api.github.com/repos/RaRe-Technologies/gensim/git/refs{/sha}", "git_tags_url": "https://api.github.com/repos/RaRe-Technologies/gensim/git/tags{/sha}", "has_projects": true, "releases_url": "https://api.github.com/repos/RaRe-Technologies/gensim/releases{/id}", "statuses_url": "https://api.github.com/repos/RaRe-Technologies/gensim/statuses/{sha}", "assignees_url": "https://api.github.com/repos/RaRe-Technologies/gensim/assignees{/user}", "downloads_url": "https://api.github.com/repos/RaRe-Technologies/gensim/downloads", "has_downloads": true, "languages_url": "https://api.github.com/repos/RaRe-Technologies/gensim/languages", "default_branch": "develop", "milestones_url": "https://api.github.com/repos/RaRe-Technologies/gensim/milestones{/number}", "stargazers_url": "https://api.github.com/repos/RaRe-Technologies/gensim/stargazers", "watchers_count": 8343, "deployments_url": "https://api.github.com/repos/RaRe-Technologies/gensim/deployments", "git_commits_url": "https://api.github.com/repos/RaRe-Technologies/gensim/git/commits{/sha}", "subscribers_url": "https://api.github.com/repos/RaRe-Technologies/gensim/subscribers", "contributors_url": "https://api.github.com/repos/RaRe-Technologies/gensim/contributors", "issue_events_url": "https://api.github.com/repos/RaRe-Technologies/gensim/issues/events{/number}", "stargazers_count": 8343, "subscription_url": "https://api.github.com/repos/RaRe-Technologies/gensim/subscription", "collaborators_url": "https://api.github.com/repos/RaRe-Technologies/gensim/collaborators{/collaborator}", "issue_comment_url": "https://api.github.com/repos/RaRe-Technologies/gensim/issues/comments{/number}", "notifications_url": "https://api.github.com/repos/RaRe-Technologies/gensim/notifications{?since,all,participating}", "open_issues_count": 232}</t>
  </si>
  <si>
    <t>gevent/gevent</t>
  </si>
  <si>
    <t>Coroutine-based concurrency library for Python</t>
  </si>
  <si>
    <t>https://github.com/gevent/gevent</t>
  </si>
  <si>
    <t>"[\"asyncio\", \"coroutines\", \"greenlet\", \"python\"]"</t>
  </si>
  <si>
    <t>[{"loc": 7163837, "ratio": 0.9885926999241013, "language": "Python"}, {"loc": 52526, "ratio": 0.007248464776098806, "language": "C"}, {"loc": 10715, "ratio": 0.0014786448630373283, "language": "Shell"}, {"loc": 8861, "ratio": 0.0012227972124473883, "language": "Makefile"}, {"loc": 7195, "ratio": 0.0009928931208169462, "language": "PowerShell"}, {"loc": 3366, "ratio": 0.00046450010349824054, "language": "Batchfile"}]</t>
  </si>
  <si>
    <t>v1.2a2</t>
  </si>
  <si>
    <t>b20f6d62236ffa688bd2c29598188444fe9bf624</t>
  </si>
  <si>
    <t>gevent</t>
  </si>
  <si>
    <t>{"id": 5801666, "url": "https://api.github.com/repos/gevent/gevent", "fork": false, "name": "gevent", "size": 15111, "forks": 813, "owner": {"id": 5564530, "url": "https://api.github.com/users/gevent", "type": "Organization", "login": "gevent", "node_id": "MDEyOk9yZ2FuaXphdGlvbjU1NjQ1MzA=", "html_url": "https://github.com/gevent", "gists_url": "https://api.github.com/users/gevent/gists{/gist_id}", "repos_url": "https://api.github.com/users/gevent/repos", "avatar_url": "https://avatars0.githubusercontent.com/u/5564530?v=4", "events_url": "https://api.github.com/users/gevent/events{/privacy}", "site_admin": false, "gravatar_id": "", "starred_url": "https://api.github.com/users/gevent/starred{/owner}{/repo}", "followers_url": "https://api.github.com/users/gevent/followers", "following_url": "https://api.github.com/users/gevent/following{/other_user}", "organizations_url": "https://api.github.com/users/gevent/orgs", "subscriptions_url": "https://api.github.com/users/gevent/subscriptions", "received_events_url": "https://api.github.com/users/gevent/received_events"}, "score": 1.0, "topics": ["asyncio", "coroutines", "greenlet", "python"], "git_url": "git://github.com/gevent/gevent.git", "license": {"key": "other", "url": null, "name": "Other", "node_id": "MDc6TGljZW5zZTA=", "spdx_id": "NOASSERTION"}, "node_id": "MDEwOlJlcG9zaXRvcnk1ODAxNjY2", "private": false, "ssh_url": "git@github.com:gevent/gevent.git", "svn_url": "https://github.com/gevent/gevent", "archived": false, "has_wiki": true, "homepage": "http://gevent.org", "html_url": "https://github.com/gevent/gevent", "keys_url": "https://api.github.com/repos/gevent/gevent/keys{/key_id}", "language": "Python", "tags_url": "https://api.github.com/repos/gevent/gevent/tags", "watchers": 4467, "blobs_url": "https://api.github.com/repos/gevent/gevent/git/blobs{/sha}", "clone_url": "https://github.com/gevent/gevent.git", "forks_url": "https://api.github.com/repos/gevent/gevent/forks", "full_name": "gevent/gevent", "has_pages": false, "hooks_url": "https://api.github.com/repos/gevent/gevent/hooks", "pulls_url": "https://api.github.com/repos/gevent/gevent/pulls{/number}", "pushed_at": "2018-12-24T10:03:42Z", "teams_url": "https://api.github.com/repos/gevent/gevent/teams", "trees_url": "https://api.github.com/repos/gevent/gevent/git/trees{/sha}", "created_at": "2012-09-13T22:03:03Z", "events_url": "https://api.github.com/repos/gevent/gevent/events", "has_issues": true, "issues_url": "https://api.github.com/repos/gevent/gevent/issues{/number}", "labels_url": "https://api.github.com/repos/gevent/gevent/labels{/name}", "merges_url": "https://api.github.com/repos/gevent/gevent/merges", "mirror_url": null, "updated_at": "2018-12-24T23:53:35Z", "archive_url": "https://api.github.com/repos/gevent/gevent/{archive_format}{/ref}", "commits_url": "https://api.github.com/repos/gevent/gevent/commits{/sha}", "compare_url": "https://api.github.com/repos/gevent/gevent/compare/{base}...{head}", "description": "Coroutine-based concurrency library for Python", "forks_count": 813, "open_issues": 34, "permissions": {"pull": true, "push": false, "admin": false}, "branches_url": "https://api.github.com/repos/gevent/gevent/branches{/branch}", "comments_url": "https://api.github.com/repos/gevent/gevent/comments{/number}", "contents_url": "https://api.github.com/repos/gevent/gevent/contents/{+path}", "git_refs_url": "https://api.github.com/repos/gevent/gevent/git/refs{/sha}", "git_tags_url": "https://api.github.com/repos/gevent/gevent/git/tags{/sha}", "has_projects": true, "releases_url": "https://api.github.com/repos/gevent/gevent/releases{/id}", "statuses_url": "https://api.github.com/repos/gevent/gevent/statuses/{sha}", "assignees_url": "https://api.github.com/repos/gevent/gevent/assignees{/user}", "downloads_url": "https://api.github.com/repos/gevent/gevent/downloads", "has_downloads": true, "languages_url": "https://api.github.com/repos/gevent/gevent/languages", "default_branch": "master", "milestones_url": "https://api.github.com/repos/gevent/gevent/milestones{/number}", "stargazers_url": "https://api.github.com/repos/gevent/gevent/stargazers", "watchers_count": 4467, "deployments_url": "https://api.github.com/repos/gevent/gevent/deployments", "git_commits_url": "https://api.github.com/repos/gevent/gevent/git/commits{/sha}", "subscribers_url": "https://api.github.com/repos/gevent/gevent/subscribers", "contributors_url": "https://api.github.com/repos/gevent/gevent/contributors", "issue_events_url": "https://api.github.com/repos/gevent/gevent/issues/events{/number}", "stargazers_count": 4467, "subscription_url": "https://api.github.com/repos/gevent/gevent/subscription", "collaborators_url": "https://api.github.com/repos/gevent/gevent/collaborators{/collaborator}", "issue_comment_url": "https://api.github.com/repos/gevent/gevent/issues/comments{/number}", "notifications_url": "https://api.github.com/repos/gevent/gevent/notifications{?since,all,participating}", "open_issues_count": 34}</t>
  </si>
  <si>
    <t>nicolargo/glances</t>
  </si>
  <si>
    <t>Glances an Eye on your system. A top/htop alternative.</t>
  </si>
  <si>
    <t>https://github.com/nicolargo/glances</t>
  </si>
  <si>
    <t>"[\"monitoring\", \"multi-platform\", \"python\", \"restful\", \"restful-api\", \"system\", \"terminal\", \"web\"]"</t>
  </si>
  <si>
    <t>[{"loc": 718078, "ratio": 0.8660473934563839, "language": "Python"}, {"loc": 59390, "ratio": 0.07162808872765165, "language": "JavaScript"}, {"loc": 37856, "ratio": 0.04565672549038526, "language": "HTML"}, {"loc": 4320, "ratio": 0.005210192680644135, "language": "CSS"}, {"loc": 3366, "ratio": 0.004059608463668554, "language": "Batchfile"}, {"loc": 2786, "ratio": 0.0033600918537672587, "language": "PowerShell"}, {"loc": 2302, "ratio": 0.0027763573034358326, "language": "Dockerfile"}, {"loc": 569, "ratio": 0.0006862499155755816, "language": "Smarty"}, {"loc": 477, "ratio": 0.0005752921084877899, "language": "Shell"}]</t>
  </si>
  <si>
    <t>v3.0.2</t>
  </si>
  <si>
    <t>6e3424b6e021ecdbb513219b3cd4c956040f6da6</t>
  </si>
  <si>
    <t>{"key": "lgpl-3.0", "url": "https://api.github.com/licenses/lgpl-3.0", "name": "GNU Lesser General Public License v3.0", "node_id": "MDc6TGljZW5zZTEy", "spdx_id": "LGPL-3.0"}</t>
  </si>
  <si>
    <t>glances</t>
  </si>
  <si>
    <t>{"id": 2909429, "url": "https://api.github.com/repos/nicolargo/glances", "fork": false, "name": "glances", "size": 27832, "forks": 848, "owner": {"id": 776747, "url": "https://api.github.com/users/nicolargo", "type": "User", "login": "nicolargo", "node_id": "MDQ6VXNlcjc3Njc0Nw==", "html_url": "https://github.com/nicolargo", "gists_url": "https://api.github.com/users/nicolargo/gists{/gist_id}", "repos_url": "https://api.github.com/users/nicolargo/repos", "avatar_url": "https://avatars0.githubusercontent.com/u/776747?v=4", "events_url": "https://api.github.com/users/nicolargo/events{/privacy}", "site_admin": false, "gravatar_id": "", "starred_url": "https://api.github.com/users/nicolargo/starred{/owner}{/repo}", "followers_url": "https://api.github.com/users/nicolargo/followers", "following_url": "https://api.github.com/users/nicolargo/following{/other_user}", "organizations_url": "https://api.github.com/users/nicolargo/orgs", "subscriptions_url": "https://api.github.com/users/nicolargo/subscriptions", "received_events_url": "https://api.github.com/users/nicolargo/received_events"}, "score": 1.0, "topics": ["monitoring", "multi-platform", "python", "restful", "restful-api", "system", "terminal", "web"], "git_url": "git://github.com/nicolargo/glances.git", "license": {"key": "lgpl-3.0", "url": "https://api.github.com/licenses/lgpl-3.0", "name": "GNU Lesser General Public License v3.0", "node_id": "MDc6TGljZW5zZTEy", "spdx_id": "LGPL-3.0"}, "node_id": "MDEwOlJlcG9zaXRvcnkyOTA5NDI5", "private": false, "ssh_url": "git@github.com:nicolargo/glances.git", "svn_url": "https://github.com/nicolargo/glances", "archived": false, "has_wiki": true, "homepage": "http://nicolargo.github.io/glances/", "html_url": "https://github.com/nicolargo/glances", "keys_url": "https://api.github.com/repos/nicolargo/glances/keys{/key_id}", "language": "Python", "tags_url": "https://api.github.com/repos/nicolargo/glances/tags", "watchers": 12465, "blobs_url": "https://api.github.com/repos/nicolargo/glances/git/blobs{/sha}", "clone_url": "https://github.com/nicolargo/glances.git", "forks_url": "https://api.github.com/repos/nicolargo/glances/forks", "full_name": "nicolargo/glances", "has_pages": true, "hooks_url": "https://api.github.com/repos/nicolargo/glances/hooks", "pulls_url": "https://api.github.com/repos/nicolargo/glances/pulls{/number}", "pushed_at": "2018-12-23T14:57:35Z", "teams_url": "https://api.github.com/repos/nicolargo/glances/teams", "trees_url": "https://api.github.com/repos/nicolargo/glances/git/trees{/sha}", "created_at": "2011-12-04T08:49:15Z", "events_url": "https://api.github.com/repos/nicolargo/glances/events", "has_issues": true, "issues_url": "https://api.github.com/repos/nicolargo/glances/issues{/number}", "labels_url": "https://api.github.com/repos/nicolargo/glances/labels{/name}", "merges_url": "https://api.github.com/repos/nicolargo/glances/merges", "mirror_url": null, "updated_at": "2018-12-24T22:50:11Z", "archive_url": "https://api.github.com/repos/nicolargo/glances/{archive_format}{/ref}", "commits_url": "https://api.github.com/repos/nicolargo/glances/commits{/sha}", "compare_url": "https://api.github.com/repos/nicolargo/glances/compare/{base}...{head}", "description": "Glances an Eye on your system. A top/htop alternative.", "forks_count": 848, "open_issues": 77, "permissions": {"pull": true, "push": false, "admin": false}, "branches_url": "https://api.github.com/repos/nicolargo/glances/branches{/branch}", "comments_url": "https://api.github.com/repos/nicolargo/glances/comments{/number}", "contents_url": "https://api.github.com/repos/nicolargo/glances/contents/{+path}", "git_refs_url": "https://api.github.com/repos/nicolargo/glances/git/refs{/sha}", "git_tags_url": "https://api.github.com/repos/nicolargo/glances/git/tags{/sha}", "has_projects": true, "releases_url": "https://api.github.com/repos/nicolargo/glances/releases{/id}", "statuses_url": "https://api.github.com/repos/nicolargo/glances/statuses/{sha}", "assignees_url": "https://api.github.com/repos/nicolargo/glances/assignees{/user}", "downloads_url": "https://api.github.com/repos/nicolargo/glances/downloads", "has_downloads": true, "languages_url": "https://api.github.com/repos/nicolargo/glances/languages", "default_branch": "develop", "milestones_url": "https://api.github.com/repos/nicolargo/glances/milestones{/number}", "stargazers_url": "https://api.github.com/repos/nicolargo/glances/stargazers", "watchers_count": 12465, "deployments_url": "https://api.github.com/repos/nicolargo/glances/deployments", "git_commits_url": "https://api.github.com/repos/nicolargo/glances/git/commits{/sha}", "subscribers_url": "https://api.github.com/repos/nicolargo/glances/subscribers", "contributors_url": "https://api.github.com/repos/nicolargo/glances/contributors", "issue_events_url": "https://api.github.com/repos/nicolargo/glances/issues/events{/number}", "stargazers_count": 12465, "subscription_url": "https://api.github.com/repos/nicolargo/glances/subscription", "collaborators_url": "https://api.github.com/repos/nicolargo/glances/collaborators{/collaborator}", "issue_comment_url": "https://api.github.com/repos/nicolargo/glances/issues/comments{/number}", "notifications_url": "https://api.github.com/repos/nicolargo/glances/notifications{?since,all,participating}", "open_issues_count": 77}</t>
  </si>
  <si>
    <t>googleapis/google-cloud-python</t>
  </si>
  <si>
    <t>Google Cloud Client Library for Python</t>
  </si>
  <si>
    <t>https://github.com/googleapis/google-cloud-python</t>
  </si>
  <si>
    <t>[{"loc": 13673717, "ratio": 0.9991727461772485, "language": "Python"}, {"loc": 8606, "ratio": 0.0006288619732002206, "language": "Shell"}, {"loc": 1779, "ratio": 0.00012999598539660613, "language": "Makefile"}, {"loc": 936, "ratio": 0.00006839586415470677, "language": "HTML"}]</t>
  </si>
  <si>
    <t>websecurityscanner-0.1.1</t>
  </si>
  <si>
    <t>eee06f039bc71c8405159cc0cb7f6342d094584a</t>
  </si>
  <si>
    <t>google-cloud-python</t>
  </si>
  <si>
    <t>{"id": 16316451, "url": "https://api.github.com/repos/googleapis/google-cloud-python", "fork": false, "name": "google-cloud-python", "size": 672921, "forks": 837, "owner": {"id": 16785467, "url": "https://api.github.com/users/googleapis", "type": "Organization", "login": "googleapis", "node_id": "MDEyOk9yZ2FuaXphdGlvbjE2Nzg1NDY3", "html_url": "https://github.com/googleapis", "gists_url": "https://api.github.com/users/googleapis/gists{/gist_id}", "repos_url": "https://api.github.com/users/googleapis/repos", "avatar_url": "https://avatars3.githubusercontent.com/u/16785467?v=4", "events_url": "https://api.github.com/users/googleapis/events{/privacy}", "site_admin": false, "gravatar_id": "", "starred_url": "https://api.github.com/users/googleapis/starred{/owner}{/repo}", "followers_url": "https://api.github.com/users/googleapis/followers", "following_url": "https://api.github.com/users/googleapis/following{/other_user}", "organizations_url": "https://api.github.com/users/googleapis/orgs", "subscriptions_url": "https://api.github.com/users/googleapis/subscriptions", "received_events_url": "https://api.github.com/users/googleapis/received_events"}, "score": 1.0, "topics": [], "git_url": "git://github.com/googleapis/google-cloud-python.git", "license": {"key": "apache-2.0", "url": "https://api.github.com/licenses/apache-2.0", "name": "Apache License 2.0", "node_id": "MDc6TGljZW5zZTI=", "spdx_id": "Apache-2.0"}, "node_id": "MDEwOlJlcG9zaXRvcnkxNjMxNjQ1MQ==", "private": false, "ssh_url": "git@github.com:googleapis/google-cloud-python.git", "svn_url": "https://github.com/googleapis/google-cloud-python", "archived": false, "has_wiki": false, "homepage": "https://googlecloudplatform.github.io/google-cloud-python/", "html_url": "https://github.com/googleapis/google-cloud-python", "keys_url": "https://api.github.com/repos/googleapis/google-cloud-python/keys{/key_id}", "language": "Python", "tags_url": "https://api.github.com/repos/googleapis/google-cloud-python/tags", "watchers": 1983, "blobs_url": "https://api.github.com/repos/googleapis/google-cloud-python/git/blobs{/sha}", "clone_url": "https://github.com/googleapis/google-cloud-python.git", "forks_url": "https://api.github.com/repos/googleapis/google-cloud-python/forks", "full_name": "googleapis/google-cloud-python", "has_pages": true, "hooks_url": "https://api.github.com/repos/googleapis/google-cloud-python/hooks", "pulls_url": "https://api.github.com/repos/googleapis/google-cloud-python/pulls{/number}", "pushed_at": "2018-12-24T17:55:40Z", "teams_url": "https://api.github.com/repos/googleapis/google-cloud-python/teams", "trees_url": "https://api.github.com/repos/googleapis/google-cloud-python/git/trees{/sha}", "created_at": "2014-01-28T15:51:47Z", "events_url": "https://api.github.com/repos/googleapis/google-cloud-python/events", "has_issues": true, "issues_url": "https://api.github.com/repos/googleapis/google-cloud-python/issues{/number}", "labels_url": "https://api.github.com/repos/googleapis/google-cloud-python/labels{/name}", "merges_url": "https://api.github.com/repos/googleapis/google-cloud-python/merges", "mirror_url": null, "updated_at": "2018-12-25T02:51:41Z", "archive_url": "https://api.github.com/repos/googleapis/google-cloud-python/{archive_format}{/ref}", "commits_url": "https://api.github.com/repos/googleapis/google-cloud-python/commits{/sha}", "compare_url": "https://api.github.com/repos/googleapis/google-cloud-python/compare/{base}...{head}", "description": "Google Cloud Client Library for Python", "forks_count": 837, "open_issues": 176, "permissions": {"pull": true, "push": false, "admin": false}, "branches_url": "https://api.github.com/repos/googleapis/google-cloud-python/branches{/branch}", "comments_url": "https://api.github.com/repos/googleapis/google-cloud-python/comments{/number}", "contents_url": "https://api.github.com/repos/googleapis/google-cloud-python/contents/{+path}", "git_refs_url": "https://api.github.com/repos/googleapis/google-cloud-python/git/refs{/sha}", "git_tags_url": "https://api.github.com/repos/googleapis/google-cloud-python/git/tags{/sha}", "has_projects": true, "releases_url": "https://api.github.com/repos/googleapis/google-cloud-python/releases{/id}", "statuses_url": "https://api.github.com/repos/googleapis/google-cloud-python/statuses/{sha}", "assignees_url": "https://api.github.com/repos/googleapis/google-cloud-python/assignees{/user}", "downloads_url": "https://api.github.com/repos/googleapis/google-cloud-python/downloads", "has_downloads": true, "languages_url": "https://api.github.com/repos/googleapis/google-cloud-python/languages", "default_branch": "master", "milestones_url": "https://api.github.com/repos/googleapis/google-cloud-python/milestones{/number}", "stargazers_url": "https://api.github.com/repos/googleapis/google-cloud-python/stargazers", "watchers_count": 1983, "deployments_url": "https://api.github.com/repos/googleapis/google-cloud-python/deployments", "git_commits_url": "https://api.github.com/repos/googleapis/google-cloud-python/git/commits{/sha}", "subscribers_url": "https://api.github.com/repos/googleapis/google-cloud-python/subscribers", "contributors_url": "https://api.github.com/repos/googleapis/google-cloud-python/contributors", "issue_events_url": "https://api.github.com/repos/googleapis/google-cloud-python/issues/events{/number}", "stargazers_count": 1983, "subscription_url": "https://api.github.com/repos/googleapis/google-cloud-python/subscription", "collaborators_url": "https://api.github.com/repos/googleapis/google-cloud-python/collaborators{/collaborator}", "issue_comment_url": "https://api.github.com/repos/googleapis/google-cloud-python/issues/comments{/number}", "notifications_url": "https://api.github.com/repos/googleapis/google-cloud-python/notifications{?since,all,participating}", "open_issues_count": 176}</t>
  </si>
  <si>
    <t>rembo10/headphones</t>
  </si>
  <si>
    <t>Automatic music downloader for SABnzbd</t>
  </si>
  <si>
    <t>https://github.com/rembo10/headphones</t>
  </si>
  <si>
    <t>[{"loc": 7015842, "ratio": 0.9457104675090725, "language": "Python"}, {"loc": 254331, "ratio": 0.034282911290198656, "language": "HTML"}, {"loc": 85344, "ratio": 0.011504066673550271, "language": "CSS"}, {"loc": 46953, "ratio": 0.006329096861211168, "language": "JavaScript"}, {"loc": 16124, "ratio": 0.002173457665967433, "language": "Shell"}]</t>
  </si>
  <si>
    <t>v0.5.19</t>
  </si>
  <si>
    <t>3b48f22bd9615b92928804ecd2f67e6fc19ce478</t>
  </si>
  <si>
    <t>headphones</t>
  </si>
  <si>
    <t>{"id": 1779181, "url": "https://api.github.com/repos/rembo10/headphones", "fork": false, "name": "headphones", "size": 14467, "forks": 642, "owner": {"id": 801525, "url": "https://api.github.com/users/rembo10", "type": "User", "login": "rembo10", "node_id": "MDQ6VXNlcjgwMTUyNQ==", "html_url": "https://github.com/rembo10", "gists_url": "https://api.github.com/users/rembo10/gists{/gist_id}", "repos_url": "https://api.github.com/users/rembo10/repos", "avatar_url": "https://avatars1.githubusercontent.com/u/801525?v=4", "events_url": "https://api.github.com/users/rembo10/events{/privacy}", "site_admin": false, "gravatar_id": "", "starred_url": "https://api.github.com/users/rembo10/starred{/owner}{/repo}", "followers_url": "https://api.github.com/users/rembo10/followers", "following_url": "https://api.github.com/users/rembo10/following{/other_user}", "organizations_url": "https://api.github.com/users/rembo10/orgs", "subscriptions_url": "https://api.github.com/users/rembo10/subscriptions", "received_events_url": "https://api.github.com/users/rembo10/received_events"}, "score": 1.0, "topics": [], "git_url": "git://github.com/rembo10/headphones.git", "license": {"key": "gpl-3.0", "url": "https://api.github.com/licenses/gpl-3.0", "name": "GNU General Public License v3.0", "node_id": "MDc6TGljZW5zZTk=", "spdx_id": "GPL-3.0"}, "node_id": "MDEwOlJlcG9zaXRvcnkxNzc5MTgx", "private": false, "ssh_url": "git@github.com:rembo10/headphones.git", "svn_url": "https://github.com/rembo10/headphones", "archived": false, "has_wiki": true, "homepage": "", "html_url": "https://github.com/rembo10/headphones", "keys_url": "https://api.github.com/repos/rembo10/headphones/keys{/key_id}", "language": "Python", "tags_url": "https://api.github.com/repos/rembo10/headphones/tags", "watchers": 2703, "blobs_url": "https://api.github.com/repos/rembo10/headphones/git/blobs{/sha}", "clone_url": "https://github.com/rembo10/headphones.git", "forks_url": "https://api.github.com/repos/rembo10/headphones/forks", "full_name": "rembo10/headphones", "has_pages": false, "hooks_url": "https://api.github.com/repos/rembo10/headphones/hooks", "pulls_url": "https://api.github.com/repos/rembo10/headphones/pulls{/number}", "pushed_at": "2018-12-21T06:02:39Z", "teams_url": "https://api.github.com/repos/rembo10/headphones/teams", "trees_url": "https://api.github.com/repos/rembo10/headphones/git/trees{/sha}", "created_at": "2011-05-21T01:34:22Z", "events_url": "https://api.github.com/repos/rembo10/headphones/events", "has_issues": true, "issues_url": "https://api.github.com/repos/rembo10/headphones/issues{/number}", "labels_url": "https://api.github.com/repos/rembo10/headphones/labels{/name}", "merges_url": "https://api.github.com/repos/rembo10/headphones/merges", "mirror_url": null, "updated_at": "2018-12-24T17:33:49Z", "archive_url": "https://api.github.com/repos/rembo10/headphones/{archive_format}{/ref}", "commits_url": "https://api.github.com/repos/rembo10/headphones/commits{/sha}", "compare_url": "https://api.github.com/repos/rembo10/headphones/compare/{base}...{head}", "description": "Automatic music downloader for SABnzbd", "forks_count": 642, "open_issues": 448, "permissions": {"pull": true, "push": false, "admin": false}, "branches_url": "https://api.github.com/repos/rembo10/headphones/branches{/branch}", "comments_url": "https://api.github.com/repos/rembo10/headphones/comments{/number}", "contents_url": "https://api.github.com/repos/rembo10/headphones/contents/{+path}", "git_refs_url": "https://api.github.com/repos/rembo10/headphones/git/refs{/sha}", "git_tags_url": "https://api.github.com/repos/rembo10/headphones/git/tags{/sha}", "has_projects": true, "releases_url": "https://api.github.com/repos/rembo10/headphones/releases{/id}", "statuses_url": "https://api.github.com/repos/rembo10/headphones/statuses/{sha}", "assignees_url": "https://api.github.com/repos/rembo10/headphones/assignees{/user}", "downloads_url": "https://api.github.com/repos/rembo10/headphones/downloads", "has_downloads": true, "languages_url": "https://api.github.com/repos/rembo10/headphones/languages", "default_branch": "master", "milestones_url": "https://api.github.com/repos/rembo10/headphones/milestones{/number}", "stargazers_url": "https://api.github.com/repos/rembo10/headphones/stargazers", "watchers_count": 2703, "deployments_url": "https://api.github.com/repos/rembo10/headphones/deployments", "git_commits_url": "https://api.github.com/repos/rembo10/headphones/git/commits{/sha}", "subscribers_url": "https://api.github.com/repos/rembo10/headphones/subscribers", "contributors_url": "https://api.github.com/repos/rembo10/headphones/contributors", "issue_events_url": "https://api.github.com/repos/rembo10/headphones/issues/events{/number}", "stargazers_count": 2703, "subscription_url": "https://api.github.com/repos/rembo10/headphones/subscription", "collaborators_url": "https://api.github.com/repos/rembo10/headphones/collaborators{/collaborator}", "issue_comment_url": "https://api.github.com/repos/rembo10/headphones/issues/comments{/number}", "notifications_url": "https://api.github.com/repos/rembo10/headphones/notifications{?since,all,participating}", "open_issues_count": 448}</t>
  </si>
  <si>
    <t>home-assistant/home-assistant</t>
  </si>
  <si>
    <t>:house_with_garden: Open source home automation that puts local control and privacy first</t>
  </si>
  <si>
    <t>https://github.com/home-assistant/home-assistant</t>
  </si>
  <si>
    <t>"[\"asyncio\", \"home-automation\", \"internet-of-things\", \"iot\", \"mqtt\", \"python\", \"raspberry-pi\"]"</t>
  </si>
  <si>
    <t>[{"loc": 13128065, "ratio": 0.9984670169447258, "language": "Python"}, {"loc": 17137, "ratio": 0.0013033702430161464, "language": "Shell"}, {"loc": 1175, "ratio": 0.00008936570202158908, "language": "Batchfile"}, {"loc": 1099, "ratio": 0.00008358545235891608, "language": "Dockerfile"}, {"loc": 745, "ratio": 0.00005666165787751818, "language": "Ruby"}]</t>
  </si>
  <si>
    <t>0.87.0b0</t>
  </si>
  <si>
    <t>8fdf2d608afa36b4c4436c652a8b123056d44348</t>
  </si>
  <si>
    <t>home-assistant</t>
  </si>
  <si>
    <t>{"id": 12888993, "url": "https://api.github.com/repos/home-assistant/home-assistant", "fork": false, "name": "home-assistant", "size": 96144, "forks": 5741, "owner": {"id": 13844975, "url": "https://api.github.com/users/home-assistant", "type": "Organization", "login": "home-assistant", "node_id": "MDEyOk9yZ2FuaXphdGlvbjEzODQ0OTc1", "html_url": "https://github.com/home-assistant", "gists_url": "https://api.github.com/users/home-assistant/gists{/gist_id}", "repos_url": "https://api.github.com/users/home-assistant/repos", "avatar_url": "https://avatars3.githubusercontent.com/u/13844975?v=4", "events_url": "https://api.github.com/users/home-assistant/events{/privacy}", "site_admin": false, "gravatar_id": "", "starred_url": "https://api.github.com/users/home-assistant/starred{/owner}{/repo}", "followers_url": "https://api.github.com/users/home-assistant/followers", "following_url": "https://api.github.com/users/home-assistant/following{/other_user}", "organizations_url": "https://api.github.com/users/home-assistant/orgs", "subscriptions_url": "https://api.github.com/users/home-assistant/subscriptions", "received_events_url": "https://api.github.com/users/home-assistant/received_events"}, "score": 1.0, "topics": ["asyncio", "home-automation", "internet-of-things", "iot", "mqtt", "python", "raspberry-pi"], "git_url": "git://github.com/home-assistant/home-assistant.git", "license": {"key": "apache-2.0", "url": "https://api.github.com/licenses/apache-2.0", "name": "Apache License 2.0", "node_id": "MDc6TGljZW5zZTI=", "spdx_id": "Apache-2.0"}, "node_id": "MDEwOlJlcG9zaXRvcnkxMjg4ODk5Mw==", "private": false, "ssh_url": "git@github.com:home-assistant/home-assistant.git", "svn_url": "https://github.com/home-assistant/home-assistant", "archived": false, "has_wiki": false, "homepage": "https://www.home-assistant.io", "html_url": "https://github.com/home-assistant/home-assistant", "keys_url": "https://api.github.com/repos/home-assistant/home-assistant/keys{/key_id}", "language": "Python", "tags_url": "https://api.github.com/repos/home-assistant/home-assistant/tags", "watchers": 19552, "blobs_url": "https://api.github.com/repos/home-assistant/home-assistant/git/blobs{/sha}", "clone_url": "https://github.com/home-assistant/home-assistant.git", "forks_url": "https://api.github.com/repos/home-assistant/home-assistant/forks", "full_name": "home-assistant/home-assistant", "has_pages": false, "hooks_url": "https://api.github.com/repos/home-assistant/home-assistant/hooks", "pulls_url": "https://api.github.com/repos/home-assistant/home-assistant/pulls{/number}", "pushed_at": "2018-12-24T23:16:38Z", "teams_url": "https://api.github.com/repos/home-assistant/home-assistant/teams", "trees_url": "https://api.github.com/repos/home-assistant/home-assistant/git/trees{/sha}", "created_at": "2013-09-17T07:29:48Z", "events_url": "https://api.github.com/repos/home-assistant/home-assistant/events", "has_issues": true, "issues_url": "https://api.github.com/repos/home-assistant/home-assistant/issues{/number}", "labels_url": "https://api.github.com/repos/home-assistant/home-assistant/labels{/name}", "merges_url": "https://api.github.com/repos/home-assistant/home-assistant/merges", "mirror_url": null, "updated_at": "2018-12-25T00:18:48Z", "archive_url": "https://api.github.com/repos/home-assistant/home-assistant/{archive_format}{/ref}", "commits_url": "https://api.github.com/repos/home-assistant/home-assistant/commits{/sha}", "compare_url": "https://api.github.com/repos/home-assistant/home-assistant/compare/{base}...{head}", "description": ":house_with_garden: Open source home automation that puts local control and privacy first", "forks_count": 5741, "open_issues": 924, "permissions": {"pull": true, "push": false, "admin": false}, "branches_url": "https://api.github.com/repos/home-assistant/home-assistant/branches{/branch}", "comments_url": "https://api.github.com/repos/home-assistant/home-assistant/comments{/number}", "contents_url": "https://api.github.com/repos/home-assistant/home-assistant/contents/{+path}", "git_refs_url": "https://api.github.com/repos/home-assistant/home-assistant/git/refs{/sha}", "git_tags_url": "https://api.github.com/repos/home-assistant/home-assistant/git/tags{/sha}", "has_projects": true, "releases_url": "https://api.github.com/repos/home-assistant/home-assistant/releases{/id}", "statuses_url": "https://api.github.com/repos/home-assistant/home-assistant/statuses/{sha}", "assignees_url": "https://api.github.com/repos/home-assistant/home-assistant/assignees{/user}", "downloads_url": "https://api.github.com/repos/home-assistant/home-assistant/downloads", "has_downloads": true, "languages_url": "https://api.github.com/repos/home-assistant/home-assistant/languages", "default_branch": "dev", "milestones_url": "https://api.github.com/repos/home-assistant/home-assistant/milestones{/number}", "stargazers_url": "https://api.github.com/repos/home-assistant/home-assistant/stargazers", "watchers_count": 19552, "deployments_url": "https://api.github.com/repos/home-assistant/home-assistant/deployments", "git_commits_url": "https://api.github.com/repos/home-assistant/home-assistant/git/commits{/sha}", "subscribers_url": "https://api.github.com/repos/home-assistant/home-assistant/subscribers", "contributors_url": "https://api.github.com/repos/home-assistant/home-assistant/contributors", "issue_events_url": "https://api.github.com/repos/home-assistant/home-assistant/issues/events{/number}", "stargazers_count": 19552, "subscription_url": "https://api.github.com/repos/home-assistant/home-assistant/subscription", "collaborators_url": "https://api.github.com/repos/home-assistant/home-assistant/collaborators{/collaborator}", "issue_comment_url": "https://api.github.com/repos/home-assistant/home-assistant/issues/comments{/number}", "notifications_url": "https://api.github.com/repos/home-assistant/home-assistant/notifications{?since,all,participating}", "open_issues_count": 924}</t>
  </si>
  <si>
    <t>cloudera/hue</t>
  </si>
  <si>
    <t>Hue is an open source Workbench for developing and accessing Data Apps.</t>
  </si>
  <si>
    <t>https://github.com/cloudera/hue</t>
  </si>
  <si>
    <t>"[\"dashboards\", \"data-analysis\", \"data-analytics\", \"editor\", \"hadoop\", \"hue\", \"query-builder\", \"sql\"]"</t>
  </si>
  <si>
    <t>[{"loc": 69473834, "ratio": 0.5562544547141625, "language": "Python"}, {"loc": 25387360, "ratio": 0.20326835702535345, "language": "HTML"}, {"loc": 17125784, "ratio": 0.13712059766951293, "language": "JavaScript"}, {"loc": 4106232, "ratio": 0.03287726775075987, "language": "Mako"}, {"loc": 3532529, "ratio": 0.028283813912687843, "language": "C"}, {"loc": 1223776, "ratio": 0.009798377495220415, "language": "CSS"}, {"loc": 947536, "ratio": 0.007586613414800724, "language": "Thrift"}, {"loc": 521413, "ratio": 0.004174784768548625, "language": "XSLT"}, {"loc": 471854, "ratio": 0.0037779819302141355, "language": "Java"}, {"loc": 423611, "ratio": 0.003391715877029632, "language": "Emacs Lisp"}, {"loc": 403904, "ratio": 0.0032339283200761466, "language": "Yacc"}, {"loc": 250817, "ratio": 0.0020082103654743178, "language": "C++"}, {"loc": 211746, "ratio": 0.0016953815413138858, "language": "Makefile"}, {"loc": 165743, "ratio": 0.0013270504415761686, "language": "TeX"}, {"loc": 155299, "ratio": 0.0012434287211305298, "language": "Shell"}, {"loc": 96931, "ratio": 0.0007760950770314257, "language": "Roff"}, {"loc": 78392, "ratio": 0.0006276593172323356, "language": "Batchfile"}, {"loc": 78382, "ratio": 0.0006275792504758768, "language": "Lua"}, {"loc": 73168, "ratio": 0.0005858324436582245, "language": "Jupyter Notebook"}, {"loc": 56554, "ratio": 0.00045280953447746596, "language": "Lex"}, {"loc": 31565, "ratio": 0.00025273071676240784, "language": "PLSQL"}, {"loc": 7312, "ratio": 0.00005854481232272219, "language": "Go"}, {"loc": 6550, "ratio": 0.00005244372548055667, "language": "PLpgSQL"}, {"loc": 5786, "ratio": 0.00004632662528709937, "language": "Assembly"}, {"loc": 5747, "ratio": 0.000046014364936909797, "language": "LiveScript"}, {"loc": 4585, "ratio": 0.000036710607836389666, "language": "Dockerfile"}, {"loc": 4327, "ratio": 0.000034644885519750946, "language": "Perl"}, {"loc": 3822, "ratio": 0.00003060151431857826, "language": "Visual Basic"}, {"loc": 2672, "ratio": 0.000021393837325808766, "language": "Objective-C"}, {"loc": 2445, "ratio": 0.000019576321954192527, "language": "R"}, {"loc": 2212, "ratio": 0.00001771076652870097, "language": "Nix"}, {"loc": 2080, "ratio": 0.00001665388534344395, "language": "LSL"}, {"loc": 1883, "ratio": 0.000015076570241204306, "language": "Liquid"}, {"loc": 1607, "ratio": 0.000012866727762939629, "language": "TypeScript"}, {"loc": 1541, "ratio": 0.000012338287170311119, "language": "Scala"}, {"loc": 1412, "ratio": 0.000011305426011991758, "language": "Pascal"}, {"loc": 1377, "ratio": 0.000011025192364385731, "language": "M4"}, {"loc": 1133, "ratio": 0.000009071563506789421, "language": "ActionScript"}, {"loc": 1098, "ratio": 0.000008791329859183392, "language": "Ruby"}, {"loc": 1080, "ratio": 0.000008647209697557435, "language": "Groovy"}, {"loc": 1017, "ratio": 0.000008142789131866585, "language": "FreeMarker"}, {"loc": 979, "ratio": 0.000007838535457322897, "language": "Forth"}, {"loc": 962, "ratio": 0.000007702421971342827, "language": "ABAP"}, {"loc": 946, "ratio": 0.000007574315161008642, "language": "Genshi"}, {"loc": 936, "ratio": 0.000007494248404549778, "language": "Myghty"}, {"loc": 899, "ratio": 0.000007198001405651977, "language": "Tcl"}, {"loc": 830, "ratio": 0.000006645540786085807, "language": "VHDL"}, {"loc": 794, "ratio": 0.000006357300462833892, "language": "Clojure"}, {"loc": 720, "ratio": 0.0000057648064650382904, "language": "AutoHotkey"}, {"loc": 699, "ratio": 0.000005596666276474673, "language": "Gherkin"}, {"loc": 692, "ratio": 0.000005540619546953468, "language": "Elixir"}, {"loc": 662, "ratio": 0.000005300419277576872, "language": "PHP"}, {"loc": 632, "ratio": 0.000005060219008200277, "language": "Common Lisp"}, {"loc": 597, "ratio": 0.000004779985360594249, "language": "Mask"}, {"loc": 559, "ratio": 0.000004475731686050561, "language": "Scheme"}, {"loc": 539, "ratio": 0.0000043155981731328316, "language": "OCaml"}, {"loc": 520, "ratio": 0.000004163471335860988, "language": "Cirru"}, {"loc": 512, "ratio": 0.000004099417930693895, "language": "GLSL"}, {"loc": 512, "ratio": 0.000004099417930693895, "language": "Haskell"}, {"loc": 495, "ratio": 0.0000039633044447138246, "language": "Rust"}, {"loc": 489, "ratio": 0.000003915264390838505, "language": "Dart"}, {"loc": 487, "ratio": 0.000003899251039546733, "language": "Elm"}, {"loc": 487, "ratio": 0.000003899251039546733, "language": "Erlang"}, {"loc": 485, "ratio": 0.000003883237688254959, "language": "Vala"}, {"loc": 447, "ratio": 0.000003578984013711272, "language": "Haxe"}, {"loc": 418, "ratio": 0.000003346790419980563, "language": "PowerShell"}, {"loc": 403, "ratio": 0.000003226690285292265, "language": "CoffeeScript"}, {"loc": 375, "ratio": 0.0000030025033672074427, "language": "Eiffel"}, {"loc": 371, "ratio": 0.0000029704766646238968, "language": "PigLatin"}, {"loc": 333, "ratio": 0.000002666222990080209, "language": "OpenSCAD"}, {"loc": 324, "ratio": 0.0000025941629092672305, "language": "D"}, {"loc": 274, "ratio": 0.000002193829126972905, "language": "Verilog"}, {"loc": 213, "ratio": 0.0000017054219125738276, "language": "Lean"}, {"loc": 210, "ratio": 0.000001681401885636168, "language": "Julia"}, {"loc": 203, "ratio": 0.0000016253551561149624, "language": "MATLAB"}, {"loc": 140, "ratio": 0.000001120934590424112, "language": "Io"}, {"loc": 130, "ratio": 0.000001040867833965247, "language": "Smarty"}, {"loc": 114, "ratio": 0.0000009127610236310627, "language": "XQuery"}, {"loc": 99, "ratio": 0.0000007926608889427649, "language": "Ada"}, {"loc": 86, "ratio": 0.0000006885741055462403, "language": "ColdFusion"}, {"loc": 83, "ratio": 0.0000006645540786085807, "language": "C#"}, {"loc": 4, "ratio": 0.000000032026702583546055, "language": "JSONiq"}, {"loc": 4, "ratio": 0.000000032026702583546055, "language": "COBOL"}]</t>
  </si>
  <si>
    <t>search1.3.0-release</t>
  </si>
  <si>
    <t>e8e7a1c904238f9433fde3a9d509da5a8d2c538b</t>
  </si>
  <si>
    <t>hue</t>
  </si>
  <si>
    <t>{"id": 732593, "url": "https://api.github.com/repos/cloudera/hue", "fork": false, "name": "hue", "size": 312403, "forks": 1290, "owner": {"id": 87383, "url": "https://api.github.com/users/cloudera", "type": "Organization", "login": "cloudera", "node_id": "MDEyOk9yZ2FuaXphdGlvbjg3Mzgz", "html_url": "https://github.com/cloudera", "gists_url": "https://api.github.com/users/cloudera/gists{/gist_id}", "repos_url": "https://api.github.com/users/cloudera/repos", "avatar_url": "https://avatars3.githubusercontent.com/u/87383?v=4", "events_url": "https://api.github.com/users/cloudera/events{/privacy}", "site_admin": false, "gravatar_id": "", "starred_url": "https://api.github.com/users/cloudera/starred{/owner}{/repo}", "followers_url": "https://api.github.com/users/cloudera/followers", "following_url": "https://api.github.com/users/cloudera/following{/other_user}", "organizations_url": "https://api.github.com/users/cloudera/orgs", "subscriptions_url": "https://api.github.com/users/cloudera/subscriptions", "received_events_url": "https://api.github.com/users/cloudera/received_events"}, "score": 1.0, "topics": ["dashboards", "data-analysis", "data-analytics", "editor", "hadoop", "hue", "query-builder", "sql"], "git_url": "git://github.com/cloudera/hue.git", "license": {"key": "apache-2.0", "url": "https://api.github.com/licenses/apache-2.0", "name": "Apache License 2.0", "node_id": "MDc6TGljZW5zZTI=", "spdx_id": "Apache-2.0"}, "node_id": "MDEwOlJlcG9zaXRvcnk3MzI1OTM=", "private": false, "ssh_url": "git@github.com:cloudera/hue.git", "svn_url": "https://github.com/cloudera/hue", "archived": false, "has_wiki": true, "homepage": "http://gethue.com", "html_url": "https://github.com/cloudera/hue", "keys_url": "https://api.github.com/repos/cloudera/hue/keys{/key_id}", "language": "Python", "tags_url": "https://api.github.com/repos/cloudera/hue/tags", "watchers": 3229, "blobs_url": "https://api.github.com/repos/cloudera/hue/git/blobs{/sha}", "clone_url": "https://github.com/cloudera/hue.git", "forks_url": "https://api.github.com/repos/cloudera/hue/forks", "full_name": "cloudera/hue", "has_pages": true, "hooks_url": "https://api.github.com/repos/cloudera/hue/hooks", "pulls_url": "https://api.github.com/repos/cloudera/hue/pulls{/number}", "pushed_at": "2018-12-23T02:26:06Z", "teams_url": "https://api.github.com/repos/cloudera/hue/teams", "trees_url": "https://api.github.com/repos/cloudera/hue/git/trees{/sha}", "created_at": "2010-06-21T19:46:51Z", "events_url": "https://api.github.com/repos/cloudera/hue/events", "has_issues": true, "issues_url": "https://api.github.com/repos/cloudera/hue/issues{/number}", "labels_url": "https://api.github.com/repos/cloudera/hue/labels{/name}", "merges_url": "https://api.github.com/repos/cloudera/hue/merges", "mirror_url": null, "updated_at": "2018-12-24T21:50:45Z", "archive_url": "https://api.github.com/repos/cloudera/hue/{archive_format}{/ref}", "commits_url": "https://api.github.com/repos/cloudera/hue/commits{/sha}", "compare_url": "https://api.github.com/repos/cloudera/hue/compare/{base}...{head}", "description": "Hue is an open source Workbench for developing and accessing Data Apps.", "forks_count": 1290, "open_issues": 180, "permissions": {"pull": true, "push": false, "admin": false}, "branches_url": "https://api.github.com/repos/cloudera/hue/branches{/branch}", "comments_url": "https://api.github.com/repos/cloudera/hue/comments{/number}", "contents_url": "https://api.github.com/repos/cloudera/hue/contents/{+path}", "git_refs_url": "https://api.github.com/repos/cloudera/hue/git/refs{/sha}", "git_tags_url": "https://api.github.com/repos/cloudera/hue/git/tags{/sha}", "has_projects": false, "releases_url": "https://api.github.com/repos/cloudera/hue/releases{/id}", "statuses_url": "https://api.github.com/repos/cloudera/hue/statuses/{sha}", "assignees_url": "https://api.github.com/repos/cloudera/hue/assignees{/user}", "downloads_url": "https://api.github.com/repos/cloudera/hue/downloads", "has_downloads": true, "languages_url": "https://api.github.com/repos/cloudera/hue/languages", "default_branch": "master", "milestones_url": "https://api.github.com/repos/cloudera/hue/milestones{/number}", "stargazers_url": "https://api.github.com/repos/cloudera/hue/stargazers", "watchers_count": 3229, "deployments_url": "https://api.github.com/repos/cloudera/hue/deployments", "git_commits_url": "https://api.github.com/repos/cloudera/hue/git/commits{/sha}", "subscribers_url": "https://api.github.com/repos/cloudera/hue/subscribers", "contributors_url": "https://api.github.com/repos/cloudera/hue/contributors", "issue_events_url": "https://api.github.com/repos/cloudera/hue/issues/events{/number}", "stargazers_count": 3229, "subscription_url": "https://api.github.com/repos/cloudera/hue/subscription", "collaborators_url": "https://api.github.com/repos/cloudera/hue/collaborators{/collaborator}", "issue_comment_url": "https://api.github.com/repos/cloudera/hue/issues/comments{/number}", "notifications_url": "https://api.github.com/repos/cloudera/hue/notifications{?since,all,participating}", "open_issues_count": 180}</t>
  </si>
  <si>
    <t>ipython/ipython</t>
  </si>
  <si>
    <t>Official repository for IPython itself. Other repos in the IPython organization contain things like the website, documentation builds, etc.</t>
  </si>
  <si>
    <t>https://github.com/ipython/ipython</t>
  </si>
  <si>
    <t>"[\"data-science\", \"ipython\", \"jupyter\", \"notebook\", \"python\", \"repl\"]"</t>
  </si>
  <si>
    <t>[{"loc": 2289472, "ratio": 0.7030496360034602, "language": "Python"}, {"loc": 958132, "ratio": 0.29422257788838097, "language": "Jupyter Notebook"}, {"loc": 4685, "ratio": 0.001438666882441109, "language": "Makefile"}, {"loc": 4198, "ratio": 0.001289119225717775, "language": "Shell"}]</t>
  </si>
  <si>
    <t>rel-4.1.2</t>
  </si>
  <si>
    <t>b5734353b6d697be2bc4bc98333b0d29462533f9</t>
  </si>
  <si>
    <t>ipython</t>
  </si>
  <si>
    <t>{"id": 658518, "url": "https://api.github.com/repos/ipython/ipython", "fork": false, "name": "ipython", "size": 72143, "forks": 3744, "owner": {"id": 230453, "url": "https://api.github.com/users/ipython", "type": "Organization", "login": "ipython", "node_id": "MDEyOk9yZ2FuaXphdGlvbjIzMDQ1Mw==", "html_url": "https://github.com/ipython", "gists_url": "https://api.github.com/users/ipython/gists{/gist_id}", "repos_url": "https://api.github.com/users/ipython/repos", "avatar_url": "https://avatars3.githubusercontent.com/u/230453?v=4", "events_url": "https://api.github.com/users/ipython/events{/privacy}", "site_admin": false, "gravatar_id": "", "starred_url": "https://api.github.com/users/ipython/starred{/owner}{/repo}", "followers_url": "https://api.github.com/users/ipython/followers", "following_url": "https://api.github.com/users/ipython/following{/other_user}", "organizations_url": "https://api.github.com/users/ipython/orgs", "subscriptions_url": "https://api.github.com/users/ipython/subscriptions", "received_events_url": "https://api.github.com/users/ipython/received_events"}, "score": 1.0, "topics": ["data-science", "ipython", "jupyter", "notebook", "python", "repl"], "git_url": "git://github.com/ipython/ipython.git", "license": {"key": "other", "url": null, "name": "Other", "node_id": "MDc6TGljZW5zZTA=", "spdx_id": "NOASSERTION"}, "node_id": "MDEwOlJlcG9zaXRvcnk2NTg1MTg=", "private": false, "ssh_url": "git@github.com:ipython/ipython.git", "svn_url": "https://github.com/ipython/ipython", "archived": false, "has_wiki": true, "homepage": "https://ipython.readthedocs.org", "html_url": "https://github.com/ipython/ipython", "keys_url": "https://api.github.com/repos/ipython/ipython/keys{/key_id}", "language": "Python", "tags_url": "https://api.github.com/repos/ipython/ipython/tags", "watchers": 13225, "blobs_url": "https://api.github.com/repos/ipython/ipython/git/blobs{/sha}", "clone_url": "https://github.com/ipython/ipython.git", "forks_url": "https://api.github.com/repos/ipython/ipython/forks", "full_name": "ipython/ipython", "has_pages": false, "hooks_url": "https://api.github.com/repos/ipython/ipython/hooks", "pulls_url": "https://api.github.com/repos/ipython/ipython/pulls{/number}", "pushed_at": "2018-12-16T00:38:28Z", "teams_url": "https://api.github.com/repos/ipython/ipython/teams", "trees_url": "https://api.github.com/repos/ipython/ipython/git/trees{/sha}", "created_at": "2010-05-10T04:46:06Z", "events_url": "https://api.github.com/repos/ipython/ipython/events", "has_issues": true, "issues_url": "https://api.github.com/repos/ipython/ipython/issues{/number}", "labels_url": "https://api.github.com/repos/ipython/ipython/labels{/name}", "merges_url": "https://api.github.com/repos/ipython/ipython/merges", "mirror_url": null, "updated_at": "2018-12-25T01:33:06Z", "archive_url": "https://api.github.com/repos/ipython/ipython/{archive_format}{/ref}", "commits_url": "https://api.github.com/repos/ipython/ipython/commits{/sha}", "compare_url": "https://api.github.com/repos/ipython/ipython/compare/{base}...{head}", "description": "Official repository for IPython itself. Other repos in the IPython organization contain things like the website, documentation builds, etc.", "forks_count": 3744, "open_issues": 1082, "permissions": {"pull": true, "push": false, "admin": false}, "branches_url": "https://api.github.com/repos/ipython/ipython/branches{/branch}", "comments_url": "https://api.github.com/repos/ipython/ipython/comments{/number}", "contents_url": "https://api.github.com/repos/ipython/ipython/contents/{+path}", "git_refs_url": "https://api.github.com/repos/ipython/ipython/git/refs{/sha}", "git_tags_url": "https://api.github.com/repos/ipython/ipython/git/tags{/sha}", "has_projects": true, "releases_url": "https://api.github.com/repos/ipython/ipython/releases{/id}", "statuses_url": "https://api.github.com/repos/ipython/ipython/statuses/{sha}", "assignees_url": "https://api.github.com/repos/ipython/ipython/assignees{/user}", "downloads_url": "https://api.github.com/repos/ipython/ipython/downloads", "has_downloads": true, "languages_url": "https://api.github.com/repos/ipython/ipython/languages", "default_branch": "master", "milestones_url": "https://api.github.com/repos/ipython/ipython/milestones{/number}", "stargazers_url": "https://api.github.com/repos/ipython/ipython/stargazers", "watchers_count": 13225, "deployments_url": "https://api.github.com/repos/ipython/ipython/deployments", "git_commits_url": "https://api.github.com/repos/ipython/ipython/git/commits{/sha}", "subscribers_url": "https://api.github.com/repos/ipython/ipython/subscribers", "contributors_url": "https://api.github.com/repos/ipython/ipython/contributors", "issue_events_url": "https://api.github.com/repos/ipython/ipython/issues/events{/number}", "stargazers_count": 13225, "subscription_url": "https://api.github.com/repos/ipython/ipython/subscription", "collaborators_url": "https://api.github.com/repos/ipython/ipython/collaborators{/collaborator}", "issue_comment_url": "https://api.github.com/repos/ipython/ipython/issues/comments{/number}", "notifications_url": "https://api.github.com/repos/ipython/ipython/notifications{?since,all,participating}", "open_issues_count": 1082}</t>
  </si>
  <si>
    <t>pallets/jinja</t>
  </si>
  <si>
    <t>The Jinja2 template engine</t>
  </si>
  <si>
    <t>https://github.com/pallets/jinja</t>
  </si>
  <si>
    <t>"[\"jinja\", \"jinja2\", \"python\", \"template-engine\", \"templates\"]"</t>
  </si>
  <si>
    <t>[{"loc": 684482, "ratio": 0.9884759019267483, "language": "Python"}, {"loc": 5650, "ratio": 0.008159292495472675, "language": "Vim script"}, {"loc": 1729, "ratio": 0.002496887915871196, "language": "HTML"}, {"loc": 601, "ratio": 0.0008679176619078014, "language": "Makefile"}]</t>
  </si>
  <si>
    <t>78d2f672149e5b9b7d539c575d2c1bfc12db67a9</t>
  </si>
  <si>
    <t>jinja</t>
  </si>
  <si>
    <t>{"id": 994551, "url": "https://api.github.com/repos/pallets/jinja", "fork": false, "name": "jinja", "size": 4539, "forks": 1100, "owner": {"id": 16748505, "url": "https://api.github.com/users/pallets", "type": "Organization", "login": "pallets", "node_id": "MDEyOk9yZ2FuaXphdGlvbjE2NzQ4NTA1", "html_url": "https://github.com/pallets", "gists_url": "https://api.github.com/users/pallets/gists{/gist_id}", "repos_url": "https://api.github.com/users/pallets/repos", "avatar_url": "https://avatars3.githubusercontent.com/u/16748505?v=4", "events_url": "https://api.github.com/users/pallets/events{/privacy}", "site_admin": false, "gravatar_id": "", "starred_url": "https://api.github.com/users/pallets/starred{/owner}{/repo}", "followers_url": "https://api.github.com/users/pallets/followers", "following_url": "https://api.github.com/users/pallets/following{/other_user}", "organizations_url": "https://api.github.com/users/pallets/orgs", "subscriptions_url": "https://api.github.com/users/pallets/subscriptions", "received_events_url": "https://api.github.com/users/pallets/received_events"}, "score": 1.0, "topics": ["jinja", "jinja2", "python", "template-engine", "templates"], "git_url": "git://github.com/pallets/jinja.git", "license": {"key": "other", "url": null, "name": "Other", "node_id": "MDc6TGljZW5zZTA=", "spdx_id": "NOASSERTION"}, "node_id": "MDEwOlJlcG9zaXRvcnk5OTQ1NTE=", "private": false, "ssh_url": "git@github.com:pallets/jinja.git", "svn_url": "https://github.com/pallets/jinja", "archived": false, "has_wiki": false, "homepage": "http://jinja.pocoo.org/", "html_url": "https://github.com/pallets/jinja", "keys_url": "https://api.github.com/repos/pallets/jinja/keys{/key_id}", "language": "Python", "tags_url": "https://api.github.com/repos/pallets/jinja/tags", "watchers": 5711, "blobs_url": "https://api.github.com/repos/pallets/jinja/git/blobs{/sha}", "clone_url": "https://github.com/pallets/jinja.git", "forks_url": "https://api.github.com/repos/pallets/jinja/forks", "full_name": "pallets/jinja", "has_pages": false, "hooks_url": "https://api.github.com/repos/pallets/jinja/hooks", "pulls_url": "https://api.github.com/repos/pallets/jinja/pulls{/number}", "pushed_at": "2018-12-13T15:22:12Z", "teams_url": "https://api.github.com/repos/pallets/jinja/teams", "trees_url": "https://api.github.com/repos/pallets/jinja/git/trees{/sha}", "created_at": "2010-10-17T13:41:17Z", "events_url": "https://api.github.com/repos/pallets/jinja/events", "has_issues": true, "issues_url": "https://api.github.com/repos/pallets/jinja/issues{/number}", "labels_url": "https://api.github.com/repos/pallets/jinja/labels{/name}", "merges_url": "https://api.github.com/repos/pallets/jinja/merges", "mirror_url": null, "updated_at": "2018-12-25T01:25:04Z", "archive_url": "https://api.github.com/repos/pallets/jinja/{archive_format}{/ref}", "commits_url": "https://api.github.com/repos/pallets/jinja/commits{/sha}", "compare_url": "https://api.github.com/repos/pallets/jinja/compare/{base}...{head}", "description": "The Jinja2 template engine", "forks_count": 1100, "open_issues": 146, "permissions": {"pull": true, "push": false, "admin": false}, "branches_url": "https://api.github.com/repos/pallets/jinja/branches{/branch}", "comments_url": "https://api.github.com/repos/pallets/jinja/comments{/number}", "contents_url": "https://api.github.com/repos/pallets/jinja/contents/{+path}", "git_refs_url": "https://api.github.com/repos/pallets/jinja/git/refs{/sha}", "git_tags_url": "https://api.github.com/repos/pallets/jinja/git/tags{/sha}", "has_projects": false, "releases_url": "https://api.github.com/repos/pallets/jinja/releases{/id}", "statuses_url": "https://api.github.com/repos/pallets/jinja/statuses/{sha}", "assignees_url": "https://api.github.com/repos/pallets/jinja/assignees{/user}", "downloads_url": "https://api.github.com/repos/pallets/jinja/downloads", "has_downloads": true, "languages_url": "https://api.github.com/repos/pallets/jinja/languages", "default_branch": "master", "milestones_url": "https://api.github.com/repos/pallets/jinja/milestones{/number}", "stargazers_url": "https://api.github.com/repos/pallets/jinja/stargazers", "watchers_count": 5711, "deployments_url": "https://api.github.com/repos/pallets/jinja/deployments", "git_commits_url": "https://api.github.com/repos/pallets/jinja/git/commits{/sha}", "subscribers_url": "https://api.github.com/repos/pallets/jinja/subscribers", "contributors_url": "https://api.github.com/repos/pallets/jinja/contributors", "issue_events_url": "https://api.github.com/repos/pallets/jinja/issues/events{/number}", "stargazers_count": 5711, "subscription_url": "https://api.github.com/repos/pallets/jinja/subscription", "collaborators_url": "https://api.github.com/repos/pallets/jinja/collaborators{/collaborator}", "issue_comment_url": "https://api.github.com/repos/pallets/jinja/issues/comments{/number}", "notifications_url": "https://api.github.com/repos/pallets/jinja/notifications{?since,all,participating}", "open_issues_count": 146}</t>
  </si>
  <si>
    <t>jupyterhub/jupyterhub</t>
  </si>
  <si>
    <t>Multi-user server for Jupyter notebooks</t>
  </si>
  <si>
    <t>https://github.com/jupyterhub/jupyterhub</t>
  </si>
  <si>
    <t>"[\"ipython\", \"jupyter-notebook\", \"jupyterhub\", \"multi-user\", \"python\"]"</t>
  </si>
  <si>
    <t>[{"loc": 735789, "ratio": 0.9261125348021125, "language": "Python"}, {"loc": 27327, "ratio": 0.03439556345438343, "language": "HTML"}, {"loc": 21579, "ratio": 0.027160751775977605, "language": "JavaScript"}, {"loc": 3691, "ratio": 0.004645735891613761, "language": "Shell"}, {"loc": 2932, "ratio": 0.0036904084622626787, "language": "CSS"}, {"loc": 2680, "ratio": 0.003373224651727141, "language": "Dockerfile"}, {"loc": 494, "ratio": 0.0006217809619228387, "language": "Mako"}]</t>
  </si>
  <si>
    <t>1.4.4</t>
  </si>
  <si>
    <t>b1111363fd75ddd90a099e7db23ea1b769d2019e</t>
  </si>
  <si>
    <t>jupyterhub</t>
  </si>
  <si>
    <t>{"id": 20785986, "url": "https://api.github.com/repos/jupyterhub/jupyterhub", "fork": false, "name": "jupyterhub", "size": 4754, "forks": 953, "owner": {"id": 17927519, "url": "https://api.github.com/users/jupyterhub", "type": "Organization", "login": "jupyterhub", "node_id": "MDEyOk9yZ2FuaXphdGlvbjE3OTI3NTE5", "html_url": "https://github.com/jupyterhub", "gists_url": "https://api.github.com/users/jupyterhub/gists{/gist_id}", "repos_url": "https://api.github.com/users/jupyterhub/repos", "avatar_url": "https://avatars2.githubusercontent.com/u/17927519?v=4", "events_url": "https://api.github.com/users/jupyterhub/events{/privacy}", "site_admin": false, "gravatar_id": "", "starred_url": "https://api.github.com/users/jupyterhub/starred{/owner}{/repo}", "followers_url": "https://api.github.com/users/jupyterhub/followers", "following_url": "https://api.github.com/users/jupyterhub/following{/other_user}", "organizations_url": "https://api.github.com/users/jupyterhub/orgs", "subscriptions_url": "https://api.github.com/users/jupyterhub/subscriptions", "received_events_url": "https://api.github.com/users/jupyterhub/received_events"}, "score": 1.0, "topics": ["ipython", "jupyter-notebook", "jupyterhub", "multi-user", "python"], "git_url": "git://github.com/jupyterhub/jupyterhub.git", "license": {"key": "other", "url": null, "name": "Other", "node_id": "MDc6TGljZW5zZTA=", "spdx_id": "NOASSERTION"}, "node_id": "MDEwOlJlcG9zaXRvcnkyMDc4NTk4Ng==", "private": false, "ssh_url": "git@github.com:jupyterhub/jupyterhub.git", "svn_url": "https://github.com/jupyterhub/jupyterhub", "archived": false, "has_wiki": true, "homepage": "https://jupyterhub.readthedocs.io", "html_url": "https://github.com/jupyterhub/jupyterhub", "keys_url": "https://api.github.com/repos/jupyterhub/jupyterhub/keys{/key_id}", "language": "Python", "tags_url": "https://api.github.com/repos/jupyterhub/jupyterhub/tags", "watchers": 4025, "blobs_url": "https://api.github.com/repos/jupyterhub/jupyterhub/git/blobs{/sha}", "clone_url": "https://github.com/jupyterhub/jupyterhub.git", "forks_url": "https://api.github.com/repos/jupyterhub/jupyterhub/forks", "full_name": "jupyterhub/jupyterhub", "has_pages": false, "hooks_url": "https://api.github.com/repos/jupyterhub/jupyterhub/hooks", "pulls_url": "https://api.github.com/repos/jupyterhub/jupyterhub/pulls{/number}", "pushed_at": "2018-12-21T14:33:16Z", "teams_url": "https://api.github.com/repos/jupyterhub/jupyterhub/teams", "trees_url": "https://api.github.com/repos/jupyterhub/jupyterhub/git/trees{/sha}", "created_at": "2014-06-12T23:22:10Z", "events_url": "https://api.github.com/repos/jupyterhub/jupyterhub/events", "has_issues": true, "issues_url": "https://api.github.com/repos/jupyterhub/jupyterhub/issues{/number}", "labels_url": "https://api.github.com/repos/jupyterhub/jupyterhub/labels{/name}", "merges_url": "https://api.github.com/repos/jupyterhub/jupyterhub/merges", "mirror_url": null, "updated_at": "2018-12-25T00:22:23Z", "archive_url": "https://api.github.com/repos/jupyterhub/jupyterhub/{archive_format}{/ref}", "commits_url": "https://api.github.com/repos/jupyterhub/jupyterhub/commits{/sha}", "compare_url": "https://api.github.com/repos/jupyterhub/jupyterhub/compare/{base}...{head}", "description": "Multi-user server for Jupyter notebooks", "forks_count": 953, "open_issues": 228, "permissions": {"pull": true, "push": false, "admin": false}, "branches_url": "https://api.github.com/repos/jupyterhub/jupyterhub/branches{/branch}", "comments_url": "https://api.github.com/repos/jupyterhub/jupyterhub/comments{/number}", "contents_url": "https://api.github.com/repos/jupyterhub/jupyterhub/contents/{+path}", "git_refs_url": "https://api.github.com/repos/jupyterhub/jupyterhub/git/refs{/sha}", "git_tags_url": "https://api.github.com/repos/jupyterhub/jupyterhub/git/tags{/sha}", "has_projects": true, "releases_url": "https://api.github.com/repos/jupyterhub/jupyterhub/releases{/id}", "statuses_url": "https://api.github.com/repos/jupyterhub/jupyterhub/statuses/{sha}", "assignees_url": "https://api.github.com/repos/jupyterhub/jupyterhub/assignees{/user}", "downloads_url": "https://api.github.com/repos/jupyterhub/jupyterhub/downloads", "has_downloads": true, "languages_url": "https://api.github.com/repos/jupyterhub/jupyterhub/languages", "default_branch": "master", "milestones_url": "https://api.github.com/repos/jupyterhub/jupyterhub/milestones{/number}", "stargazers_url": "https://api.github.com/repos/jupyterhub/jupyterhub/stargazers", "watchers_count": 4025, "deployments_url": "https://api.github.com/repos/jupyterhub/jupyterhub/deployments", "git_commits_url": "https://api.github.com/repos/jupyterhub/jupyterhub/git/commits{/sha}", "subscribers_url": "https://api.github.com/repos/jupyterhub/jupyterhub/subscribers", "contributors_url": "https://api.github.com/repos/jupyterhub/jupyterhub/contributors", "issue_events_url": "https://api.github.com/repos/jupyterhub/jupyterhub/issues/events{/number}", "stargazers_count": 4025, "subscription_url": "https://api.github.com/repos/jupyterhub/jupyterhub/subscription", "collaborators_url": "https://api.github.com/repos/jupyterhub/jupyterhub/collaborators{/collaborator}", "issue_comment_url": "https://api.github.com/repos/jupyterhub/jupyterhub/issues/comments{/number}", "notifications_url": "https://api.github.com/repos/jupyterhub/jupyterhub/notifications{?since,all,participating}", "open_issues_count": 228}</t>
  </si>
  <si>
    <t>dpkp/kafka-python</t>
  </si>
  <si>
    <t>Python client for Apache Kafka</t>
  </si>
  <si>
    <t>https://github.com/dpkp/kafka-python</t>
  </si>
  <si>
    <t>[{"loc": 1165377, "ratio": 0.9960768124229145, "language": "Python"}, {"loc": 2612, "ratio": 0.002232541601600729, "language": "Shell"}, {"loc": 1978, "ratio": 0.0016906459754847786, "language": "Makefile"}]</t>
  </si>
  <si>
    <t>v0.9.5</t>
  </si>
  <si>
    <t>99d4a3a8b1dbae514b1c6d367908010b65fc8d0c</t>
  </si>
  <si>
    <t>kafka-python</t>
  </si>
  <si>
    <t>{"id": 5934517, "url": "https://api.github.com/repos/dpkp/kafka-python", "fork": false, "name": "kafka-python", "size": 3915, "forks": 817, "owner": {"id": 843444, "url": "https://api.github.com/users/dpkp", "type": "User", "login": "dpkp", "node_id": "MDQ6VXNlcjg0MzQ0NA==", "html_url": "https://github.com/dpkp", "gists_url": "https://api.github.com/users/dpkp/gists{/gist_id}", "repos_url": "https://api.github.com/users/dpkp/repos", "avatar_url": "https://avatars1.githubusercontent.com/u/843444?v=4", "events_url": "https://api.github.com/users/dpkp/events{/privacy}", "site_admin": false, "gravatar_id": "", "starred_url": "https://api.github.com/users/dpkp/starred{/owner}{/repo}", "followers_url": "https://api.github.com/users/dpkp/followers", "following_url": "https://api.github.com/users/dpkp/following{/other_user}", "organizations_url": "https://api.github.com/users/dpkp/orgs", "subscriptions_url": "https://api.github.com/users/dpkp/subscriptions", "received_events_url": "https://api.github.com/users/dpkp/received_events"}, "score": 1.0, "topics": [], "git_url": "git://github.com/dpkp/kafka-python.git", "license": {"key": "apache-2.0", "url": "https://api.github.com/licenses/apache-2.0", "name": "Apache License 2.0", "node_id": "MDc6TGljZW5zZTI=", "spdx_id": "Apache-2.0"}, "node_id": "MDEwOlJlcG9zaXRvcnk1OTM0NTE3", "private": false, "ssh_url": "git@github.com:dpkp/kafka-python.git", "svn_url": "https://github.com/dpkp/kafka-python", "archived": false, "has_wiki": true, "homepage": "http://kafka-python.readthedocs.io/", "html_url": "https://github.com/dpkp/kafka-python", "keys_url": "https://api.github.com/repos/dpkp/kafka-python/keys{/key_id}", "language": "Python", "tags_url": "https://api.github.com/repos/dpkp/kafka-python/tags", "watchers": 2692, "blobs_url": "https://api.github.com/repos/dpkp/kafka-python/git/blobs{/sha}", "clone_url": "https://github.com/dpkp/kafka-python.git", "forks_url": "https://api.github.com/repos/dpkp/kafka-python/forks", "full_name": "dpkp/kafka-python", "has_pages": false, "hooks_url": "https://api.github.com/repos/dpkp/kafka-python/hooks", "pulls_url": "https://api.github.com/repos/dpkp/kafka-python/pulls{/number}", "pushed_at": "2018-12-20T16:01:38Z", "teams_url": "https://api.github.com/repos/dpkp/kafka-python/teams", "trees_url": "https://api.github.com/repos/dpkp/kafka-python/git/trees{/sha}", "created_at": "2012-09-24T13:00:26Z", "events_url": "https://api.github.com/repos/dpkp/kafka-python/events", "has_issues": true, "issues_url": "https://api.github.com/repos/dpkp/kafka-python/issues{/number}", "labels_url": "https://api.github.com/repos/dpkp/kafka-python/labels{/name}", "merges_url": "https://api.github.com/repos/dpkp/kafka-python/merges", "mirror_url": null, "updated_at": "2018-12-24T15:00:42Z", "archive_url": "https://api.github.com/repos/dpkp/kafka-python/{archive_format}{/ref}", "commits_url": "https://api.github.com/repos/dpkp/kafka-python/commits{/sha}", "compare_url": "https://api.github.com/repos/dpkp/kafka-python/compare/{base}...{head}", "description": "Python client for Apache Kafka", "forks_count": 817, "open_issues": 154, "permissions": {"pull": true, "push": false, "admin": false}, "branches_url": "https://api.github.com/repos/dpkp/kafka-python/branches{/branch}", "comments_url": "https://api.github.com/repos/dpkp/kafka-python/comments{/number}", "contents_url": "https://api.github.com/repos/dpkp/kafka-python/contents/{+path}", "git_refs_url": "https://api.github.com/repos/dpkp/kafka-python/git/refs{/sha}", "git_tags_url": "https://api.github.com/repos/dpkp/kafka-python/git/tags{/sha}", "has_projects": true, "releases_url": "https://api.github.com/repos/dpkp/kafka-python/releases{/id}", "statuses_url": "https://api.github.com/repos/dpkp/kafka-python/statuses/{sha}", "assignees_url": "https://api.github.com/repos/dpkp/kafka-python/assignees{/user}", "downloads_url": "https://api.github.com/repos/dpkp/kafka-python/downloads", "has_downloads": true, "languages_url": "https://api.github.com/repos/dpkp/kafka-python/languages", "default_branch": "master", "milestones_url": "https://api.github.com/repos/dpkp/kafka-python/milestones{/number}", "stargazers_url": "https://api.github.com/repos/dpkp/kafka-python/stargazers", "watchers_count": 2692, "deployments_url": "https://api.github.com/repos/dpkp/kafka-python/deployments", "git_commits_url": "https://api.github.com/repos/dpkp/kafka-python/git/commits{/sha}", "subscribers_url": "https://api.github.com/repos/dpkp/kafka-python/subscribers", "contributors_url": "https://api.github.com/repos/dpkp/kafka-python/contributors", "issue_events_url": "https://api.github.com/repos/dpkp/kafka-python/issues/events{/number}", "stargazers_count": 2692, "subscription_url": "https://api.github.com/repos/dpkp/kafka-python/subscription", "collaborators_url": "https://api.github.com/repos/dpkp/kafka-python/collaborators{/collaborator}", "issue_comment_url": "https://api.github.com/repos/dpkp/kafka-python/issues/comments{/number}", "notifications_url": "https://api.github.com/repos/dpkp/kafka-python/notifications{?since,all,participating}", "open_issues_count": 154}</t>
  </si>
  <si>
    <t>kivy/kivy</t>
  </si>
  <si>
    <t>Open source UI framework written in Python, running on Windows, Linux, macOS, Android and iOS</t>
  </si>
  <si>
    <t>https://github.com/kivy/kivy</t>
  </si>
  <si>
    <t>"[\"android\", \"app\", \"ios\", \"kivy\", \"linux\", \"macos\", \"python\", \"ui\", \"windows\"]"</t>
  </si>
  <si>
    <t>[{"loc": 3980096, "ratio": 0.9151129091036593, "language": "Python"}, {"loc": 323856, "ratio": 0.07446172310684836, "language": "C"}, {"loc": 14779, "ratio": 0.00339802197827464, "language": "Objective-C"}, {"loc": 10849, "ratio": 0.002494427257750969, "language": "Shell"}, {"loc": 9838, "ratio": 0.002261975791478849, "language": "Emacs Lisp"}, {"loc": 4272, "ratio": 0.0009822281542180974, "language": "Makefile"}, {"loc": 3551, "ratio": 0.0008164541609617191, "language": "C++"}, {"loc": 1731, "ratio": 0.00039799553720775436, "language": "Vim script"}, {"loc": 323, "ratio": 0.00007426490960029154, "language": "GLSL"}]</t>
  </si>
  <si>
    <t>1.10.1</t>
  </si>
  <si>
    <t>ec0a82e314ccb904caed75214914a7f9f667439d</t>
  </si>
  <si>
    <t>kivy</t>
  </si>
  <si>
    <t>{"id": 1049095, "url": "https://api.github.com/repos/kivy/kivy", "fork": false, "name": "kivy", "size": 62066, "forks": 1950, "owner": {"id": 1266152, "url": "https://api.github.com/users/kivy", "type": "Organization", "login": "kivy", "node_id": "MDEyOk9yZ2FuaXphdGlvbjEyNjYxNTI=", "html_url": "https://github.com/kivy", "gists_url": "https://api.github.com/users/kivy/gists{/gist_id}", "repos_url": "https://api.github.com/users/kivy/repos", "avatar_url": "https://avatars0.githubusercontent.com/u/1266152?v=4", "events_url": "https://api.github.com/users/kivy/events{/privacy}", "site_admin": false, "gravatar_id": "", "starred_url": "https://api.github.com/users/kivy/starred{/owner}{/repo}", "followers_url": "https://api.github.com/users/kivy/followers", "following_url": "https://api.github.com/users/kivy/following{/other_user}", "organizations_url": "https://api.github.com/users/kivy/orgs", "subscriptions_url": "https://api.github.com/users/kivy/subscriptions", "received_events_url": "https://api.github.com/users/kivy/received_events"}, "score": 1.0, "topics": ["android", "app", "ios", "kivy", "linux", "macos", "python", "ui", "windows"], "git_url": "git://github.com/kivy/kivy.git", "license": {"key": "mit", "url": "https://api.github.com/licenses/mit", "name": "MIT License", "node_id": "MDc6TGljZW5zZTEz", "spdx_id": "MIT"}, "node_id": "MDEwOlJlcG9zaXRvcnkxMDQ5MDk1", "private": false, "ssh_url": "git@github.com:kivy/kivy.git", "svn_url": "https://github.com/kivy/kivy", "archived": false, "has_wiki": true, "homepage": "https://kivy.org", "html_url": "https://github.com/kivy/kivy", "keys_url": "https://api.github.com/repos/kivy/kivy/keys{/key_id}", "language": "Python", "tags_url": "https://api.github.com/repos/kivy/kivy/tags", "watchers": 8537, "blobs_url": "https://api.github.com/repos/kivy/kivy/git/blobs{/sha}", "clone_url": "https://github.com/kivy/kivy.git", "forks_url": "https://api.github.com/repos/kivy/kivy/forks", "full_name": "kivy/kivy", "has_pages": false, "hooks_url": "https://api.github.com/repos/kivy/kivy/hooks", "pulls_url": "https://api.github.com/repos/kivy/kivy/pulls{/number}", "pushed_at": "2018-12-19T09:44:05Z", "teams_url": "https://api.github.com/repos/kivy/kivy/teams", "trees_url": "https://api.github.com/repos/kivy/kivy/git/trees{/sha}", "created_at": "2010-11-03T20:27:32Z", "events_url": "https://api.github.com/repos/kivy/kivy/events", "has_issues": true, "issues_url": "https://api.github.com/repos/kivy/kivy/issues{/number}", "labels_url": "https://api.github.com/repos/kivy/kivy/labels{/name}", "merges_url": "https://api.github.com/repos/kivy/kivy/merges", "mirror_url": null, "updated_at": "2018-12-24T23:15:18Z", "archive_url": "https://api.github.com/repos/kivy/kivy/{archive_format}{/ref}", "commits_url": "https://api.github.com/repos/kivy/kivy/commits{/sha}", "compare_url": "https://api.github.com/repos/kivy/kivy/compare/{base}...{head}", "description": "Open source UI framework written in Python, running on Windows, Linux, macOS, Android and iOS", "forks_count": 1950, "open_issues": 676, "permissions": {"pull": true, "push": false, "admin": false}, "branches_url": "https://api.github.com/repos/kivy/kivy/branches{/branch}", "comments_url": "https://api.github.com/repos/kivy/kivy/comments{/number}", "contents_url": "https://api.github.com/repos/kivy/kivy/contents/{+path}", "git_refs_url": "https://api.github.com/repos/kivy/kivy/git/refs{/sha}", "git_tags_url": "https://api.github.com/repos/kivy/kivy/git/tags{/sha}", "has_projects": true, "releases_url": "https://api.github.com/repos/kivy/kivy/releases{/id}", "statuses_url": "https://api.github.com/repos/kivy/kivy/statuses/{sha}", "assignees_url": "https://api.github.com/repos/kivy/kivy/assignees{/user}", "downloads_url": "https://api.github.com/repos/kivy/kivy/downloads", "has_downloads": true, "languages_url": "https://api.github.com/repos/kivy/kivy/languages", "default_branch": "master", "milestones_url": "https://api.github.com/repos/kivy/kivy/milestones{/number}", "stargazers_url": "https://api.github.com/repos/kivy/kivy/stargazers", "watchers_count": 8537, "deployments_url": "https://api.github.com/repos/kivy/kivy/deployments", "git_commits_url": "https://api.github.com/repos/kivy/kivy/git/commits{/sha}", "subscribers_url": "https://api.github.com/repos/kivy/kivy/subscribers", "contributors_url": "https://api.github.com/repos/kivy/kivy/contributors", "issue_events_url": "https://api.github.com/repos/kivy/kivy/issues/events{/number}", "stargazers_count": 8537, "subscription_url": "https://api.github.com/repos/kivy/kivy/subscription", "collaborators_url": "https://api.github.com/repos/kivy/kivy/collaborators{/collaborator}", "issue_comment_url": "https://api.github.com/repos/kivy/kivy/issues/comments{/number}", "notifications_url": "https://api.github.com/repos/kivy/kivy/notifications{?since,all,participating}", "open_issues_count": 676}</t>
  </si>
  <si>
    <t>chrippa/livestreamer</t>
  </si>
  <si>
    <t>Command-line utility that extracts streams from various services and pipes them into a video player of choice. No longer maintained, use streamlink or youtube-dl instead.</t>
  </si>
  <si>
    <t>https://github.com/chrippa/livestreamer</t>
  </si>
  <si>
    <t>[{"loc": 619682, "ratio": 0.9653600615654959, "language": "Python"}, {"loc": 20583, "ratio": 0.032064843173115566, "language": "NSIS"}, {"loc": 1653, "ratio": 0.002575095261388526, "language": "Shell"}]</t>
  </si>
  <si>
    <t>v1.12.2</t>
  </si>
  <si>
    <t>f77b977c86e0e2a1f29f5adb595dfb4b55e0e87d</t>
  </si>
  <si>
    <t>livestreamer</t>
  </si>
  <si>
    <t>{"id": 2207789, "url": "https://api.github.com/repos/chrippa/livestreamer", "fork": false, "name": "livestreamer", "size": 4772, "forks": 602, "owner": {"id": 22396, "url": "https://api.github.com/users/chrippa", "type": "User", "login": "chrippa", "node_id": "MDQ6VXNlcjIyMzk2", "html_url": "https://github.com/chrippa", "gists_url": "https://api.github.com/users/chrippa/gists{/gist_id}", "repos_url": "https://api.github.com/users/chrippa/repos", "avatar_url": "https://avatars0.githubusercontent.com/u/22396?v=4", "events_url": "https://api.github.com/users/chrippa/events{/privacy}", "site_admin": false, "gravatar_id": "", "starred_url": "https://api.github.com/users/chrippa/starred{/owner}{/repo}", "followers_url": "https://api.github.com/users/chrippa/followers", "following_url": "https://api.github.com/users/chrippa/following{/other_user}", "organizations_url": "https://api.github.com/users/chrippa/orgs", "subscriptions_url": "https://api.github.com/users/chrippa/subscriptions", "received_events_url": "https://api.github.com/users/chrippa/received_events"}, "score": 1.0, "topics": [], "git_url": "git://github.com/chrippa/livestreamer.git", "license": {"key": "other", "url": null, "name": "Other", "node_id": "MDc6TGljZW5zZTA=", "spdx_id": "NOASSERTION"}, "node_id": "MDEwOlJlcG9zaXRvcnkyMjA3Nzg5", "private": false, "ssh_url": "git@github.com:chrippa/livestreamer.git", "svn_url": "https://github.com/chrippa/livestreamer", "archived": false, "has_wiki": true, "homepage": "http://livestreamer.io/", "html_url": "https://github.com/chrippa/livestreamer", "keys_url": "https://api.github.com/repos/chrippa/livestreamer/keys{/key_id}", "language": "Python", "tags_url": "https://api.github.com/repos/chrippa/livestreamer/tags", "watchers": 3632, "blobs_url": "https://api.github.com/repos/chrippa/livestreamer/git/blobs{/sha}", "clone_url": "https://github.com/chrippa/livestreamer.git", "forks_url": "https://api.github.com/repos/chrippa/livestreamer/forks", "full_name": "chrippa/livestreamer", "has_pages": false, "hooks_url": "https://api.github.com/repos/chrippa/livestreamer/hooks", "pulls_url": "https://api.github.com/repos/chrippa/livestreamer/pulls{/number}", "pushed_at": "2018-12-21T21:21:46Z", "teams_url": "https://api.github.com/repos/chrippa/livestreamer/teams", "trees_url": "https://api.github.com/repos/chrippa/livestreamer/git/trees{/sha}", "created_at": "2011-08-15T02:38:37Z", "events_url": "https://api.github.com/repos/chrippa/livestreamer/events", "has_issues": true, "issues_url": "https://api.github.com/repos/chrippa/livestreamer/issues{/number}", "labels_url": "https://api.github.com/repos/chrippa/livestreamer/labels{/name}", "merges_url": "https://api.github.com/repos/chrippa/livestreamer/merges", "mirror_url": null, "updated_at": "2018-12-24T03:09:52Z", "archive_url": "https://api.github.com/repos/chrippa/livestreamer/{archive_format}{/ref}", "commits_url": "https://api.github.com/repos/chrippa/livestreamer/commits{/sha}", "compare_url": "https://api.github.com/repos/chrippa/livestreamer/compare/{base}...{head}", "description": "Command-line utility that extracts streams from various services and pipes them into a video player of choice. No longer maintained, use streamlink or youtube-dl instead.", "forks_count": 602, "open_issues": 664, "permissions": {"pull": true, "push": false, "admin": false}, "branches_url": "https://api.github.com/repos/chrippa/livestreamer/branches{/branch}", "comments_url": "https://api.github.com/repos/chrippa/livestreamer/comments{/number}", "contents_url": "https://api.github.com/repos/chrippa/livestreamer/contents/{+path}", "git_refs_url": "https://api.github.com/repos/chrippa/livestreamer/git/refs{/sha}", "git_tags_url": "https://api.github.com/repos/chrippa/livestreamer/git/tags{/sha}", "has_projects": true, "releases_url": "https://api.github.com/repos/chrippa/livestreamer/releases{/id}", "statuses_url": "https://api.github.com/repos/chrippa/livestreamer/statuses/{sha}", "assignees_url": "https://api.github.com/repos/chrippa/livestreamer/assignees{/user}", "downloads_url": "https://api.github.com/repos/chrippa/livestreamer/downloads", "has_downloads": true, "languages_url": "https://api.github.com/repos/chrippa/livestreamer/languages", "default_branch": "develop", "milestones_url": "https://api.github.com/repos/chrippa/livestreamer/milestones{/number}", "stargazers_url": "https://api.github.com/repos/chrippa/livestreamer/stargazers", "watchers_count": 3632, "deployments_url": "https://api.github.com/repos/chrippa/livestreamer/deployments", "git_commits_url": "https://api.github.com/repos/chrippa/livestreamer/git/commits{/sha}", "subscribers_url": "https://api.github.com/repos/chrippa/livestreamer/subscribers", "contributors_url": "https://api.github.com/repos/chrippa/livestreamer/contributors", "issue_events_url": "https://api.github.com/repos/chrippa/livestreamer/issues/events{/number}", "stargazers_count": 3632, "subscription_url": "https://api.github.com/repos/chrippa/livestreamer/subscription", "collaborators_url": "https://api.github.com/repos/chrippa/livestreamer/collaborators{/collaborator}", "issue_comment_url": "https://api.github.com/repos/chrippa/livestreamer/issues/comments{/number}", "notifications_url": "https://api.github.com/repos/chrippa/livestreamer/notifications{?since,all,participating}", "open_issues_count": 664}</t>
  </si>
  <si>
    <t>spotify/luigi</t>
  </si>
  <si>
    <t xml:space="preserve">Luigi is a Python module that helps you build complex pipelines of batch jobs. It handles dependency resolution, workflow management, visualization etc. It also comes with Hadoop support built in. </t>
  </si>
  <si>
    <t>https://github.com/spotify/luigi</t>
  </si>
  <si>
    <t>"[\"hadoop\", \"luigi\", \"orchestration-framework\", \"python\", \"scheduling\"]"</t>
  </si>
  <si>
    <t>[{"loc": 2012803, "ratio": 0.9013847664051962, "language": "Python"}, {"loc": 170555, "ratio": 0.07637889988947663, "language": "JavaScript"}, {"loc": 41976, "ratio": 0.018797928537777675, "language": "HTML"}, {"loc": 5051, "ratio": 0.0022619672442423058, "language": "CSS"}, {"loc": 2627, "ratio": 0.0011764379233071744, "language": "Shell"}]</t>
  </si>
  <si>
    <t>v1.2.1</t>
  </si>
  <si>
    <t>a6e5eb1a9b0b1ea74ebc574026dfa5e168f5195f</t>
  </si>
  <si>
    <t>luigi</t>
  </si>
  <si>
    <t>{"id": 5888353, "url": "https://api.github.com/repos/spotify/luigi", "fork": false, "name": "luigi", "size": 9772, "forks": 1808, "owner": {"id": 251374, "url": "https://api.github.com/users/spotify", "type": "Organization", "login": "spotify", "node_id": "MDEyOk9yZ2FuaXphdGlvbjI1MTM3NA==", "html_url": "https://github.com/spotify", "gists_url": "https://api.github.com/users/spotify/gists{/gist_id}", "repos_url": "https://api.github.com/users/spotify/repos", "avatar_url": "https://avatars2.githubusercontent.com/u/251374?v=4", "events_url": "https://api.github.com/users/spotify/events{/privacy}", "site_admin": false, "gravatar_id": "", "starred_url": "https://api.github.com/users/spotify/starred{/owner}{/repo}", "followers_url": "https://api.github.com/users/spotify/followers", "following_url": "https://api.github.com/users/spotify/following{/other_user}", "organizations_url": "https://api.github.com/users/spotify/orgs", "subscriptions_url": "https://api.github.com/users/spotify/subscriptions", "received_events_url": "https://api.github.com/users/spotify/received_events"}, "score": 1.0, "topics": ["hadoop", "luigi", "orchestration-framework", "python", "scheduling"], "git_url": "git://github.com/spotify/luigi.git", "license": {"key": "apache-2.0", "url": "https://api.github.com/licenses/apache-2.0", "name": "Apache License 2.0", "node_id": "MDc6TGljZW5zZTI=", "spdx_id": "Apache-2.0"}, "node_id": "MDEwOlJlcG9zaXRvcnk1ODg4MzUz", "private": false, "ssh_url": "git@github.com:spotify/luigi.git", "svn_url": "https://github.com/spotify/luigi", "archived": false, "has_wiki": false, "homepage": null, "html_url": "https://github.com/spotify/luigi", "keys_url": "https://api.github.com/repos/spotify/luigi/keys{/key_id}", "language": "Python", "tags_url": "https://api.github.com/repos/spotify/luigi/tags", "watchers": 10661, "blobs_url": "https://api.github.com/repos/spotify/luigi/git/blobs{/sha}", "clone_url": "https://github.com/spotify/luigi.git", "forks_url": "https://api.github.com/repos/spotify/luigi/forks", "full_name": "spotify/luigi", "has_pages": false, "hooks_url": "https://api.github.com/repos/spotify/luigi/hooks", "pulls_url": "https://api.github.com/repos/spotify/luigi/pulls{/number}", "pushed_at": "2018-12-20T15:41:02Z", "teams_url": "https://api.github.com/repos/spotify/luigi/teams", "trees_url": "https://api.github.com/repos/spotify/luigi/git/trees{/sha}", "created_at": "2012-09-20T15:06:38Z", "events_url": "https://api.github.com/repos/spotify/luigi/events", "has_issues": true, "issues_url": "https://api.github.com/repos/spotify/luigi/issues{/number}", "labels_url": "https://api.github.com/repos/spotify/luigi/labels{/name}", "merges_url": "https://api.github.com/repos/spotify/luigi/merges", "mirror_url": null, "updated_at": "2018-12-24T18:12:58Z", "archive_url": "https://api.github.com/repos/spotify/luigi/{archive_format}{/ref}", "commits_url": "https://api.github.com/repos/spotify/luigi/commits{/sha}", "compare_url": "https://api.github.com/repos/spotify/luigi/compare/{base}...{head}", "description": "Luigi is a Python module that helps you build complex pipelines of batch jobs. It handles dependency resolution, workflow management, visualization etc. It also comes with Hadoop support built in. ", "forks_count": 1808, "open_issues": 68, "permissions": {"pull": true, "push": false, "admin": false}, "branches_url": "https://api.github.com/repos/spotify/luigi/branches{/branch}", "comments_url": "https://api.github.com/repos/spotify/luigi/comments{/number}", "contents_url": "https://api.github.com/repos/spotify/luigi/contents/{+path}", "git_refs_url": "https://api.github.com/repos/spotify/luigi/git/refs{/sha}", "git_tags_url": "https://api.github.com/repos/spotify/luigi/git/tags{/sha}", "has_projects": true, "releases_url": "https://api.github.com/repos/spotify/luigi/releases{/id}", "statuses_url": "https://api.github.com/repos/spotify/luigi/statuses/{sha}", "assignees_url": "https://api.github.com/repos/spotify/luigi/assignees{/user}", "downloads_url": "https://api.github.com/repos/spotify/luigi/downloads", "has_downloads": true, "languages_url": "https://api.github.com/repos/spotify/luigi/languages", "default_branch": "master", "milestones_url": "https://api.github.com/repos/spotify/luigi/milestones{/number}", "stargazers_url": "https://api.github.com/repos/spotify/luigi/stargazers", "watchers_count": 10661, "deployments_url": "https://api.github.com/repos/spotify/luigi/deployments", "git_commits_url": "https://api.github.com/repos/spotify/luigi/git/commits{/sha}", "subscribers_url": "https://api.github.com/repos/spotify/luigi/subscribers", "contributors_url": "https://api.github.com/repos/spotify/luigi/contributors", "issue_events_url": "https://api.github.com/repos/spotify/luigi/issues/events{/number}", "stargazers_count": 10661, "subscription_url": "https://api.github.com/repos/spotify/luigi/subscription", "collaborators_url": "https://api.github.com/repos/spotify/luigi/collaborators{/collaborator}", "issue_comment_url": "https://api.github.com/repos/spotify/luigi/issues/comments{/number}", "notifications_url": "https://api.github.com/repos/spotify/luigi/notifications{?since,all,participating}", "open_issues_count": 68}</t>
  </si>
  <si>
    <t>matplotlib/matplotlib</t>
  </si>
  <si>
    <t>matplotlib: plotting with Python</t>
  </si>
  <si>
    <t>https://github.com/matplotlib/matplotlib</t>
  </si>
  <si>
    <t>[{"loc": 6329067, "ratio": 0.8792036435791447, "language": "Python"}, {"loc": 634112, "ratio": 0.08808779885522758, "language": "C++"}, {"loc": 94988, "ratio": 0.01319527754980249, "language": "Jupyter Notebook"}, {"loc": 81707, "ratio": 0.011350344704191183, "language": "Objective-C"}, {"loc": 24707, "ratio": 0.003432177984829348, "language": "JavaScript"}, {"loc": 21119, "ratio": 0.0029337502271263613, "language": "C"}, {"loc": 5382, "ratio": 0.0007476416365544806, "language": "CSS"}, {"loc": 4006, "ratio": 0.0005564943136449739, "language": "HTML"}, {"loc": 2072, "ratio": 0.00028783230600908284, "language": "Shell"}, {"loc": 1150, "ratio": 0.00015975248644326507, "language": "Batchfile"}, {"loc": 326, "ratio": 0.00004528635702652558, "language": "TeX"}]</t>
  </si>
  <si>
    <t>8858a0d1bdd149a0897789e8503ac586be14676d</t>
  </si>
  <si>
    <t>matplotlib</t>
  </si>
  <si>
    <t>{"id": 1385122, "url": "https://api.github.com/repos/matplotlib/matplotlib", "fork": false, "name": "matplotlib", "size": 340073, "forks": 3863, "owner": {"id": 215947, "url": "https://api.github.com/users/matplotlib", "type": "Organization", "login": "matplotlib", "node_id": "MDEyOk9yZ2FuaXphdGlvbjIxNTk0Nw==", "html_url": "https://github.com/matplotlib", "gists_url": "https://api.github.com/users/matplotlib/gists{/gist_id}", "repos_url": "https://api.github.com/users/matplotlib/repos", "avatar_url": "https://avatars0.githubusercontent.com/u/215947?v=4", "events_url": "https://api.github.com/users/matplotlib/events{/privacy}", "site_admin": false, "gravatar_id": "", "starred_url": "https://api.github.com/users/matplotlib/starred{/owner}{/repo}", "followers_url": "https://api.github.com/users/matplotlib/followers", "following_url": "https://api.github.com/users/matplotlib/following{/other_user}", "organizations_url": "https://api.github.com/users/matplotlib/orgs", "subscriptions_url": "https://api.github.com/users/matplotlib/subscriptions", "received_events_url": "https://api.github.com/users/matplotlib/received_events"}, "score": 1.0, "topics": [], "git_url": "git://github.com/matplotlib/matplotlib.git", "license": null, "node_id": "MDEwOlJlcG9zaXRvcnkxMzg1MTIy", "private": false, "ssh_url": "git@github.com:matplotlib/matplotlib.git", "svn_url": "https://github.com/matplotlib/matplotlib", "archived": false, "has_wiki": true, "homepage": "http://matplotlib.org/", "html_url": "https://github.com/matplotlib/matplotlib", "keys_url": "https://api.github.com/repos/matplotlib/matplotlib/keys{/key_id}", "language": "Python", "tags_url": "https://api.github.com/repos/matplotlib/matplotlib/tags", "watchers": 8404, "blobs_url": "https://api.github.com/repos/matplotlib/matplotlib/git/blobs{/sha}", "clone_url": "https://github.com/matplotlib/matplotlib.git", "forks_url": "https://api.github.com/repos/matplotlib/matplotlib/forks", "full_name": "matplotlib/matplotlib", "has_pages": false, "hooks_url": "https://api.github.com/repos/matplotlib/matplotlib/hooks", "pulls_url": "https://api.github.com/repos/matplotlib/matplotlib/pulls{/number}", "pushed_at": "2018-12-24T18:07:41Z", "teams_url": "https://api.github.com/repos/matplotlib/matplotlib/teams", "trees_url": "https://api.github.com/repos/matplotlib/matplotlib/git/trees{/sha}", "created_at": "2011-02-19T03:17:12Z", "events_url": "https://api.github.com/repos/matplotlib/matplotlib/events", "has_issues": true, "issues_url": "https://api.github.com/repos/matplotlib/matplotlib/issues{/number}", "labels_url": "https://api.github.com/repos/matplotlib/matplotlib/labels{/name}", "merges_url": "https://api.github.com/repos/matplotlib/matplotlib/merges", "mirror_url": null, "updated_at": "2018-12-24T23:29:02Z", "archive_url": "https://api.github.com/repos/matplotlib/matplotlib/{archive_format}{/ref}", "commits_url": "https://api.github.com/repos/matplotlib/matplotlib/commits{/sha}", "compare_url": "https://api.github.com/repos/matplotlib/matplotlib/compare/{base}...{head}", "description": "matplotlib: plotting with Python", "forks_count": 3863, "open_issues": 1493, "permissions": {"pull": true, "push": false, "admin": false}, "branches_url": "https://api.github.com/repos/matplotlib/matplotlib/branches{/branch}", "comments_url": "https://api.github.com/repos/matplotlib/matplotlib/comments{/number}", "contents_url": "https://api.github.com/repos/matplotlib/matplotlib/contents/{+path}", "git_refs_url": "https://api.github.com/repos/matplotlib/matplotlib/git/refs{/sha}", "git_tags_url": "https://api.github.com/repos/matplotlib/matplotlib/git/tags{/sha}", "has_projects": true, "releases_url": "https://api.github.com/repos/matplotlib/matplotlib/releases{/id}", "statuses_url": "https://api.github.com/repos/matplotlib/matplotlib/statuses/{sha}", "assignees_url": "https://api.github.com/repos/matplotlib/matplotlib/assignees{/user}", "downloads_url": "https://api.github.com/repos/matplotlib/matplotlib/downloads", "has_downloads": true, "languages_url": "https://api.github.com/repos/matplotlib/matplotlib/languages", "default_branch": "master", "milestones_url": "https://api.github.com/repos/matplotlib/matplotlib/milestones{/number}", "stargazers_url": "https://api.github.com/repos/matplotlib/matplotlib/stargazers", "watchers_count": 8404, "deployments_url": "https://api.github.com/repos/matplotlib/matplotlib/deployments", "git_commits_url": "https://api.github.com/repos/matplotlib/matplotlib/git/commits{/sha}", "subscribers_url": "https://api.github.com/repos/matplotlib/matplotlib/subscribers", "contributors_url": "https://api.github.com/repos/matplotlib/matplotlib/contributors", "issue_events_url": "https://api.github.com/repos/matplotlib/matplotlib/issues/events{/number}", "stargazers_count": 8404, "subscription_url": "https://api.github.com/repos/matplotlib/matplotlib/subscription", "collaborators_url": "https://api.github.com/repos/matplotlib/matplotlib/collaborators{/collaborator}", "issue_comment_url": "https://api.github.com/repos/matplotlib/matplotlib/issues/comments{/number}", "notifications_url": "https://api.github.com/repos/matplotlib/matplotlib/notifications{?since,all,participating}", "open_issues_count": 1493}</t>
  </si>
  <si>
    <t>MongoEngine/mongoengine</t>
  </si>
  <si>
    <t>A Python Object-Document-Mapper for working with MongoDB</t>
  </si>
  <si>
    <t>https://github.com/MongoEngine/mongoengine</t>
  </si>
  <si>
    <t>"[\"mongo\", \"mongodb\", \"mongodb-orm\", \"odm\", \"orm\", \"pymongo\", \"python\"]"</t>
  </si>
  <si>
    <t>[{"loc": 1201995, "ratio": 0.9990142796470356, "language": "Python"}, {"loc": 1186, "ratio": 0.0009857203529643503, "language": "Shell"}]</t>
  </si>
  <si>
    <t>v0.16.3</t>
  </si>
  <si>
    <t>cf54d6d6f8633678bbf8e65eb3fe998d3902d138</t>
  </si>
  <si>
    <t>mongoengine</t>
  </si>
  <si>
    <t>{"id": 3626679, "url": "https://api.github.com/repos/MongoEngine/mongoengine", "fork": false, "name": "mongoengine", "size": 6430, "forks": 993, "owner": {"id": 1502485, "url": "https://api.github.com/users/MongoEngine", "type": "Organization", "login": "MongoEngine", "node_id": "MDEyOk9yZ2FuaXphdGlvbjE1MDI0ODU=", "html_url": "https://github.com/MongoEngine", "gists_url": "https://api.github.com/users/MongoEngine/gists{/gist_id}", "repos_url": "https://api.github.com/users/MongoEngine/repos", "avatar_url": "https://avatars0.githubusercontent.com/u/1502485?v=4", "events_url": "https://api.github.com/users/MongoEngine/events{/privacy}", "site_admin": false, "gravatar_id": "", "starred_url": "https://api.github.com/users/MongoEngine/starred{/owner}{/repo}", "followers_url": "https://api.github.com/users/MongoEngine/followers", "following_url": "https://api.github.com/users/MongoEngine/following{/other_user}", "organizations_url": "https://api.github.com/users/MongoEngine/orgs", "subscriptions_url": "https://api.github.com/users/MongoEngine/subscriptions", "received_events_url": "https://api.github.com/users/MongoEngine/received_events"}, "score": 1.0, "topics": ["mongo", "mongodb", "mongodb-orm", "odm", "orm", "pymongo", "python"], "git_url": "git://github.com/MongoEngine/mongoengine.git", "license": {"key": "mit", "url": "https://api.github.com/licenses/mit", "name": "MIT License", "node_id": "MDc6TGljZW5zZTEz", "spdx_id": "MIT"}, "node_id": "MDEwOlJlcG9zaXRvcnkzNjI2Njc5", "private": false, "ssh_url": "git@github.com:MongoEngine/mongoengine.git", "svn_url": "https://github.com/MongoEngine/mongoengine", "archived": false, "has_wiki": true, "homepage": "http://mongoengine.org", "html_url": "https://github.com/MongoEngine/mongoengine", "keys_url": "https://api.github.com/repos/MongoEngine/mongoengine/keys{/key_id}", "language": "Python", "tags_url": "https://api.github.com/repos/MongoEngine/mongoengine/tags", "watchers": 2553, "blobs_url": "https://api.github.com/repos/MongoEngine/mongoengine/git/blobs{/sha}", "clone_url": "https://github.com/MongoEngine/mongoengine.git", "forks_url": "https://api.github.com/repos/MongoEngine/mongoengine/forks", "full_name": "MongoEngine/mongoengine", "has_pages": false, "hooks_url": "https://api.github.com/repos/MongoEngine/mongoengine/hooks", "pulls_url": "https://api.github.com/repos/MongoEngine/mongoengine/pulls{/number}", "pushed_at": "2018-12-24T22:52:47Z", "teams_url": "https://api.github.com/repos/MongoEngine/mongoengine/teams", "trees_url": "https://api.github.com/repos/MongoEngine/mongoengine/git/trees{/sha}", "created_at": "2012-03-05T12:10:20Z", "events_url": "https://api.github.com/repos/MongoEngine/mongoengine/events", "has_issues": true, "issues_url": "https://api.github.com/repos/MongoEngine/mongoengine/issues{/number}", "labels_url": "https://api.github.com/repos/MongoEngine/mongoengine/labels{/name}", "merges_url": "https://api.github.com/repos/MongoEngine/mongoengine/merges", "mirror_url": null, "updated_at": "2018-12-24T10:12:47Z", "archive_url": "https://api.github.com/repos/MongoEngine/mongoengine/{archive_format}{/ref}", "commits_url": "https://api.github.com/repos/MongoEngine/mongoengine/commits{/sha}", "compare_url": "https://api.github.com/repos/MongoEngine/mongoengine/compare/{base}...{head}", "description": "A Python Object-Document-Mapper for working with MongoDB", "forks_count": 993, "open_issues": 320, "permissions": {"pull": true, "push": false, "admin": false}, "branches_url": "https://api.github.com/repos/MongoEngine/mongoengine/branches{/branch}", "comments_url": "https://api.github.com/repos/MongoEngine/mongoengine/comments{/number}", "contents_url": "https://api.github.com/repos/MongoEngine/mongoengine/contents/{+path}", "git_refs_url": "https://api.github.com/repos/MongoEngine/mongoengine/git/refs{/sha}", "git_tags_url": "https://api.github.com/repos/MongoEngine/mongoengine/git/tags{/sha}", "has_projects": true, "releases_url": "https://api.github.com/repos/MongoEngine/mongoengine/releases{/id}", "statuses_url": "https://api.github.com/repos/MongoEngine/mongoengine/statuses/{sha}", "assignees_url": "https://api.github.com/repos/MongoEngine/mongoengine/assignees{/user}", "downloads_url": "https://api.github.com/repos/MongoEngine/mongoengine/downloads", "has_downloads": true, "languages_url": "https://api.github.com/repos/MongoEngine/mongoengine/languages", "default_branch": "master", "milestones_url": "https://api.github.com/repos/MongoEngine/mongoengine/milestones{/number}", "stargazers_url": "https://api.github.com/repos/MongoEngine/mongoengine/stargazers", "watchers_count": 2553, "deployments_url": "https://api.github.com/repos/MongoEngine/mongoengine/deployments", "git_commits_url": "https://api.github.com/repos/MongoEngine/mongoengine/git/commits{/sha}", "subscribers_url": "https://api.github.com/repos/MongoEngine/mongoengine/subscribers", "contributors_url": "https://api.github.com/repos/MongoEngine/mongoengine/contributors", "issue_events_url": "https://api.github.com/repos/MongoEngine/mongoengine/issues/events{/number}", "stargazers_count": 2553, "subscription_url": "https://api.github.com/repos/MongoEngine/mongoengine/subscription", "collaborators_url": "https://api.github.com/repos/MongoEngine/mongoengine/collaborators{/collaborator}", "issue_comment_url": "https://api.github.com/repos/MongoEngine/mongoengine/issues/comments{/number}", "notifications_url": "https://api.github.com/repos/MongoEngine/mongoengine/notifications{?since,all,participating}", "open_issues_count": 320}</t>
  </si>
  <si>
    <t>stephenmcd/mezzanine</t>
  </si>
  <si>
    <t>CMS framework for Django</t>
  </si>
  <si>
    <t>https://github.com/stephenmcd/mezzanine</t>
  </si>
  <si>
    <t>[{"loc": 707894, "ratio": 0.5443872803475988, "language": "Python"}, {"loc": 453239, "ratio": 0.3485515438151267, "language": "JavaScript"}, {"loc": 79222, "ratio": 0.06092359749298266, "language": "HTML"}, {"loc": 59995, "ratio": 0.04613757834429192, "language": "CSS"}]</t>
  </si>
  <si>
    <t>wab-2015-03-05</t>
  </si>
  <si>
    <t>ddb43ec2a8d7271418a6a0e6eeb006ab9551af4c</t>
  </si>
  <si>
    <t>{"key": "bsd-2-clause", "url": "https://api.github.com/licenses/bsd-2-clause", "name": "BSD 2-Clause \"Simplified\" License", "node_id": "MDc6TGljZW5zZTQ=", "spdx_id": "BSD-2-Clause"}</t>
  </si>
  <si>
    <t>mezzanine</t>
  </si>
  <si>
    <t>{"id": 692528, "url": "https://api.github.com/repos/stephenmcd/mezzanine", "fork": false, "name": "mezzanine", "size": 49184, "forks": 1375, "owner": {"id": 116385, "url": "https://api.github.com/users/stephenmcd", "type": "User", "login": "stephenmcd", "node_id": "MDQ6VXNlcjExNjM4NQ==", "html_url": "https://github.com/stephenmcd", "gists_url": "https://api.github.com/users/stephenmcd/gists{/gist_id}", "repos_url": "https://api.github.com/users/stephenmcd/repos", "avatar_url": "https://avatars1.githubusercontent.com/u/116385?v=4", "events_url": "https://api.github.com/users/stephenmcd/events{/privacy}", "site_admin": false, "gravatar_id": "", "starred_url": "https://api.github.com/users/stephenmcd/starred{/owner}{/repo}", "followers_url": "https://api.github.com/users/stephenmcd/followers", "following_url": "https://api.github.com/users/stephenmcd/following{/other_user}", "organizations_url": "https://api.github.com/users/stephenmcd/orgs", "subscriptions_url": "https://api.github.com/users/stephenmcd/subscriptions", "received_events_url": "https://api.github.com/users/stephenmcd/received_events"}, "score": 1.0, "topics": [], "git_url": "git://github.com/stephenmcd/mezzanine.git", "license": {"key": "bsd-2-clause", "url": "https://api.github.com/licenses/bsd-2-clause", "name": "BSD 2-Clause \"Simplified\" License", "node_id": "MDc6TGljZW5zZTQ=", "spdx_id": "BSD-2-Clause"}, "node_id": "MDEwOlJlcG9zaXRvcnk2OTI1Mjg=", "private": false, "ssh_url": "git@github.com:stephenmcd/mezzanine.git", "svn_url": "https://github.com/stephenmcd/mezzanine", "archived": false, "has_wiki": true, "homepage": "http://mezzanine.jupo.org", "html_url": "https://github.com/stephenmcd/mezzanine", "keys_url": "https://api.github.com/repos/stephenmcd/mezzanine/keys{/key_id}", "language": "Python", "tags_url": "https://api.github.com/repos/stephenmcd/mezzanine/tags", "watchers": 3656, "blobs_url": "https://api.github.com/repos/stephenmcd/mezzanine/git/blobs{/sha}", "clone_url": "https://github.com/stephenmcd/mezzanine.git", "forks_url": "https://api.github.com/repos/stephenmcd/mezzanine/forks", "full_name": "stephenmcd/mezzanine", "has_pages": false, "hooks_url": "https://api.github.com/repos/stephenmcd/mezzanine/hooks", "pulls_url": "https://api.github.com/repos/stephenmcd/mezzanine/pulls{/number}", "pushed_at": "2018-12-13T16:39:30Z", "teams_url": "https://api.github.com/repos/stephenmcd/mezzanine/teams", "trees_url": "https://api.github.com/repos/stephenmcd/mezzanine/git/trees{/sha}", "created_at": "2010-05-29T12:16:55Z", "events_url": "https://api.github.com/repos/stephenmcd/mezzanine/events", "has_issues": true, "issues_url": "https://api.github.com/repos/stephenmcd/mezzanine/issues{/number}", "labels_url": "https://api.github.com/repos/stephenmcd/mezzanine/labels{/name}", "merges_url": "https://api.github.com/repos/stephenmcd/mezzanine/merges", "mirror_url": null, "updated_at": "2018-12-23T11:51:30Z", "archive_url": "https://api.github.com/repos/stephenmcd/mezzanine/{archive_format}{/ref}", "commits_url": "https://api.github.com/repos/stephenmcd/mezzanine/commits{/sha}", "compare_url": "https://api.github.com/repos/stephenmcd/mezzanine/compare/{base}...{head}", "description": "CMS framework for Django", "forks_count": 1375, "open_issues": 52, "permissions": {"pull": true, "push": false, "admin": false}, "branches_url": "https://api.github.com/repos/stephenmcd/mezzanine/branches{/branch}", "comments_url": "https://api.github.com/repos/stephenmcd/mezzanine/comments{/number}", "contents_url": "https://api.github.com/repos/stephenmcd/mezzanine/contents/{+path}", "git_refs_url": "https://api.github.com/repos/stephenmcd/mezzanine/git/refs{/sha}", "git_tags_url": "https://api.github.com/repos/stephenmcd/mezzanine/git/tags{/sha}", "has_projects": true, "releases_url": "https://api.github.com/repos/stephenmcd/mezzanine/releases{/id}", "statuses_url": "https://api.github.com/repos/stephenmcd/mezzanine/statuses/{sha}", "assignees_url": "https://api.github.com/repos/stephenmcd/mezzanine/assignees{/user}", "downloads_url": "https://api.github.com/repos/stephenmcd/mezzanine/downloads", "has_downloads": false, "languages_url": "https://api.github.com/repos/stephenmcd/mezzanine/languages", "default_branch": "master", "milestones_url": "https://api.github.com/repos/stephenmcd/mezzanine/milestones{/number}", "stargazers_url": "https://api.github.com/repos/stephenmcd/mezzanine/stargazers", "watchers_count": 3656, "deployments_url": "https://api.github.com/repos/stephenmcd/mezzanine/deployments", "git_commits_url": "https://api.github.com/repos/stephenmcd/mezzanine/git/commits{/sha}", "subscribers_url": "https://api.github.com/repos/stephenmcd/mezzanine/subscribers", "contributors_url": "https://api.github.com/repos/stephenmcd/mezzanine/contributors", "issue_events_url": "https://api.github.com/repos/stephenmcd/mezzanine/issues/events{/number}", "stargazers_count": 3656, "subscription_url": "https://api.github.com/repos/stephenmcd/mezzanine/subscription", "collaborators_url": "https://api.github.com/repos/stephenmcd/mezzanine/collaborators{/collaborator}", "issue_comment_url": "https://api.github.com/repos/stephenmcd/mezzanine/issues/comments{/number}", "notifications_url": "https://api.github.com/repos/stephenmcd/mezzanine/notifications{?since,all,participating}", "open_issues_count": 52}</t>
  </si>
  <si>
    <t>mitmproxy/mitmproxy</t>
  </si>
  <si>
    <t>An interactive TLS-capable intercepting HTTP proxy for penetration testers and software developers.</t>
  </si>
  <si>
    <t>https://github.com/mitmproxy/mitmproxy</t>
  </si>
  <si>
    <t>"[\"http\", \"http2\", \"man-in-the-middle\", \"proxy\", \"python\", \"security\", \"ssl\", \"tls\", \"websocket\"]"</t>
  </si>
  <si>
    <t>[{"loc": 1812002, "ratio": 0.8502903982517448, "language": "Python"}, {"loc": 277098, "ratio": 0.1300295301963033, "language": "JavaScript"}, {"loc": 20955, "ratio": 0.00983323158327933, "language": "CSS"}, {"loc": 14747, "ratio": 0.006920098599790994, "language": "HTML"}, {"loc": 4711, "ratio": 0.0022106587443965126, "language": "Shell"}, {"loc": 1031, "ratio": 0.00048380156346270527, "language": "Dockerfile"}, {"loc": 495, "ratio": 0.00023228106102234636, "language": "PowerShell"}]</t>
  </si>
  <si>
    <t>v4.0.4</t>
  </si>
  <si>
    <t>5c27805be7e5131b8717cd050197a237744f9c22</t>
  </si>
  <si>
    <t>mitmproxy</t>
  </si>
  <si>
    <t>{"id": 519832, "url": "https://api.github.com/repos/mitmproxy/mitmproxy", "fork": false, "name": "mitmproxy", "size": 45030, "forks": 1762, "owner": {"id": 4652787, "url": "https://api.github.com/users/mitmproxy", "type": "Organization", "login": "mitmproxy", "node_id": "MDEyOk9yZ2FuaXphdGlvbjQ2NTI3ODc=", "html_url": "https://github.com/mitmproxy", "gists_url": "https://api.github.com/users/mitmproxy/gists{/gist_id}", "repos_url": "https://api.github.com/users/mitmproxy/repos", "avatar_url": "https://avatars3.githubusercontent.com/u/4652787?v=4", "events_url": "https://api.github.com/users/mitmproxy/events{/privacy}", "site_admin": false, "gravatar_id": "", "starred_url": "https://api.github.com/users/mitmproxy/starred{/owner}{/repo}", "followers_url": "https://api.github.com/users/mitmproxy/followers", "following_url": "https://api.github.com/users/mitmproxy/following{/other_user}", "organizations_url": "https://api.github.com/users/mitmproxy/orgs", "subscriptions_url": "https://api.github.com/users/mitmproxy/subscriptions", "received_events_url": "https://api.github.com/users/mitmproxy/received_events"}, "score": 1.0, "topics": ["http", "http2", "man-in-the-middle", "proxy", "python", "security", "ssl", "tls", "websocket"], "git_url": "git://github.com/mitmproxy/mitmproxy.git", "license": {"key": "mit", "url": "https://api.github.com/licenses/mit", "name": "MIT License", "node_id": "MDc6TGljZW5zZTEz", "spdx_id": "MIT"}, "node_id": "MDEwOlJlcG9zaXRvcnk1MTk4MzI=", "private": false, "ssh_url": "git@github.com:mitmproxy/mitmproxy.git", "svn_url": "https://github.com/mitmproxy/mitmproxy", "archived": false, "has_wiki": false, "homepage": "https://mitmproxy.org/", "html_url": "https://github.com/mitmproxy/mitmproxy", "keys_url": "https://api.github.com/repos/mitmproxy/mitmproxy/keys{/key_id}", "language": "Python", "tags_url": "https://api.github.com/repos/mitmproxy/mitmproxy/tags", "watchers": 13531, "blobs_url": "https://api.github.com/repos/mitmproxy/mitmproxy/git/blobs{/sha}", "clone_url": "https://github.com/mitmproxy/mitmproxy.git", "forks_url": "https://api.github.com/repos/mitmproxy/mitmproxy/forks", "full_name": "mitmproxy/mitmproxy", "has_pages": false, "hooks_url": "https://api.github.com/repos/mitmproxy/mitmproxy/hooks", "pulls_url": "https://api.github.com/repos/mitmproxy/mitmproxy/pulls{/number}", "pushed_at": "2018-12-19T17:53:59Z", "teams_url": "https://api.github.com/repos/mitmproxy/mitmproxy/teams", "trees_url": "https://api.github.com/repos/mitmproxy/mitmproxy/git/trees{/sha}", "created_at": "2010-02-16T04:10:13Z", "events_url": "https://api.github.com/repos/mitmproxy/mitmproxy/events", "has_issues": true, "issues_url": "https://api.github.com/repos/mitmproxy/mitmproxy/issues{/number}", "labels_url": "https://api.github.com/repos/mitmproxy/mitmproxy/labels{/name}", "merges_url": "https://api.github.com/repos/mitmproxy/mitmproxy/merges", "mirror_url": null, "updated_at": "2018-12-25T01:25:19Z", "archive_url": "https://api.github.com/repos/mitmproxy/mitmproxy/{archive_format}{/ref}", "commits_url": "https://api.github.com/repos/mitmproxy/mitmproxy/commits{/sha}", "compare_url": "https://api.github.com/repos/mitmproxy/mitmproxy/compare/{base}...{head}", "description": "An interactive TLS-capable intercepting HTTP proxy for penetration testers and software developers.", "forks_count": 1762, "open_issues": 190, "permissions": {"pull": true, "push": false, "admin": false}, "branches_url": "https://api.github.com/repos/mitmproxy/mitmproxy/branches{/branch}", "comments_url": "https://api.github.com/repos/mitmproxy/mitmproxy/comments{/number}", "contents_url": "https://api.github.com/repos/mitmproxy/mitmproxy/contents/{+path}", "git_refs_url": "https://api.github.com/repos/mitmproxy/mitmproxy/git/refs{/sha}", "git_tags_url": "https://api.github.com/repos/mitmproxy/mitmproxy/git/tags{/sha}", "has_projects": true, "releases_url": "https://api.github.com/repos/mitmproxy/mitmproxy/releases{/id}", "statuses_url": "https://api.github.com/repos/mitmproxy/mitmproxy/statuses/{sha}", "assignees_url": "https://api.github.com/repos/mitmproxy/mitmproxy/assignees{/user}", "downloads_url": "https://api.github.com/repos/mitmproxy/mitmproxy/downloads", "has_downloads": true, "languages_url": "https://api.github.com/repos/mitmproxy/mitmproxy/languages", "default_branch": "master", "milestones_url": "https://api.github.com/repos/mitmproxy/mitmproxy/milestones{/number}", "stargazers_url": "https://api.github.com/repos/mitmproxy/mitmproxy/stargazers", "watchers_count": 13531, "deployments_url": "https://api.github.com/repos/mitmproxy/mitmproxy/deployments", "git_commits_url": "https://api.github.com/repos/mitmproxy/mitmproxy/git/commits{/sha}", "subscribers_url": "https://api.github.com/repos/mitmproxy/mitmproxy/subscribers", "contributors_url": "https://api.github.com/repos/mitmproxy/mitmproxy/contributors", "issue_events_url": "https://api.github.com/repos/mitmproxy/mitmproxy/issues/events{/number}", "stargazers_count": 13531, "subscription_url": "https://api.github.com/repos/mitmproxy/mitmproxy/subscription", "collaborators_url": "https://api.github.com/repos/mitmproxy/mitmproxy/collaborators{/collaborator}", "issue_comment_url": "https://api.github.com/repos/mitmproxy/mitmproxy/issues/comments{/number}", "notifications_url": "https://api.github.com/repos/mitmproxy/mitmproxy/notifications{?since,all,participating}", "open_issues_count": 190}</t>
  </si>
  <si>
    <t>mongodb/mongo-python-driver</t>
  </si>
  <si>
    <t>PyMongo - the Python driver for MongoDB</t>
  </si>
  <si>
    <t>https://github.com/mongodb/mongo-python-driver</t>
  </si>
  <si>
    <t>[{"loc": 2259526, "ratio": 0.9085377033782175, "language": "Python"}, {"loc": 217749, "ratio": 0.08755516704516943, "language": "C"}, {"loc": 9717, "ratio": 0.003907129576613033, "language": "Shell"}]</t>
  </si>
  <si>
    <t>3.7.2</t>
  </si>
  <si>
    <t>7ddd372ed051c57e4094e09430d2e5c22bc5f961</t>
  </si>
  <si>
    <t>mongo-python-driver</t>
  </si>
  <si>
    <t>{"id": 108051, "url": "https://api.github.com/repos/mongodb/mongo-python-driver", "fork": false, "name": "mongo-python-driver", "size": 13354, "forks": 852, "owner": {"id": 45120, "url": "https://api.github.com/users/mongodb", "type": "Organization", "login": "mongodb", "node_id": "MDEyOk9yZ2FuaXphdGlvbjQ1MTIw", "html_url": "https://github.com/mongodb", "gists_url": "https://api.github.com/users/mongodb/gists{/gist_id}", "repos_url": "https://api.github.com/users/mongodb/repos", "avatar_url": "https://avatars1.githubusercontent.com/u/45120?v=4", "events_url": "https://api.github.com/users/mongodb/events{/privacy}", "site_admin": false, "gravatar_id": "", "starred_url": "https://api.github.com/users/mongodb/starred{/owner}{/repo}", "followers_url": "https://api.github.com/users/mongodb/followers", "following_url": "https://api.github.com/users/mongodb/following{/other_user}", "organizations_url": "https://api.github.com/users/mongodb/orgs", "subscriptions_url": "https://api.github.com/users/mongodb/subscriptions", "received_events_url": "https://api.github.com/users/mongodb/received_events"}, "score": 1.0, "topics": [], "git_url": "git://github.com/mongodb/mongo-python-driver.git", "license": {"key": "apache-2.0", "url": "https://api.github.com/licenses/apache-2.0", "name": "Apache License 2.0", "node_id": "MDc6TGljZW5zZTI=", "spdx_id": "Apache-2.0"}, "node_id": "MDEwOlJlcG9zaXRvcnkxMDgwNTE=", "private": false, "ssh_url": "git@github.com:mongodb/mongo-python-driver.git", "svn_url": "https://github.com/mongodb/mongo-python-driver", "archived": false, "has_wiki": false, "homepage": "http://api.mongodb.org/python", "html_url": "https://github.com/mongodb/mongo-python-driver", "keys_url": "https://api.github.com/repos/mongodb/mongo-python-driver/keys{/key_id}", "language": "Python", "tags_url": "https://api.github.com/repos/mongodb/mongo-python-driver/tags", "watchers": 2605, "blobs_url": "https://api.github.com/repos/mongodb/mongo-python-driver/git/blobs{/sha}", "clone_url": "https://github.com/mongodb/mongo-python-driver.git", "forks_url": "https://api.github.com/repos/mongodb/mongo-python-driver/forks", "full_name": "mongodb/mongo-python-driver", "has_pages": false, "hooks_url": "https://api.github.com/repos/mongodb/mongo-python-driver/hooks", "pulls_url": "https://api.github.com/repos/mongodb/mongo-python-driver/pulls{/number}", "pushed_at": "2018-12-24T15:28:50Z", "teams_url": "https://api.github.com/repos/mongodb/mongo-python-driver/teams", "trees_url": "https://api.github.com/repos/mongodb/mongo-python-driver/git/trees{/sha}", "created_at": "2009-01-15T15:18:06Z", "events_url": "https://api.github.com/repos/mongodb/mongo-python-driver/events", "has_issues": false, "issues_url": "https://api.github.com/repos/mongodb/mongo-python-driver/issues{/number}", "labels_url": "https://api.github.com/repos/mongodb/mongo-python-driver/labels{/name}", "merges_url": "https://api.github.com/repos/mongodb/mongo-python-driver/merges", "mirror_url": null, "updated_at": "2018-12-23T05:36:09Z", "archive_url": "https://api.github.com/repos/mongodb/mongo-python-driver/{archive_format}{/ref}", "commits_url": "https://api.github.com/repos/mongodb/mongo-python-driver/commits{/sha}", "compare_url": "https://api.github.com/repos/mongodb/mongo-python-driver/compare/{base}...{head}", "description": "PyMongo - the Python driver for MongoDB", "forks_count": 852, "open_issues": 7, "permissions": {"pull": true, "push": false, "admin": false}, "branches_url": "https://api.github.com/repos/mongodb/mongo-python-driver/branches{/branch}", "comments_url": "https://api.github.com/repos/mongodb/mongo-python-driver/comments{/number}", "contents_url": "https://api.github.com/repos/mongodb/mongo-python-driver/contents/{+path}", "git_refs_url": "https://api.github.com/repos/mongodb/mongo-python-driver/git/refs{/sha}", "git_tags_url": "https://api.github.com/repos/mongodb/mongo-python-driver/git/tags{/sha}", "has_projects": true, "releases_url": "https://api.github.com/repos/mongodb/mongo-python-driver/releases{/id}", "statuses_url": "https://api.github.com/repos/mongodb/mongo-python-driver/statuses/{sha}", "assignees_url": "https://api.github.com/repos/mongodb/mongo-python-driver/assignees{/user}", "downloads_url": "https://api.github.com/repos/mongodb/mongo-python-driver/downloads", "has_downloads": true, "languages_url": "https://api.github.com/repos/mongodb/mongo-python-driver/languages", "default_branch": "master", "milestones_url": "https://api.github.com/repos/mongodb/mongo-python-driver/milestones{/number}", "stargazers_url": "https://api.github.com/repos/mongodb/mongo-python-driver/stargazers", "watchers_count": 2605, "deployments_url": "https://api.github.com/repos/mongodb/mongo-python-driver/deployments", "git_commits_url": "https://api.github.com/repos/mongodb/mongo-python-driver/git/commits{/sha}", "subscribers_url": "https://api.github.com/repos/mongodb/mongo-python-driver/subscribers", "contributors_url": "https://api.github.com/repos/mongodb/mongo-python-driver/contributors", "issue_events_url": "https://api.github.com/repos/mongodb/mongo-python-driver/issues/events{/number}", "stargazers_count": 2605, "subscription_url": "https://api.github.com/repos/mongodb/mongo-python-driver/subscription", "collaborators_url": "https://api.github.com/repos/mongodb/mongo-python-driver/collaborators{/collaborator}", "issue_comment_url": "https://api.github.com/repos/mongodb/mongo-python-driver/issues/comments{/number}", "notifications_url": "https://api.github.com/repos/mongodb/mongo-python-driver/notifications{?since,all,participating}", "open_issues_count": 7}</t>
  </si>
  <si>
    <t>mopidy/mopidy</t>
  </si>
  <si>
    <t>Mopidy is an extensible music server that plays music from local disk, Spotify, SoundCloud, Google Play Music, and more. You edit the playlist from any phone, tablet, or computer using a range of MPD and web clients.</t>
  </si>
  <si>
    <t>https://github.com/mopidy/mopidy</t>
  </si>
  <si>
    <t>"[\"mopidy\", \"music-player\", \"python\"]"</t>
  </si>
  <si>
    <t>[{"loc": 1251620, "ratio": 0.9979715571488258, "language": "Python"}, {"loc": 805, "ratio": 0.0006418618298723292, "language": "HTML"}, {"loc": 610, "ratio": 0.000486379771704498, "language": "CSS"}, {"loc": 573, "ratio": 0.000456878047847012, "language": "Roff"}, {"loc": 556, "ratio": 0.0004433232017503293, "language": "Shell"}]</t>
  </si>
  <si>
    <t>v2.2.1</t>
  </si>
  <si>
    <t>9a7adc280fdddb66edf5af8179334664f4049f0d</t>
  </si>
  <si>
    <t>mopidy</t>
  </si>
  <si>
    <t>{"id": 447036, "url": "https://api.github.com/repos/mopidy/mopidy", "fork": false, "name": "mopidy", "size": 21808, "forks": 558, "owner": {"id": 451998, "url": "https://api.github.com/users/mopidy", "type": "Organization", "login": "mopidy", "node_id": "MDEyOk9yZ2FuaXphdGlvbjQ1MTk5OA==", "html_url": "https://github.com/mopidy", "gists_url": "https://api.github.com/users/mopidy/gists{/gist_id}", "repos_url": "https://api.github.com/users/mopidy/repos", "avatar_url": "https://avatars2.githubusercontent.com/u/451998?v=4", "events_url": "https://api.github.com/users/mopidy/events{/privacy}", "site_admin": false, "gravatar_id": "", "starred_url": "https://api.github.com/users/mopidy/starred{/owner}{/repo}", "followers_url": "https://api.github.com/users/mopidy/followers", "following_url": "https://api.github.com/users/mopidy/following{/other_user}", "organizations_url": "https://api.github.com/users/mopidy/orgs", "subscriptions_url": "https://api.github.com/users/mopidy/subscriptions", "received_events_url": "https://api.github.com/users/mopidy/received_events"}, "score": 1.0, "topics": ["mopidy", "music-player", "python"], "git_url": "git://github.com/mopidy/mopidy.git", "license": {"key": "apache-2.0", "url": "https://api.github.com/licenses/apache-2.0", "name": "Apache License 2.0", "node_id": "MDc6TGljZW5zZTI=", "spdx_id": "Apache-2.0"}, "node_id": "MDEwOlJlcG9zaXRvcnk0NDcwMzY=", "private": false, "ssh_url": "git@github.com:mopidy/mopidy.git", "svn_url": "https://github.com/mopidy/mopidy", "archived": false, "has_wiki": false, "homepage": "https://www.mopidy.com", "html_url": "https://github.com/mopidy/mopidy", "keys_url": "https://api.github.com/repos/mopidy/mopidy/keys{/key_id}", "language": "Python", "tags_url": "https://api.github.com/repos/mopidy/mopidy/tags", "watchers": 5564, "blobs_url": "https://api.github.com/repos/mopidy/mopidy/git/blobs{/sha}", "clone_url": "https://github.com/mopidy/mopidy.git", "forks_url": "https://api.github.com/repos/mopidy/mopidy/forks", "full_name": "mopidy/mopidy", "has_pages": false, "hooks_url": "https://api.github.com/repos/mopidy/mopidy/hooks", "pulls_url": "https://api.github.com/repos/mopidy/mopidy/pulls{/number}", "pushed_at": "2018-12-23T00:20:03Z", "teams_url": "https://api.github.com/repos/mopidy/mopidy/teams", "trees_url": "https://api.github.com/repos/mopidy/mopidy/git/trees{/sha}", "created_at": "2009-12-23T14:25:36Z", "events_url": "https://api.github.com/repos/mopidy/mopidy/events", "has_issues": true, "issues_url": "https://api.github.com/repos/mopidy/mopidy/issues{/number}", "labels_url": "https://api.github.com/repos/mopidy/mopidy/labels{/name}", "merges_url": "https://api.github.com/repos/mopidy/mopidy/merges", "mirror_url": null, "updated_at": "2018-12-24T23:21:20Z", "archive_url": "https://api.github.com/repos/mopidy/mopidy/{archive_format}{/ref}", "commits_url": "https://api.github.com/repos/mopidy/mopidy/commits{/sha}", "compare_url": "https://api.github.com/repos/mopidy/mopidy/compare/{base}...{head}", "description": "Mopidy is an extensible music server that plays music from local disk, Spotify, SoundCloud, Google Play Music, and more. You edit the playlist from any phone, tablet, or computer using a range of MPD and web clients.", "forks_count": 558, "open_issues": 208, "permissions": {"pull": true, "push": false, "admin": false}, "branches_url": "https://api.github.com/repos/mopidy/mopidy/branches{/branch}", "comments_url": "https://api.github.com/repos/mopidy/mopidy/comments{/number}", "contents_url": "https://api.github.com/repos/mopidy/mopidy/contents/{+path}", "git_refs_url": "https://api.github.com/repos/mopidy/mopidy/git/refs{/sha}", "git_tags_url": "https://api.github.com/repos/mopidy/mopidy/git/tags{/sha}", "has_projects": false, "releases_url": "https://api.github.com/repos/mopidy/mopidy/releases{/id}", "statuses_url": "https://api.github.com/repos/mopidy/mopidy/statuses/{sha}", "assignees_url": "https://api.github.com/repos/mopidy/mopidy/assignees{/user}", "downloads_url": "https://api.github.com/repos/mopidy/mopidy/downloads", "has_downloads": true, "languages_url": "https://api.github.com/repos/mopidy/mopidy/languages", "default_branch": "develop", "milestones_url": "https://api.github.com/repos/mopidy/mopidy/milestones{/number}", "stargazers_url": "https://api.github.com/repos/mopidy/mopidy/stargazers", "watchers_count": 5564, "deployments_url": "https://api.github.com/repos/mopidy/mopidy/deployments", "git_commits_url": "https://api.github.com/repos/mopidy/mopidy/git/commits{/sha}", "subscribers_url": "https://api.github.com/repos/mopidy/mopidy/subscribers", "contributors_url": "https://api.github.com/repos/mopidy/mopidy/contributors", "issue_events_url": "https://api.github.com/repos/mopidy/mopidy/issues/events{/number}", "stargazers_count": 5564, "subscription_url": "https://api.github.com/repos/mopidy/mopidy/subscription", "collaborators_url": "https://api.github.com/repos/mopidy/mopidy/collaborators{/collaborator}", "issue_comment_url": "https://api.github.com/repos/mopidy/mopidy/issues/comments{/number}", "notifications_url": "https://api.github.com/repos/mopidy/mopidy/notifications{?since,all,participating}", "open_issues_count": 208}</t>
  </si>
  <si>
    <t>Yelp/mrjob</t>
  </si>
  <si>
    <t>Run MapReduce jobs on Hadoop or Amazon Web Services</t>
  </si>
  <si>
    <t>https://github.com/Yelp/mrjob</t>
  </si>
  <si>
    <t>[{"loc": 2342986, "ratio": 0.9974834997022006, "language": "Python"}, {"loc": 3705, "ratio": 0.0015773360858309241, "language": "Shell"}, {"loc": 1977, "ratio": 0.0008416716441802259, "language": "Ruby"}, {"loc": 229, "ratio": 0.00009749256778820016, "language": "Makefile"}]</t>
  </si>
  <si>
    <t>v0.6.6</t>
  </si>
  <si>
    <t>94885e7861a88a6d5cbd78acc1c55a97d6262b46</t>
  </si>
  <si>
    <t>mrjob</t>
  </si>
  <si>
    <t>{"id": 984742, "url": "https://api.github.com/repos/Yelp/mrjob", "fork": false, "name": "mrjob", "size": 14678, "forks": 568, "owner": {"id": 49071, "url": "https://api.github.com/users/Yelp", "type": "Organization", "login": "Yelp", "node_id": "MDEyOk9yZ2FuaXphdGlvbjQ5MDcx", "html_url": "https://github.com/Yelp", "gists_url": "https://api.github.com/users/Yelp/gists{/gist_id}", "repos_url": "https://api.github.com/users/Yelp/repos", "avatar_url": "https://avatars1.githubusercontent.com/u/49071?v=4", "events_url": "https://api.github.com/users/Yelp/events{/privacy}", "site_admin": false, "gravatar_id": "", "starred_url": "https://api.github.com/users/Yelp/starred{/owner}{/repo}", "followers_url": "https://api.github.com/users/Yelp/followers", "following_url": "https://api.github.com/users/Yelp/following{/other_user}", "organizations_url": "https://api.github.com/users/Yelp/orgs", "subscriptions_url": "https://api.github.com/users/Yelp/subscriptions", "received_events_url": "https://api.github.com/users/Yelp/received_events"}, "score": 1.0, "topics": [], "git_url": "git://github.com/Yelp/mrjob.git", "license": {"key": "other", "url": null, "name": "Other", "node_id": "MDc6TGljZW5zZTA=", "spdx_id": "NOASSERTION"}, "node_id": "MDEwOlJlcG9zaXRvcnk5ODQ3NDI=", "private": false, "ssh_url": "git@github.com:Yelp/mrjob.git", "svn_url": "https://github.com/Yelp/mrjob", "archived": false, "has_wiki": true, "homepage": "http://packages.python.org/mrjob/", "html_url": "https://github.com/Yelp/mrjob", "keys_url": "https://api.github.com/repos/Yelp/mrjob/keys{/key_id}", "language": "Python", "tags_url": "https://api.github.com/repos/Yelp/mrjob/tags", "watchers": 2345, "blobs_url": "https://api.github.com/repos/Yelp/mrjob/git/blobs{/sha}", "clone_url": "https://github.com/Yelp/mrjob.git", "forks_url": "https://api.github.com/repos/Yelp/mrjob/forks", "full_name": "Yelp/mrjob", "has_pages": false, "hooks_url": "https://api.github.com/repos/Yelp/mrjob/hooks", "pulls_url": "https://api.github.com/repos/Yelp/mrjob/pulls{/number}", "pushed_at": "2018-12-22T05:34:13Z", "teams_url": "https://api.github.com/repos/Yelp/mrjob/teams", "trees_url": "https://api.github.com/repos/Yelp/mrjob/git/trees{/sha}", "created_at": "2010-10-13T18:35:21Z", "events_url": "https://api.github.com/repos/Yelp/mrjob/events", "has_issues": true, "issues_url": "https://api.github.com/repos/Yelp/mrjob/issues{/number}", "labels_url": "https://api.github.com/repos/Yelp/mrjob/labels{/name}", "merges_url": "https://api.github.com/repos/Yelp/mrjob/merges", "mirror_url": null, "updated_at": "2018-12-24T06:29:38Z", "archive_url": "https://api.github.com/repos/Yelp/mrjob/{archive_format}{/ref}", "commits_url": "https://api.github.com/repos/Yelp/mrjob/commits{/sha}", "compare_url": "https://api.github.com/repos/Yelp/mrjob/compare/{base}...{head}", "description": "Run MapReduce jobs on Hadoop or Amazon Web Services", "forks_count": 568, "open_issues": 186, "permissions": {"pull": true, "push": false, "admin": false}, "branches_url": "https://api.github.com/repos/Yelp/mrjob/branches{/branch}", "comments_url": "https://api.github.com/repos/Yelp/mrjob/comments{/number}", "contents_url": "https://api.github.com/repos/Yelp/mrjob/contents/{+path}", "git_refs_url": "https://api.github.com/repos/Yelp/mrjob/git/refs{/sha}", "git_tags_url": "https://api.github.com/repos/Yelp/mrjob/git/tags{/sha}", "has_projects": true, "releases_url": "https://api.github.com/repos/Yelp/mrjob/releases{/id}", "statuses_url": "https://api.github.com/repos/Yelp/mrjob/statuses/{sha}", "assignees_url": "https://api.github.com/repos/Yelp/mrjob/assignees{/user}", "downloads_url": "https://api.github.com/repos/Yelp/mrjob/downloads", "has_downloads": true, "languages_url": "https://api.github.com/repos/Yelp/mrjob/languages", "default_branch": "master", "milestones_url": "https://api.github.com/repos/Yelp/mrjob/milestones{/number}", "stargazers_url": "https://api.github.com/repos/Yelp/mrjob/stargazers", "watchers_count": 2345, "deployments_url": "https://api.github.com/repos/Yelp/mrjob/deployments", "git_commits_url": "https://api.github.com/repos/Yelp/mrjob/git/commits{/sha}", "subscribers_url": "https://api.github.com/repos/Yelp/mrjob/subscribers", "contributors_url": "https://api.github.com/repos/Yelp/mrjob/contributors", "issue_events_url": "https://api.github.com/repos/Yelp/mrjob/issues/events{/number}", "stargazers_count": 2345, "subscription_url": "https://api.github.com/repos/Yelp/mrjob/subscription", "collaborators_url": "https://api.github.com/repos/Yelp/mrjob/collaborators{/collaborator}", "issue_comment_url": "https://api.github.com/repos/Yelp/mrjob/issues/comments{/number}", "notifications_url": "https://api.github.com/repos/Yelp/mrjob/notifications{?since,all,participating}", "open_issues_count": 186}</t>
  </si>
  <si>
    <t>munki/munki</t>
  </si>
  <si>
    <t>Managed software installation for macOS —</t>
  </si>
  <si>
    <t>https://github.com/munki/munki</t>
  </si>
  <si>
    <t>[{"loc": 1420510, "ratio": 0.893400268175426, "language": "Python"}, {"loc": 58109, "ratio": 0.03654644893975109, "language": "CSS"}, {"loc": 58029, "ratio": 0.036496134600919244, "language": "Shell"}, {"loc": 25454, "ratio": 0.01600876475782451, "language": "HTML"}, {"loc": 24665, "ratio": 0.015512539591095368, "language": "Objective-C"}, {"loc": 3237, "ratio": 0.002035843934983811, "language": "JavaScript"}]</t>
  </si>
  <si>
    <t>v3.5.2</t>
  </si>
  <si>
    <t>5e113e10d89385f38dd015979800255c1a96f91b</t>
  </si>
  <si>
    <t>munki</t>
  </si>
  <si>
    <t>{"id": 24219473, "url": "https://api.github.com/repos/munki/munki", "fork": false, "name": "munki", "size": 41195, "forks": 229, "owner": {"id": 8826633, "url": "https://api.github.com/users/munki", "type": "Organization", "login": "munki", "node_id": "MDEyOk9yZ2FuaXphdGlvbjg4MjY2MzM=", "html_url": "https://github.com/munki", "gists_url": "https://api.github.com/users/munki/gists{/gist_id}", "repos_url": "https://api.github.com/users/munki/repos", "avatar_url": "https://avatars3.githubusercontent.com/u/8826633?v=4", "events_url": "https://api.github.com/users/munki/events{/privacy}", "site_admin": false, "gravatar_id": "", "starred_url": "https://api.github.com/users/munki/starred{/owner}{/repo}", "followers_url": "https://api.github.com/users/munki/followers", "following_url": "https://api.github.com/users/munki/following{/other_user}", "organizations_url": "https://api.github.com/users/munki/orgs", "subscriptions_url": "https://api.github.com/users/munki/subscriptions", "received_events_url": "https://api.github.com/users/munki/received_events"}, "score": 1.0, "topics": [], "git_url": "git://github.com/munki/munki.git", "license": {"key": "other", "url": null, "name": "Other", "node_id": "MDc6TGljZW5zZTA=", "spdx_id": "NOASSERTION"}, "node_id": "MDEwOlJlcG9zaXRvcnkyNDIxOTQ3Mw==", "private": false, "ssh_url": "git@github.com:munki/munki.git", "svn_url": "https://github.com/munki/munki", "archived": false, "has_wiki": true, "homepage": "https://www.munki.org/munki/", "html_url": "https://github.com/munki/munki", "keys_url": "https://api.github.com/repos/munki/munki/keys{/key_id}", "language": "Python", "tags_url": "https://api.github.com/repos/munki/munki/tags", "watchers": 1628, "blobs_url": "https://api.github.com/repos/munki/munki/git/blobs{/sha}", "clone_url": "https://github.com/munki/munki.git", "forks_url": "https://api.github.com/repos/munki/munki/forks", "full_name": "munki/munki", "has_pages": true, "hooks_url": "https://api.github.com/repos/munki/munki/hooks", "pulls_url": "https://api.github.com/repos/munki/munki/pulls{/number}", "pushed_at": "2018-12-21T21:45:58Z", "teams_url": "https://api.github.com/repos/munki/munki/teams", "trees_url": "https://api.github.com/repos/munki/munki/git/trees{/sha}", "created_at": "2014-09-19T06:51:32Z", "events_url": "https://api.github.com/repos/munki/munki/events", "has_issues": true, "issues_url": "https://api.github.com/repos/munki/munki/issues{/number}", "labels_url": "https://api.github.com/repos/munki/munki/labels{/name}", "merges_url": "https://api.github.com/repos/munki/munki/merges", "mirror_url": null, "updated_at": "2018-12-22T14:03:54Z", "archive_url": "https://api.github.com/repos/munki/munki/{archive_format}{/ref}", "commits_url": "https://api.github.com/repos/munki/munki/commits{/sha}", "compare_url": "https://api.github.com/repos/munki/munki/compare/{base}...{head}", "description": "Managed software installation for macOS —", "forks_count": 229, "open_issues": 72, "permissions": {"pull": true, "push": false, "admin": false}, "branches_url": "https://api.github.com/repos/munki/munki/branches{/branch}", "comments_url": "https://api.github.com/repos/munki/munki/comments{/number}", "contents_url": "https://api.github.com/repos/munki/munki/contents/{+path}", "git_refs_url": "https://api.github.com/repos/munki/munki/git/refs{/sha}", "git_tags_url": "https://api.github.com/repos/munki/munki/git/tags{/sha}", "has_projects": true, "releases_url": "https://api.github.com/repos/munki/munki/releases{/id}", "statuses_url": "https://api.github.com/repos/munki/munki/statuses/{sha}", "assignees_url": "https://api.github.com/repos/munki/munki/assignees{/user}", "downloads_url": "https://api.github.com/repos/munki/munki/downloads", "has_downloads": true, "languages_url": "https://api.github.com/repos/munki/munki/languages", "default_branch": "master", "milestones_url": "https://api.github.com/repos/munki/munki/milestones{/number}", "stargazers_url": "https://api.github.com/repos/munki/munki/stargazers", "watchers_count": 1628, "deployments_url": "https://api.github.com/repos/munki/munki/deployments", "git_commits_url": "https://api.github.com/repos/munki/munki/git/commits{/sha}", "subscribers_url": "https://api.github.com/repos/munki/munki/subscribers", "contributors_url": "https://api.github.com/repos/munki/munki/contributors", "issue_events_url": "https://api.github.com/repos/munki/munki/issues/events{/number}", "stargazers_count": 1628, "subscription_url": "https://api.github.com/repos/munki/munki/subscription", "collaborators_url": "https://api.github.com/repos/munki/munki/collaborators{/collaborator}", "issue_comment_url": "https://api.github.com/repos/munki/munki/issues/comments{/number}", "notifications_url": "https://api.github.com/repos/munki/munki/notifications{?since,all,participating}", "open_issues_count": 72}</t>
  </si>
  <si>
    <t>python/mypy</t>
  </si>
  <si>
    <t>Optional static typing for Python 2 and 3 (PEP 484)</t>
  </si>
  <si>
    <t>https://github.com/python/mypy</t>
  </si>
  <si>
    <t>"[\"linter\", \"python\", \"typechecker\", \"types\", \"typing\"]"</t>
  </si>
  <si>
    <t>[{"loc": 3305383, "ratio": 0.9891967097234101, "language": "Python"}, {"loc": 22886, "ratio": 0.006849056795757092, "language": "PLSQL"}, {"loc": 8510, "ratio": 0.0025467741558984906, "language": "XSLT"}, {"loc": 2520, "ratio": 0.0007541563892907399, "language": "Shell"}, {"loc": 1409, "ratio": 0.00042166918750422716, "language": "CSS"}, {"loc": 774, "ratio": 0.00023163374813929866, "language": "Emacs Lisp"}]</t>
  </si>
  <si>
    <t>v0.650</t>
  </si>
  <si>
    <t>466bb38087ee7aa840d472fa6de49be424343a18</t>
  </si>
  <si>
    <t>mypy</t>
  </si>
  <si>
    <t>{"id": 7053637, "url": "https://api.github.com/repos/python/mypy", "fork": false, "name": "mypy", "size": 30253, "forks": 709, "owner": {"id": 1525981, "url": "https://api.github.com/users/python", "type": "Organization", "login": "python", "node_id": "MDEyOk9yZ2FuaXphdGlvbjE1MjU5ODE=", "html_url": "https://github.com/python", "gists_url": "https://api.github.com/users/python/gists{/gist_id}", "repos_url": "https://api.github.com/users/python/repos", "avatar_url": "https://avatars3.githubusercontent.com/u/1525981?v=4", "events_url": "https://api.github.com/users/python/events{/privacy}", "site_admin": false, "gravatar_id": "", "starred_url": "https://api.github.com/users/python/starred{/owner}{/repo}", "followers_url": "https://api.github.com/users/python/followers", "following_url": "https://api.github.com/users/python/following{/other_user}", "organizations_url": "https://api.github.com/users/python/orgs", "subscriptions_url": "https://api.github.com/users/python/subscriptions", "received_events_url": "https://api.github.com/users/python/received_events"}, "score": 1.0, "topics": ["linter", "python", "typechecker", "types", "typing"], "git_url": "git://github.com/python/mypy.git", "license": {"key": "other", "url": null, "name": "Other", "node_id": "MDc6TGljZW5zZTA=", "spdx_id": "NOASSERTION"}, "node_id": "MDEwOlJlcG9zaXRvcnk3MDUzNjM3", "private": false, "ssh_url": "git@github.com:python/mypy.git", "svn_url": "https://github.com/python/mypy", "archived": false, "has_wiki": true, "homepage": "http://www.mypy-lang.org/", "html_url": "https://github.com/python/mypy", "keys_url": "https://api.github.com/repos/python/mypy/keys{/key_id}", "language": "Python", "tags_url": "https://api.github.com/repos/python/mypy/tags", "watchers": 5153, "blobs_url": "https://api.github.com/repos/python/mypy/git/blobs{/sha}", "clone_url": "https://github.com/python/mypy.git", "forks_url": "https://api.github.com/repos/python/mypy/forks", "full_name": "python/mypy", "has_pages": false, "hooks_url": "https://api.github.com/repos/python/mypy/hooks", "pulls_url": "https://api.github.com/repos/python/mypy/pulls{/number}", "pushed_at": "2018-12-24T12:11:30Z", "teams_url": "https://api.github.com/repos/python/mypy/teams", "trees_url": "https://api.github.com/repos/python/mypy/git/trees{/sha}", "created_at": "2012-12-07T13:30:23Z", "events_url": "https://api.github.com/repos/python/mypy/events", "has_issues": true, "issues_url": "https://api.github.com/repos/python/mypy/issues{/number}", "labels_url": "https://api.github.com/repos/python/mypy/labels{/name}", "merges_url": "https://api.github.com/repos/python/mypy/merges", "mirror_url": null, "updated_at": "2018-12-24T21:15:08Z", "archive_url": "https://api.github.com/repos/python/mypy/{archive_format}{/ref}", "commits_url": "https://api.github.com/repos/python/mypy/commits{/sha}", "compare_url": "https://api.github.com/repos/python/mypy/compare/{base}...{head}", "description": "Optional static typing for Python 2 and 3 (PEP 484)", "forks_count": 709, "open_issues": 945, "permissions": {"pull": true, "push": false, "admin": false}, "branches_url": "https://api.github.com/repos/python/mypy/branches{/branch}", "comments_url": "https://api.github.com/repos/python/mypy/comments{/number}", "contents_url": "https://api.github.com/repos/python/mypy/contents/{+path}", "git_refs_url": "https://api.github.com/repos/python/mypy/git/refs{/sha}", "git_tags_url": "https://api.github.com/repos/python/mypy/git/tags{/sha}", "has_projects": true, "releases_url": "https://api.github.com/repos/python/mypy/releases{/id}", "statuses_url": "https://api.github.com/repos/python/mypy/statuses/{sha}", "assignees_url": "https://api.github.com/repos/python/mypy/assignees{/user}", "downloads_url": "https://api.github.com/repos/python/mypy/downloads", "has_downloads": true, "languages_url": "https://api.github.com/repos/python/mypy/languages", "default_branch": "master", "milestones_url": "https://api.github.com/repos/python/mypy/milestones{/number}", "stargazers_url": "https://api.github.com/repos/python/mypy/stargazers", "watchers_count": 5153, "deployments_url": "https://api.github.com/repos/python/mypy/deployments", "git_commits_url": "https://api.github.com/repos/python/mypy/git/commits{/sha}", "subscribers_url": "https://api.github.com/repos/python/mypy/subscribers", "contributors_url": "https://api.github.com/repos/python/mypy/contributors", "issue_events_url": "https://api.github.com/repos/python/mypy/issues/events{/number}", "stargazers_count": 5153, "subscription_url": "https://api.github.com/repos/python/mypy/subscription", "collaborators_url": "https://api.github.com/repos/python/mypy/collaborators{/collaborator}", "issue_comment_url": "https://api.github.com/repos/python/mypy/issues/comments{/number}", "notifications_url": "https://api.github.com/repos/python/mypy/notifications{?since,all,participating}", "open_issues_count": 945}</t>
  </si>
  <si>
    <t>networkx/networkx</t>
  </si>
  <si>
    <t>Official NetworkX source code repository.</t>
  </si>
  <si>
    <t>https://github.com/networkx/networkx</t>
  </si>
  <si>
    <t>"[\"complex-networks\", \"graph-algorithms\", \"graph-analysis\", \"graph-generation\", \"graph-theory\", \"graph-visualization\", \"python\"]"</t>
  </si>
  <si>
    <t>[{"loc": 4129467, "ratio": 0.9974844687564691, "language": "Python"}, {"loc": 5317, "ratio": 0.0012843364338250302, "language": "Shell"}, {"loc": 3311, "ratio": 0.0007997814429931681, "language": "PowerShell"}, {"loc": 1786, "ratio": 0.0004314133667127147, "language": "Batchfile"}]</t>
  </si>
  <si>
    <t>networkx-2.2</t>
  </si>
  <si>
    <t>626f18ea85ba047189d7ef1af72347dfede02f9f</t>
  </si>
  <si>
    <t>networkx</t>
  </si>
  <si>
    <t>{"id": 890377, "url": "https://api.github.com/repos/networkx/networkx", "fork": false, "name": "networkx", "size": 13168, "forks": 1390, "owner": {"id": 388785, "url": "https://api.github.com/users/networkx", "type": "Organization", "login": "networkx", "node_id": "MDEyOk9yZ2FuaXphdGlvbjM4ODc4NQ==", "html_url": "https://github.com/networkx", "gists_url": "https://api.github.com/users/networkx/gists{/gist_id}", "repos_url": "https://api.github.com/users/networkx/repos", "avatar_url": "https://avatars2.githubusercontent.com/u/388785?v=4", "events_url": "https://api.github.com/users/networkx/events{/privacy}", "site_admin": false, "gravatar_id": "", "starred_url": "https://api.github.com/users/networkx/starred{/owner}{/repo}", "followers_url": "https://api.github.com/users/networkx/followers", "following_url": "https://api.github.com/users/networkx/following{/other_user}", "organizations_url": "https://api.github.com/users/networkx/orgs", "subscriptions_url": "https://api.github.com/users/networkx/subscriptions", "received_events_url": "https://api.github.com/users/networkx/received_events"}, "score": 1.0, "topics": ["complex-networks", "graph-algorithms", "graph-analysis", "graph-generation", "graph-theory", "graph-visualization", "python"], "git_url": "git://github.com/networkx/networkx.git", "license": {"key": "other", "url": null, "name": "Other", "node_id": "MDc6TGljZW5zZTA=", "spdx_id": "NOASSERTION"}, "node_id": "MDEwOlJlcG9zaXRvcnk4OTAzNzc=", "private": false, "ssh_url": "git@github.com:networkx/networkx.git", "svn_url": "https://github.com/networkx/networkx", "archived": false, "has_wiki": true, "homepage": "http://networkx.github.io", "html_url": "https://github.com/networkx/networkx", "keys_url": "https://api.github.com/repos/networkx/networkx/keys{/key_id}", "language": "Python", "tags_url": "https://api.github.com/repos/networkx/networkx/tags", "watchers": 5014, "blobs_url": "https://api.github.com/repos/networkx/networkx/git/blobs{/sha}", "clone_url": "https://github.com/networkx/networkx.git", "forks_url": "https://api.github.com/repos/networkx/networkx/forks", "full_name": "networkx/networkx", "has_pages": false, "hooks_url": "https://api.github.com/repos/networkx/networkx/hooks", "pulls_url": "https://api.github.com/repos/networkx/networkx/pulls{/number}", "pushed_at": "2018-12-24T23:26:55Z", "teams_url": "https://api.github.com/repos/networkx/networkx/teams", "trees_url": "https://api.github.com/repos/networkx/networkx/git/trees{/sha}", "created_at": "2010-09-06T00:53:44Z", "events_url": "https://api.github.com/repos/networkx/networkx/events", "has_issues": true, "issues_url": "https://api.github.com/repos/networkx/networkx/issues{/number}", "labels_url": "https://api.github.com/repos/networkx/networkx/labels{/name}", "merges_url": "https://api.github.com/repos/networkx/networkx/merges", "mirror_url": null, "updated_at": "2018-12-24T17:22:59Z", "archive_url": "https://api.github.com/repos/networkx/networkx/{archive_format}{/ref}", "commits_url": "https://api.github.com/repos/networkx/networkx/commits{/sha}", "compare_url": "https://api.github.com/repos/networkx/networkx/compare/{base}...{head}", "description": "Official NetworkX source code repository.  ", "forks_count": 1390, "open_issues": 225, "permissions": {"pull": true, "push": false, "admin": false}, "branches_url": "https://api.github.com/repos/networkx/networkx/branches{/branch}", "comments_url": "https://api.github.com/repos/networkx/networkx/comments{/number}", "contents_url": "https://api.github.com/repos/networkx/networkx/contents/{+path}", "git_refs_url": "https://api.github.com/repos/networkx/networkx/git/refs{/sha}", "git_tags_url": "https://api.github.com/repos/networkx/networkx/git/tags{/sha}", "has_projects": false, "releases_url": "https://api.github.com/repos/networkx/networkx/releases{/id}", "statuses_url": "https://api.github.com/repos/networkx/networkx/statuses/{sha}", "assignees_url": "https://api.github.com/repos/networkx/networkx/assignees{/user}", "downloads_url": "https://api.github.com/repos/networkx/networkx/downloads", "has_downloads": true, "languages_url": "https://api.github.com/repos/networkx/networkx/languages", "default_branch": "master", "milestones_url": "https://api.github.com/repos/networkx/networkx/milestones{/number}", "stargazers_url": "https://api.github.com/repos/networkx/networkx/stargazers", "watchers_count": 5014, "deployments_url": "https://api.github.com/repos/networkx/networkx/deployments", "git_commits_url": "https://api.github.com/repos/networkx/networkx/git/commits{/sha}", "subscribers_url": "https://api.github.com/repos/networkx/networkx/subscribers", "contributors_url": "https://api.github.com/repos/networkx/networkx/contributors", "issue_events_url": "https://api.github.com/repos/networkx/networkx/issues/events{/number}", "stargazers_count": 5014, "subscription_url": "https://api.github.com/repos/networkx/networkx/subscription", "collaborators_url": "https://api.github.com/repos/networkx/networkx/collaborators{/collaborator}", "issue_comment_url": "https://api.github.com/repos/networkx/networkx/issues/comments{/number}", "notifications_url": "https://api.github.com/repos/networkx/networkx/notifications{?since,all,participating}", "open_issues_count": 225}</t>
  </si>
  <si>
    <t>paramiko/paramiko</t>
  </si>
  <si>
    <t>The leading native Python SSHv2 protocol library.</t>
  </si>
  <si>
    <t>https://github.com/paramiko/paramiko</t>
  </si>
  <si>
    <t>[{"loc": 905481, "ratio": 1.0, "language": "Python"}]</t>
  </si>
  <si>
    <t>v1.18.1</t>
  </si>
  <si>
    <t>4300732c8c392cb246fc7b2839e3700732846fff</t>
  </si>
  <si>
    <t>paramiko</t>
  </si>
  <si>
    <t>{"id": 119609, "url": "https://api.github.com/repos/paramiko/paramiko", "fork": false, "name": "paramiko", "size": 7246, "forks": 1269, "owner": {"id": 1108455, "url": "https://api.github.com/users/paramiko", "type": "Organization", "login": "paramiko", "node_id": "MDEyOk9yZ2FuaXphdGlvbjExMDg0NTU=", "html_url": "https://github.com/paramiko", "gists_url": "https://api.github.com/users/paramiko/gists{/gist_id}", "repos_url": "https://api.github.com/users/paramiko/repos", "avatar_url": "https://avatars0.githubusercontent.com/u/1108455?v=4", "events_url": "https://api.github.com/users/paramiko/events{/privacy}", "site_admin": false, "gravatar_id": "", "starred_url": "https://api.github.com/users/paramiko/starred{/owner}{/repo}", "followers_url": "https://api.github.com/users/paramiko/followers", "following_url": "https://api.github.com/users/paramiko/following{/other_user}", "organizations_url": "https://api.github.com/users/paramiko/orgs", "subscriptions_url": "https://api.github.com/users/paramiko/subscriptions", "received_events_url": "https://api.github.com/users/paramiko/received_events"}, "score": 1.0, "topics": [], "git_url": "git://github.com/paramiko/paramiko.git", "license": {"key": "lgpl-2.1", "url": "https://api.github.com/licenses/lgpl-2.1", "name": "GNU Lesser General Public License v2.1", "node_id": "MDc6TGljZW5zZTEx", "spdx_id": "LGPL-2.1"}, "node_id": "MDEwOlJlcG9zaXRvcnkxMTk2MDk=", "private": false, "ssh_url": "git@github.com:paramiko/paramiko.git", "svn_url": "https://github.com/paramiko/paramiko", "archived": false, "has_wiki": true, "homepage": "http://paramiko.org", "html_url": "https://github.com/paramiko/paramiko", "keys_url": "https://api.github.com/repos/paramiko/paramiko/keys{/key_id}", "language": "Python", "tags_url": "https://api.github.com/repos/paramiko/paramiko/tags", "watchers": 4913, "blobs_url": "https://api.github.com/repos/paramiko/paramiko/git/blobs{/sha}", "clone_url": "https://github.com/paramiko/paramiko.git", "forks_url": "https://api.github.com/repos/paramiko/paramiko/forks", "full_name": "paramiko/paramiko", "has_pages": false, "hooks_url": "https://api.github.com/repos/paramiko/paramiko/hooks", "pulls_url": "https://api.github.com/repos/paramiko/paramiko/pulls{/number}", "pushed_at": "2018-12-23T13:10:11Z", "teams_url": "https://api.github.com/repos/paramiko/paramiko/teams", "trees_url": "https://api.github.com/repos/paramiko/paramiko/git/trees{/sha}", "created_at": "2009-02-02T03:41:08Z", "events_url": "https://api.github.com/repos/paramiko/paramiko/events", "has_issues": true, "issues_url": "https://api.github.com/repos/paramiko/paramiko/issues{/number}", "labels_url": "https://api.github.com/repos/paramiko/paramiko/labels{/name}", "merges_url": "https://api.github.com/repos/paramiko/paramiko/merges", "mirror_url": null, "updated_at": "2018-12-24T23:17:21Z", "archive_url": "https://api.github.com/repos/paramiko/paramiko/{archive_format}{/ref}", "commits_url": "https://api.github.com/repos/paramiko/paramiko/commits{/sha}", "compare_url": "https://api.github.com/repos/paramiko/paramiko/compare/{base}...{head}", "description": "The leading native Python SSHv2 protocol library.", "forks_count": 1269, "open_issues": 532, "permissions": {"pull": true, "push": false, "admin": false}, "branches_url": "https://api.github.com/repos/paramiko/paramiko/branches{/branch}", "comments_url": "https://api.github.com/repos/paramiko/paramiko/comments{/number}", "contents_url": "https://api.github.com/repos/paramiko/paramiko/contents/{+path}", "git_refs_url": "https://api.github.com/repos/paramiko/paramiko/git/refs{/sha}", "git_tags_url": "https://api.github.com/repos/paramiko/paramiko/git/tags{/sha}", "has_projects": false, "releases_url": "https://api.github.com/repos/paramiko/paramiko/releases{/id}", "statuses_url": "https://api.github.com/repos/paramiko/paramiko/statuses/{sha}", "assignees_url": "https://api.github.com/repos/paramiko/paramiko/assignees{/user}", "downloads_url": "https://api.github.com/repos/paramiko/paramiko/downloads", "has_downloads": true, "languages_url": "https://api.github.com/repos/paramiko/paramiko/languages", "default_branch": "master", "milestones_url": "https://api.github.com/repos/paramiko/paramiko/milestones{/number}", "stargazers_url": "https://api.github.com/repos/paramiko/paramiko/stargazers", "watchers_count": 4913, "deployments_url": "https://api.github.com/repos/paramiko/paramiko/deployments", "git_commits_url": "https://api.github.com/repos/paramiko/paramiko/git/commits{/sha}", "subscribers_url": "https://api.github.com/repos/paramiko/paramiko/subscribers", "contributors_url": "https://api.github.com/repos/paramiko/paramiko/contributors", "issue_events_url": "https://api.github.com/repos/paramiko/paramiko/issues/events{/number}", "stargazers_count": 4913, "subscription_url": "https://api.github.com/repos/paramiko/paramiko/subscription", "collaborators_url": "https://api.github.com/repos/paramiko/paramiko/collaborators{/collaborator}", "issue_comment_url": "https://api.github.com/repos/paramiko/paramiko/issues/comments{/number}", "notifications_url": "https://api.github.com/repos/paramiko/paramiko/notifications{?since,all,participating}", "open_issues_count": 532}</t>
  </si>
  <si>
    <t>openstack/nova</t>
  </si>
  <si>
    <t>OpenStack Compute (Nova)</t>
  </si>
  <si>
    <t>https://github.com/openstack/nova</t>
  </si>
  <si>
    <t>"[\"api-server\", \"compute-starter-kit\"]"</t>
  </si>
  <si>
    <t>[{"loc": 22771610, "ratio": 0.9798596494398693, "language": "Python"}, {"loc": 431761, "ratio": 0.018578624089460843, "language": "Smarty"}, {"loc": 32969, "ratio": 0.0014186521191247809, "language": "Shell"}, {"loc": 3325, "ratio": 0.00014307435154508466, "language": "PHP"}]</t>
  </si>
  <si>
    <t>ocata-em</t>
  </si>
  <si>
    <t>8c663dbd25a0dab1c2d903efc7cf7fc3d9d07b00</t>
  </si>
  <si>
    <t>nova</t>
  </si>
  <si>
    <t>{"id": 790031, "url": "https://api.github.com/repos/openstack/nova", "fork": false, "name": "nova", "size": 930490, "forks": 2196, "owner": {"id": 324574, "url": "https://api.github.com/users/openstack", "type": "Organization", "login": "openstack", "node_id": "MDEyOk9yZ2FuaXphdGlvbjMyNDU3NA==", "html_url": "https://github.com/openstack", "gists_url": "https://api.github.com/users/openstack/gists{/gist_id}", "repos_url": "https://api.github.com/users/openstack/repos", "avatar_url": "https://avatars3.githubusercontent.com/u/324574?v=4", "events_url": "https://api.github.com/users/openstack/events{/privacy}", "site_admin": false, "gravatar_id": "", "starred_url": "https://api.github.com/users/openstack/starred{/owner}{/repo}", "followers_url": "https://api.github.com/users/openstack/followers", "following_url": "https://api.github.com/users/openstack/following{/other_user}", "organizations_url": "https://api.github.com/users/openstack/orgs", "subscriptions_url": "https://api.github.com/users/openstack/subscriptions", "received_events_url": "https://api.github.com/users/openstack/received_events"}, "score": 1.0, "topics": ["api-server", "compute-starter-kit"], "git_url": "git://github.com/openstack/nova.git", "license": {"key": "apache-2.0", "url": "https://api.github.com/licenses/apache-2.0", "name": "Apache License 2.0", "node_id": "MDc6TGljZW5zZTI=", "spdx_id": "Apache-2.0"}, "node_id": "MDEwOlJlcG9zaXRvcnk3OTAwMzE=", "private": false, "ssh_url": "git@github.com:openstack/nova.git", "svn_url": "https://github.com/openstack/nova", "archived": false, "has_wiki": false, "homepage": "http://openstack.org", "html_url": "https://github.com/openstack/nova", "keys_url": "https://api.github.com/repos/openstack/nova/keys{/key_id}", "language": "Python", "tags_url": "https://api.github.com/repos/openstack/nova/tags", "watchers": 2379, "blobs_url": "https://api.github.com/repos/openstack/nova/git/blobs{/sha}", "clone_url": "https://github.com/openstack/nova.git", "forks_url": "https://api.github.com/repos/openstack/nova/forks", "full_name": "openstack/nova", "has_pages": false, "hooks_url": "https://api.github.com/repos/openstack/nova/hooks", "pulls_url": "https://api.github.com/repos/openstack/nova/pulls{/number}", "pushed_at": "2018-12-25T02:42:10Z", "teams_url": "https://api.github.com/repos/openstack/nova/teams", "trees_url": "https://api.github.com/repos/openstack/nova/git/trees{/sha}", "created_at": "2010-07-22T02:04:27Z", "events_url": "https://api.github.com/repos/openstack/nova/events", "has_issues": false, "issues_url": "https://api.github.com/repos/openstack/nova/issues{/number}", "labels_url": "https://api.github.com/repos/openstack/nova/labels{/name}", "merges_url": "https://api.github.com/repos/openstack/nova/merges", "mirror_url": null, "updated_at": "2018-12-25T00:22:35Z", "archive_url": "https://api.github.com/repos/openstack/nova/{archive_format}{/ref}", "commits_url": "https://api.github.com/repos/openstack/nova/commits{/sha}", "compare_url": "https://api.github.com/repos/openstack/nova/compare/{base}...{head}", "description": "OpenStack Compute (Nova)", "forks_count": 2196, "open_issues": 0, "permissions": {"pull": true, "push": false, "admin": false}, "branches_url": "https://api.github.com/repos/openstack/nova/branches{/branch}", "comments_url": "https://api.github.com/repos/openstack/nova/comments{/number}", "contents_url": "https://api.github.com/repos/openstack/nova/contents/{+path}", "git_refs_url": "https://api.github.com/repos/openstack/nova/git/refs{/sha}", "git_tags_url": "https://api.github.com/repos/openstack/nova/git/tags{/sha}", "has_projects": false, "releases_url": "https://api.github.com/repos/openstack/nova/releases{/id}", "statuses_url": "https://api.github.com/repos/openstack/nova/statuses/{sha}", "assignees_url": "https://api.github.com/repos/openstack/nova/assignees{/user}", "downloads_url": "https://api.github.com/repos/openstack/nova/downloads", "has_downloads": false, "languages_url": "https://api.github.com/repos/openstack/nova/languages", "default_branch": "master", "milestones_url": "https://api.github.com/repos/openstack/nova/milestones{/number}", "stargazers_url": "https://api.github.com/repos/openstack/nova/stargazers", "watchers_count": 2379, "deployments_url": "https://api.github.com/repos/openstack/nova/deployments", "git_commits_url": "https://api.github.com/repos/openstack/nova/git/commits{/sha}", "subscribers_url": "https://api.github.com/repos/openstack/nova/subscribers", "contributors_url": "https://api.github.com/repos/openstack/nova/contributors", "issue_events_url": "https://api.github.com/repos/openstack/nova/issues/events{/number}", "stargazers_count": 2379, "subscription_url": "https://api.github.com/repos/openstack/nova/subscription", "collaborators_url": "https://api.github.com/repos/openstack/nova/collaborators{/collaborator}", "issue_comment_url": "https://api.github.com/repos/openstack/nova/issues/comments{/number}", "notifications_url": "https://api.github.com/repos/openstack/nova/notifications{?since,all,participating}", "open_issues_count": 0}</t>
  </si>
  <si>
    <t>numba/numba</t>
  </si>
  <si>
    <t>NumPy aware dynamic Python compiler using LLVM</t>
  </si>
  <si>
    <t>https://github.com/numba/numba</t>
  </si>
  <si>
    <t>[{"loc": 5866653, "ratio": 0.9210040432694987, "language": "Python"}, {"loc": 327398, "ratio": 0.051398110943044924, "language": "C"}, {"loc": 110326, "ratio": 0.017320044679266136, "language": "Jupyter Notebook"}, {"loc": 48142, "ratio": 0.007557797717212899, "language": "C++"}, {"loc": 6937, "ratio": 0.0010890374883533273, "language": "Shell"}, {"loc": 6610, "ratio": 0.0010377018593074087, "language": "Batchfile"}, {"loc": 3464, "ratio": 0.00054381229056594, "language": "HTML"}, {"loc": 214, "ratio": 0.00003359579393219144, "language": "Cuda"}, {"loc": 101, "ratio": 0.000015855958818464187, "language": "GDB"}]</t>
  </si>
  <si>
    <t>v0.1.1</t>
  </si>
  <si>
    <t>13d86ea2f3588f91dcad4705ee4ff79e69bc5a47</t>
  </si>
  <si>
    <t>numba</t>
  </si>
  <si>
    <t>{"id": 3659275, "url": "https://api.github.com/repos/numba/numba", "fork": false, "name": "numba", "size": 48888, "forks": 421, "owner": {"id": 1628082, "url": "https://api.github.com/users/numba", "type": "Organization", "login": "numba", "node_id": "MDEyOk9yZ2FuaXphdGlvbjE2MjgwODI=", "html_url": "https://github.com/numba", "gists_url": "https://api.github.com/users/numba/gists{/gist_id}", "repos_url": "https://api.github.com/users/numba/repos", "avatar_url": "https://avatars2.githubusercontent.com/u/1628082?v=4", "events_url": "https://api.github.com/users/numba/events{/privacy}", "site_admin": false, "gravatar_id": "", "starred_url": "https://api.github.com/users/numba/starred{/owner}{/repo}", "followers_url": "https://api.github.com/users/numba/followers", "following_url": "https://api.github.com/users/numba/following{/other_user}", "organizations_url": "https://api.github.com/users/numba/orgs", "subscriptions_url": "https://api.github.com/users/numba/subscriptions", "received_events_url": "https://api.github.com/users/numba/received_events"}, "score": 1.0, "topics": [], "git_url": "git://github.com/numba/numba.git", "license": {"key": "bsd-2-clause", "url": "https://api.github.com/licenses/bsd-2-clause", "name": "BSD 2-Clause \"Simplified\" License", "node_id": "MDc6TGljZW5zZTQ=", "spdx_id": "BSD-2-Clause"}, "node_id": "MDEwOlJlcG9zaXRvcnkzNjU5Mjc1", "private": false, "ssh_url": "git@github.com:numba/numba.git", "svn_url": "https://github.com/numba/numba", "archived": false, "has_wiki": true, "homepage": "http://numba.pydata.org/", "html_url": "https://github.com/numba/numba", "keys_url": "https://api.github.com/repos/numba/numba/keys{/key_id}", "language": "Python", "tags_url": "https://api.github.com/repos/numba/numba/tags", "watchers": 3688, "blobs_url": "https://api.github.com/repos/numba/numba/git/blobs{/sha}", "clone_url": "https://github.com/numba/numba.git", "forks_url": "https://api.github.com/repos/numba/numba/forks", "full_name": "numba/numba", "has_pages": true, "hooks_url": "https://api.github.com/repos/numba/numba/hooks", "pulls_url": "https://api.github.com/repos/numba/numba/pulls{/number}", "pushed_at": "2018-12-24T18:04:37Z", "teams_url": "https://api.github.com/repos/numba/numba/teams", "trees_url": "https://api.github.com/repos/numba/numba/git/trees{/sha}", "created_at": "2012-03-08T11:12:43Z", "events_url": "https://api.github.com/repos/numba/numba/events", "has_issues": true, "issues_url": "https://api.github.com/repos/numba/numba/issues{/number}", "labels_url": "https://api.github.com/repos/numba/numba/labels{/name}", "merges_url": "https://api.github.com/repos/numba/numba/merges", "mirror_url": null, "updated_at": "2018-12-24T23:23:21Z", "archive_url": "https://api.github.com/repos/numba/numba/{archive_format}{/ref}", "commits_url": "https://api.github.com/repos/numba/numba/commits{/sha}", "compare_url": "https://api.github.com/repos/numba/numba/compare/{base}...{head}", "description": "NumPy aware dynamic Python compiler using LLVM", "forks_count": 421, "open_issues": 654, "permissions": {"pull": true, "push": false, "admin": false}, "branches_url": "https://api.github.com/repos/numba/numba/branches{/branch}", "comments_url": "https://api.github.com/repos/numba/numba/comments{/number}", "contents_url": "https://api.github.com/repos/numba/numba/contents/{+path}", "git_refs_url": "https://api.github.com/repos/numba/numba/git/refs{/sha}", "git_tags_url": "https://api.github.com/repos/numba/numba/git/tags{/sha}", "has_projects": true, "releases_url": "https://api.github.com/repos/numba/numba/releases{/id}", "statuses_url": "https://api.github.com/repos/numba/numba/statuses/{sha}", "assignees_url": "https://api.github.com/repos/numba/numba/assignees{/user}", "downloads_url": "https://api.github.com/repos/numba/numba/downloads", "has_downloads": true, "languages_url": "https://api.github.com/repos/numba/numba/languages", "default_branch": "master", "milestones_url": "https://api.github.com/repos/numba/numba/milestones{/number}", "stargazers_url": "https://api.github.com/repos/numba/numba/stargazers", "watchers_count": 3688, "deployments_url": "https://api.github.com/repos/numba/numba/deployments", "git_commits_url": "https://api.github.com/repos/numba/numba/git/commits{/sha}", "subscribers_url": "https://api.github.com/repos/numba/numba/subscribers", "contributors_url": "https://api.github.com/repos/numba/numba/contributors", "issue_events_url": "https://api.github.com/repos/numba/numba/issues/events{/number}", "stargazers_count": 3688, "subscription_url": "https://api.github.com/repos/numba/numba/subscription", "collaborators_url": "https://api.github.com/repos/numba/numba/collaborators{/collaborator}", "issue_comment_url": "https://api.github.com/repos/numba/numba/issues/comments{/number}", "notifications_url": "https://api.github.com/repos/numba/numba/notifications{?since,all,participating}", "open_issues_count": 654}</t>
  </si>
  <si>
    <t>numenta/nupic</t>
  </si>
  <si>
    <t>Numenta Platform for Intelligent Computing is an implementation of Hierarchical Temporal Memory (HTM), a theory of intelligence based strictly on the neuroscience of the neocortex.</t>
  </si>
  <si>
    <t>https://github.com/numenta/nupic</t>
  </si>
  <si>
    <t>"[\"artificial-intelligence\", \"hierarchical-temporal-memory\", \"machine-intelligence\", \"neocortex\"]"</t>
  </si>
  <si>
    <t>[{"loc": 4279972, "ratio": 0.9750877129031377, "language": "Python"}, {"loc": 41269, "ratio": 0.009402139739185113, "language": "Smarty"}, {"loc": 29442, "ratio": 0.006707644919942041, "language": "Shell"}, {"loc": 19393, "ratio": 0.00441822423518905, "language": "Cap'n Proto"}, {"loc": 7994, "ratio": 0.0018212388251483145, "language": "Jupyter Notebook"}, {"loc": 5402, "ratio": 0.0012307145525958462, "language": "Ruby"}, {"loc": 3596, "ratio": 0.0008192612978775755, "language": "PowerShell"}, {"loc": 2252, "ratio": 0.0005130635269244439, "language": "Dockerfile"}]</t>
  </si>
  <si>
    <t>1.0.5</t>
  </si>
  <si>
    <t>9da31ade99d2ad55a3061418fd3222ef395ada86</t>
  </si>
  <si>
    <t>nupic</t>
  </si>
  <si>
    <t>{"id": 9252533, "url": "https://api.github.com/repos/numenta/nupic", "fork": false, "name": "nupic", "size": 153009, "forks": 1555, "owner": {"id": 1039191, "url": "https://api.github.com/users/numenta", "type": "Organization", "login": "numenta", "node_id": "MDEyOk9yZ2FuaXphdGlvbjEwMzkxOTE=", "html_url": "https://github.com/numenta", "gists_url": "https://api.github.com/users/numenta/gists{/gist_id}", "repos_url": "https://api.github.com/users/numenta/repos", "avatar_url": "https://avatars1.githubusercontent.com/u/1039191?v=4", "events_url": "https://api.github.com/users/numenta/events{/privacy}", "site_admin": false, "gravatar_id": "", "starred_url": "https://api.github.com/users/numenta/starred{/owner}{/repo}", "followers_url": "https://api.github.com/users/numenta/followers", "following_url": "https://api.github.com/users/numenta/following{/other_user}", "organizations_url": "https://api.github.com/users/numenta/orgs", "subscriptions_url": "https://api.github.com/users/numenta/subscriptions", "received_events_url": "https://api.github.com/users/numenta/received_events"}, "score": 1.0, "topics": ["artificial-intelligence", "hierarchical-temporal-memory", "machine-intelligence", "neocortex"], "git_url": "git://github.com/numenta/nupic.git", "license": {"key": "agpl-3.0", "url": "https://api.github.com/licenses/agpl-3.0", "name": "GNU Affero General Public License v3.0", "node_id": "MDc6TGljZW5zZTE=", "spdx_id": "AGPL-3.0"}, "node_id": "MDEwOlJlcG9zaXRvcnk5MjUyNTMz", "private": false, "ssh_url": "git@github.com:numenta/nupic.git", "svn_url": "https://github.com/numenta/nupic", "archived": false, "has_wiki": false, "homepage": "http://numenta.org/", "html_url": "https://github.com/numenta/nupic", "keys_url": "https://api.github.com/repos/numenta/nupic/keys{/key_id}", "language": "Python", "tags_url": "https://api.github.com/repos/numenta/nupic/tags", "watchers": 5769, "blobs_url": "https://api.github.com/repos/numenta/nupic/git/blobs{/sha}", "clone_url": "https://github.com/numenta/nupic.git", "forks_url": "https://api.github.com/repos/numenta/nupic/forks", "full_name": "numenta/nupic", "has_pages": true, "hooks_url": "https://api.github.com/repos/numenta/nupic/hooks", "pulls_url": "https://api.github.com/repos/numenta/nupic/pulls{/number}", "pushed_at": "2018-12-11T06:25:06Z", "teams_url": "https://api.github.com/repos/numenta/nupic/teams", "trees_url": "https://api.github.com/repos/numenta/nupic/git/trees{/sha}", "created_at": "2013-04-05T23:14:27Z", "events_url": "https://api.github.com/repos/numenta/nupic/events", "has_issues": true, "issues_url": "https://api.github.com/repos/numenta/nupic/issues{/number}", "labels_url": "https://api.github.com/repos/numenta/nupic/labels{/name}", "merges_url": "https://api.github.com/repos/numenta/nupic/merges", "mirror_url": null, "updated_at": "2018-12-24T09:30:29Z", "archive_url": "https://api.github.com/repos/numenta/nupic/{archive_format}{/ref}", "commits_url": "https://api.github.com/repos/numenta/nupic/commits{/sha}", "compare_url": "https://api.github.com/repos/numenta/nupic/compare/{base}...{head}", "description": "Numenta Platform for Intelligent Computing is an implementation of Hierarchical Temporal Memory (HTM), a theory of intelligence based strictly on the neuroscience of the neocortex.", "forks_count": 1555, "open_issues": 442, "permissions": {"pull": true, "push": false, "admin": false}, "branches_url": "https://api.github.com/repos/numenta/nupic/branches{/branch}", "comments_url": "https://api.github.com/repos/numenta/nupic/comments{/number}", "contents_url": "https://api.github.com/repos/numenta/nupic/contents/{+path}", "git_refs_url": "https://api.github.com/repos/numenta/nupic/git/refs{/sha}", "git_tags_url": "https://api.github.com/repos/numenta/nupic/git/tags{/sha}", "has_projects": true, "releases_url": "https://api.github.com/repos/numenta/nupic/releases{/id}", "statuses_url": "https://api.github.com/repos/numenta/nupic/statuses/{sha}", "assignees_url": "https://api.github.com/repos/numenta/nupic/assignees{/user}", "downloads_url": "https://api.github.com/repos/numenta/nupic/downloads", "has_downloads": true, "languages_url": "https://api.github.com/repos/numenta/nupic/languages", "default_branch": "master", "milestones_url": "https://api.github.com/repos/numenta/nupic/milestones{/number}", "stargazers_url": "https://api.github.com/repos/numenta/nupic/stargazers", "watchers_count": 5769, "deployments_url": "https://api.github.com/repos/numenta/nupic/deployments", "git_commits_url": "https://api.github.com/repos/numenta/nupic/git/commits{/sha}", "subscribers_url": "https://api.github.com/repos/numenta/nupic/subscribers", "contributors_url": "https://api.github.com/repos/numenta/nupic/contributors", "issue_events_url": "https://api.github.com/repos/numenta/nupic/issues/events{/number}", "stargazers_count": 5769, "subscription_url": "https://api.github.com/repos/numenta/nupic/subscription", "collaborators_url": "https://api.github.com/repos/numenta/nupic/collaborators{/collaborator}", "issue_comment_url": "https://api.github.com/repos/numenta/nupic/issues/comments{/number}", "notifications_url": "https://api.github.com/repos/numenta/nupic/notifications{?since,all,participating}", "open_issues_count": 442}</t>
  </si>
  <si>
    <t>foosel/OctoPrint</t>
  </si>
  <si>
    <t>OctoPrint is the snappy web interface for your 3D printer!</t>
  </si>
  <si>
    <t>https://github.com/foosel/OctoPrint</t>
  </si>
  <si>
    <t>[{"loc": 1946110, "ratio": 0.47259446984017206, "language": "Python"}, {"loc": 1760854, "ratio": 0.42760679642771804, "language": "JavaScript"}, {"loc": 363064, "ratio": 0.08816667022832843, "language": "HTML"}, {"loc": 44174, "ratio": 0.010727239524343311, "language": "CSS"}, {"loc": 3726, "ratio": 0.0009048239794382029, "language": "Shell"}]</t>
  </si>
  <si>
    <t>1.3.10</t>
  </si>
  <si>
    <t>112a8b9c8bf7f5895f6a29dbe3d98ea4d9e0f400</t>
  </si>
  <si>
    <t>OctoPrint</t>
  </si>
  <si>
    <t>{"id": 7386799, "url": "https://api.github.com/repos/foosel/OctoPrint", "fork": false, "name": "OctoPrint", "size": 36524, "forks": 1059, "owner": {"id": 83657, "url": "https://api.github.com/users/foosel", "type": "User", "login": "foosel", "node_id": "MDQ6VXNlcjgzNjU3", "html_url": "https://github.com/foosel", "gists_url": "https://api.github.com/users/foosel/gists{/gist_id}", "repos_url": "https://api.github.com/users/foosel/repos", "avatar_url": "https://avatars0.githubusercontent.com/u/83657?v=4", "events_url": "https://api.github.com/users/foosel/events{/privacy}", "site_admin": false, "gravatar_id": "", "starred_url": "https://api.github.com/users/foosel/starred{/owner}{/repo}", "followers_url": "https://api.github.com/users/foosel/followers", "following_url": "https://api.github.com/users/foosel/following{/other_user}", "organizations_url": "https://api.github.com/users/foosel/orgs", "subscriptions_url": "https://api.github.com/users/foosel/subscriptions", "received_events_url": "https://api.github.com/users/foosel/received_events"}, "score": 1.0, "topics": [], "git_url": "git://github.com/foosel/OctoPrint.git", "license": {"key": "agpl-3.0", "url": "https://api.github.com/licenses/agpl-3.0", "name": "GNU Affero General Public License v3.0", "node_id": "MDc6TGljZW5zZTE=", "spdx_id": "AGPL-3.0"}, "node_id": "MDEwOlJlcG9zaXRvcnk3Mzg2Nzk5", "private": false, "ssh_url": "git@github.com:foosel/OctoPrint.git", "svn_url": "https://github.com/foosel/OctoPrint", "archived": false, "has_wiki": true, "homepage": "https://octoprint.org", "html_url": "https://github.com/foosel/OctoPrint", "keys_url": "https://api.github.com/repos/foosel/OctoPrint/keys{/key_id}", "language": "Python", "tags_url": "https://api.github.com/repos/foosel/OctoPrint/tags", "watchers": 3169, "blobs_url": "https://api.github.com/repos/foosel/OctoPrint/git/blobs{/sha}", "clone_url": "https://github.com/foosel/OctoPrint.git", "forks_url": "https://api.github.com/repos/foosel/OctoPrint/forks", "full_name": "foosel/OctoPrint", "has_pages": false, "hooks_url": "https://api.github.com/repos/foosel/OctoPrint/hooks", "pulls_url": "https://api.github.com/repos/foosel/OctoPrint/pulls{/number}", "pushed_at": "2018-12-24T23:40:07Z", "teams_url": "https://api.github.com/repos/foosel/OctoPrint/teams", "trees_url": "https://api.github.com/repos/foosel/OctoPrint/git/trees{/sha}", "created_at": "2012-12-31T12:20:57Z", "events_url": "https://api.github.com/repos/foosel/OctoPrint/events", "has_issues": true, "issues_url": "https://api.github.com/repos/foosel/OctoPrint/issues{/number}", "labels_url": "https://api.github.com/repos/foosel/OctoPrint/labels{/name}", "merges_url": "https://api.github.com/repos/foosel/OctoPrint/merges", "mirror_url": null, "updated_at": "2018-12-25T02:46:41Z", "archive_url": "https://api.github.com/repos/foosel/OctoPrint/{archive_format}{/ref}", "commits_url": "https://api.github.com/repos/foosel/OctoPrint/commits{/sha}", "compare_url": "https://api.github.com/repos/foosel/OctoPrint/compare/{base}...{head}", "description": "OctoPrint is the snappy web interface for your 3D printer!", "forks_count": 1059, "open_issues": 326, "permissions": {"pull": true, "push": false, "admin": false}, "branches_url": "https://api.github.com/repos/foosel/OctoPrint/branches{/branch}", "comments_url": "https://api.github.com/repos/foosel/OctoPrint/comments{/number}", "contents_url": "https://api.github.com/repos/foosel/OctoPrint/contents/{+path}", "git_refs_url": "https://api.github.com/repos/foosel/OctoPrint/git/refs{/sha}", "git_tags_url": "https://api.github.com/repos/foosel/OctoPrint/git/tags{/sha}", "has_projects": false, "releases_url": "https://api.github.com/repos/foosel/OctoPrint/releases{/id}", "statuses_url": "https://api.github.com/repos/foosel/OctoPrint/statuses/{sha}", "assignees_url": "https://api.github.com/repos/foosel/OctoPrint/assignees{/user}", "downloads_url": "https://api.github.com/repos/foosel/OctoPrint/downloads", "has_downloads": true, "languages_url": "https://api.github.com/repos/foosel/OctoPrint/languages", "default_branch": "master", "milestones_url": "https://api.github.com/repos/foosel/OctoPrint/milestones{/number}", "stargazers_url": "https://api.github.com/repos/foosel/OctoPrint/stargazers", "watchers_count": 3169, "deployments_url": "https://api.github.com/repos/foosel/OctoPrint/deployments", "git_commits_url": "https://api.github.com/repos/foosel/OctoPrint/git/commits{/sha}", "subscribers_url": "https://api.github.com/repos/foosel/OctoPrint/subscribers", "contributors_url": "https://api.github.com/repos/foosel/OctoPrint/contributors", "issue_events_url": "https://api.github.com/repos/foosel/OctoPrint/issues/events{/number}", "stargazers_count": 3169, "subscription_url": "https://api.github.com/repos/foosel/OctoPrint/subscription", "collaborators_url": "https://api.github.com/repos/foosel/OctoPrint/collaborators{/collaborator}", "issue_comment_url": "https://api.github.com/repos/foosel/OctoPrint/issues/comments{/number}", "notifications_url": "https://api.github.com/repos/foosel/OctoPrint/notifications{?since,all,participating}", "open_issues_count": 326}</t>
  </si>
  <si>
    <t>biolab/orange3</t>
  </si>
  <si>
    <t>🍊 :bar_chart: :bulb: Orange: Interactive data analysis https://orange.biolab.si</t>
  </si>
  <si>
    <t>https://github.com/biolab/orange3</t>
  </si>
  <si>
    <t>"[\"chart\", \"classification\", \"clustering\", \"data-mining\", \"data-science\", \"data-visualization\", \"decision-trees\", \"machine-learning\", \"numpy\", \"orange\", \"orange3\", \"pandas\", \"plotting\", \"pyqt5\", \"python\", \"random-forest\", \"regression\", \"scikit-learn\", \"scipy\", \"visualization\"]"</t>
  </si>
  <si>
    <t>[{"loc": 6082995, "ratio": 0.9736753690341526, "language": "Python"}, {"loc": 68094, "ratio": 0.010899474778297794, "language": "NSIS"}, {"loc": 59197, "ratio": 0.009475375340718632, "language": "Shell"}, {"loc": 21537, "ratio": 0.003447322646638464, "language": "C"}, {"loc": 6662, "ratio": 0.0010663538780659074, "language": "Jupyter Notebook"}, {"loc": 3035, "ratio": 0.0004857976613524511, "language": "JavaScript"}, {"loc": 2127, "ratio": 0.0003404585257649632, "language": "HTML"}, {"loc": 1992, "ratio": 0.0003188497335795989, "language": "C++"}, {"loc": 1818, "ratio": 0.00029099840142957366, "language": "Batchfile"}]</t>
  </si>
  <si>
    <t>3.19.0</t>
  </si>
  <si>
    <t>488803ffa384c2fc9464ae71d6fc842982236c46</t>
  </si>
  <si>
    <t>orange3</t>
  </si>
  <si>
    <t>{"id": 8357227, "url": "https://api.github.com/repos/biolab/orange3", "fork": false, "name": "orange3", "size": 74658, "forks": 468, "owner": {"id": 555189, "url": "https://api.github.com/users/biolab", "type": "Organization", "login": "biolab", "node_id": "MDEyOk9yZ2FuaXphdGlvbjU1NTE4OQ==", "html_url": "https://github.com/biolab", "gists_url": "https://api.github.com/users/biolab/gists{/gist_id}", "repos_url": "https://api.github.com/users/biolab/repos", "avatar_url": "https://avatars0.githubusercontent.com/u/555189?v=4", "events_url": "https://api.github.com/users/biolab/events{/privacy}", "site_admin": false, "gravatar_id": "", "starred_url": "https://api.github.com/users/biolab/starred{/owner}{/repo}", "followers_url": "https://api.github.com/users/biolab/followers", "following_url": "https://api.github.com/users/biolab/following{/other_user}", "organizations_url": "https://api.github.com/users/biolab/orgs", "subscriptions_url": "https://api.github.com/users/biolab/subscriptions", "received_events_url": "https://api.github.com/users/biolab/received_events"}, "score": 1.0, "topics": ["chart", "classification", "clustering", "data-mining", "data-science", "data-visualization", "decision-trees", "machine-learning", "numpy", "orange", "orange3", "pandas", "plotting", "pyqt5", "python", "random-forest", "regression", "scikit-learn", "scipy", "visualization"], "git_url": "git://github.com/biolab/orange3.git", "license": {"key": "other", "url": null, "name": "Other", "node_id": "MDc6TGljZW5zZTA=", "spdx_id": "NOASSERTION"}, "node_id": "MDEwOlJlcG9zaXRvcnk4MzU3MjI3", "private": false, "ssh_url": "git@github.com:biolab/orange3.git", "svn_url": "https://github.com/biolab/orange3", "archived": false, "has_wiki": true, "homepage": "", "html_url": "https://github.com/biolab/orange3", "keys_url": "https://api.github.com/repos/biolab/orange3/keys{/key_id}", "language": "Python", "tags_url": "https://api.github.com/repos/biolab/orange3/tags", "watchers": 1567, "blobs_url": "https://api.github.com/repos/biolab/orange3/git/blobs{/sha}", "clone_url": "https://github.com/biolab/orange3.git", "forks_url": "https://api.github.com/repos/biolab/orange3/forks", "full_name": "biolab/orange3", "has_pages": false, "hooks_url": "https://api.github.com/repos/biolab/orange3/hooks", "pulls_url": "https://api.github.com/repos/biolab/orange3/pulls{/number}", "pushed_at": "2018-12-24T16:01:36Z", "teams_url": "https://api.github.com/repos/biolab/orange3/teams", "trees_url": "https://api.github.com/repos/biolab/orange3/git/trees{/sha}", "created_at": "2013-02-22T12:52:56Z", "events_url": "https://api.github.com/repos/biolab/orange3/events", "has_issues": true, "issues_url": "https://api.github.com/repos/biolab/orange3/issues{/number}", "labels_url": "https://api.github.com/repos/biolab/orange3/labels{/name}", "merges_url": "https://api.github.com/repos/biolab/orange3/merges", "mirror_url": null, "updated_at": "2018-12-24T10:51:53Z", "archive_url": "https://api.github.com/repos/biolab/orange3/{archive_format}{/ref}", "commits_url": "https://api.github.com/repos/biolab/orange3/commits{/sha}", "compare_url": "https://api.github.com/repos/biolab/orange3/compare/{base}...{head}", "description": "🍊 :bar_chart: :bulb: Orange: Interactive data analysis https://orange.biolab.si", "forks_count": 468, "open_issues": 242, "permissions": {"pull": true, "push": false, "admin": false}, "branches_url": "https://api.github.com/repos/biolab/orange3/branches{/branch}", "comments_url": "https://api.github.com/repos/biolab/orange3/comments{/number}", "contents_url": "https://api.github.com/repos/biolab/orange3/contents/{+path}", "git_refs_url": "https://api.github.com/repos/biolab/orange3/git/refs{/sha}", "git_tags_url": "https://api.github.com/repos/biolab/orange3/git/tags{/sha}", "has_projects": true, "releases_url": "https://api.github.com/repos/biolab/orange3/releases{/id}", "statuses_url": "https://api.github.com/repos/biolab/orange3/statuses/{sha}", "assignees_url": "https://api.github.com/repos/biolab/orange3/assignees{/user}", "downloads_url": "https://api.github.com/repos/biolab/orange3/downloads", "has_downloads": true, "languages_url": "https://api.github.com/repos/biolab/orange3/languages", "default_branch": "master", "milestones_url": "https://api.github.com/repos/biolab/orange3/milestones{/number}", "stargazers_url": "https://api.github.com/repos/biolab/orange3/stargazers", "watchers_count": 1567, "deployments_url": "https://api.github.com/repos/biolab/orange3/deployments", "git_commits_url": "https://api.github.com/repos/biolab/orange3/git/commits{/sha}", "subscribers_url": "https://api.github.com/repos/biolab/orange3/subscribers", "contributors_url": "https://api.github.com/repos/biolab/orange3/contributors", "issue_events_url": "https://api.github.com/repos/biolab/orange3/issues/events{/number}", "stargazers_count": 1567, "subscription_url": "https://api.github.com/repos/biolab/orange3/subscription", "collaborators_url": "https://api.github.com/repos/biolab/orange3/collaborators{/collaborator}", "issue_comment_url": "https://api.github.com/repos/biolab/orange3/issues/comments{/number}", "notifications_url": "https://api.github.com/repos/biolab/orange3/notifications{?since,all,participating}", "open_issues_count": 242}</t>
  </si>
  <si>
    <t>pandas-dev/pandas</t>
  </si>
  <si>
    <t>Flexible and powerful data analysis / manipulation library for Python, providing labeled data structures similar to R data.frame objects, statistical functions, and much more</t>
  </si>
  <si>
    <t>https://github.com/pandas-dev/pandas</t>
  </si>
  <si>
    <t>"[\"alignment\", \"data-analysis\", \"flexible\", \"pandas\", \"python\"]"</t>
  </si>
  <si>
    <t>[{"loc": 14617222, "ratio": 0.9342072920619854, "language": "Python"}, {"loc": 568156, "ratio": 0.03631165198344592, "language": "HTML"}, {"loc": 406251, "ratio": 0.025964074884234065, "language": "C"}, {"loc": 30371, "ratio": 0.0019410534824752992, "language": "Shell"}, {"loc": 17193, "ratio": 0.0010988289000756584, "language": "C++"}, {"loc": 4869, "ratio": 0.00031118466320411684, "language": "Batchfile"}, {"loc": 2040, "ratio": 0.00013037927971583453, "language": "Smarty"}, {"loc": 556, "ratio": 0.00003553474486372745, "language": "Makefile"}]</t>
  </si>
  <si>
    <t>v0.24.0</t>
  </si>
  <si>
    <t>2eb5a67999552d60f7a2a9e1922549d5417d714f</t>
  </si>
  <si>
    <t>pandas</t>
  </si>
  <si>
    <t>{"id": 858127, "url": "https://api.github.com/repos/pandas-dev/pandas", "fork": false, "name": "pandas", "size": 140964, "forks": 7017, "owner": {"id": 21206976, "url": "https://api.github.com/users/pandas-dev", "type": "Organization", "login": "pandas-dev", "node_id": "MDEyOk9yZ2FuaXphdGlvbjIxMjA2OTc2", "html_url": "https://github.com/pandas-dev", "gists_url": "https://api.github.com/users/pandas-dev/gists{/gist_id}", "repos_url": "https://api.github.com/users/pandas-dev/repos", "avatar_url": "https://avatars2.githubusercontent.com/u/21206976?v=4", "events_url": "https://api.github.com/users/pandas-dev/events{/privacy}", "site_admin": false, "gravatar_id": "", "starred_url": "https://api.github.com/users/pandas-dev/starred{/owner}{/repo}", "followers_url": "https://api.github.com/users/pandas-dev/followers", "following_url": "https://api.github.com/users/pandas-dev/following{/other_user}", "organizations_url": "https://api.github.com/users/pandas-dev/orgs", "subscriptions_url": "https://api.github.com/users/pandas-dev/subscriptions", "received_events_url": "https://api.github.com/users/pandas-dev/received_events"}, "score": 1.0, "topics": ["alignment", "data-analysis", "flexible", "pandas", "python"], "git_url": "git://github.com/pandas-dev/pandas.git", "license": {"key": "bsd-3-clause", "url": "https://api.github.com/licenses/bsd-3-clause", "name": "BSD 3-Clause \"New\" or \"Revised\" License", "node_id": "MDc6TGljZW5zZTU=", "spdx_id": "BSD-3-Clause"}, "node_id": "MDEwOlJlcG9zaXRvcnk4NTgxMjc=", "private": false, "ssh_url": "git@github.com:pandas-dev/pandas.git", "svn_url": "https://github.com/pandas-dev/pandas", "archived": false, "has_wiki": true, "homepage": "https://pandas.pydata.org", "html_url": "https://github.com/pandas-dev/pandas", "keys_url": "https://api.github.com/repos/pandas-dev/pandas/keys{/key_id}", "language": "Python", "tags_url": "https://api.github.com/repos/pandas-dev/pandas/tags", "watchers": 17495, "blobs_url": "https://api.github.com/repos/pandas-dev/pandas/git/blobs{/sha}", "clone_url": "https://github.com/pandas-dev/pandas.git", "forks_url": "https://api.github.com/repos/pandas-dev/pandas/forks", "full_name": "pandas-dev/pandas", "has_pages": true, "hooks_url": "https://api.github.com/repos/pandas-dev/pandas/hooks", "pulls_url": "https://api.github.com/repos/pandas-dev/pandas/pulls{/number}", "pushed_at": "2018-12-25T02:18:35Z", "teams_url": "https://api.github.com/repos/pandas-dev/pandas/teams", "trees_url": "https://api.github.com/repos/pandas-dev/pandas/git/trees{/sha}", "created_at": "2010-08-24T01:37:33Z", "events_url": "https://api.github.com/repos/pandas-dev/pandas/events", "has_issues": true, "issues_url": "https://api.github.com/repos/pandas-dev/pandas/issues{/number}", "labels_url": "https://api.github.com/repos/pandas-dev/pandas/labels{/name}", "merges_url": "https://api.github.com/repos/pandas-dev/pandas/merges", "mirror_url": null, "updated_at": "2018-12-25T02:30:20Z", "archive_url": "https://api.github.com/repos/pandas-dev/pandas/{archive_format}{/ref}", "commits_url": "https://api.github.com/repos/pandas-dev/pandas/commits{/sha}", "compare_url": "https://api.github.com/repos/pandas-dev/pandas/compare/{base}...{head}", "description": "Flexible and powerful data analysis / manipulation library for Python, providing labeled data structures similar to R data.frame objects, statistical functions, and much more", "forks_count": 7017, "open_issues": 2823, "permissions": {"pull": true, "push": false, "admin": false}, "branches_url": "https://api.github.com/repos/pandas-dev/pandas/branches{/branch}", "comments_url": "https://api.github.com/repos/pandas-dev/pandas/comments{/number}", "contents_url": "https://api.github.com/repos/pandas-dev/pandas/contents/{+path}", "git_refs_url": "https://api.github.com/repos/pandas-dev/pandas/git/refs{/sha}", "git_tags_url": "https://api.github.com/repos/pandas-dev/pandas/git/tags{/sha}", "has_projects": true, "releases_url": "https://api.github.com/repos/pandas-dev/pandas/releases{/id}", "statuses_url": "https://api.github.com/repos/pandas-dev/pandas/statuses/{sha}", "assignees_url": "https://api.github.com/repos/pandas-dev/pandas/assignees{/user}", "downloads_url": "https://api.github.com/repos/pandas-dev/pandas/downloads", "has_downloads": true, "languages_url": "https://api.github.com/repos/pandas-dev/pandas/languages", "default_branch": "master", "milestones_url": "https://api.github.com/repos/pandas-dev/pandas/milestones{/number}", "stargazers_url": "https://api.github.com/repos/pandas-dev/pandas/stargazers", "watchers_count": 17495, "deployments_url": "https://api.github.com/repos/pandas-dev/pandas/deployments", "git_commits_url": "https://api.github.com/repos/pandas-dev/pandas/git/commits{/sha}", "subscribers_url": "https://api.github.com/repos/pandas-dev/pandas/subscribers", "contributors_url": "https://api.github.com/repos/pandas-dev/pandas/contributors", "issue_events_url": "https://api.github.com/repos/pandas-dev/pandas/issues/events{/number}", "stargazers_count": 17495, "subscription_url": "https://api.github.com/repos/pandas-dev/pandas/subscription", "collaborators_url": "https://api.github.com/repos/pandas-dev/pandas/collaborators{/collaborator}", "issue_comment_url": "https://api.github.com/repos/pandas-dev/pandas/issues/comments{/number}", "notifications_url": "https://api.github.com/repos/pandas-dev/pandas/notifications{?since,all,participating}", "open_issues_count": 2823}</t>
  </si>
  <si>
    <t>coleifer/peewee</t>
  </si>
  <si>
    <t>a small, expressive orm -- supports postgresql, mysql and sqlite</t>
  </si>
  <si>
    <t>https://github.com/coleifer/peewee</t>
  </si>
  <si>
    <t>"[\"dank\", \"gametight\", \"peewee\", \"python\", \"sqlite\"]"</t>
  </si>
  <si>
    <t>[{"loc": 1247778, "ratio": 0.9604453934293231, "language": "Python"}, {"loc": 48237, "ratio": 0.03712920442807155, "language": "C"}, {"loc": 2118, "ratio": 0.0016302766544075199, "language": "C++"}, {"loc": 1033, "ratio": 0.0007951254881978131, "language": "Shell"}]</t>
  </si>
  <si>
    <t>3.8.2</t>
  </si>
  <si>
    <t>10a15f4531e1190b453d50aa5cba5df200a31d27</t>
  </si>
  <si>
    <t>peewee</t>
  </si>
  <si>
    <t>{"id": 979480, "url": "https://api.github.com/repos/coleifer/peewee", "fork": false, "name": "peewee", "size": 11814, "forks": 1007, "owner": {"id": 119974, "url": "https://api.github.com/users/coleifer", "type": "User", "login": "coleifer", "node_id": "MDQ6VXNlcjExOTk3NA==", "html_url": "https://github.com/coleifer", "gists_url": "https://api.github.com/users/coleifer/gists{/gist_id}", "repos_url": "https://api.github.com/users/coleifer/repos", "avatar_url": "https://avatars2.githubusercontent.com/u/119974?v=4", "events_url": "https://api.github.com/users/coleifer/events{/privacy}", "site_admin": false, "gravatar_id": "", "starred_url": "https://api.github.com/users/coleifer/starred{/owner}{/repo}", "followers_url": "https://api.github.com/users/coleifer/followers", "following_url": "https://api.github.com/users/coleifer/following{/other_user}", "organizations_url": "https://api.github.com/users/coleifer/orgs", "subscriptions_url": "https://api.github.com/users/coleifer/subscriptions", "received_events_url": "https://api.github.com/users/coleifer/received_events"}, "score": 1.0, "topics": ["dank", "gametight", "peewee", "python", "sqlite"], "git_url": "git://github.com/coleifer/peewee.git", "license": {"key": "mit", "url": "https://api.github.com/licenses/mit", "name": "MIT License", "node_id": "MDc6TGljZW5zZTEz", "spdx_id": "MIT"}, "node_id": "MDEwOlJlcG9zaXRvcnk5Nzk0ODA=", "private": false, "ssh_url": "git@github.com:coleifer/peewee.git", "svn_url": "https://github.com/coleifer/peewee", "archived": false, "has_wiki": true, "homepage": "http://docs.peewee-orm.com/", "html_url": "https://github.com/coleifer/peewee", "keys_url": "https://api.github.com/repos/coleifer/peewee/keys{/key_id}", "language": "Python", "tags_url": "https://api.github.com/repos/coleifer/peewee/tags", "watchers": 5924, "blobs_url": "https://api.github.com/repos/coleifer/peewee/git/blobs{/sha}", "clone_url": "https://github.com/coleifer/peewee.git", "forks_url": "https://api.github.com/repos/coleifer/peewee/forks", "full_name": "coleifer/peewee", "has_pages": false, "hooks_url": "https://api.github.com/repos/coleifer/peewee/hooks", "pulls_url": "https://api.github.com/repos/coleifer/peewee/pulls{/number}", "pushed_at": "2018-12-20T15:34:57Z", "teams_url": "https://api.github.com/repos/coleifer/peewee/teams", "trees_url": "https://api.github.com/repos/coleifer/peewee/git/trees{/sha}", "created_at": "2010-10-11T20:14:11Z", "events_url": "https://api.github.com/repos/coleifer/peewee/events", "has_issues": true, "issues_url": "https://api.github.com/repos/coleifer/peewee/issues{/number}", "labels_url": "https://api.github.com/repos/coleifer/peewee/labels{/name}", "merges_url": "https://api.github.com/repos/coleifer/peewee/merges", "mirror_url": null, "updated_at": "2018-12-24T07:09:52Z", "archive_url": "https://api.github.com/repos/coleifer/peewee/{archive_format}{/ref}", "commits_url": "https://api.github.com/repos/coleifer/peewee/commits{/sha}", "compare_url": "https://api.github.com/repos/coleifer/peewee/compare/{base}...{head}", "description": "a small, expressive orm -- supports postgresql, mysql and sqlite", "forks_count": 1007, "open_issues": 2, "permissions": {"pull": true, "push": false, "admin": false}, "branches_url": "https://api.github.com/repos/coleifer/peewee/branches{/branch}", "comments_url": "https://api.github.com/repos/coleifer/peewee/comments{/number}", "contents_url": "https://api.github.com/repos/coleifer/peewee/contents/{+path}", "git_refs_url": "https://api.github.com/repos/coleifer/peewee/git/refs{/sha}", "git_tags_url": "https://api.github.com/repos/coleifer/peewee/git/tags{/sha}", "has_projects": true, "releases_url": "https://api.github.com/repos/coleifer/peewee/releases{/id}", "statuses_url": "https://api.github.com/repos/coleifer/peewee/statuses/{sha}", "assignees_url": "https://api.github.com/repos/coleifer/peewee/assignees{/user}", "downloads_url": "https://api.github.com/repos/coleifer/peewee/downloads", "has_downloads": true, "languages_url": "https://api.github.com/repos/coleifer/peewee/languages", "default_branch": "master", "milestones_url": "https://api.github.com/repos/coleifer/peewee/milestones{/number}", "stargazers_url": "https://api.github.com/repos/coleifer/peewee/stargazers", "watchers_count": 5924, "deployments_url": "https://api.github.com/repos/coleifer/peewee/deployments", "git_commits_url": "https://api.github.com/repos/coleifer/peewee/git/commits{/sha}", "subscribers_url": "https://api.github.com/repos/coleifer/peewee/subscribers", "contributors_url": "https://api.github.com/repos/coleifer/peewee/contributors", "issue_events_url": "https://api.github.com/repos/coleifer/peewee/issues/events{/number}", "stargazers_count": 5924, "subscription_url": "https://api.github.com/repos/coleifer/peewee/subscription", "collaborators_url": "https://api.github.com/repos/coleifer/peewee/collaborators{/collaborator}", "issue_comment_url": "https://api.github.com/repos/coleifer/peewee/issues/comments{/number}", "notifications_url": "https://api.github.com/repos/coleifer/peewee/notifications{?since,all,participating}", "open_issues_count": 2}</t>
  </si>
  <si>
    <t>getpelican/pelican</t>
  </si>
  <si>
    <t>Static site generator that supports Markdown and reST syntax. Powered by Python.</t>
  </si>
  <si>
    <t>https://github.com/getpelican/pelican</t>
  </si>
  <si>
    <t>"[\"pelican\", \"python\", \"static-site-generator\"]"</t>
  </si>
  <si>
    <t>[{"loc": 490564, "ratio": 0.9061947556548966, "language": "Python"}, {"loc": 35101, "ratio": 0.06484035134710767, "language": "HTML"}, {"loc": 15680, "ratio": 0.028964892997995734, "language": "CSS"}]</t>
  </si>
  <si>
    <t>4.0.1</t>
  </si>
  <si>
    <t>24d6efa9fda4ad45649ddf88c1c596193d589bf8</t>
  </si>
  <si>
    <t>pelican</t>
  </si>
  <si>
    <t>{"id": 993110, "url": "https://api.github.com/repos/getpelican/pelican", "fork": false, "name": "pelican", "size": 5643, "forks": 1533, "owner": {"id": 2043492, "url": "https://api.github.com/users/getpelican", "type": "Organization", "login": "getpelican", "node_id": "MDEyOk9yZ2FuaXphdGlvbjIwNDM0OTI=", "html_url": "https://github.com/getpelican", "gists_url": "https://api.github.com/users/getpelican/gists{/gist_id}", "repos_url": "https://api.github.com/users/getpelican/repos", "avatar_url": "https://avatars2.githubusercontent.com/u/2043492?v=4", "events_url": "https://api.github.com/users/getpelican/events{/privacy}", "site_admin": false, "gravatar_id": "", "starred_url": "https://api.github.com/users/getpelican/starred{/owner}{/repo}", "followers_url": "https://api.github.com/users/getpelican/followers", "following_url": "https://api.github.com/users/getpelican/following{/other_user}", "organizations_url": "https://api.github.com/users/getpelican/orgs", "subscriptions_url": "https://api.github.com/users/getpelican/subscriptions", "received_events_url": "https://api.github.com/users/getpelican/received_events"}, "score": 1.0, "topics": ["pelican", "python", "static-site-generator"], "git_url": "git://github.com/getpelican/pelican.git", "license": {"key": "agpl-3.0", "url": "https://api.github.com/licenses/agpl-3.0", "name": "GNU Affero General Public License v3.0", "node_id": "MDc6TGljZW5zZTE=", "spdx_id": "AGPL-3.0"}, "node_id": "MDEwOlJlcG9zaXRvcnk5OTMxMTA=", "private": false, "ssh_url": "git@github.com:getpelican/pelican.git", "svn_url": "https://github.com/getpelican/pelican", "archived": false, "has_wiki": true, "homepage": "https://getpelican.com/", "html_url": "https://github.com/getpelican/pelican", "keys_url": "https://api.github.com/repos/getpelican/pelican/keys{/key_id}", "language": "Python", "tags_url": "https://api.github.com/repos/getpelican/pelican/tags", "watchers": 8423, "blobs_url": "https://api.github.com/repos/getpelican/pelican/git/blobs{/sha}", "clone_url": "https://github.com/getpelican/pelican.git", "forks_url": "https://api.github.com/repos/getpelican/pelican/forks", "full_name": "getpelican/pelican", "has_pages": false, "hooks_url": "https://api.github.com/repos/getpelican/pelican/hooks", "pulls_url": "https://api.github.com/repos/getpelican/pelican/pulls{/number}", "pushed_at": "2018-12-21T02:38:11Z", "teams_url": "https://api.github.com/repos/getpelican/pelican/teams", "trees_url": "https://api.github.com/repos/getpelican/pelican/git/trees{/sha}", "created_at": "2010-10-16T18:57:40Z", "events_url": "https://api.github.com/repos/getpelican/pelican/events", "has_issues": true, "issues_url": "https://api.github.com/repos/getpelican/pelican/issues{/number}", "labels_url": "https://api.github.com/repos/getpelican/pelican/labels{/name}", "merges_url": "https://api.github.com/repos/getpelican/pelican/merges", "mirror_url": null, "updated_at": "2018-12-24T15:08:16Z", "archive_url": "https://api.github.com/repos/getpelican/pelican/{archive_format}{/ref}", "commits_url": "https://api.github.com/repos/getpelican/pelican/commits{/sha}", "compare_url": "https://api.github.com/repos/getpelican/pelican/compare/{base}...{head}", "description": "Static site generator that supports Markdown and reST syntax. Powered by Python.", "forks_count": 1533, "open_issues": 142, "permissions": {"pull": true, "push": false, "admin": false}, "branches_url": "https://api.github.com/repos/getpelican/pelican/branches{/branch}", "comments_url": "https://api.github.com/repos/getpelican/pelican/comments{/number}", "contents_url": "https://api.github.com/repos/getpelican/pelican/contents/{+path}", "git_refs_url": "https://api.github.com/repos/getpelican/pelican/git/refs{/sha}", "git_tags_url": "https://api.github.com/repos/getpelican/pelican/git/tags{/sha}", "has_projects": true, "releases_url": "https://api.github.com/repos/getpelican/pelican/releases{/id}", "statuses_url": "https://api.github.com/repos/getpelican/pelican/statuses/{sha}", "assignees_url": "https://api.github.com/repos/getpelican/pelican/assignees{/user}", "downloads_url": "https://api.github.com/repos/getpelican/pelican/downloads", "has_downloads": true, "languages_url": "https://api.github.com/repos/getpelican/pelican/languages", "default_branch": "master", "milestones_url": "https://api.github.com/repos/getpelican/pelican/milestones{/number}", "stargazers_url": "https://api.github.com/repos/getpelican/pelican/stargazers", "watchers_count": 8423, "deployments_url": "https://api.github.com/repos/getpelican/pelican/deployments", "git_commits_url": "https://api.github.com/repos/getpelican/pelican/git/commits{/sha}", "subscribers_url": "https://api.github.com/repos/getpelican/pelican/subscribers", "contributors_url": "https://api.github.com/repos/getpelican/pelican/contributors", "issue_events_url": "https://api.github.com/repos/getpelican/pelican/issues/events{/number}", "stargazers_count": 8423, "subscription_url": "https://api.github.com/repos/getpelican/pelican/subscription", "collaborators_url": "https://api.github.com/repos/getpelican/pelican/collaborators{/collaborator}", "issue_comment_url": "https://api.github.com/repos/getpelican/pelican/issues/comments{/number}", "notifications_url": "https://api.github.com/repos/getpelican/pelican/notifications{?since,all,participating}", "open_issues_count": 142}</t>
  </si>
  <si>
    <t>metabrainz/picard</t>
  </si>
  <si>
    <t>MusicBrainz Picard</t>
  </si>
  <si>
    <t>https://github.com/metabrainz/picard</t>
  </si>
  <si>
    <t>"[\"audio\", \"music-tagger\", \"musicbrainz\", \"python\", \"tagger\"]"</t>
  </si>
  <si>
    <t>[{"loc": 2462012, "ratio": 0.9948865826741872, "language": "Python"}, {"loc": 7586, "ratio": 0.0030654641878944473, "language": "Shell"}, {"loc": 5068, "ratio": 0.00204795313791841, "language": "C"}]</t>
  </si>
  <si>
    <t>release-2.1.2</t>
  </si>
  <si>
    <t>40114def9ab61dadfb0a71c0c8d5215a198e98bb</t>
  </si>
  <si>
    <t>picard</t>
  </si>
  <si>
    <t>{"id": 2218679, "url": "https://api.github.com/repos/metabrainz/picard", "fork": false, "name": "picard", "size": 29102, "forks": 249, "owner": {"id": 293421, "url": "https://api.github.com/users/metabrainz", "type": "Organization", "login": "metabrainz", "node_id": "MDEyOk9yZ2FuaXphdGlvbjI5MzQyMQ==", "html_url": "https://github.com/metabrainz", "gists_url": "https://api.github.com/users/metabrainz/gists{/gist_id}", "repos_url": "https://api.github.com/users/metabrainz/repos", "avatar_url": "https://avatars2.githubusercontent.com/u/293421?v=4", "events_url": "https://api.github.com/users/metabrainz/events{/privacy}", "site_admin": false, "gravatar_id": "", "starred_url": "https://api.github.com/users/metabrainz/starred{/owner}{/repo}", "followers_url": "https://api.github.com/users/metabrainz/followers", "following_url": "https://api.github.com/users/metabrainz/following{/other_user}", "organizations_url": "https://api.github.com/users/metabrainz/orgs", "subscriptions_url": "https://api.github.com/users/metabrainz/subscriptions", "received_events_url": "https://api.github.com/users/metabrainz/received_events"}, "score": 1.0, "topics": ["audio", "music-tagger", "musicbrainz", "python", "tagger"], "git_url": "git://github.com/metabrainz/picard.git", "license": {"key": "gpl-2.0", "url": "https://api.github.com/licenses/gpl-2.0", "name": "GNU General Public License v2.0", "node_id": "MDc6TGljZW5zZTg=", "spdx_id": "GPL-2.0"}, "node_id": "MDEwOlJlcG9zaXRvcnkyMjE4Njc5", "private": false, "ssh_url": "git@github.com:metabrainz/picard.git", "svn_url": "https://github.com/metabrainz/picard", "archived": false, "has_wiki": false, "homepage": "https://picard.musicbrainz.org", "html_url": "https://github.com/metabrainz/picard", "keys_url": "https://api.github.com/repos/metabrainz/picard/keys{/key_id}", "language": "Python", "tags_url": "https://api.github.com/repos/metabrainz/picard/tags", "watchers": 1585, "blobs_url": "https://api.github.com/repos/metabrainz/picard/git/blobs{/sha}", "clone_url": "https://github.com/metabrainz/picard.git", "forks_url": "https://api.github.com/repos/metabrainz/picard/forks", "full_name": "metabrainz/picard", "has_pages": false, "hooks_url": "https://api.github.com/repos/metabrainz/picard/hooks", "pulls_url": "https://api.github.com/repos/metabrainz/picard/pulls{/number}", "pushed_at": "2018-12-21T18:38:44Z", "teams_url": "https://api.github.com/repos/metabrainz/picard/teams", "trees_url": "https://api.github.com/repos/metabrainz/picard/git/trees{/sha}", "created_at": "2011-08-16T22:30:23Z", "events_url": "https://api.github.com/repos/metabrainz/picard/events", "has_issues": false, "issues_url": "https://api.github.com/repos/metabrainz/picard/issues{/number}", "labels_url": "https://api.github.com/repos/metabrainz/picard/labels{/name}", "merges_url": "https://api.github.com/repos/metabrainz/picard/merges", "mirror_url": null, "updated_at": "2018-12-24T23:23:25Z", "archive_url": "https://api.github.com/repos/metabrainz/picard/{archive_format}{/ref}", "commits_url": "https://api.github.com/repos/metabrainz/picard/commits{/sha}", "compare_url": "https://api.github.com/repos/metabrainz/picard/compare/{base}...{head}", "description": "MusicBrainz Picard", "forks_count": 249, "open_issues": 0, "permissions": {"pull": true, "push": false, "admin": false}, "branches_url": "https://api.github.com/repos/metabrainz/picard/branches{/branch}", "comments_url": "https://api.github.com/repos/metabrainz/picard/comments{/number}", "contents_url": "https://api.github.com/repos/metabrainz/picard/contents/{+path}", "git_refs_url": "https://api.github.com/repos/metabrainz/picard/git/refs{/sha}", "git_tags_url": "https://api.github.com/repos/metabrainz/picard/git/tags{/sha}", "has_projects": true, "releases_url": "https://api.github.com/repos/metabrainz/picard/releases{/id}", "statuses_url": "https://api.github.com/repos/metabrainz/picard/statuses/{sha}", "assignees_url": "https://api.github.com/repos/metabrainz/picard/assignees{/user}", "downloads_url": "https://api.github.com/repos/metabrainz/picard/downloads", "has_downloads": true, "languages_url": "https://api.github.com/repos/metabrainz/picard/languages", "default_branch": "master", "milestones_url": "https://api.github.com/repos/metabrainz/picard/milestones{/number}", "stargazers_url": "https://api.github.com/repos/metabrainz/picard/stargazers", "watchers_count": 1585, "deployments_url": "https://api.github.com/repos/metabrainz/picard/deployments", "git_commits_url": "https://api.github.com/repos/metabrainz/picard/git/commits{/sha}", "subscribers_url": "https://api.github.com/repos/metabrainz/picard/subscribers", "contributors_url": "https://api.github.com/repos/metabrainz/picard/contributors", "issue_events_url": "https://api.github.com/repos/metabrainz/picard/issues/events{/number}", "stargazers_count": 1585, "subscription_url": "https://api.github.com/repos/metabrainz/picard/subscription", "collaborators_url": "https://api.github.com/repos/metabrainz/picard/collaborators{/collaborator}", "issue_comment_url": "https://api.github.com/repos/metabrainz/picard/issues/comments{/number}", "notifications_url": "https://api.github.com/repos/metabrainz/picard/notifications{?since,all,participating}", "open_issues_count": 0}</t>
  </si>
  <si>
    <t>pika/pika</t>
  </si>
  <si>
    <t>Pure Python RabbitMQ/AMQP 0-9-1 client library</t>
  </si>
  <si>
    <t>https://github.com/pika/pika</t>
  </si>
  <si>
    <t>"[\"amqp0-9-1\", \"client\", \"python\", \"rabbitmq\"]"</t>
  </si>
  <si>
    <t>[{"loc": 1261171, "ratio": 0.9989821427439848, "language": "Python"}, {"loc": 1285, "ratio": 0.0010178572560152592, "language": "PowerShell"}]</t>
  </si>
  <si>
    <t>120fdea5913e7ed80536ff55634ab0f8f4554e79</t>
  </si>
  <si>
    <t>pika</t>
  </si>
  <si>
    <t>{"id": 342869, "url": "https://api.github.com/repos/pika/pika", "fork": false, "name": "pika", "size": 6825, "forks": 535, "owner": {"id": 660428, "url": "https://api.github.com/users/pika", "type": "Organization", "login": "pika", "node_id": "MDEyOk9yZ2FuaXphdGlvbjY2MDQyOA==", "html_url": "https://github.com/pika", "gists_url": "https://api.github.com/users/pika/gists{/gist_id}", "repos_url": "https://api.github.com/users/pika/repos", "avatar_url": "https://avatars3.githubusercontent.com/u/660428?v=4", "events_url": "https://api.github.com/users/pika/events{/privacy}", "site_admin": false, "gravatar_id": "", "starred_url": "https://api.github.com/users/pika/starred{/owner}{/repo}", "followers_url": "https://api.github.com/users/pika/followers", "following_url": "https://api.github.com/users/pika/following{/other_user}", "organizations_url": "https://api.github.com/users/pika/orgs", "subscriptions_url": "https://api.github.com/users/pika/subscriptions", "received_events_url": "https://api.github.com/users/pika/received_events"}, "score": 1.0, "topics": ["amqp0-9-1", "client", "python", "rabbitmq"], "git_url": "git://github.com/pika/pika.git", "license": {"key": "bsd-3-clause", "url": "https://api.github.com/licenses/bsd-3-clause", "name": "BSD 3-Clause \"New\" or \"Revised\" License", "node_id": "MDc6TGljZW5zZTU=", "spdx_id": "BSD-3-Clause"}, "node_id": "MDEwOlJlcG9zaXRvcnkzNDI4Njk=", "private": false, "ssh_url": "git@github.com:pika/pika.git", "svn_url": "https://github.com/pika/pika", "archived": false, "has_wiki": false, "homepage": "https://pika.readthedocs.io", "html_url": "https://github.com/pika/pika", "keys_url": "https://api.github.com/repos/pika/pika/keys{/key_id}", "language": "Python", "tags_url": "https://api.github.com/repos/pika/pika/tags", "watchers": 1821, "blobs_url": "https://api.github.com/repos/pika/pika/git/blobs{/sha}", "clone_url": "https://github.com/pika/pika.git", "forks_url": "https://api.github.com/repos/pika/pika/forks", "full_name": "pika/pika", "has_pages": false, "hooks_url": "https://api.github.com/repos/pika/pika/hooks", "pulls_url": "https://api.github.com/repos/pika/pika/pulls{/number}", "pushed_at": "2018-12-19T18:44:24Z", "teams_url": "https://api.github.com/repos/pika/pika/teams", "trees_url": "https://api.github.com/repos/pika/pika/git/trees{/sha}", "created_at": "2009-10-19T23:22:02Z", "events_url": "https://api.github.com/repos/pika/pika/events", "has_issues": true, "issues_url": "https://api.github.com/repos/pika/pika/issues{/number}", "labels_url": "https://api.github.com/repos/pika/pika/labels{/name}", "merges_url": "https://api.github.com/repos/pika/pika/merges", "mirror_url": null, "updated_at": "2018-12-20T15:22:36Z", "archive_url": "https://api.github.com/repos/pika/pika/{archive_format}{/ref}", "commits_url": "https://api.github.com/repos/pika/pika/commits{/sha}", "compare_url": "https://api.github.com/repos/pika/pika/compare/{base}...{head}", "description": "Pure Python RabbitMQ/AMQP 0-9-1 client library", "forks_count": 535, "open_issues": 18, "permissions": {"pull": true, "push": false, "admin": false}, "branches_url": "https://api.github.com/repos/pika/pika/branches{/branch}", "comments_url": "https://api.github.com/repos/pika/pika/comments{/number}", "contents_url": "https://api.github.com/repos/pika/pika/contents/{+path}", "git_refs_url": "https://api.github.com/repos/pika/pika/git/refs{/sha}", "git_tags_url": "https://api.github.com/repos/pika/pika/git/tags{/sha}", "has_projects": false, "releases_url": "https://api.github.com/repos/pika/pika/releases{/id}", "statuses_url": "https://api.github.com/repos/pika/pika/statuses/{sha}", "assignees_url": "https://api.github.com/repos/pika/pika/assignees{/user}", "downloads_url": "https://api.github.com/repos/pika/pika/downloads", "has_downloads": true, "languages_url": "https://api.github.com/repos/pika/pika/languages", "default_branch": "master", "milestones_url": "https://api.github.com/repos/pika/pika/milestones{/number}", "stargazers_url": "https://api.github.com/repos/pika/pika/stargazers", "watchers_count": 1821, "deployments_url": "https://api.github.com/repos/pika/pika/deployments", "git_commits_url": "https://api.github.com/repos/pika/pika/git/commits{/sha}", "subscribers_url": "https://api.github.com/repos/pika/pika/subscribers", "contributors_url": "https://api.github.com/repos/pika/pika/contributors", "issue_events_url": "https://api.github.com/repos/pika/pika/issues/events{/number}", "stargazers_count": 1821, "subscription_url": "https://api.github.com/repos/pika/pika/subscription", "collaborators_url": "https://api.github.com/repos/pika/pika/collaborators{/collaborator}", "issue_comment_url": "https://api.github.com/repos/pika/pika/issues/comments{/number}", "notifications_url": "https://api.github.com/repos/pika/pika/notifications{?since,all,participating}", "open_issues_count": 18}</t>
  </si>
  <si>
    <t>python-pillow/Pillow</t>
  </si>
  <si>
    <t>The friendly PIL fork (Python Imaging Library)</t>
  </si>
  <si>
    <t>https://github.com/python-pillow/Pillow</t>
  </si>
  <si>
    <t>"[\"c\", \"cross-platform\", \"image\", \"image-processing\", \"pil\", \"pillow\", \"python\", \"python-3\"]"</t>
  </si>
  <si>
    <t>[{"loc": 1566492, "ratio": 0.5980376324689708, "language": "Python"}, {"loc": 1010823, "ratio": 0.38590059429935325, "language": "C"}, {"loc": 16910, "ratio": 0.006455708912046979, "language": "HTML"}, {"loc": 11949, "ratio": 0.0045617543341247395, "language": "PostScript"}, {"loc": 7477, "ratio": 0.00285448465614283, "language": "Shell"}, {"loc": 3028, "ratio": 0.0011559956585262124, "language": "Makefile"}, {"loc": 1392, "ratio": 0.0005314220464559074, "language": "C++"}, {"loc": 1125, "ratio": 0.0004294898004762183, "language": "Gnuplot"}, {"loc": 191, "ratio": 0.0000729178239030735, "language": "Batchfile"}]</t>
  </si>
  <si>
    <t>5.3.0</t>
  </si>
  <si>
    <t>0ac14725ef4444fdb2871a54bcc95fcd6b8807b3</t>
  </si>
  <si>
    <t>Pillow</t>
  </si>
  <si>
    <t>{"id": 5171600, "url": "https://api.github.com/repos/python-pillow/Pillow", "fork": false, "name": "Pillow", "size": 29914, "forks": 1132, "owner": {"id": 2036701, "url": "https://api.github.com/users/python-pillow", "type": "Organization", "login": "python-pillow", "node_id": "MDEyOk9yZ2FuaXphdGlvbjIwMzY3MDE=", "html_url": "https://github.com/python-pillow", "gists_url": "https://api.github.com/users/python-pillow/gists{/gist_id}", "repos_url": "https://api.github.com/users/python-pillow/repos", "avatar_url": "https://avatars2.githubusercontent.com/u/2036701?v=4", "events_url": "https://api.github.com/users/python-pillow/events{/privacy}", "site_admin": false, "gravatar_id": "", "starred_url": "https://api.github.com/users/python-pillow/starred{/owner}{/repo}", "followers_url": "https://api.github.com/users/python-pillow/followers", "following_url": "https://api.github.com/users/python-pillow/following{/other_user}", "organizations_url": "https://api.github.com/users/python-pillow/orgs", "subscriptions_url": "https://api.github.com/users/python-pillow/subscriptions", "received_events_url": "https://api.github.com/users/python-pillow/received_events"}, "score": 1.0, "topics": ["c", "cross-platform", "image", "image-processing", "pil", "pillow", "python", "python-3"], "git_url": "git://github.com/python-pillow/Pillow.git", "license": {"key": "other", "url": null, "name": "Other", "node_id": "MDc6TGljZW5zZTA=", "spdx_id": "NOASSERTION"}, "node_id": "MDEwOlJlcG9zaXRvcnk1MTcxNjAw", "private": false, "ssh_url": "git@github.com:python-pillow/Pillow.git", "svn_url": "https://github.com/python-pillow/Pillow", "archived": false, "has_wiki": true, "homepage": "https://python-pillow.org", "html_url": "https://github.com/python-pillow/Pillow", "keys_url": "https://api.github.com/repos/python-pillow/Pillow/keys{/key_id}", "language": "Python", "tags_url": "https://api.github.com/repos/python-pillow/Pillow/tags", "watchers": 5640, "blobs_url": "https://api.github.com/repos/python-pillow/Pillow/git/blobs{/sha}", "clone_url": "https://github.com/python-pillow/Pillow.git", "forks_url": "https://api.github.com/repos/python-pillow/Pillow/forks", "full_name": "python-pillow/Pillow", "has_pages": true, "hooks_url": "https://api.github.com/repos/python-pillow/Pillow/hooks", "pulls_url": "https://api.github.com/repos/python-pillow/Pillow/pulls{/number}", "pushed_at": "2018-12-25T02:11:57Z", "teams_url": "https://api.github.com/repos/python-pillow/Pillow/teams", "trees_url": "https://api.github.com/repos/python-pillow/Pillow/git/trees{/sha}", "created_at": "2012-07-24T21:38:39Z", "events_url": "https://api.github.com/repos/python-pillow/Pillow/events", "has_issues": true, "issues_url": "https://api.github.com/repos/python-pillow/Pillow/issues{/number}", "labels_url": "https://api.github.com/repos/python-pillow/Pillow/labels{/name}", "merges_url": "https://api.github.com/repos/python-pillow/Pillow/merges", "mirror_url": null, "updated_at": "2018-12-24T23:21:42Z", "archive_url": "https://api.github.com/repos/python-pillow/Pillow/{archive_format}{/ref}", "commits_url": "https://api.github.com/repos/python-pillow/Pillow/commits{/sha}", "compare_url": "https://api.github.com/repos/python-pillow/Pillow/compare/{base}...{head}", "description": "The friendly PIL fork (Python Imaging Library)", "forks_count": 1132, "open_issues": 234, "permissions": {"pull": true, "push": false, "admin": false}, "branches_url": "https://api.github.com/repos/python-pillow/Pillow/branches{/branch}", "comments_url": "https://api.github.com/repos/python-pillow/Pillow/comments{/number}", "contents_url": "https://api.github.com/repos/python-pillow/Pillow/contents/{+path}", "git_refs_url": "https://api.github.com/repos/python-pillow/Pillow/git/refs{/sha}", "git_tags_url": "https://api.github.com/repos/python-pillow/Pillow/git/tags{/sha}", "has_projects": true, "releases_url": "https://api.github.com/repos/python-pillow/Pillow/releases{/id}", "statuses_url": "https://api.github.com/repos/python-pillow/Pillow/statuses/{sha}", "assignees_url": "https://api.github.com/repos/python-pillow/Pillow/assignees{/user}", "downloads_url": "https://api.github.com/repos/python-pillow/Pillow/downloads", "has_downloads": true, "languages_url": "https://api.github.com/repos/python-pillow/Pillow/languages", "default_branch": "master", "milestones_url": "https://api.github.com/repos/python-pillow/Pillow/milestones{/number}", "stargazers_url": "https://api.github.com/repos/python-pillow/Pillow/stargazers", "watchers_count": 5640, "deployments_url": "https://api.github.com/repos/python-pillow/Pillow/deployments", "git_commits_url": "https://api.github.com/repos/python-pillow/Pillow/git/commits{/sha}", "subscribers_url": "https://api.github.com/repos/python-pillow/Pillow/subscribers", "contributors_url": "https://api.github.com/repos/python-pillow/Pillow/contributors", "issue_events_url": "https://api.github.com/repos/python-pillow/Pillow/issues/events{/number}", "stargazers_count": 5640, "subscription_url": "https://api.github.com/repos/python-pillow/Pillow/subscription", "collaborators_url": "https://api.github.com/repos/python-pillow/Pillow/collaborators{/collaborator}", "issue_comment_url": "https://api.github.com/repos/python-pillow/Pillow/issues/comments{/number}", "notifications_url": "https://api.github.com/repos/python-pillow/Pillow/notifications{?since,all,participating}", "open_issues_count": 234}</t>
  </si>
  <si>
    <t>pypa/pip</t>
  </si>
  <si>
    <t>The PyPA recommended tool for installing Python packages</t>
  </si>
  <si>
    <t>https://github.com/pypa/pip</t>
  </si>
  <si>
    <t>"[\"packaging\", \"pip\", \"python\"]"</t>
  </si>
  <si>
    <t>[{"loc": 1224951, "ratio": 0.9958441153014114, "language": "Python"}, {"loc": 2342, "ratio": 0.0019039675203627782, "language": "HTML"}, {"loc": 2093, "ratio": 0.0017015388642695538, "language": "Shell"}, {"loc": 677, "ratio": 0.000550378313956277, "language": "Gherkin"}]</t>
  </si>
  <si>
    <t>6af9de97bbd2427f82942e476c590a2db22ea1ff</t>
  </si>
  <si>
    <t>pip</t>
  </si>
  <si>
    <t>{"id": 1446467, "url": "https://api.github.com/repos/pypa/pip", "fork": false, "name": "pip", "size": 52604, "forks": 1686, "owner": {"id": 647025, "url": "https://api.github.com/users/pypa", "type": "Organization", "login": "pypa", "node_id": "MDEyOk9yZ2FuaXphdGlvbjY0NzAyNQ==", "html_url": "https://github.com/pypa", "gists_url": "https://api.github.com/users/pypa/gists{/gist_id}", "repos_url": "https://api.github.com/users/pypa/repos", "avatar_url": "https://avatars2.githubusercontent.com/u/647025?v=4", "events_url": "https://api.github.com/users/pypa/events{/privacy}", "site_admin": false, "gravatar_id": "", "starred_url": "https://api.github.com/users/pypa/starred{/owner}{/repo}", "followers_url": "https://api.github.com/users/pypa/followers", "following_url": "https://api.github.com/users/pypa/following{/other_user}", "organizations_url": "https://api.github.com/users/pypa/orgs", "subscriptions_url": "https://api.github.com/users/pypa/subscriptions", "received_events_url": "https://api.github.com/users/pypa/received_events"}, "score": 1.0, "topics": ["packaging", "pip", "python"], "git_url": "git://github.com/pypa/pip.git", "license": {"key": "mit", "url": "https://api.github.com/licenses/mit", "name": "MIT License", "node_id": "MDc6TGljZW5zZTEz", "spdx_id": "MIT"}, "node_id": "MDEwOlJlcG9zaXRvcnkxNDQ2NDY3", "private": false, "ssh_url": "git@github.com:pypa/pip.git", "svn_url": "https://github.com/pypa/pip", "archived": false, "has_wiki": false, "homepage": "https://pip.pypa.io/", "html_url": "https://github.com/pypa/pip", "keys_url": "https://api.github.com/repos/pypa/pip/keys{/key_id}", "language": "Python", "tags_url": "https://api.github.com/repos/pypa/pip/tags", "watchers": 5068, "blobs_url": "https://api.github.com/repos/pypa/pip/git/blobs{/sha}", "clone_url": "https://github.com/pypa/pip.git", "forks_url": "https://api.github.com/repos/pypa/pip/forks", "full_name": "pypa/pip", "has_pages": false, "hooks_url": "https://api.github.com/repos/pypa/pip/hooks", "pulls_url": "https://api.github.com/repos/pypa/pip/pulls{/number}", "pushed_at": "2018-12-24T05:57:38Z", "teams_url": "https://api.github.com/repos/pypa/pip/teams", "trees_url": "https://api.github.com/repos/pypa/pip/git/trees{/sha}", "created_at": "2011-03-06T14:30:46Z", "events_url": "https://api.github.com/repos/pypa/pip/events", "has_issues": true, "issues_url": "https://api.github.com/repos/pypa/pip/issues{/number}", "labels_url": "https://api.github.com/repos/pypa/pip/labels{/name}", "merges_url": "https://api.github.com/repos/pypa/pip/merges", "mirror_url": null, "updated_at": "2018-12-24T23:17:12Z", "archive_url": "https://api.github.com/repos/pypa/pip/{archive_format}{/ref}", "commits_url": "https://api.github.com/repos/pypa/pip/commits{/sha}", "compare_url": "https://api.github.com/repos/pypa/pip/compare/{base}...{head}", "description": "The PyPA recommended tool for installing Python packages", "forks_count": 1686, "open_issues": 600, "permissions": {"pull": true, "push": false, "admin": false}, "branches_url": "https://api.github.com/repos/pypa/pip/branches{/branch}", "comments_url": "https://api.github.com/repos/pypa/pip/comments{/number}", "contents_url": "https://api.github.com/repos/pypa/pip/contents/{+path}", "git_refs_url": "https://api.github.com/repos/pypa/pip/git/refs{/sha}", "git_tags_url": "https://api.github.com/repos/pypa/pip/git/tags{/sha}", "has_projects": false, "releases_url": "https://api.github.com/repos/pypa/pip/releases{/id}", "statuses_url": "https://api.github.com/repos/pypa/pip/statuses/{sha}", "assignees_url": "https://api.github.com/repos/pypa/pip/assignees{/user}", "downloads_url": "https://api.github.com/repos/pypa/pip/downloads", "has_downloads": true, "languages_url": "https://api.github.com/repos/pypa/pip/languages", "default_branch": "master", "milestones_url": "https://api.github.com/repos/pypa/pip/milestones{/number}", "stargazers_url": "https://api.github.com/repos/pypa/pip/stargazers", "watchers_count": 5068, "deployments_url": "https://api.github.com/repos/pypa/pip/deployments", "git_commits_url": "https://api.github.com/repos/pypa/pip/git/commits{/sha}", "subscribers_url": "https://api.github.com/repos/pypa/pip/subscribers", "contributors_url": "https://api.github.com/repos/pypa/pip/contributors", "issue_events_url": "https://api.github.com/repos/pypa/pip/issues/events{/number}", "stargazers_count": 5068, "subscription_url": "https://api.github.com/repos/pypa/pip/subscription", "collaborators_url": "https://api.github.com/repos/pypa/pip/collaborators{/collaborator}", "issue_comment_url": "https://api.github.com/repos/pypa/pip/issues/comments{/number}", "notifications_url": "https://api.github.com/repos/pypa/pip/notifications{?since,all,participating}", "open_issues_count": 600}</t>
  </si>
  <si>
    <t>aosp-mirror/platform_development</t>
  </si>
  <si>
    <t>https://github.com/aosp-mirror/platform_development</t>
  </si>
  <si>
    <t>[{"loc": 2280286, "ratio": 0.518350488279474, "language": "Python"}, {"loc": 1009174, "ratio": 0.22940360799432613, "language": "Java"}, {"loc": 656830, "ratio": 0.14930940733601267, "language": "C++"}, {"loc": 188081, "ratio": 0.04275423266471476, "language": "C"}, {"loc": 107616, "ratio": 0.024463074433068433, "language": "Shell"}, {"loc": 52551, "ratio": 0.011945798250559202, "language": "JavaScript"}, {"loc": 34139, "ratio": 0.007760415719507538, "language": "Makefile"}, {"loc": 20230, "ratio": 0.004598647002127698, "language": "Vue"}, {"loc": 18251, "ratio": 0.004148784302315008, "language": "Emacs Lisp"}, {"loc": 17075, "ratio": 0.003881458109803779, "language": "HTML"}, {"loc": 5195, "ratio": 0.0011809180017821747, "language": "Ruby"}, {"loc": 4011, "ratio": 0.0009117732637436578, "language": "CSS"}, {"loc": 2417, "ratio": 0.0005494280674316681, "language": "GDB"}, {"loc": 2347, "ratio": 0.0005335157940679045, "language": "Perl"}, {"loc": 626, "ratio": 0.00014230118751022933, "language": "Smali"}, {"loc": 291, "ratio": 0.00006614959355507464, "language": "CMake"}]</t>
  </si>
  <si>
    <t>ndk-r18b</t>
  </si>
  <si>
    <t>532d1aa70f8c4f70460f9a3d97fa7e6ccad035b7</t>
  </si>
  <si>
    <t>platform_development</t>
  </si>
  <si>
    <t>{"id": 65834, "url": "https://api.github.com/repos/aosp-mirror/platform_development", "fork": false, "name": "platform_development", "size": 460787, "forks": 2386, "owner": {"id": 30177, "url": "https://api.github.com/users/aosp-mirror", "type": "Organization", "login": "aosp-mirror", "node_id": "MDEyOk9yZ2FuaXphdGlvbjMwMTc3", "html_url": "https://github.com/aosp-mirror", "gists_url": "https://api.github.com/users/aosp-mirror/gists{/gist_id}", "repos_url": "https://api.github.com/users/aosp-mirror/repos", "avatar_url": "https://avatars3.githubusercontent.com/u/30177?v=4", "events_url": "https://api.github.com/users/aosp-mirror/events{/privacy}", "site_admin": false, "gravatar_id": "", "starred_url": "https://api.github.com/users/aosp-mirror/starred{/owner}{/repo}", "followers_url": "https://api.github.com/users/aosp-mirror/followers", "following_url": "https://api.github.com/users/aosp-mirror/following{/other_user}", "organizations_url": "https://api.github.com/users/aosp-mirror/orgs", "subscriptions_url": "https://api.github.com/users/aosp-mirror/subscriptions", "received_events_url": "https://api.github.com/users/aosp-mirror/received_events"}, "score": 1.0, "topics": [], "git_url": "git://github.com/aosp-mirror/platform_development.git", "license": null, "node_id": "MDEwOlJlcG9zaXRvcnk2NTgzNA==", "private": false, "ssh_url": "git@github.com:aosp-mirror/platform_development.git", "svn_url": "https://github.com/aosp-mirror/platform_development", "archived": false, "has_wiki": false, "homepage": null, "html_url": "https://github.com/aosp-mirror/platform_development", "keys_url": "https://api.github.com/repos/aosp-mirror/platform_development/keys{/key_id}", "language": "Python", "tags_url": "https://api.github.com/repos/aosp-mirror/platform_development/tags", "watchers": 2221, "blobs_url": "https://api.github.com/repos/aosp-mirror/platform_development/git/blobs{/sha}", "clone_url": "https://github.com/aosp-mirror/platform_development.git", "forks_url": "https://api.github.com/repos/aosp-mirror/platform_development/forks", "full_name": "aosp-mirror/platform_development", "has_pages": false, "hooks_url": "https://api.github.com/repos/aosp-mirror/platform_development/hooks", "pulls_url": "https://api.github.com/repos/aosp-mirror/platform_development/pulls{/number}", "pushed_at": "2018-09-05T19:46:34Z", "teams_url": "https://api.github.com/repos/aosp-mirror/platform_development/teams", "trees_url": "https://api.github.com/repos/aosp-mirror/platform_development/git/trees{/sha}", "created_at": "2008-10-21T18:19:57Z", "events_url": "https://api.github.com/repos/aosp-mirror/platform_development/events", "has_issues": false, "issues_url": "https://api.github.com/repos/aosp-mirror/platform_development/issues{/number}", "labels_url": "https://api.github.com/repos/aosp-mirror/platform_development/labels{/name}", "merges_url": "https://api.github.com/repos/aosp-mirror/platform_development/merges", "mirror_url": "https://android.googlesource.com/platform/development.git", "updated_at": "2018-12-24T08:21:50Z", "archive_url": "https://api.github.com/repos/aosp-mirror/platform_development/{archive_format}{/ref}", "commits_url": "https://api.github.com/repos/aosp-mirror/platform_development/commits{/sha}", "compare_url": "https://api.github.com/repos/aosp-mirror/platform_development/compare/{base}...{head}", "description": null, "forks_count": 2386, "open_issues": 0, "permissions": {"pull": true, "push": false, "admin": false}, "branches_url": "https://api.github.com/repos/aosp-mirror/platform_development/branches{/branch}", "comments_url": "https://api.github.com/repos/aosp-mirror/platform_development/comments{/number}", "contents_url": "https://api.github.com/repos/aosp-mirror/platform_development/contents/{+path}", "git_refs_url": "https://api.github.com/repos/aosp-mirror/platform_development/git/refs{/sha}", "git_tags_url": "https://api.github.com/repos/aosp-mirror/platform_development/git/tags{/sha}", "has_projects": false, "releases_url": "https://api.github.com/repos/aosp-mirror/platform_development/releases{/id}", "statuses_url": "https://api.github.com/repos/aosp-mirror/platform_development/statuses/{sha}", "assignees_url": "https://api.github.com/repos/aosp-mirror/platform_development/assignees{/user}", "downloads_url": "https://api.github.com/repos/aosp-mirror/platform_development/downloads", "has_downloads": true, "languages_url": "https://api.github.com/repos/aosp-mirror/platform_development/languages", "default_branch": "master", "milestones_url": "https://api.github.com/repos/aosp-mirror/platform_development/milestones{/number}", "stargazers_url": "https://api.github.com/repos/aosp-mirror/platform_development/stargazers", "watchers_count": 2221, "deployments_url": "https://api.github.com/repos/aosp-mirror/platform_development/deployments", "git_commits_url": "https://api.github.com/repos/aosp-mirror/platform_development/git/commits{/sha}", "subscribers_url": "https://api.github.com/repos/aosp-mirror/platform_development/subscribers", "contributors_url": "https://api.github.com/repos/aosp-mirror/platform_development/contributors", "issue_events_url": "https://api.github.com/repos/aosp-mirror/platform_development/issues/events{/number}", "stargazers_count": 2221, "subscription_url": "https://api.github.com/repos/aosp-mirror/platform_development/subscription", "collaborators_url": "https://api.github.com/repos/aosp-mirror/platform_development/collaborators{/collaborator}", "issue_comment_url": "https://api.github.com/repos/aosp-mirror/platform_development/issues/comments{/number}", "notifications_url": "https://api.github.com/repos/aosp-mirror/platform_development/notifications{?since,all,participating}", "open_issues_count": 0}</t>
  </si>
  <si>
    <t>playframework/play1</t>
  </si>
  <si>
    <t>Play framework</t>
  </si>
  <si>
    <t>https://github.com/playframework/play1</t>
  </si>
  <si>
    <t>[{"loc": 9024776, "ratio": 0.653586927010018, "language": "Python"}, {"loc": 2440833, "ratio": 0.1767685469217899, "language": "Java"}, {"loc": 1366820, "ratio": 0.09898702012945615, "language": "JavaScript"}, {"loc": 418013, "ratio": 0.030273087345352244, "language": "HTML"}, {"loc": 277382, "ratio": 0.020088393217503994, "language": "C"}, {"loc": 215790, "ratio": 0.015627814250402643, "language": "C++"}, {"loc": 61282, "ratio": 0.004438128332606584, "language": "CSS"}, {"loc": 1432, "ratio": 0.00010370744708548398, "language": "Scala"}, {"loc": 1377, "ratio": 0.00009972426999770351, "language": "PLpgSQL"}, {"loc": 318, "ratio": 0.00002303000570753066, "language": "Shell"}, {"loc": 50, "ratio": 0.000003621070079800418, "language": "Batchfile"}]</t>
  </si>
  <si>
    <t>play-1.2.2-1</t>
  </si>
  <si>
    <t>30d848d64b9e71739e7a5ccd06f5e754e0bb9d37</t>
  </si>
  <si>
    <t>play1</t>
  </si>
  <si>
    <t>{"id": 835466, "url": "https://api.github.com/repos/playframework/play1", "fork": false, "name": "play1", "size": 547033, "forks": 681, "owner": {"id": 319107, "url": "https://api.github.com/users/playframework", "type": "Organization", "login": "playframework", "node_id": "MDEyOk9yZ2FuaXphdGlvbjMxOTEwNw==", "html_url": "https://github.com/playframework", "gists_url": "https://api.github.com/users/playframework/gists{/gist_id}", "repos_url": "https://api.github.com/users/playframework/repos", "avatar_url": "https://avatars0.githubusercontent.com/u/319107?v=4", "events_url": "https://api.github.com/users/playframework/events{/privacy}", "site_admin": false, "gravatar_id": "", "starred_url": "https://api.github.com/users/playframework/starred{/owner}{/repo}", "followers_url": "https://api.github.com/users/playframework/followers", "following_url": "https://api.github.com/users/playframework/following{/other_user}", "organizations_url": "https://api.github.com/users/playframework/orgs", "subscriptions_url": "https://api.github.com/users/playframework/subscriptions", "received_events_url": "https://api.github.com/users/playframework/received_events"}, "score": 1.0, "topics": [], "git_url": "git://github.com/playframework/play1.git", "license": {"key": "other", "url": null, "name": "Other", "node_id": "MDc6TGljZW5zZTA=", "spdx_id": "NOASSERTION"}, "node_id": "MDEwOlJlcG9zaXRvcnk4MzU0NjY=", "private": false, "ssh_url": "git@github.com:playframework/play1.git", "svn_url": "https://github.com/playframework/play1", "archived": false, "has_wiki": true, "homepage": "https://www.playframework.com/documentation/1.4.x/home", "html_url": "https://github.com/playframework/play1", "keys_url": "https://api.github.com/repos/playframework/play1/keys{/key_id}", "language": "Python", "tags_url": "https://api.github.com/repos/playframework/play1/tags", "watchers": 1565, "blobs_url": "https://api.github.com/repos/playframework/play1/git/blobs{/sha}", "clone_url": "https://github.com/playframework/play1.git", "forks_url": "https://api.github.com/repos/playframework/play1/forks", "full_name": "playframework/play1", "has_pages": false, "hooks_url": "https://api.github.com/repos/playframework/play1/hooks", "pulls_url": "https://api.github.com/repos/playframework/play1/pulls{/number}", "pushed_at": "2018-12-19T19:59:45Z", "teams_url": "https://api.github.com/repos/playframework/play1/teams", "trees_url": "https://api.github.com/repos/playframework/play1/git/trees{/sha}", "created_at": "2010-08-13T10:08:50Z", "events_url": "https://api.github.com/repos/playframework/play1/events", "has_issues": true, "issues_url": "https://api.github.com/repos/playframework/play1/issues{/number}", "labels_url": "https://api.github.com/repos/playframework/play1/labels{/name}", "merges_url": "https://api.github.com/repos/playframework/play1/merges", "mirror_url": null, "updated_at": "2018-12-21T18:13:18Z", "archive_url": "https://api.github.com/repos/playframework/play1/{archive_format}{/ref}", "commits_url": "https://api.github.com/repos/playframework/play1/commits{/sha}", "compare_url": "https://api.github.com/repos/playframework/play1/compare/{base}...{head}", "description": "Play framework", "forks_count": 681, "open_issues": 81, "permissions": {"pull": true, "push": false, "admin": false}, "branches_url": "https://api.github.com/repos/playframework/play1/branches{/branch}", "comments_url": "https://api.github.com/repos/playframework/play1/comments{/number}", "contents_url": "https://api.github.com/repos/playframework/play1/contents/{+path}", "git_refs_url": "https://api.github.com/repos/playframework/play1/git/refs{/sha}", "git_tags_url": "https://api.github.com/repos/playframework/play1/git/tags{/sha}", "has_projects": true, "releases_url": "https://api.github.com/repos/playframework/play1/releases{/id}", "statuses_url": "https://api.github.com/repos/playframework/play1/statuses/{sha}", "assignees_url": "https://api.github.com/repos/playframework/play1/assignees{/user}", "downloads_url": "https://api.github.com/repos/playframework/play1/downloads", "has_downloads": true, "languages_url": "https://api.github.com/repos/playframework/play1/languages", "default_branch": "master", "milestones_url": "https://api.github.com/repos/playframework/play1/milestones{/number}", "stargazers_url": "https://api.github.com/repos/playframework/play1/stargazers", "watchers_count": 1565, "deployments_url": "https://api.github.com/repos/playframework/play1/deployments", "git_commits_url": "https://api.github.com/repos/playframework/play1/git/commits{/sha}", "subscribers_url": "https://api.github.com/repos/playframework/play1/subscribers", "contributors_url": "https://api.github.com/repos/playframework/play1/contributors", "issue_events_url": "https://api.github.com/repos/playframework/play1/issues/events{/number}", "stargazers_count": 1565, "subscription_url": "https://api.github.com/repos/playframework/play1/subscription", "collaborators_url": "https://api.github.com/repos/playframework/play1/collaborators{/collaborator}", "issue_comment_url": "https://api.github.com/repos/playframework/play1/issues/comments{/number}", "notifications_url": "https://api.github.com/repos/playframework/play1/notifications{?since,all,participating}", "open_issues_count": 81}</t>
  </si>
  <si>
    <t>giampaolo/psutil</t>
  </si>
  <si>
    <t>Cross-platform lib for process and system monitoring in Python</t>
  </si>
  <si>
    <t>https://github.com/giampaolo/psutil</t>
  </si>
  <si>
    <t>"[\"c\", \"cpu\", \"disk\", \"freebsd\", \"linux\", \"memory\", \"memory-analysis\", \"monitoring\", \"netbsd\", \"netstat\", \"openbsd\", \"osx\", \"process-monitor\", \"ps\", \"python\", \"sensors\", \"system-monitoring\", \"top\", \"windows\", \"windows-service\"]"</t>
  </si>
  <si>
    <t>[{"loc": 871365, "ratio": 0.5957175526332881, "language": "Python"}, {"loc": 572792, "ratio": 0.39159508174866603, "language": "C"}, {"loc": 9055, "ratio": 0.006190542928731844, "language": "Makefile"}, {"loc": 4538, "ratio": 0.0031024498962545677, "language": "Batchfile"}, {"loc": 2786, "ratio": 0.0019046772611205874, "language": "PowerShell"}, {"loc": 1848, "ratio": 0.0012634040124015957, "language": "Shell"}, {"loc": 331, "ratio": 0.00022629151953729878, "language": "C++"}]</t>
  </si>
  <si>
    <t>release-5.4.8</t>
  </si>
  <si>
    <t>648d8ba39eff4867d461a45a77d1245e2a909234</t>
  </si>
  <si>
    <t>psutil</t>
  </si>
  <si>
    <t>{"id": 20101515, "url": "https://api.github.com/repos/giampaolo/psutil", "fork": false, "name": "psutil", "size": 31884, "forks": 720, "owner": {"id": 681260, "url": "https://api.github.com/users/giampaolo", "type": "User", "login": "giampaolo", "node_id": "MDQ6VXNlcjY4MTI2MA==", "html_url": "https://github.com/giampaolo", "gists_url": "https://api.github.com/users/giampaolo/gists{/gist_id}", "repos_url": "https://api.github.com/users/giampaolo/repos", "avatar_url": "https://avatars2.githubusercontent.com/u/681260?v=4", "events_url": "https://api.github.com/users/giampaolo/events{/privacy}", "site_admin": false, "gravatar_id": "", "starred_url": "https://api.github.com/users/giampaolo/starred{/owner}{/repo}", "followers_url": "https://api.github.com/users/giampaolo/followers", "following_url": "https://api.github.com/users/giampaolo/following{/other_user}", "organizations_url": "https://api.github.com/users/giampaolo/orgs", "subscriptions_url": "https://api.github.com/users/giampaolo/subscriptions", "received_events_url": "https://api.github.com/users/giampaolo/received_events"}, "score": 1.0, "topics": ["c", "cpu", "disk", "freebsd", "linux", "memory", "memory-analysis", "monitoring", "netbsd", "netstat", "openbsd", "osx", "process-monitor", "ps", "python", "sensors", "system-monitoring", "top", "windows", "windows-service"], "git_url": "git://github.com/giampaolo/psutil.git", "license": {"key": "other", "url": null, "name": "Other", "node_id": "MDc6TGljZW5zZTA=", "spdx_id": "NOASSERTION"}, "node_id": "MDEwOlJlcG9zaXRvcnkyMDEwMTUxNQ==", "private": false, "ssh_url": "git@github.com:giampaolo/psutil.git", "svn_url": "https://github.com/giampaolo/psutil", "archived": false, "has_wiki": false, "homepage": "", "html_url": "https://github.com/giampaolo/psutil", "keys_url": "https://api.github.com/repos/giampaolo/psutil/keys{/key_id}", "language": "Python", "tags_url": "https://api.github.com/repos/giampaolo/psutil/tags", "watchers": 4359, "blobs_url": "https://api.github.com/repos/giampaolo/psutil/git/blobs{/sha}", "clone_url": "https://github.com/giampaolo/psutil.git", "forks_url": "https://api.github.com/repos/giampaolo/psutil/forks", "full_name": "giampaolo/psutil", "has_pages": false, "hooks_url": "https://api.github.com/repos/giampaolo/psutil/hooks", "pulls_url": "https://api.github.com/repos/giampaolo/psutil/pulls{/number}", "pushed_at": "2018-12-15T17:01:41Z", "teams_url": "https://api.github.com/repos/giampaolo/psutil/teams", "trees_url": "https://api.github.com/repos/giampaolo/psutil/git/trees{/sha}", "created_at": "2014-05-23T14:01:48Z", "events_url": "https://api.github.com/repos/giampaolo/psutil/events", "has_issues": true, "issues_url": "https://api.github.com/repos/giampaolo/psutil/issues{/number}", "labels_url": "https://api.github.com/repos/giampaolo/psutil/labels{/name}", "merges_url": "https://api.github.com/repos/giampaolo/psutil/merges", "mirror_url": null, "updated_at": "2018-12-24T20:33:02Z", "archive_url": "https://api.github.com/repos/giampaolo/psutil/{archive_format}{/ref}", "commits_url": "https://api.github.com/repos/giampaolo/psutil/commits{/sha}", "compare_url": "https://api.github.com/repos/giampaolo/psutil/compare/{base}...{head}", "description": "Cross-platform lib for process and system monitoring in Python", "forks_count": 720, "open_issues": 134, "permissions": {"pull": true, "push": false, "admin": false}, "branches_url": "https://api.github.com/repos/giampaolo/psutil/branches{/branch}", "comments_url": "https://api.github.com/repos/giampaolo/psutil/comments{/number}", "contents_url": "https://api.github.com/repos/giampaolo/psutil/contents/{+path}", "git_refs_url": "https://api.github.com/repos/giampaolo/psutil/git/refs{/sha}", "git_tags_url": "https://api.github.com/repos/giampaolo/psutil/git/tags{/sha}", "has_projects": true, "releases_url": "https://api.github.com/repos/giampaolo/psutil/releases{/id}", "statuses_url": "https://api.github.com/repos/giampaolo/psutil/statuses/{sha}", "assignees_url": "https://api.github.com/repos/giampaolo/psutil/assignees{/user}", "downloads_url": "https://api.github.com/repos/giampaolo/psutil/downloads", "has_downloads": true, "languages_url": "https://api.github.com/repos/giampaolo/psutil/languages", "default_branch": "master", "milestones_url": "https://api.github.com/repos/giampaolo/psutil/milestones{/number}", "stargazers_url": "https://api.github.com/repos/giampaolo/psutil/stargazers", "watchers_count": 4359, "deployments_url": "https://api.github.com/repos/giampaolo/psutil/deployments", "git_commits_url": "https://api.github.com/repos/giampaolo/psutil/git/commits{/sha}", "subscribers_url": "https://api.github.com/repos/giampaolo/psutil/subscribers", "contributors_url": "https://api.github.com/repos/giampaolo/psutil/contributors", "issue_events_url": "https://api.github.com/repos/giampaolo/psutil/issues/events{/number}", "stargazers_count": 4359, "subscription_url": "https://api.github.com/repos/giampaolo/psutil/subscription", "collaborators_url": "https://api.github.com/repos/giampaolo/psutil/collaborators{/collaborator}", "issue_comment_url": "https://api.github.com/repos/giampaolo/psutil/issues/comments{/number}", "notifications_url": "https://api.github.com/repos/giampaolo/psutil/notifications{?since,all,participating}", "open_issues_count": 134}</t>
  </si>
  <si>
    <t>Gallopsled/pwntools</t>
  </si>
  <si>
    <t>CTF framework and exploit development library</t>
  </si>
  <si>
    <t>https://github.com/Gallopsled/pwntools</t>
  </si>
  <si>
    <t>"[\"assembly\", \"capture-the-flag\", \"ctf\", \"ctf-framework\", \"defcon\", \"exploit\", \"pwnable\", \"pwntools\", \"python\", \"rop\", \"shellcode\", \"wargame\"]"</t>
  </si>
  <si>
    <t>[{"loc": 1949354, "ratio": 0.54425582134899, "language": "Python"}, {"loc": 1612156, "ratio": 0.45011079974324947, "language": "Assembly"}, {"loc": 10381, "ratio": 0.0028983548813729396, "language": "Shell"}, {"loc": 8542, "ratio": 0.0023849096808291736, "language": "Dockerfile"}, {"loc": 1254, "ratio": 0.0003501143455583919, "language": "Makefile"}]</t>
  </si>
  <si>
    <t>3.12.2</t>
  </si>
  <si>
    <t>4086fc749badc5152d7e7d1711bbfba5cab9cefe</t>
  </si>
  <si>
    <t>pwntools</t>
  </si>
  <si>
    <t>{"id": 9750233, "url": "https://api.github.com/repos/Gallopsled/pwntools", "fork": false, "name": "pwntools", "size": 21350, "forks": 924, "owner": {"id": 4292577, "url": "https://api.github.com/users/Gallopsled", "type": "Organization", "login": "Gallopsled", "node_id": "MDEyOk9yZ2FuaXphdGlvbjQyOTI1Nzc=", "html_url": "https://github.com/Gallopsled", "gists_url": "https://api.github.com/users/Gallopsled/gists{/gist_id}", "repos_url": "https://api.github.com/users/Gallopsled/repos", "avatar_url": "https://avatars1.githubusercontent.com/u/4292577?v=4", "events_url": "https://api.github.com/users/Gallopsled/events{/privacy}", "site_admin": false, "gravatar_id": "", "starred_url": "https://api.github.com/users/Gallopsled/starred{/owner}{/repo}", "followers_url": "https://api.github.com/users/Gallopsled/followers", "following_url": "https://api.github.com/users/Gallopsled/following{/other_user}", "organizations_url": "https://api.github.com/users/Gallopsled/orgs", "subscriptions_url": "https://api.github.com/users/Gallopsled/subscriptions", "received_events_url": "https://api.github.com/users/Gallopsled/received_events"}, "score": 1.0, "topics": ["assembly", "capture-the-flag", "ctf", "ctf-framework", "defcon", "exploit", "pwnable", "pwntools", "python", "rop", "shellcode", "wargame"], "git_url": "git://github.com/Gallopsled/pwntools.git", "license": {"key": "other", "url": null, "name": "Other", "node_id": "MDc6TGljZW5zZTA=", "spdx_id": "NOASSERTION"}, "node_id": "MDEwOlJlcG9zaXRvcnk5NzUwMjMz", "private": false, "ssh_url": "git@github.com:Gallopsled/pwntools.git", "svn_url": "https://github.com/Gallopsled/pwntools", "archived": false, "has_wiki": false, "homepage": "http://pwntools.com", "html_url": "https://github.com/Gallopsled/pwntools", "keys_url": "https://api.github.com/repos/Gallopsled/pwntools/keys{/key_id}", "language": "Python", "tags_url": "https://api.github.com/repos/Gallopsled/pwntools/tags", "watchers": 4667, "blobs_url": "https://api.github.com/repos/Gallopsled/pwntools/git/blobs{/sha}", "clone_url": "https://github.com/Gallopsled/pwntools.git", "forks_url": "https://api.github.com/repos/Gallopsled/pwntools/forks", "full_name": "Gallopsled/pwntools", "has_pages": false, "hooks_url": "https://api.github.com/repos/Gallopsled/pwntools/hooks", "pulls_url": "https://api.github.com/repos/Gallopsled/pwntools/pulls{/number}", "pushed_at": "2018-12-21T09:19:36Z", "teams_url": "https://api.github.com/repos/Gallopsled/pwntools/teams", "trees_url": "https://api.github.com/repos/Gallopsled/pwntools/git/trees{/sha}", "created_at": "2013-04-29T14:43:03Z", "events_url": "https://api.github.com/repos/Gallopsled/pwntools/events", "has_issues": true, "issues_url": "https://api.github.com/repos/Gallopsled/pwntools/issues{/number}", "labels_url": "https://api.github.com/repos/Gallopsled/pwntools/labels{/name}", "merges_url": "https://api.github.com/repos/Gallopsled/pwntools/merges", "mirror_url": null, "updated_at": "2018-12-24T20:07:24Z", "archive_url": "https://api.github.com/repos/Gallopsled/pwntools/{archive_format}{/ref}", "commits_url": "https://api.github.com/repos/Gallopsled/pwntools/commits{/sha}", "compare_url": "https://api.github.com/repos/Gallopsled/pwntools/compare/{base}...{head}", "description": "CTF framework and exploit development library", "forks_count": 924, "open_issues": 97, "permissions": {"pull": true, "push": false, "admin": false}, "branches_url": "https://api.github.com/repos/Gallopsled/pwntools/branches{/branch}", "comments_url": "https://api.github.com/repos/Gallopsled/pwntools/comments{/number}", "contents_url": "https://api.github.com/repos/Gallopsled/pwntools/contents/{+path}", "git_refs_url": "https://api.github.com/repos/Gallopsled/pwntools/git/refs{/sha}", "git_tags_url": "https://api.github.com/repos/Gallopsled/pwntools/git/tags{/sha}", "has_projects": true, "releases_url": "https://api.github.com/repos/Gallopsled/pwntools/releases{/id}", "statuses_url": "https://api.github.com/repos/Gallopsled/pwntools/statuses/{sha}", "assignees_url": "https://api.github.com/repos/Gallopsled/pwntools/assignees{/user}", "downloads_url": "https://api.github.com/repos/Gallopsled/pwntools/downloads", "has_downloads": true, "languages_url": "https://api.github.com/repos/Gallopsled/pwntools/languages", "default_branch": "dev", "milestones_url": "https://api.github.com/repos/Gallopsled/pwntools/milestones{/number}", "stargazers_url": "https://api.github.com/repos/Gallopsled/pwntools/stargazers", "watchers_count": 4667, "deployments_url": "https://api.github.com/repos/Gallopsled/pwntools/deployments", "git_commits_url": "https://api.github.com/repos/Gallopsled/pwntools/git/commits{/sha}", "subscribers_url": "https://api.github.com/repos/Gallopsled/pwntools/subscribers", "contributors_url": "https://api.github.com/repos/Gallopsled/pwntools/contributors", "issue_events_url": "https://api.github.com/repos/Gallopsled/pwntools/issues/events{/number}", "stargazers_count": 4667, "subscription_url": "https://api.github.com/repos/Gallopsled/pwntools/subscription", "collaborators_url": "https://api.github.com/repos/Gallopsled/pwntools/collaborators{/collaborator}", "issue_comment_url": "https://api.github.com/repos/Gallopsled/pwntools/issues/comments{/number}", "notifications_url": "https://api.github.com/repos/Gallopsled/pwntools/notifications{?since,all,participating}", "open_issues_count": 97}</t>
  </si>
  <si>
    <t>ethereum/pyethereum</t>
  </si>
  <si>
    <t>Next generation cryptocurrency network</t>
  </si>
  <si>
    <t>https://github.com/ethereum/pyethereum</t>
  </si>
  <si>
    <t>[{"loc": 720934, "ratio": 0.9938776494916423, "language": "Python"}, {"loc": 2764, "ratio": 0.0038104428743753233, "language": "Makefile"}, {"loc": 1297, "ratio": 0.0017880406686196794, "language": "Shell"}, {"loc": 380, "ratio": 0.0005238669653627434, "language": "Dockerfile"}]</t>
  </si>
  <si>
    <t>v2.3.2</t>
  </si>
  <si>
    <t>2a8aaf145b75d989d7b36fde389f7ff5cf4a421f</t>
  </si>
  <si>
    <t>pyethereum</t>
  </si>
  <si>
    <t>{"id": 15409820, "url": "https://api.github.com/repos/ethereum/pyethereum", "fork": false, "name": "pyethereum", "size": 5541, "forks": 759, "owner": {"id": 6250754, "url": "https://api.github.com/users/ethereum", "type": "Organization", "login": "ethereum", "node_id": "MDEyOk9yZ2FuaXphdGlvbjYyNTA3NTQ=", "html_url": "https://github.com/ethereum", "gists_url": "https://api.github.com/users/ethereum/gists{/gist_id}", "repos_url": "https://api.github.com/users/ethereum/repos", "avatar_url": "https://avatars3.githubusercontent.com/u/6250754?v=4", "events_url": "https://api.github.com/users/ethereum/events{/privacy}", "site_admin": false, "gravatar_id": "", "starred_url": "https://api.github.com/users/ethereum/starred{/owner}{/repo}", "followers_url": "https://api.github.com/users/ethereum/followers", "following_url": "https://api.github.com/users/ethereum/following{/other_user}", "organizations_url": "https://api.github.com/users/ethereum/orgs", "subscriptions_url": "https://api.github.com/users/ethereum/subscriptions", "received_events_url": "https://api.github.com/users/ethereum/received_events"}, "score": 1.0, "topics": [], "git_url": "git://github.com/ethereum/pyethereum.git", "license": {"key": "mit", "url": "https://api.github.com/licenses/mit", "name": "MIT License", "node_id": "MDc6TGljZW5zZTEz", "spdx_id": "MIT"}, "node_id": "MDEwOlJlcG9zaXRvcnkxNTQwOTgyMA==", "private": false, "ssh_url": "git@github.com:ethereum/pyethereum.git", "svn_url": "https://github.com/ethereum/pyethereum", "archived": false, "has_wiki": true, "homepage": null, "html_url": "https://github.com/ethereum/pyethereum", "keys_url": "https://api.github.com/repos/ethereum/pyethereum/keys{/key_id}", "language": "Python", "tags_url": "https://api.github.com/repos/ethereum/pyethereum/tags", "watchers": 2628, "blobs_url": "https://api.github.com/repos/ethereum/pyethereum/git/blobs{/sha}", "clone_url": "https://github.com/ethereum/pyethereum.git", "forks_url": "https://api.github.com/repos/ethereum/pyethereum/forks", "full_name": "ethereum/pyethereum", "has_pages": false, "hooks_url": "https://api.github.com/repos/ethereum/pyethereum/hooks", "pulls_url": "https://api.github.com/repos/ethereum/pyethereum/pulls{/number}", "pushed_at": "2018-12-08T23:52:33Z", "teams_url": "https://api.github.com/repos/ethereum/pyethereum/teams", "trees_url": "https://api.github.com/repos/ethereum/pyethereum/git/trees{/sha}", "created_at": "2013-12-24T02:40:05Z", "events_url": "https://api.github.com/repos/ethereum/pyethereum/events", "has_issues": true, "issues_url": "https://api.github.com/repos/ethereum/pyethereum/issues{/number}", "labels_url": "https://api.github.com/repos/ethereum/pyethereum/labels{/name}", "merges_url": "https://api.github.com/repos/ethereum/pyethereum/merges", "mirror_url": null, "updated_at": "2018-12-24T04:32:41Z", "archive_url": "https://api.github.com/repos/ethereum/pyethereum/{archive_format}{/ref}", "commits_url": "https://api.github.com/repos/ethereum/pyethereum/commits{/sha}", "compare_url": "https://api.github.com/repos/ethereum/pyethereum/compare/{base}...{head}", "description": "Next generation cryptocurrency network", "forks_count": 759, "open_issues": 93, "permissions": {"pull": true, "push": false, "admin": false}, "branches_url": "https://api.github.com/repos/ethereum/pyethereum/branches{/branch}", "comments_url": "https://api.github.com/repos/ethereum/pyethereum/comments{/number}", "contents_url": "https://api.github.com/repos/ethereum/pyethereum/contents/{+path}", "git_refs_url": "https://api.github.com/repos/ethereum/pyethereum/git/refs{/sha}", "git_tags_url": "https://api.github.com/repos/ethereum/pyethereum/git/tags{/sha}", "has_projects": true, "releases_url": "https://api.github.com/repos/ethereum/pyethereum/releases{/id}", "statuses_url": "https://api.github.com/repos/ethereum/pyethereum/statuses/{sha}", "assignees_url": "https://api.github.com/repos/ethereum/pyethereum/assignees{/user}", "downloads_url": "https://api.github.com/repos/ethereum/pyethereum/downloads", "has_downloads": true, "languages_url": "https://api.github.com/repos/ethereum/pyethereum/languages", "default_branch": "develop", "milestones_url": "https://api.github.com/repos/ethereum/pyethereum/milestones{/number}", "stargazers_url": "https://api.github.com/repos/ethereum/pyethereum/stargazers", "watchers_count": 2628, "deployments_url": "https://api.github.com/repos/ethereum/pyethereum/deployments", "git_commits_url": "https://api.github.com/repos/ethereum/pyethereum/git/commits{/sha}", "subscribers_url": "https://api.github.com/repos/ethereum/pyethereum/subscribers", "contributors_url": "https://api.github.com/repos/ethereum/pyethereum/contributors", "issue_events_url": "https://api.github.com/repos/ethereum/pyethereum/issues/events{/number}", "stargazers_count": 2628, "subscription_url": "https://api.github.com/repos/ethereum/pyethereum/subscription", "collaborators_url": "https://api.github.com/repos/ethereum/pyethereum/collaborators{/collaborator}", "issue_comment_url": "https://api.github.com/repos/ethereum/pyethereum/issues/comments{/number}", "notifications_url": "https://api.github.com/repos/ethereum/pyethereum/notifications{?since,all,participating}", "open_issues_count": 93}</t>
  </si>
  <si>
    <t>pyinstaller/pyinstaller</t>
  </si>
  <si>
    <t>Freeze (package) Python programs into stand-alone executables</t>
  </si>
  <si>
    <t>https://github.com/pyinstaller/pyinstaller</t>
  </si>
  <si>
    <t>"[\"bundle\", \"package\", \"python\", \"python-3\"]"</t>
  </si>
  <si>
    <t>[{"loc": 1914679, "ratio": 0.772665493148153, "language": "Python"}, {"loc": 519156, "ratio": 0.20950453144408152, "language": "C"}, {"loc": 15979, "ratio": 0.00644829859992946, "language": "Ruby"}, {"loc": 9080, "ratio": 0.003664218742559578, "language": "Shell"}, {"loc": 8835, "ratio": 0.0035653494042416157, "language": "C++"}, {"loc": 6332, "ratio": 0.002555267960119741, "language": "Objective-C"}, {"loc": 2339, "ratio": 0.0009438995196967899, "language": "TeX"}, {"loc": 946, "ratio": 0.00038175671040323355, "language": "Dockerfile"}, {"loc": 249, "ratio": 0.00010048353159662278, "language": "QML"}, {"loc": 191, "ratio": 0.00007707772905604398, "language": "HTML"}, {"loc": 166, "ratio": 0.00006698902106441519, "language": "Visual Basic"}, {"loc": 66, "ratio": 0.000026634189097900014, "language": "Batchfile"}]</t>
  </si>
  <si>
    <t>v3.4</t>
  </si>
  <si>
    <t>0f31b35fe96de59e1a6faf692340a9ef93492472</t>
  </si>
  <si>
    <t>pyinstaller</t>
  </si>
  <si>
    <t>{"id": 2835111, "url": "https://api.github.com/repos/pyinstaller/pyinstaller", "fork": false, "name": "pyinstaller", "size": 40120, "forks": 1057, "owner": {"id": 1215332, "url": "https://api.github.com/users/pyinstaller", "type": "Organization", "login": "pyinstaller", "node_id": "MDEyOk9yZ2FuaXphdGlvbjEyMTUzMzI=", "html_url": "https://github.com/pyinstaller", "gists_url": "https://api.github.com/users/pyinstaller/gists{/gist_id}", "repos_url": "https://api.github.com/users/pyinstaller/repos", "avatar_url": "https://avatars2.githubusercontent.com/u/1215332?v=4", "events_url": "https://api.github.com/users/pyinstaller/events{/privacy}", "site_admin": false, "gravatar_id": "", "starred_url": "https://api.github.com/users/pyinstaller/starred{/owner}{/repo}", "followers_url": "https://api.github.com/users/pyinstaller/followers", "following_url": "https://api.github.com/users/pyinstaller/following{/other_user}", "organizations_url": "https://api.github.com/users/pyinstaller/orgs", "subscriptions_url": "https://api.github.com/users/pyinstaller/subscriptions", "received_events_url": "https://api.github.com/users/pyinstaller/received_events"}, "score": 1.0, "topics": ["bundle", "package", "python", "python-3"], "git_url": "git://github.com/pyinstaller/pyinstaller.git", "license": {"key": "other", "url": null, "name": "Other", "node_id": "MDc6TGljZW5zZTA=", "spdx_id": "NOASSERTION"}, "node_id": "MDEwOlJlcG9zaXRvcnkyODM1MTEx", "private": false, "ssh_url": "git@github.com:pyinstaller/pyinstaller.git", "svn_url": "https://github.com/pyinstaller/pyinstaller", "archived": false, "has_wiki": true, "homepage": "http://www.pyinstaller.org", "html_url": "https://github.com/pyinstaller/pyinstaller", "keys_url": "https://api.github.com/repos/pyinstaller/pyinstaller/keys{/key_id}", "language": "Python", "tags_url": "https://api.github.com/repos/pyinstaller/pyinstaller/tags", "watchers": 4801, "blobs_url": "https://api.github.com/repos/pyinstaller/pyinstaller/git/blobs{/sha}", "clone_url": "https://github.com/pyinstaller/pyinstaller.git", "forks_url": "https://api.github.com/repos/pyinstaller/pyinstaller/forks", "full_name": "pyinstaller/pyinstaller", "has_pages": false, "hooks_url": "https://api.github.com/repos/pyinstaller/pyinstaller/hooks", "pulls_url": "https://api.github.com/repos/pyinstaller/pyinstaller/pulls{/number}", "pushed_at": "2018-12-24T07:10:38Z", "teams_url": "https://api.github.com/repos/pyinstaller/pyinstaller/teams", "trees_url": "https://api.github.com/repos/pyinstaller/pyinstaller/git/trees{/sha}", "created_at": "2011-11-23T11:05:56Z", "events_url": "https://api.github.com/repos/pyinstaller/pyinstaller/events", "has_issues": true, "issues_url": "https://api.github.com/repos/pyinstaller/pyinstaller/issues{/number}", "labels_url": "https://api.github.com/repos/pyinstaller/pyinstaller/labels{/name}", "merges_url": "https://api.github.com/repos/pyinstaller/pyinstaller/merges", "mirror_url": null, "updated_at": "2018-12-25T02:41:41Z", "archive_url": "https://api.github.com/repos/pyinstaller/pyinstaller/{archive_format}{/ref}", "commits_url": "https://api.github.com/repos/pyinstaller/pyinstaller/commits{/sha}", "compare_url": "https://api.github.com/repos/pyinstaller/pyinstaller/compare/{base}...{head}", "description": "Freeze (package) Python programs into stand-alone executables", "forks_count": 1057, "open_issues": 564, "permissions": {"pull": true, "push": false, "admin": false}, "branches_url": "https://api.github.com/repos/pyinstaller/pyinstaller/branches{/branch}", "comments_url": "https://api.github.com/repos/pyinstaller/pyinstaller/comments{/number}", "contents_url": "https://api.github.com/repos/pyinstaller/pyinstaller/contents/{+path}", "git_refs_url": "https://api.github.com/repos/pyinstaller/pyinstaller/git/refs{/sha}", "git_tags_url": "https://api.github.com/repos/pyinstaller/pyinstaller/git/tags{/sha}", "has_projects": true, "releases_url": "https://api.github.com/repos/pyinstaller/pyinstaller/releases{/id}", "statuses_url": "https://api.github.com/repos/pyinstaller/pyinstaller/statuses/{sha}", "assignees_url": "https://api.github.com/repos/pyinstaller/pyinstaller/assignees{/user}", "downloads_url": "https://api.github.com/repos/pyinstaller/pyinstaller/downloads", "has_downloads": true, "languages_url": "https://api.github.com/repos/pyinstaller/pyinstaller/languages", "default_branch": "develop", "milestones_url": "https://api.github.com/repos/pyinstaller/pyinstaller/milestones{/number}", "stargazers_url": "https://api.github.com/repos/pyinstaller/pyinstaller/stargazers", "watchers_count": 4801, "deployments_url": "https://api.github.com/repos/pyinstaller/pyinstaller/deployments", "git_commits_url": "https://api.github.com/repos/pyinstaller/pyinstaller/git/commits{/sha}", "subscribers_url": "https://api.github.com/repos/pyinstaller/pyinstaller/subscribers", "contributors_url": "https://api.github.com/repos/pyinstaller/pyinstaller/contributors", "issue_events_url": "https://api.github.com/repos/pyinstaller/pyinstaller/issues/events{/number}", "stargazers_count": 4801, "subscription_url": "https://api.github.com/repos/pyinstaller/pyinstaller/subscription", "collaborators_url": "https://api.github.com/repos/pyinstaller/pyinstaller/collaborators{/collaborator}", "issue_comment_url": "https://api.github.com/repos/pyinstaller/pyinstaller/issues/comments{/number}", "notifications_url": "https://api.github.com/repos/pyinstaller/pyinstaller/notifications{?since,all,participating}", "open_issues_count": 564}</t>
  </si>
  <si>
    <t>pymc-devs/pymc3</t>
  </si>
  <si>
    <t>Probabilistic Programming in Python: Bayesian Modeling and Probabilistic Machine Learning with Theano</t>
  </si>
  <si>
    <t>https://github.com/pymc-devs/pymc3</t>
  </si>
  <si>
    <t>"[\"bayesian-inference\", \"mcmc\", \"probabilistic-programming\", \"python\", \"statistical-analysis\", \"theano\", \"variational-inference\"]"</t>
  </si>
  <si>
    <t>[{"loc": 1545815, "ratio": 0.9967765315505277, "language": "Python"}, {"loc": 4139, "ratio": 0.0026689209666665376, "language": "Shell"}, {"loc": 484, "ratio": 0.00031209416474187103, "language": "Dockerfile"}, {"loc": 376, "ratio": 0.0002424533180639329, "language": "TeX"}]</t>
  </si>
  <si>
    <t>v3.6</t>
  </si>
  <si>
    <t>081e7f4a55ce45ef50a03f8062611051d9c00ce8</t>
  </si>
  <si>
    <t>pymc3</t>
  </si>
  <si>
    <t>{"id": 192904, "url": "https://api.github.com/repos/pymc-devs/pymc3", "fork": false, "name": "pymc3", "size": 270832, "forks": 938, "owner": {"id": 81121, "url": "https://api.github.com/users/pymc-devs", "type": "Organization", "login": "pymc-devs", "node_id": "MDEyOk9yZ2FuaXphdGlvbjgxMTIx", "html_url": "https://github.com/pymc-devs", "gists_url": "https://api.github.com/users/pymc-devs/gists{/gist_id}", "repos_url": "https://api.github.com/users/pymc-devs/repos", "avatar_url": "https://avatars3.githubusercontent.com/u/81121?v=4", "events_url": "https://api.github.com/users/pymc-devs/events{/privacy}", "site_admin": false, "gravatar_id": "", "starred_url": "https://api.github.com/users/pymc-devs/starred{/owner}{/repo}", "followers_url": "https://api.github.com/users/pymc-devs/followers", "following_url": "https://api.github.com/users/pymc-devs/following{/other_user}", "organizations_url": "https://api.github.com/users/pymc-devs/orgs", "subscriptions_url": "https://api.github.com/users/pymc-devs/subscriptions", "received_events_url": "https://api.github.com/users/pymc-devs/received_events"}, "score": 1.0, "topics": ["bayesian-inference", "mcmc", "probabilistic-programming", "python", "statistical-analysis", "theano", "variational-inference"], "git_url": "git://github.com/pymc-devs/pymc3.git", "license": {"key": "other", "url": null, "name": "Other", "node_id": "MDc6TGljZW5zZTA=", "spdx_id": "NOASSERTION"}, "node_id": "MDEwOlJlcG9zaXRvcnkxOTI5MDQ=", "private": false, "ssh_url": "git@github.com:pymc-devs/pymc3.git", "svn_url": "https://github.com/pymc-devs/pymc3", "archived": false, "has_wiki": true, "homepage": "https://docs.pymc.io/", "html_url": "https://github.com/pymc-devs/pymc3", "keys_url": "https://api.github.com/repos/pymc-devs/pymc3/keys{/key_id}", "language": "Python", "tags_url": "https://api.github.com/repos/pymc-devs/pymc3/tags", "watchers": 3832, "blobs_url": "https://api.github.com/repos/pymc-devs/pymc3/git/blobs{/sha}", "clone_url": "https://github.com/pymc-devs/pymc3.git", "forks_url": "https://api.github.com/repos/pymc-devs/pymc3/forks", "full_name": "pymc-devs/pymc3", "has_pages": true, "hooks_url": "https://api.github.com/repos/pymc-devs/pymc3/hooks", "pulls_url": "https://api.github.com/repos/pymc-devs/pymc3/pulls{/number}", "pushed_at": "2018-12-24T15:46:58Z", "teams_url": "https://api.github.com/repos/pymc-devs/pymc3/teams", "trees_url": "https://api.github.com/repos/pymc-devs/pymc3/git/trees{/sha}", "created_at": "2009-05-05T09:43:50Z", "events_url": "https://api.github.com/repos/pymc-devs/pymc3/events", "has_issues": true, "issues_url": "https://api.github.com/repos/pymc-devs/pymc3/issues{/number}", "labels_url": "https://api.github.com/repos/pymc-devs/pymc3/labels{/name}", "merges_url": "https://api.github.com/repos/pymc-devs/pymc3/merges", "mirror_url": null, "updated_at": "2018-12-25T02:38:47Z", "archive_url": "https://api.github.com/repos/pymc-devs/pymc3/{archive_format}{/ref}", "commits_url": "https://api.github.com/repos/pymc-devs/pymc3/commits{/sha}", "compare_url": "https://api.github.com/repos/pymc-devs/pymc3/compare/{base}...{head}", "description": "Probabilistic Programming in Python: Bayesian Modeling and Probabilistic Machine Learning with Theano", "forks_count": 938, "open_issues": 130, "permissions": {"pull": true, "push": false, "admin": false}, "branches_url": "https://api.github.com/repos/pymc-devs/pymc3/branches{/branch}", "comments_url": "https://api.github.com/repos/pymc-devs/pymc3/comments{/number}", "contents_url": "https://api.github.com/repos/pymc-devs/pymc3/contents/{+path}", "git_refs_url": "https://api.github.com/repos/pymc-devs/pymc3/git/refs{/sha}", "git_tags_url": "https://api.github.com/repos/pymc-devs/pymc3/git/tags{/sha}", "has_projects": true, "releases_url": "https://api.github.com/repos/pymc-devs/pymc3/releases{/id}", "statuses_url": "https://api.github.com/repos/pymc-devs/pymc3/statuses/{sha}", "assignees_url": "https://api.github.com/repos/pymc-devs/pymc3/assignees{/user}", "downloads_url": "https://api.github.com/repos/pymc-devs/pymc3/downloads", "has_downloads": true, "languages_url": "https://api.github.com/repos/pymc-devs/pymc3/languages", "default_branch": "master", "milestones_url": "https://api.github.com/repos/pymc-devs/pymc3/milestones{/number}", "stargazers_url": "https://api.github.com/repos/pymc-devs/pymc3/stargazers", "watchers_count": 3832, "deployments_url": "https://api.github.com/repos/pymc-devs/pymc3/deployments", "git_commits_url": "https://api.github.com/repos/pymc-devs/pymc3/git/commits{/sha}", "subscribers_url": "https://api.github.com/repos/pymc-devs/pymc3/subscribers", "contributors_url": "https://api.github.com/repos/pymc-devs/pymc3/contributors", "issue_events_url": "https://api.github.com/repos/pymc-devs/pymc3/issues/events{/number}", "stargazers_count": 3832, "subscription_url": "https://api.github.com/repos/pymc-devs/pymc3/subscription", "collaborators_url": "https://api.github.com/repos/pymc-devs/pymc3/collaborators{/collaborator}", "issue_comment_url": "https://api.github.com/repos/pymc-devs/pymc3/issues/comments{/number}", "notifications_url": "https://api.github.com/repos/pymc-devs/pymc3/notifications{?since,all,participating}", "open_issues_count": 130}</t>
  </si>
  <si>
    <t>Pylons/pyramid</t>
  </si>
  <si>
    <t>Pyramid - A Python web framework</t>
  </si>
  <si>
    <t>https://github.com/Pylons/pyramid</t>
  </si>
  <si>
    <t>"[\"pylons\", \"pyramid\", \"python\", \"web-framework\", \"wsgi\"]"</t>
  </si>
  <si>
    <t>[{"loc": 2076106, "ratio": 1.0, "language": "Python"}]</t>
  </si>
  <si>
    <t>aa6f92b4584081c42410b87fa6d9d246f659f2c0</t>
  </si>
  <si>
    <t>pyramid</t>
  </si>
  <si>
    <t>{"id": 1020639, "url": "https://api.github.com/repos/Pylons/pyramid", "fork": false, "name": "pyramid", "size": 23199, "forks": 836, "owner": {"id": 452227, "url": "https://api.github.com/users/Pylons", "type": "Organization", "login": "Pylons", "node_id": "MDEyOk9yZ2FuaXphdGlvbjQ1MjIyNw==", "html_url": "https://github.com/Pylons", "gists_url": "https://api.github.com/users/Pylons/gists{/gist_id}", "repos_url": "https://api.github.com/users/Pylons/repos", "avatar_url": "https://avatars1.githubusercontent.com/u/452227?v=4", "events_url": "https://api.github.com/users/Pylons/events{/privacy}", "site_admin": false, "gravatar_id": "", "starred_url": "https://api.github.com/users/Pylons/starred{/owner}{/repo}", "followers_url": "https://api.github.com/users/Pylons/followers", "following_url": "https://api.github.com/users/Pylons/following{/other_user}", "organizations_url": "https://api.github.com/users/Pylons/orgs", "subscriptions_url": "https://api.github.com/users/Pylons/subscriptions", "received_events_url": "https://api.github.com/users/Pylons/received_events"}, "score": 1.0, "topics": ["pylons", "pyramid", "python", "web-framework", "wsgi"], "git_url": "git://github.com/Pylons/pyramid.git", "license": {"key": "other", "url": null, "name": "Other", "node_id": "MDc6TGljZW5zZTA=", "spdx_id": "NOASSERTION"}, "node_id": "MDEwOlJlcG9zaXRvcnkxMDIwNjM5", "private": false, "ssh_url": "git@github.com:Pylons/pyramid.git", "svn_url": "https://github.com/Pylons/pyramid", "archived": false, "has_wiki": true, "homepage": "https://trypyramid.com/", "html_url": "https://github.com/Pylons/pyramid", "keys_url": "https://api.github.com/repos/Pylons/pyramid/keys{/key_id}", "language": "Python", "tags_url": "https://api.github.com/repos/Pylons/pyramid/tags", "watchers": 3009, "blobs_url": "https://api.github.com/repos/Pylons/pyramid/git/blobs{/sha}", "clone_url": "https://github.com/Pylons/pyramid.git", "forks_url": "https://api.github.com/repos/Pylons/pyramid/forks", "full_name": "Pylons/pyramid", "has_pages": false, "hooks_url": "https://api.github.com/repos/Pylons/pyramid/hooks", "pulls_url": "https://api.github.com/repos/Pylons/pyramid/pulls{/number}", "pushed_at": "2018-11-27T11:28:21Z", "teams_url": "https://api.github.com/repos/Pylons/pyramid/teams", "trees_url": "https://api.github.com/repos/Pylons/pyramid/git/trees{/sha}", "created_at": "2010-10-24T22:00:35Z", "events_url": "https://api.github.com/repos/Pylons/pyramid/events", "has_issues": true, "issues_url": "https://api.github.com/repos/Pylons/pyramid/issues{/number}", "labels_url": "https://api.github.com/repos/Pylons/pyramid/labels{/name}", "merges_url": "https://api.github.com/repos/Pylons/pyramid/merges", "mirror_url": null, "updated_at": "2018-12-24T23:53:23Z", "archive_url": "https://api.github.com/repos/Pylons/pyramid/{archive_format}{/ref}", "commits_url": "https://api.github.com/repos/Pylons/pyramid/commits{/sha}", "compare_url": "https://api.github.com/repos/Pylons/pyramid/compare/{base}...{head}", "description": "Pyramid - A Python web framework", "forks_count": 836, "open_issues": 71, "permissions": {"pull": true, "push": false, "admin": false}, "branches_url": "https://api.github.com/repos/Pylons/pyramid/branches{/branch}", "comments_url": "https://api.github.com/repos/Pylons/pyramid/comments{/number}", "contents_url": "https://api.github.com/repos/Pylons/pyramid/contents/{+path}", "git_refs_url": "https://api.github.com/repos/Pylons/pyramid/git/refs{/sha}", "git_tags_url": "https://api.github.com/repos/Pylons/pyramid/git/tags{/sha}", "has_projects": false, "releases_url": "https://api.github.com/repos/Pylons/pyramid/releases{/id}", "statuses_url": "https://api.github.com/repos/Pylons/pyramid/statuses/{sha}", "assignees_url": "https://api.github.com/repos/Pylons/pyramid/assignees{/user}", "downloads_url": "https://api.github.com/repos/Pylons/pyramid/downloads", "has_downloads": true, "languages_url": "https://api.github.com/repos/Pylons/pyramid/languages", "default_branch": "master", "milestones_url": "https://api.github.com/repos/Pylons/pyramid/milestones{/number}", "stargazers_url": "https://api.github.com/repos/Pylons/pyramid/stargazers", "watchers_count": 3009, "deployments_url": "https://api.github.com/repos/Pylons/pyramid/deployments", "git_commits_url": "https://api.github.com/repos/Pylons/pyramid/git/commits{/sha}", "subscribers_url": "https://api.github.com/repos/Pylons/pyramid/subscribers", "contributors_url": "https://api.github.com/repos/Pylons/pyramid/contributors", "issue_events_url": "https://api.github.com/repos/Pylons/pyramid/issues/events{/number}", "stargazers_count": 3009, "subscription_url": "https://api.github.com/repos/Pylons/pyramid/subscription", "collaborators_url": "https://api.github.com/repos/Pylons/pyramid/collaborators{/collaborator}", "issue_comment_url": "https://api.github.com/repos/Pylons/pyramid/issues/comments{/number}", "notifications_url": "https://api.github.com/repos/Pylons/pyramid/notifications{?since,all,participating}", "open_issues_count": 71}</t>
  </si>
  <si>
    <t>zeromq/pyzmq</t>
  </si>
  <si>
    <t>PyZMQ:  Python bindings for zeromq</t>
  </si>
  <si>
    <t>https://github.com/zeromq/pyzmq</t>
  </si>
  <si>
    <t>[{"loc": 722662, "ratio": 0.7572208000955614, "language": "Python"}, {"loc": 167790, "ratio": 0.17581397395744378, "language": "Jupyter Notebook"}, {"loc": 33292, "ratio": 0.034884074265398524, "language": "C++"}, {"loc": 23214, "ratio": 0.024324128919769355, "language": "C"}, {"loc": 3634, "ratio": 0.0038077834278642986, "language": "Makefile"}, {"loc": 3502, "ratio": 0.0036694709863458377, "language": "Batchfile"}, {"loc": 267, "ratio": 0.0002797683476168871, "language": "Dockerfile"}]</t>
  </si>
  <si>
    <t>v17.1.2</t>
  </si>
  <si>
    <t>027c800ddf63135a6d706841edb3c2b44ac43a37</t>
  </si>
  <si>
    <t>pyzmq</t>
  </si>
  <si>
    <t>{"id": 788264, "url": "https://api.github.com/repos/zeromq/pyzmq", "fork": false, "name": "pyzmq", "size": 6513, "forks": 448, "owner": {"id": 109777, "url": "https://api.github.com/users/zeromq", "type": "Organization", "login": "zeromq", "node_id": "MDEyOk9yZ2FuaXphdGlvbjEwOTc3Nw==", "html_url": "https://github.com/zeromq", "gists_url": "https://api.github.com/users/zeromq/gists{/gist_id}", "repos_url": "https://api.github.com/users/zeromq/repos", "avatar_url": "https://avatars0.githubusercontent.com/u/109777?v=4", "events_url": "https://api.github.com/users/zeromq/events{/privacy}", "site_admin": false, "gravatar_id": "", "starred_url": "https://api.github.com/users/zeromq/starred{/owner}{/repo}", "followers_url": "https://api.github.com/users/zeromq/followers", "following_url": "https://api.github.com/users/zeromq/following{/other_user}", "organizations_url": "https://api.github.com/users/zeromq/orgs", "subscriptions_url": "https://api.github.com/users/zeromq/subscriptions", "received_events_url": "https://api.github.com/users/zeromq/received_events"}, "score": 1.0, "topics": [], "git_url": "git://github.com/zeromq/pyzmq.git", "license": {"key": "other", "url": null, "name": "Other", "node_id": "MDc6TGljZW5zZTA=", "spdx_id": "NOASSERTION"}, "node_id": "MDEwOlJlcG9zaXRvcnk3ODgyNjQ=", "private": false, "ssh_url": "git@github.com:zeromq/pyzmq.git", "svn_url": "https://github.com/zeromq/pyzmq", "archived": false, "has_wiki": true, "homepage": "http://zguide.zeromq.org/py:all", "html_url": "https://github.com/zeromq/pyzmq", "keys_url": "https://api.github.com/repos/zeromq/pyzmq/keys{/key_id}", "language": "Python", "tags_url": "https://api.github.com/repos/zeromq/pyzmq/tags", "watchers": 2038, "blobs_url": "https://api.github.com/repos/zeromq/pyzmq/git/blobs{/sha}", "clone_url": "https://github.com/zeromq/pyzmq.git", "forks_url": "https://api.github.com/repos/zeromq/pyzmq/forks", "full_name": "zeromq/pyzmq", "has_pages": true, "hooks_url": "https://api.github.com/repos/zeromq/pyzmq/hooks", "pulls_url": "https://api.github.com/repos/zeromq/pyzmq/pulls{/number}", "pushed_at": "2018-12-01T19:12:47Z", "teams_url": "https://api.github.com/repos/zeromq/pyzmq/teams", "trees_url": "https://api.github.com/repos/zeromq/pyzmq/git/trees{/sha}", "created_at": "2010-07-21T07:20:37Z", "events_url": "https://api.github.com/repos/zeromq/pyzmq/events", "has_issues": true, "issues_url": "https://api.github.com/repos/zeromq/pyzmq/issues{/number}", "labels_url": "https://api.github.com/repos/zeromq/pyzmq/labels{/name}", "merges_url": "https://api.github.com/repos/zeromq/pyzmq/merges", "mirror_url": null, "updated_at": "2018-12-24T23:27:20Z", "archive_url": "https://api.github.com/repos/zeromq/pyzmq/{archive_format}{/ref}", "commits_url": "https://api.github.com/repos/zeromq/pyzmq/commits{/sha}", "compare_url": "https://api.github.com/repos/zeromq/pyzmq/compare/{base}...{head}", "description": "PyZMQ:  Python bindings for zeromq", "forks_count": 448, "open_issues": 116, "permissions": {"pull": true, "push": false, "admin": false}, "branches_url": "https://api.github.com/repos/zeromq/pyzmq/branches{/branch}", "comments_url": "https://api.github.com/repos/zeromq/pyzmq/comments{/number}", "contents_url": "https://api.github.com/repos/zeromq/pyzmq/contents/{+path}", "git_refs_url": "https://api.github.com/repos/zeromq/pyzmq/git/refs{/sha}", "git_tags_url": "https://api.github.com/repos/zeromq/pyzmq/git/tags{/sha}", "has_projects": false, "releases_url": "https://api.github.com/repos/zeromq/pyzmq/releases{/id}", "statuses_url": "https://api.github.com/repos/zeromq/pyzmq/statuses/{sha}", "assignees_url": "https://api.github.com/repos/zeromq/pyzmq/assignees{/user}", "downloads_url": "https://api.github.com/repos/zeromq/pyzmq/downloads", "has_downloads": true, "languages_url": "https://api.github.com/repos/zeromq/pyzmq/languages", "default_branch": "master", "milestones_url": "https://api.github.com/repos/zeromq/pyzmq/milestones{/number}", "stargazers_url": "https://api.github.com/repos/zeromq/pyzmq/stargazers", "watchers_count": 2038, "deployments_url": "https://api.github.com/repos/zeromq/pyzmq/deployments", "git_commits_url": "https://api.github.com/repos/zeromq/pyzmq/git/commits{/sha}", "subscribers_url": "https://api.github.com/repos/zeromq/pyzmq/subscribers", "contributors_url": "https://api.github.com/repos/zeromq/pyzmq/contributors", "issue_events_url": "https://api.github.com/repos/zeromq/pyzmq/issues/events{/number}", "stargazers_count": 2038, "subscription_url": "https://api.github.com/repos/zeromq/pyzmq/subscription", "collaborators_url": "https://api.github.com/repos/zeromq/pyzmq/collaborators{/collaborator}", "issue_comment_url": "https://api.github.com/repos/zeromq/pyzmq/issues/comments{/number}", "notifications_url": "https://api.github.com/repos/zeromq/pyzmq/notifications{?since,all,participating}", "open_issues_count": 116}</t>
  </si>
  <si>
    <t>qutebrowser/qutebrowser</t>
  </si>
  <si>
    <t>A keyboard-driven, vim-like browser based on PyQt5.</t>
  </si>
  <si>
    <t>https://github.com/qutebrowser/qutebrowser</t>
  </si>
  <si>
    <t>"[\"browser\", \"pyqt5\", \"python\", \"qt\", \"qtwebengine\", \"vim\", \"web\"]"</t>
  </si>
  <si>
    <t>[{"loc": 3595566, "ratio": 0.7454032753606603, "language": "Python"}, {"loc": 763411, "ratio": 0.15826411192183848, "language": "JavaScript"}, {"loc": 310675, "ratio": 0.06440659483727267, "language": "Gherkin"}, {"loc": 101343, "ratio": 0.021009600195038947, "language": "HTML"}, {"loc": 43443, "ratio": 0.009006246719290695, "language": "Shell"}, {"loc": 4646, "ratio": 0.000963170643321699, "language": "CSS"}, {"loc": 2251, "ratio": 0.00046665887174282057, "language": "NSIS"}, {"loc": 1339, "ratio": 0.00027759050611445436, "language": "Makefile"}, {"loc": 456, "ratio": 0.00009453418281418312, "language": "C++"}, {"loc": 330, "ratio": 0.00006841289545763252, "language": "Batchfile"}, {"loc": 192, "ratio": 0.0000398038664480771, "language": "QMake"}]</t>
  </si>
  <si>
    <t>v1.5.2</t>
  </si>
  <si>
    <t>a42f37a0c6be5651073754dd6e62cd968df07130</t>
  </si>
  <si>
    <t>qutebrowser</t>
  </si>
  <si>
    <t>{"id": 21244505, "url": "https://api.github.com/repos/qutebrowser/qutebrowser", "fork": false, "name": "qutebrowser", "size": 38145, "forks": 577, "owner": {"id": 21955151, "url": "https://api.github.com/users/qutebrowser", "type": "Organization", "login": "qutebrowser", "node_id": "MDEyOk9yZ2FuaXphdGlvbjIxOTU1MTUx", "html_url": "https://github.com/qutebrowser", "gists_url": "https://api.github.com/users/qutebrowser/gists{/gist_id}", "repos_url": "https://api.github.com/users/qutebrowser/repos", "avatar_url": "https://avatars1.githubusercontent.com/u/21955151?v=4", "events_url": "https://api.github.com/users/qutebrowser/events{/privacy}", "site_admin": false, "gravatar_id": "", "starred_url": "https://api.github.com/users/qutebrowser/starred{/owner}{/repo}", "followers_url": "https://api.github.com/users/qutebrowser/followers", "following_url": "https://api.github.com/users/qutebrowser/following{/other_user}", "organizations_url": "https://api.github.com/users/qutebrowser/orgs", "subscriptions_url": "https://api.github.com/users/qutebrowser/subscriptions", "received_events_url": "https://api.github.com/users/qutebrowser/received_events"}, "score": 1.0, "topics": ["browser", "pyqt5", "python", "qt", "qtwebengine", "vim", "web"], "git_url": "git://github.com/qutebrowser/qutebrowser.git", "license": {"key": "gpl-3.0", "url": "https://api.github.com/licenses/gpl-3.0", "name": "GNU General Public License v3.0", "node_id": "MDc6TGljZW5zZTk=", "spdx_id": "GPL-3.0"}, "node_id": "MDEwOlJlcG9zaXRvcnkyMTI0NDUwNQ==", "private": false, "ssh_url": "git@github.com:qutebrowser/qutebrowser.git", "svn_url": "https://github.com/qutebrowser/qutebrowser", "archived": false, "has_wiki": false, "homepage": "https://www.qutebrowser.org/", "html_url": "https://github.com/qutebrowser/qutebrowser", "keys_url": "https://api.github.com/repos/qutebrowser/qutebrowser/keys{/key_id}", "language": "Python", "tags_url": "https://api.github.com/repos/qutebrowser/qutebrowser/tags", "watchers": 4091, "blobs_url": "https://api.github.com/repos/qutebrowser/qutebrowser/git/blobs{/sha}", "clone_url": "https://github.com/qutebrowser/qutebrowser.git", "forks_url": "https://api.github.com/repos/qutebrowser/qutebrowser/forks", "full_name": "qutebrowser/qutebrowser", "has_pages": false, "hooks_url": "https://api.github.com/repos/qutebrowser/qutebrowser/hooks", "pulls_url": "https://api.github.com/repos/qutebrowser/qutebrowser/pulls{/number}", "pushed_at": "2018-12-24T18:22:40Z", "teams_url": "https://api.github.com/repos/qutebrowser/qutebrowser/teams", "trees_url": "https://api.github.com/repos/qutebrowser/qutebrowser/git/trees{/sha}", "created_at": "2014-06-26T14:59:34Z", "events_url": "https://api.github.com/repos/qutebrowser/qutebrowser/events", "has_issues": true, "issues_url": "https://api.github.com/repos/qutebrowser/qutebrowser/issues{/number}", "labels_url": "https://api.github.com/repos/qutebrowser/qutebrowser/labels{/name}", "merges_url": "https://api.github.com/repos/qutebrowser/qutebrowser/merges", "mirror_url": null, "updated_at": "2018-12-24T23:24:11Z", "archive_url": "https://api.github.com/repos/qutebrowser/qutebrowser/{archive_format}{/ref}", "commits_url": "https://api.github.com/repos/qutebrowser/qutebrowser/commits{/sha}", "compare_url": "https://api.github.com/repos/qutebrowser/qutebrowser/compare/{base}...{head}", "description": "A keyboard-driven, vim-like browser based on PyQt5.", "forks_count": 577, "open_issues": 660, "permissions": {"pull": true, "push": false, "admin": false}, "branches_url": "https://api.github.com/repos/qutebrowser/qutebrowser/branches{/branch}", "comments_url": "https://api.github.com/repos/qutebrowser/qutebrowser/comments{/number}", "contents_url": "https://api.github.com/repos/qutebrowser/qutebrowser/contents/{+path}", "git_refs_url": "https://api.github.com/repos/qutebrowser/qutebrowser/git/refs{/sha}", "git_tags_url": "https://api.github.com/repos/qutebrowser/qutebrowser/git/tags{/sha}", "has_projects": true, "releases_url": "https://api.github.com/repos/qutebrowser/qutebrowser/releases{/id}", "statuses_url": "https://api.github.com/repos/qutebrowser/qutebrowser/statuses/{sha}", "assignees_url": "https://api.github.com/repos/qutebrowser/qutebrowser/assignees{/user}", "downloads_url": "https://api.github.com/repos/qutebrowser/qutebrowser/downloads", "has_downloads": true, "languages_url": "https://api.github.com/repos/qutebrowser/qutebrowser/languages", "default_branch": "master", "milestones_url": "https://api.github.com/repos/qutebrowser/qutebrowser/milestones{/number}", "stargazers_url": "https://api.github.com/repos/qutebrowser/qutebrowser/stargazers", "watchers_count": 4091, "deployments_url": "https://api.github.com/repos/qutebrowser/qutebrowser/deployments", "git_commits_url": "https://api.github.com/repos/qutebrowser/qutebrowser/git/commits{/sha}", "subscribers_url": "https://api.github.com/repos/qutebrowser/qutebrowser/subscribers", "contributors_url": "https://api.github.com/repos/qutebrowser/qutebrowser/contributors", "issue_events_url": "https://api.github.com/repos/qutebrowser/qutebrowser/issues/events{/number}", "stargazers_count": 4091, "subscription_url": "https://api.github.com/repos/qutebrowser/qutebrowser/subscription", "collaborators_url": "https://api.github.com/repos/qutebrowser/qutebrowser/collaborators{/collaborator}", "issue_comment_url": "https://api.github.com/repos/qutebrowser/qutebrowser/issues/comments{/number}", "notifications_url": "https://api.github.com/repos/qutebrowser/qutebrowser/notifications{?since,all,participating}", "open_issues_count": 660}</t>
  </si>
  <si>
    <t>ranger/ranger</t>
  </si>
  <si>
    <t>A VIM-inspired filemanager for the console</t>
  </si>
  <si>
    <t>https://github.com/ranger/ranger</t>
  </si>
  <si>
    <t>"[\"console\", \"file-launcher\", \"file-manager\", \"file-preview\", \"vim\"]"</t>
  </si>
  <si>
    <t>[{"loc": 596883, "ratio": 0.9788481438418055, "language": "Python"}, {"loc": 8487, "ratio": 0.013918111584322896, "language": "Shell"}, {"loc": 4223, "ratio": 0.006925437165146176, "language": "Makefile"}, {"loc": 188, "ratio": 0.00030830740872542765, "language": "Dockerfile"}]</t>
  </si>
  <si>
    <t>v1.9.2</t>
  </si>
  <si>
    <t>d8047529f0ea0df007007ab5b3ef19363a6491e6</t>
  </si>
  <si>
    <t>ranger</t>
  </si>
  <si>
    <t>{"id": 218157, "url": "https://api.github.com/repos/ranger/ranger", "fork": false, "name": "ranger", "size": 8430, "forks": 367, "owner": {"id": 13310689, "url": "https://api.github.com/users/ranger", "type": "Organization", "login": "ranger", "node_id": "MDEyOk9yZ2FuaXphdGlvbjEzMzEwNjg5", "html_url": "https://github.com/ranger", "gists_url": "https://api.github.com/users/ranger/gists{/gist_id}", "repos_url": "https://api.github.com/users/ranger/repos", "avatar_url": "https://avatars0.githubusercontent.com/u/13310689?v=4", "events_url": "https://api.github.com/users/ranger/events{/privacy}", "site_admin": false, "gravatar_id": "", "starred_url": "https://api.github.com/users/ranger/starred{/owner}{/repo}", "followers_url": "https://api.github.com/users/ranger/followers", "following_url": "https://api.github.com/users/ranger/following{/other_user}", "organizations_url": "https://api.github.com/users/ranger/orgs", "subscriptions_url": "https://api.github.com/users/ranger/subscriptions", "received_events_url": "https://api.github.com/users/ranger/received_events"}, "score": 1.0, "topics": ["console", "file-launcher", "file-manager", "file-preview", "vim"], "git_url": "git://github.com/ranger/ranger.git", "license": {"key": "gpl-3.0", "url": "https://api.github.com/licenses/gpl-3.0", "name": "GNU General Public License v3.0", "node_id": "MDc6TGljZW5zZTk=", "spdx_id": "GPL-3.0"}, "node_id": "MDEwOlJlcG9zaXRvcnkyMTgxNTc=", "private": false, "ssh_url": "git@github.com:ranger/ranger.git", "svn_url": "https://github.com/ranger/ranger", "archived": false, "has_wiki": true, "homepage": "https://ranger.github.io/", "html_url": "https://github.com/ranger/ranger", "keys_url": "https://api.github.com/repos/ranger/ranger/keys{/key_id}", "language": "Python", "tags_url": "https://api.github.com/repos/ranger/ranger/tags", "watchers": 4765, "blobs_url": "https://api.github.com/repos/ranger/ranger/git/blobs{/sha}", "clone_url": "https://github.com/ranger/ranger.git", "forks_url": "https://api.github.com/repos/ranger/ranger/forks", "full_name": "ranger/ranger", "has_pages": false, "hooks_url": "https://api.github.com/repos/ranger/ranger/hooks", "pulls_url": "https://api.github.com/repos/ranger/ranger/pulls{/number}", "pushed_at": "2018-12-24T19:25:24Z", "teams_url": "https://api.github.com/repos/ranger/ranger/teams", "trees_url": "https://api.github.com/repos/ranger/ranger/git/trees{/sha}", "created_at": "2009-06-04T06:41:11Z", "events_url": "https://api.github.com/repos/ranger/ranger/events", "has_issues": true, "issues_url": "https://api.github.com/repos/ranger/ranger/issues{/number}", "labels_url": "https://api.github.com/repos/ranger/ranger/labels{/name}", "merges_url": "https://api.github.com/repos/ranger/ranger/merges", "mirror_url": null, "updated_at": "2018-12-25T02:27:55Z", "archive_url": "https://api.github.com/repos/ranger/ranger/{archive_format}{/ref}", "commits_url": "https://api.github.com/repos/ranger/ranger/commits{/sha}", "compare_url": "https://api.github.com/repos/ranger/ranger/compare/{base}...{head}", "description": "A VIM-inspired filemanager for the console", "forks_count": 367, "open_issues": 297, "permissions": {"pull": true, "push": false, "admin": false}, "branches_url": "https://api.github.com/repos/ranger/ranger/branches{/branch}", "comments_url": "https://api.github.com/repos/ranger/ranger/comments{/number}", "contents_url": "https://api.github.com/repos/ranger/ranger/contents/{+path}", "git_refs_url": "https://api.github.com/repos/ranger/ranger/git/refs{/sha}", "git_tags_url": "https://api.github.com/repos/ranger/ranger/git/tags{/sha}", "has_projects": true, "releases_url": "https://api.github.com/repos/ranger/ranger/releases{/id}", "statuses_url": "https://api.github.com/repos/ranger/ranger/statuses/{sha}", "assignees_url": "https://api.github.com/repos/ranger/ranger/assignees{/user}", "downloads_url": "https://api.github.com/repos/ranger/ranger/downloads", "has_downloads": true, "languages_url": "https://api.github.com/repos/ranger/ranger/languages", "default_branch": "master", "milestones_url": "https://api.github.com/repos/ranger/ranger/milestones{/number}", "stargazers_url": "https://api.github.com/repos/ranger/ranger/stargazers", "watchers_count": 4765, "deployments_url": "https://api.github.com/repos/ranger/ranger/deployments", "git_commits_url": "https://api.github.com/repos/ranger/ranger/git/commits{/sha}", "subscribers_url": "https://api.github.com/repos/ranger/ranger/subscribers", "contributors_url": "https://api.github.com/repos/ranger/ranger/contributors", "issue_events_url": "https://api.github.com/repos/ranger/ranger/issues/events{/number}", "stargazers_count": 4765, "subscription_url": "https://api.github.com/repos/ranger/ranger/subscription", "collaborators_url": "https://api.github.com/repos/ranger/ranger/collaborators{/collaborator}", "issue_comment_url": "https://api.github.com/repos/ranger/ranger/issues/comments{/number}", "notifications_url": "https://api.github.com/repos/ranger/ranger/notifications{?since,all,participating}", "open_issues_count": 297}</t>
  </si>
  <si>
    <t>getsentry/raven-python</t>
  </si>
  <si>
    <t>Raven is the legacy Python client for Sentry (getsentry.com) — replaced by sentry-python</t>
  </si>
  <si>
    <t>https://github.com/getsentry/raven-python</t>
  </si>
  <si>
    <t>"[\"crash-reporting\", \"crash-reports\", \"monitoring\", \"python\", \"sentry\", \"sentry-client\"]"</t>
  </si>
  <si>
    <t>[{"loc": 473739, "ratio": 0.9944748945674695, "language": "Python"}, {"loc": 1868, "ratio": 0.003921313430078657, "language": "Shell"}, {"loc": 663, "ratio": 0.0013917723790910865, "language": "Makefile"}, {"loc": 101, "ratio": 0.00021201962336078392, "language": "HTML"}]</t>
  </si>
  <si>
    <t>v0.7.0</t>
  </si>
  <si>
    <t>2d55add71f3a4d4cbb86ba56770b0e5038cb57cf</t>
  </si>
  <si>
    <t>raven-python</t>
  </si>
  <si>
    <t>{"id": 2527828, "url": "https://api.github.com/repos/getsentry/raven-python", "fork": false, "name": "raven-python", "size": 5957, "forks": 805, "owner": {"id": 1396951, "url": "https://api.github.com/users/getsentry", "type": "Organization", "login": "getsentry", "node_id": "MDEyOk9yZ2FuaXphdGlvbjEzOTY5NTE=", "html_url": "https://github.com/getsentry", "gists_url": "https://api.github.com/users/getsentry/gists{/gist_id}", "repos_url": "https://api.github.com/users/getsentry/repos", "avatar_url": "https://avatars0.githubusercontent.com/u/1396951?v=4", "events_url": "https://api.github.com/users/getsentry/events{/privacy}", "site_admin": false, "gravatar_id": "", "starred_url": "https://api.github.com/users/getsentry/starred{/owner}{/repo}", "followers_url": "https://api.github.com/users/getsentry/followers", "following_url": "https://api.github.com/users/getsentry/following{/other_user}", "organizations_url": "https://api.github.com/users/getsentry/orgs", "subscriptions_url": "https://api.github.com/users/getsentry/subscriptions", "received_events_url": "https://api.github.com/users/getsentry/received_events"}, "score": 1.0, "topics": ["crash-reporting", "crash-reports", "monitoring", "python", "sentry", "sentry-client"], "git_url": "git://github.com/getsentry/raven-python.git", "license": {"key": "bsd-3-clause", "url": "https://api.github.com/licenses/bsd-3-clause", "name": "BSD 3-Clause \"New\" or \"Revised\" License", "node_id": "MDc6TGljZW5zZTU=", "spdx_id": "BSD-3-Clause"}, "node_id": "MDEwOlJlcG9zaXRvcnkyNTI3ODI4", "private": false, "ssh_url": "git@github.com:getsentry/raven-python.git", "svn_url": "https://github.com/getsentry/raven-python", "archived": false, "has_wiki": false, "homepage": "https://sentry.io", "html_url": "https://github.com/getsentry/raven-python", "keys_url": "https://api.github.com/repos/getsentry/raven-python/keys{/key_id}", "language": "Python", "tags_url": "https://api.github.com/repos/getsentry/raven-python/tags", "watchers": 1585, "blobs_url": "https://api.github.com/repos/getsentry/raven-python/git/blobs{/sha}", "clone_url": "https://github.com/getsentry/raven-python.git", "forks_url": "https://api.github.com/repos/getsentry/raven-python/forks", "full_name": "getsentry/raven-python", "has_pages": false, "hooks_url": "https://api.github.com/repos/getsentry/raven-python/hooks", "pulls_url": "https://api.github.com/repos/getsentry/raven-python/pulls{/number}", "pushed_at": "2018-12-19T11:02:48Z", "teams_url": "https://api.github.com/repos/getsentry/raven-python/teams", "trees_url": "https://api.github.com/repos/getsentry/raven-python/git/trees{/sha}", "created_at": "2011-10-06T18:30:01Z", "events_url": "https://api.github.com/repos/getsentry/raven-python/events", "has_issues": true, "issues_url": "https://api.github.com/repos/getsentry/raven-python/issues{/number}", "labels_url": "https://api.github.com/repos/getsentry/raven-python/labels{/name}", "merges_url": "https://api.github.com/repos/getsentry/raven-python/merges", "mirror_url": null, "updated_at": "2018-12-22T14:37:26Z", "archive_url": "https://api.github.com/repos/getsentry/raven-python/{archive_format}{/ref}", "commits_url": "https://api.github.com/repos/getsentry/raven-python/commits{/sha}", "compare_url": "https://api.github.com/repos/getsentry/raven-python/compare/{base}...{head}", "description": "Raven is the legacy Python client for Sentry (getsentry.com) — replaced by sentry-python", "forks_count": 805, "open_issues": 253, "permissions": {"pull": true, "push": false, "admin": false}, "branches_url": "https://api.github.com/repos/getsentry/raven-python/branches{/branch}", "comments_url": "https://api.github.com/repos/getsentry/raven-python/comments{/number}", "contents_url": "https://api.github.com/repos/getsentry/raven-python/contents/{+path}", "git_refs_url": "https://api.github.com/repos/getsentry/raven-python/git/refs{/sha}", "git_tags_url": "https://api.github.com/repos/getsentry/raven-python/git/tags{/sha}", "has_projects": true, "releases_url": "https://api.github.com/repos/getsentry/raven-python/releases{/id}", "statuses_url": "https://api.github.com/repos/getsentry/raven-python/statuses/{sha}", "assignees_url": "https://api.github.com/repos/getsentry/raven-python/assignees{/user}", "downloads_url": "https://api.github.com/repos/getsentry/raven-python/downloads", "has_downloads": true, "languages_url": "https://api.github.com/repos/getsentry/raven-python/languages", "default_branch": "master", "milestones_url": "https://api.github.com/repos/getsentry/raven-python/milestones{/number}", "stargazers_url": "https://api.github.com/repos/getsentry/raven-python/stargazers", "watchers_count": 1585, "deployments_url": "https://api.github.com/repos/getsentry/raven-python/deployments", "git_commits_url": "https://api.github.com/repos/getsentry/raven-python/git/commits{/sha}", "subscribers_url": "https://api.github.com/repos/getsentry/raven-python/subscribers", "contributors_url": "https://api.github.com/repos/getsentry/raven-python/contributors", "issue_events_url": "https://api.github.com/repos/getsentry/raven-python/issues/events{/number}", "stargazers_count": 1585, "subscription_url": "https://api.github.com/repos/getsentry/raven-python/subscription", "collaborators_url": "https://api.github.com/repos/getsentry/raven-python/collaborators{/collaborator}", "issue_comment_url": "https://api.github.com/repos/getsentry/raven-python/issues/comments{/number}", "notifications_url": "https://api.github.com/repos/getsentry/raven-python/notifications{?since,all,participating}", "open_issues_count": 253}</t>
  </si>
  <si>
    <t>rtfd/readthedocs.org</t>
  </si>
  <si>
    <t>The source code that powers readthedocs.org</t>
  </si>
  <si>
    <t>https://github.com/rtfd/readthedocs.org</t>
  </si>
  <si>
    <t>"[\"docs\", \"python\", \"sphinx-doc\"]"</t>
  </si>
  <si>
    <t>[{"loc": 1650590, "ratio": 0.7024510609177625, "language": "Python"}, {"loc": 430629, "ratio": 0.18326525540076893, "language": "JavaScript"}, {"loc": 193963, "ratio": 0.08254594728478422, "language": "HTML"}, {"loc": 65109, "ratio": 0.027708810864778416, "language": "CSS"}, {"loc": 4594, "ratio": 0.0019550949502033827, "language": "Makefile"}, {"loc": 4515, "ratio": 0.0019214744667323189, "language": "Batchfile"}, {"loc": 358, "ratio": 0.00015235611497013736, "language": "Shell"}]</t>
  </si>
  <si>
    <t>2.8.4</t>
  </si>
  <si>
    <t>2796e159b32f5bbe493f184c3b1bde6cec407ea5</t>
  </si>
  <si>
    <t>readthedocs.org</t>
  </si>
  <si>
    <t>{"id": 841835, "url": "https://api.github.com/repos/rtfd/readthedocs.org", "fork": false, "name": "readthedocs.org", "size": 54910, "forks": 2673, "owner": {"id": 366329, "url": "https://api.github.com/users/rtfd", "type": "Organization", "login": "rtfd", "node_id": "MDEyOk9yZ2FuaXphdGlvbjM2NjMyOQ==", "html_url": "https://github.com/rtfd", "gists_url": "https://api.github.com/users/rtfd/gists{/gist_id}", "repos_url": "https://api.github.com/users/rtfd/repos", "avatar_url": "https://avatars2.githubusercontent.com/u/366329?v=4", "events_url": "https://api.github.com/users/rtfd/events{/privacy}", "site_admin": false, "gravatar_id": "", "starred_url": "https://api.github.com/users/rtfd/starred{/owner}{/repo}", "followers_url": "https://api.github.com/users/rtfd/followers", "following_url": "https://api.github.com/users/rtfd/following{/other_user}", "organizations_url": "https://api.github.com/users/rtfd/orgs", "subscriptions_url": "https://api.github.com/users/rtfd/subscriptions", "received_events_url": "https://api.github.com/users/rtfd/received_events"}, "score": 1.0, "topics": ["docs", "python", "sphinx-doc"], "git_url": "git://github.com/rtfd/readthedocs.org.git", "license": {"key": "mit", "url": "https://api.github.com/licenses/mit", "name": "MIT License", "node_id": "MDc6TGljZW5zZTEz", "spdx_id": "MIT"}, "node_id": "MDEwOlJlcG9zaXRvcnk4NDE4MzU=", "private": false, "ssh_url": "git@github.com:rtfd/readthedocs.org.git", "svn_url": "https://github.com/rtfd/readthedocs.org", "archived": false, "has_wiki": false, "homepage": "https://readthedocs.org/", "html_url": "https://github.com/rtfd/readthedocs.org", "keys_url": "https://api.github.com/repos/rtfd/readthedocs.org/keys{/key_id}", "language": "Python", "tags_url": "https://api.github.com/repos/rtfd/readthedocs.org/tags", "watchers": 4831, "blobs_url": "https://api.github.com/repos/rtfd/readthedocs.org/git/blobs{/sha}", "clone_url": "https://github.com/rtfd/readthedocs.org.git", "forks_url": "https://api.github.com/repos/rtfd/readthedocs.org/forks", "full_name": "rtfd/readthedocs.org", "has_pages": false, "hooks_url": "https://api.github.com/repos/rtfd/readthedocs.org/hooks", "pulls_url": "https://api.github.com/repos/rtfd/readthedocs.org/pulls{/number}", "pushed_at": "2018-12-24T18:12:19Z", "teams_url": "https://api.github.com/repos/rtfd/readthedocs.org/teams", "trees_url": "https://api.github.com/repos/rtfd/readthedocs.org/git/trees{/sha}", "created_at": "2010-08-16T19:18:06Z", "events_url": "https://api.github.com/repos/rtfd/readthedocs.org/events", "has_issues": true, "issues_url": "https://api.github.com/repos/rtfd/readthedocs.org/issues{/number}", "labels_url": "https://api.github.com/repos/rtfd/readthedocs.org/labels{/name}", "merges_url": "https://api.github.com/repos/rtfd/readthedocs.org/merges", "mirror_url": null, "updated_at": "2018-12-25T01:51:26Z", "archive_url": "https://api.github.com/repos/rtfd/readthedocs.org/{archive_format}{/ref}", "commits_url": "https://api.github.com/repos/rtfd/readthedocs.org/commits{/sha}", "compare_url": "https://api.github.com/repos/rtfd/readthedocs.org/compare/{base}...{head}", "description": "The source code that powers readthedocs.org", "forks_count": 2673, "open_issues": 359, "permissions": {"pull": true, "push": false, "admin": false}, "branches_url": "https://api.github.com/repos/rtfd/readthedocs.org/branches{/branch}", "comments_url": "https://api.github.com/repos/rtfd/readthedocs.org/comments{/number}", "contents_url": "https://api.github.com/repos/rtfd/readthedocs.org/contents/{+path}", "git_refs_url": "https://api.github.com/repos/rtfd/readthedocs.org/git/refs{/sha}", "git_tags_url": "https://api.github.com/repos/rtfd/readthedocs.org/git/tags{/sha}", "has_projects": true, "releases_url": "https://api.github.com/repos/rtfd/readthedocs.org/releases{/id}", "statuses_url": "https://api.github.com/repos/rtfd/readthedocs.org/statuses/{sha}", "assignees_url": "https://api.github.com/repos/rtfd/readthedocs.org/assignees{/user}", "downloads_url": "https://api.github.com/repos/rtfd/readthedocs.org/downloads", "has_downloads": true, "languages_url": "https://api.github.com/repos/rtfd/readthedocs.org/languages", "default_branch": "master", "milestones_url": "https://api.github.com/repos/rtfd/readthedocs.org/milestones{/number}", "stargazers_url": "https://api.github.com/repos/rtfd/readthedocs.org/stargazers", "watchers_count": 4831, "deployments_url": "https://api.github.com/repos/rtfd/readthedocs.org/deployments", "git_commits_url": "https://api.github.com/repos/rtfd/readthedocs.org/git/commits{/sha}", "subscribers_url": "https://api.github.com/repos/rtfd/readthedocs.org/subscribers", "contributors_url": "https://api.github.com/repos/rtfd/readthedocs.org/contributors", "issue_events_url": "https://api.github.com/repos/rtfd/readthedocs.org/issues/events{/number}", "stargazers_count": 4831, "subscription_url": "https://api.github.com/repos/rtfd/readthedocs.org/subscription", "collaborators_url": "https://api.github.com/repos/rtfd/readthedocs.org/collaborators{/collaborator}", "issue_comment_url": "https://api.github.com/repos/rtfd/readthedocs.org/issues/comments{/number}", "notifications_url": "https://api.github.com/repos/rtfd/readthedocs.org/notifications{?since,all,participating}", "open_issues_count": 359}</t>
  </si>
  <si>
    <t>getredash/redash</t>
  </si>
  <si>
    <t>Make Your Company Data Driven. Connect to any data source, easily visualize, dashboard and share your data.</t>
  </si>
  <si>
    <t>https://github.com/getredash/redash</t>
  </si>
  <si>
    <t>"[\"analytics\", \"angular\", \"athena\", \"bi\", \"bigquery\", \"dashboard\", \"javascript\", \"mysql\", \"postgresql\", \"python\", \"redash\", \"redshift\", \"visualization\"]"</t>
  </si>
  <si>
    <t>[{"loc": 874764, "ratio": 0.5175068018739392, "language": "Python"}, {"loc": 429104, "ratio": 0.2538561700199309, "language": "JavaScript"}, {"loc": 203232, "ratio": 0.1202312193442396, "language": "HTML"}, {"loc": 172985, "ratio": 0.10233721794925646, "language": "CSS"}, {"loc": 7840, "ratio": 0.004638111909831318, "language": "Shell"}, {"loc": 1110, "ratio": 0.0006566714566215259, "language": "Makefile"}, {"loc": 814, "ratio": 0.000481559068189119, "language": "Dockerfile"}, {"loc": 494, "ratio": 0.0002922483779919224, "language": "Mako"}]</t>
  </si>
  <si>
    <t>v6.0.0</t>
  </si>
  <si>
    <t>4780bd9c5ef212dd4c38bafb525abc991812d59b</t>
  </si>
  <si>
    <t>redash</t>
  </si>
  <si>
    <t>{"id": 13926404, "url": "https://api.github.com/repos/getredash/redash", "fork": false, "name": "redash", "size": 12781, "forks": 1797, "owner": {"id": 10746780, "url": "https://api.github.com/users/getredash", "type": "Organization", "login": "getredash", "node_id": "MDEyOk9yZ2FuaXphdGlvbjEwNzQ2Nzgw", "html_url": "https://github.com/getredash", "gists_url": "https://api.github.com/users/getredash/gists{/gist_id}", "repos_url": "https://api.github.com/users/getredash/repos", "avatar_url": "https://avatars2.githubusercontent.com/u/10746780?v=4", "events_url": "https://api.github.com/users/getredash/events{/privacy}", "site_admin": false, "gravatar_id": "", "starred_url": "https://api.github.com/users/getredash/starred{/owner}{/repo}", "followers_url": "https://api.github.com/users/getredash/followers", "following_url": "https://api.github.com/users/getredash/following{/other_user}", "organizations_url": "https://api.github.com/users/getredash/orgs", "subscriptions_url": "https://api.github.com/users/getredash/subscriptions", "received_events_url": "https://api.github.com/users/getredash/received_events"}, "score": 1.0, "topics": ["analytics", "angular", "athena", "bi", "bigquery", "dashboard", "javascript", "mysql", "postgresql", "python", "redash", "redshift", "visualization"], "git_url": "git://github.com/getredash/redash.git", "license": {"key": "bsd-2-clause", "url": "https://api.github.com/licenses/bsd-2-clause", "name": "BSD 2-Clause \"Simplified\" License", "node_id": "MDc6TGljZW5zZTQ=", "spdx_id": "BSD-2-Clause"}, "node_id": "MDEwOlJlcG9zaXRvcnkxMzkyNjQwNA==", "private": false, "ssh_url": "git@github.com:getredash/redash.git", "svn_url": "https://github.com/getredash/redash", "archived": false, "has_wiki": false, "homepage": "http://redash.io/", "html_url": "https://github.com/getredash/redash", "keys_url": "https://api.github.com/repos/getredash/redash/keys{/key_id}", "language": "Python", "tags_url": "https://api.github.com/repos/getredash/redash/tags", "watchers": 11250, "blobs_url": "https://api.github.com/repos/getredash/redash/git/blobs{/sha}", "clone_url": "https://github.com/getredash/redash.git", "forks_url": "https://api.github.com/repos/getredash/redash/forks", "full_name": "getredash/redash", "has_pages": true, "hooks_url": "https://api.github.com/repos/getredash/redash/hooks", "pulls_url": "https://api.github.com/repos/getredash/redash/pulls{/number}", "pushed_at": "2018-12-24T15:10:17Z", "teams_url": "https://api.github.com/repos/getredash/redash/teams", "trees_url": "https://api.github.com/repos/getredash/redash/git/trees{/sha}", "created_at": "2013-10-28T13:19:39Z", "events_url": "https://api.github.com/repos/getredash/redash/events", "has_issues": true, "issues_url": "https://api.github.com/repos/getredash/redash/issues{/number}", "labels_url": "https://api.github.com/repos/getredash/redash/labels{/name}", "merges_url": "https://api.github.com/repos/getredash/redash/merges", "mirror_url": null, "updated_at": "2018-12-24T22:44:19Z", "archive_url": "https://api.github.com/repos/getredash/redash/{archive_format}{/ref}", "commits_url": "https://api.github.com/repos/getredash/redash/commits{/sha}", "compare_url": "https://api.github.com/repos/getredash/redash/compare/{base}...{head}", "description": "Make Your Company Data Driven. Connect to any data source, easily visualize, dashboard and share your data.", "forks_count": 1797, "open_issues": 444, "permissions": {"pull": true, "push": false, "admin": false}, "branches_url": "https://api.github.com/repos/getredash/redash/branches{/branch}", "comments_url": "https://api.github.com/repos/getredash/redash/comments{/number}", "contents_url": "https://api.github.com/repos/getredash/redash/contents/{+path}", "git_refs_url": "https://api.github.com/repos/getredash/redash/git/refs{/sha}", "git_tags_url": "https://api.github.com/repos/getredash/redash/git/tags{/sha}", "has_projects": true, "releases_url": "https://api.github.com/repos/getredash/redash/releases{/id}", "statuses_url": "https://api.github.com/repos/getredash/redash/statuses/{sha}", "assignees_url": "https://api.github.com/repos/getredash/redash/assignees{/user}", "downloads_url": "https://api.github.com/repos/getredash/redash/downloads", "has_downloads": true, "languages_url": "https://api.github.com/repos/getredash/redash/languages", "default_branch": "master", "milestones_url": "https://api.github.com/repos/getredash/redash/milestones{/number}", "stargazers_url": "https://api.github.com/repos/getredash/redash/stargazers", "watchers_count": 11250, "deployments_url": "https://api.github.com/repos/getredash/redash/deployments", "git_commits_url": "https://api.github.com/repos/getredash/redash/git/commits{/sha}", "subscribers_url": "https://api.github.com/repos/getredash/redash/subscribers", "contributors_url": "https://api.github.com/repos/getredash/redash/contributors", "issue_events_url": "https://api.github.com/repos/getredash/redash/issues/events{/number}", "stargazers_count": 11250, "subscription_url": "https://api.github.com/repos/getredash/redash/subscription", "collaborators_url": "https://api.github.com/repos/getredash/redash/collaborators{/collaborator}", "issue_comment_url": "https://api.github.com/repos/getredash/redash/issues/comments{/number}", "notifications_url": "https://api.github.com/repos/getredash/redash/notifications{?since,all,participating}", "open_issues_count": 444}</t>
  </si>
  <si>
    <t>soimort/you-get</t>
  </si>
  <si>
    <t>:arrow_double_down: Dumb downloader that scrapes the web</t>
  </si>
  <si>
    <t>https://github.com/soimort/you-get</t>
  </si>
  <si>
    <t>[{"loc": 518811, "ratio": 0.9933864991910237, "language": "Python"}, {"loc": 2649, "ratio": 0.005072137707868611, "language": "Shell"}, {"loc": 805, "ratio": 0.0015413631011076752, "language": "Makefile"}]</t>
  </si>
  <si>
    <t>v0.4.1193</t>
  </si>
  <si>
    <t>afb2db7c3c943fcc327f7bff254bece4ae5717f8</t>
  </si>
  <si>
    <t>you-get</t>
  </si>
  <si>
    <t>{"id": 5483330, "url": "https://api.github.com/repos/soimort/you-get", "fork": false, "name": "you-get", "size": 3007, "forks": 4311, "owner": {"id": 342945, "url": "https://api.github.com/users/soimort", "type": "User", "login": "soimort", "node_id": "MDQ6VXNlcjM0Mjk0NQ==", "html_url": "https://github.com/soimort", "gists_url": "https://api.github.com/users/soimort/gists{/gist_id}", "repos_url": "https://api.github.com/users/soimort/repos", "avatar_url": "https://avatars0.githubusercontent.com/u/342945?v=4", "events_url": "https://api.github.com/users/soimort/events{/privacy}", "site_admin": false, "gravatar_id": "", "starred_url": "https://api.github.com/users/soimort/starred{/owner}{/repo}", "followers_url": "https://api.github.com/users/soimort/followers", "following_url": "https://api.github.com/users/soimort/following{/other_user}", "organizations_url": "https://api.github.com/users/soimort/orgs", "subscriptions_url": "https://api.github.com/users/soimort/subscriptions", "received_events_url": "https://api.github.com/users/soimort/received_events"}, "score": 1.0, "topics": [], "git_url": "git://github.com/soimort/you-get.git", "license": {"key": "other", "url": null, "name": "Other", "node_id": "MDc6TGljZW5zZTA=", "spdx_id": "NOASSERTION"}, "node_id": "MDEwOlJlcG9zaXRvcnk1NDgzMzMw", "private": false, "ssh_url": "git@github.com:soimort/you-get.git", "svn_url": "https://github.com/soimort/you-get", "archived": false, "has_wiki": true, "homepage": "https://you-get.org/", "html_url": "https://github.com/soimort/you-get", "keys_url": "https://api.github.com/repos/soimort/you-get/keys{/key_id}", "language": "Python", "tags_url": "https://api.github.com/repos/soimort/you-get/tags", "watchers": 21404, "blobs_url": "https://api.github.com/repos/soimort/you-get/git/blobs{/sha}", "clone_url": "https://github.com/soimort/you-get.git", "forks_url": "https://api.github.com/repos/soimort/you-get/forks", "full_name": "soimort/you-get", "has_pages": true, "hooks_url": "https://api.github.com/repos/soimort/you-get/hooks", "pulls_url": "https://api.github.com/repos/soimort/you-get/pulls{/number}", "pushed_at": "2018-12-24T17:21:36Z", "teams_url": "https://api.github.com/repos/soimort/you-get/teams", "trees_url": "https://api.github.com/repos/soimort/you-get/git/trees{/sha}", "created_at": "2012-08-20T15:53:36Z", "events_url": "https://api.github.com/repos/soimort/you-get/events", "has_issues": false, "issues_url": "https://api.github.com/repos/soimort/you-get/issues{/number}", "labels_url": "https://api.github.com/repos/soimort/you-get/labels{/name}", "merges_url": "https://api.github.com/repos/soimort/you-get/merges", "mirror_url": null, "updated_at": "2018-12-25T02:20:31Z", "archive_url": "https://api.github.com/repos/soimort/you-get/{archive_format}{/ref}", "commits_url": "https://api.github.com/repos/soimort/you-get/commits{/sha}", "compare_url": "https://api.github.com/repos/soimort/you-get/compare/{base}...{head}", "description": ":arrow_double_down: Dumb downloader that scrapes the web", "forks_count": 4311, "open_issues": 308, "permissions": {"pull": true, "push": false, "admin": false}, "branches_url": "https://api.github.com/repos/soimort/you-get/branches{/branch}", "comments_url": "https://api.github.com/repos/soimort/you-get/comments{/number}", "contents_url": "https://api.github.com/repos/soimort/you-get/contents/{+path}", "git_refs_url": "https://api.github.com/repos/soimort/you-get/git/refs{/sha}", "git_tags_url": "https://api.github.com/repos/soimort/you-get/git/tags{/sha}", "has_projects": true, "releases_url": "https://api.github.com/repos/soimort/you-get/releases{/id}", "statuses_url": "https://api.github.com/repos/soimort/you-get/statuses/{sha}", "assignees_url": "https://api.github.com/repos/soimort/you-get/assignees{/user}", "downloads_url": "https://api.github.com/repos/soimort/you-get/downloads", "has_downloads": true, "languages_url": "https://api.github.com/repos/soimort/you-get/languages", "default_branch": "develop", "milestones_url": "https://api.github.com/repos/soimort/you-get/milestones{/number}", "stargazers_url": "https://api.github.com/repos/soimort/you-get/stargazers", "watchers_count": 21404, "deployments_url": "https://api.github.com/repos/soimort/you-get/deployments", "git_commits_url": "https://api.github.com/repos/soimort/you-get/git/commits{/sha}", "subscribers_url": "https://api.github.com/repos/soimort/you-get/subscribers", "contributors_url": "https://api.github.com/repos/soimort/you-get/contributors", "issue_events_url": "https://api.github.com/repos/soimort/you-get/issues/events{/number}", "stargazers_count": 21404, "subscription_url": "https://api.github.com/repos/soimort/you-get/subscription", "collaborators_url": "https://api.github.com/repos/soimort/you-get/collaborators{/collaborator}", "issue_comment_url": "https://api.github.com/repos/soimort/you-get/issues/comments{/number}", "notifications_url": "https://api.github.com/repos/soimort/you-get/notifications{?since,all,participating}", "open_issues_count": 308}</t>
  </si>
  <si>
    <t>robotframework/robotframework</t>
  </si>
  <si>
    <t>Generic automation framework for acceptance testing and RPA</t>
  </si>
  <si>
    <t>https://github.com/robotframework/robotframework</t>
  </si>
  <si>
    <t>"[\"attd\", \"automation\", \"bdd\", \"python\", \"robotframework\", \"rpa\", \"testautomation\", \"testing\"]"</t>
  </si>
  <si>
    <t>[{"loc": 2382979, "ratio": 0.4676377316132172, "language": "Python"}, {"loc": 2326768, "ratio": 0.45660683938474583, "language": "RobotFramework"}, {"loc": 161883, "ratio": 0.03176805121100205, "language": "JavaScript"}, {"loc": 136791, "ratio": 0.02684397678078724, "language": "HTML"}, {"loc": 59565, "ratio": 0.011689083908645977, "language": "Java"}, {"loc": 27513, "ratio": 0.005399173433703967, "language": "CSS"}, {"loc": 281, "ratio": 0.000055143667897750687, "language": "Shell"}]</t>
  </si>
  <si>
    <t>802718805ac71222b67c93740a2a7c84922cca3d</t>
  </si>
  <si>
    <t>robotframework</t>
  </si>
  <si>
    <t>{"id": 21273155, "url": "https://api.github.com/repos/robotframework/robotframework", "fork": false, "name": "robotframework", "size": 95017, "forks": 939, "owner": {"id": 574284, "url": "https://api.github.com/users/robotframework", "type": "Organization", "login": "robotframework", "node_id": "MDEyOk9yZ2FuaXphdGlvbjU3NDI4NA==", "html_url": "https://github.com/robotframework", "gists_url": "https://api.github.com/users/robotframework/gists{/gist_id}", "repos_url": "https://api.github.com/users/robotframework/repos", "avatar_url": "https://avatars0.githubusercontent.com/u/574284?v=4", "events_url": "https://api.github.com/users/robotframework/events{/privacy}", "site_admin": false, "gravatar_id": "", "starred_url": "https://api.github.com/users/robotframework/starred{/owner}{/repo}", "followers_url": "https://api.github.com/users/robotframework/followers", "following_url": "https://api.github.com/users/robotframework/following{/other_user}", "organizations_url": "https://api.github.com/users/robotframework/orgs", "subscriptions_url": "https://api.github.com/users/robotframework/subscriptions", "received_events_url": "https://api.github.com/users/robotframework/received_events"}, "score": 1.0, "topics": ["attd", "automation", "bdd", "python", "robotframework", "rpa", "testautomation", "testing"], "git_url": "git://github.com/robotframework/robotframework.git", "license": {"key": "other", "url": null, "name": "Other", "node_id": "MDc6TGljZW5zZTA=", "spdx_id": "NOASSERTION"}, "node_id": "MDEwOlJlcG9zaXRvcnkyMTI3MzE1NQ==", "private": false, "ssh_url": "git@github.com:robotframework/robotframework.git", "svn_url": "https://github.com/robotframework/robotframework", "archived": false, "has_wiki": false, "homepage": "http://robotframework.org", "html_url": "https://github.com/robotframework/robotframework", "keys_url": "https://api.github.com/repos/robotframework/robotframework/keys{/key_id}", "language": "Python", "tags_url": "https://api.github.com/repos/robotframework/robotframework/tags", "watchers": 2859, "blobs_url": "https://api.github.com/repos/robotframework/robotframework/git/blobs{/sha}", "clone_url": "https://github.com/robotframework/robotframework.git", "forks_url": "https://api.github.com/repos/robotframework/robotframework/forks", "full_name": "robotframework/robotframework", "has_pages": true, "hooks_url": "https://api.github.com/repos/robotframework/robotframework/hooks", "pulls_url": "https://api.github.com/repos/robotframework/robotframework/pulls{/number}", "pushed_at": "2018-12-08T13:52:54Z", "teams_url": "https://api.github.com/repos/robotframework/robotframework/teams", "trees_url": "https://api.github.com/repos/robotframework/robotframework/git/trees{/sha}", "created_at": "2014-06-27T11:10:38Z", "events_url": "https://api.github.com/repos/robotframework/robotframework/events", "has_issues": true, "issues_url": "https://api.github.com/repos/robotframework/robotframework/issues{/number}", "labels_url": "https://api.github.com/repos/robotframework/robotframework/labels{/name}", "merges_url": "https://api.github.com/repos/robotframework/robotframework/merges", "mirror_url": null, "updated_at": "2018-12-24T12:08:03Z", "archive_url": "https://api.github.com/repos/robotframework/robotframework/{archive_format}{/ref}", "commits_url": "https://api.github.com/repos/robotframework/robotframework/commits{/sha}", "compare_url": "https://api.github.com/repos/robotframework/robotframework/compare/{base}...{head}", "description": "Generic automation framework for acceptance testing and RPA", "forks_count": 939, "open_issues": 136, "permissions": {"pull": true, "push": false, "admin": false}, "branches_url": "https://api.github.com/repos/robotframework/robotframework/branches{/branch}", "comments_url": "https://api.github.com/repos/robotframework/robotframework/comments{/number}", "contents_url": "https://api.github.com/repos/robotframework/robotframework/contents/{+path}", "git_refs_url": "https://api.github.com/repos/robotframework/robotframework/git/refs{/sha}", "git_tags_url": "https://api.github.com/repos/robotframework/robotframework/git/tags{/sha}", "has_projects": true, "releases_url": "https://api.github.com/repos/robotframework/robotframework/releases{/id}", "statuses_url": "https://api.github.com/repos/robotframework/robotframework/statuses/{sha}", "assignees_url": "https://api.github.com/repos/robotframework/robotframework/assignees{/user}", "downloads_url": "https://api.github.com/repos/robotframework/robotframework/downloads", "has_downloads": true, "languages_url": "https://api.github.com/repos/robotframework/robotframework/languages", "default_branch": "master", "milestones_url": "https://api.github.com/repos/robotframework/robotframework/milestones{/number}", "stargazers_url": "https://api.github.com/repos/robotframework/robotframework/stargazers", "watchers_count": 2859, "deployments_url": "https://api.github.com/repos/robotframework/robotframework/deployments", "git_commits_url": "https://api.github.com/repos/robotframework/robotframework/git/commits{/sha}", "subscribers_url": "https://api.github.com/repos/robotframework/robotframework/subscribers", "contributors_url": "https://api.github.com/repos/robotframework/robotframework/contributors", "issue_events_url": "https://api.github.com/repos/robotframework/robotframework/issues/events{/number}", "stargazers_count": 2859, "subscription_url": "https://api.github.com/repos/robotframework/robotframework/subscription", "collaborators_url": "https://api.github.com/repos/robotframework/robotframework/collaborators{/collaborator}", "issue_comment_url": "https://api.github.com/repos/robotframework/robotframework/issues/comments{/number}", "notifications_url": "https://api.github.com/repos/robotframework/robotframework/notifications{?since,all,participating}", "open_issues_count": 136}</t>
  </si>
  <si>
    <t>s3tools/s3cmd</t>
  </si>
  <si>
    <t>Official s3cmd repo -- Command line tool for managing Amazon S3 and CloudFront services</t>
  </si>
  <si>
    <t>https://github.com/s3tools/s3cmd</t>
  </si>
  <si>
    <t>[{"loc": 493817, "ratio": 0.9421327563970482, "language": "Python"}, {"loc": 21151, "ratio": 0.04035310637453544, "language": "Roff"}, {"loc": 7146, "ratio": 0.013633553881728062, "language": "Perl"}, {"loc": 1684, "ratio": 0.003212833016628891, "language": "Makefile"}, {"loc": 350, "ratio": 0.0006677503300594489, "language": "Shell"}]</t>
  </si>
  <si>
    <t>v2.0.2</t>
  </si>
  <si>
    <t>4801552f441cf12dec53099a6abc2b8aa36ccca4</t>
  </si>
  <si>
    <t>s3cmd</t>
  </si>
  <si>
    <t>{"id": 1857825, "url": "https://api.github.com/repos/s3tools/s3cmd", "fork": false, "name": "s3cmd", "size": 4700, "forks": 725, "owner": {"id": 834101, "url": "https://api.github.com/users/s3tools", "type": "Organization", "login": "s3tools", "node_id": "MDEyOk9yZ2FuaXphdGlvbjgzNDEwMQ==", "html_url": "https://github.com/s3tools", "gists_url": "https://api.github.com/users/s3tools/gists{/gist_id}", "repos_url": "https://api.github.com/users/s3tools/repos", "avatar_url": "https://avatars0.githubusercontent.com/u/834101?v=4", "events_url": "https://api.github.com/users/s3tools/events{/privacy}", "site_admin": false, "gravatar_id": "", "starred_url": "https://api.github.com/users/s3tools/starred{/owner}{/repo}", "followers_url": "https://api.github.com/users/s3tools/followers", "following_url": "https://api.github.com/users/s3tools/following{/other_user}", "organizations_url": "https://api.github.com/users/s3tools/orgs", "subscriptions_url": "https://api.github.com/users/s3tools/subscriptions", "received_events_url": "https://api.github.com/users/s3tools/received_events"}, "score": 1.0, "topics": [], "git_url": "git://github.com/s3tools/s3cmd.git", "license": {"key": "gpl-2.0", "url": "https://api.github.com/licenses/gpl-2.0", "name": "GNU General Public License v2.0", "node_id": "MDc6TGljZW5zZTg=", "spdx_id": "GPL-2.0"}, "node_id": "MDEwOlJlcG9zaXRvcnkxODU3ODI1", "private": false, "ssh_url": "git@github.com:s3tools/s3cmd.git", "svn_url": "https://github.com/s3tools/s3cmd", "archived": false, "has_wiki": true, "homepage": "https://s3tools.org/s3cmd", "html_url": "https://github.com/s3tools/s3cmd", "keys_url": "https://api.github.com/repos/s3tools/s3cmd/keys{/key_id}", "language": "Python", "tags_url": "https://api.github.com/repos/s3tools/s3cmd/tags", "watchers": 2873, "blobs_url": "https://api.github.com/repos/s3tools/s3cmd/git/blobs{/sha}", "clone_url": "https://github.com/s3tools/s3cmd.git", "forks_url": "https://api.github.com/repos/s3tools/s3cmd/forks", "full_name": "s3tools/s3cmd", "has_pages": false, "hooks_url": "https://api.github.com/repos/s3tools/s3cmd/hooks", "pulls_url": "https://api.github.com/repos/s3tools/s3cmd/pulls{/number}", "pushed_at": "2018-12-06T12:25:50Z", "teams_url": "https://api.github.com/repos/s3tools/s3cmd/teams", "trees_url": "https://api.github.com/repos/s3tools/s3cmd/git/trees{/sha}", "created_at": "2011-06-07T02:08:24Z", "events_url": "https://api.github.com/repos/s3tools/s3cmd/events", "has_issues": true, "issues_url": "https://api.github.com/repos/s3tools/s3cmd/issues{/number}", "labels_url": "https://api.github.com/repos/s3tools/s3cmd/labels{/name}", "merges_url": "https://api.github.com/repos/s3tools/s3cmd/merges", "mirror_url": null, "updated_at": "2018-12-24T08:25:34Z", "archive_url": "https://api.github.com/repos/s3tools/s3cmd/{archive_format}{/ref}", "commits_url": "https://api.github.com/repos/s3tools/s3cmd/commits{/sha}", "compare_url": "https://api.github.com/repos/s3tools/s3cmd/compare/{base}...{head}", "description": "Official s3cmd repo -- Command line tool for managing Amazon S3 and CloudFront services", "forks_count": 725, "open_issues": 279, "permissions": {"pull": true, "push": false, "admin": false}, "branches_url": "https://api.github.com/repos/s3tools/s3cmd/branches{/branch}", "comments_url": "https://api.github.com/repos/s3tools/s3cmd/comments{/number}", "contents_url": "https://api.github.com/repos/s3tools/s3cmd/contents/{+path}", "git_refs_url": "https://api.github.com/repos/s3tools/s3cmd/git/refs{/sha}", "git_tags_url": "https://api.github.com/repos/s3tools/s3cmd/git/tags{/sha}", "has_projects": true, "releases_url": "https://api.github.com/repos/s3tools/s3cmd/releases{/id}", "statuses_url": "https://api.github.com/repos/s3tools/s3cmd/statuses/{sha}", "assignees_url": "https://api.github.com/repos/s3tools/s3cmd/assignees{/user}", "downloads_url": "https://api.github.com/repos/s3tools/s3cmd/downloads", "has_downloads": true, "languages_url": "https://api.github.com/repos/s3tools/s3cmd/languages", "default_branch": "master", "milestones_url": "https://api.github.com/repos/s3tools/s3cmd/milestones{/number}", "stargazers_url": "https://api.github.com/repos/s3tools/s3cmd/stargazers", "watchers_count": 2873, "deployments_url": "https://api.github.com/repos/s3tools/s3cmd/deployments", "git_commits_url": "https://api.github.com/repos/s3tools/s3cmd/git/commits{/sha}", "subscribers_url": "https://api.github.com/repos/s3tools/s3cmd/subscribers", "contributors_url": "https://api.github.com/repos/s3tools/s3cmd/contributors", "issue_events_url": "https://api.github.com/repos/s3tools/s3cmd/issues/events{/number}", "stargazers_count": 2873, "subscription_url": "https://api.github.com/repos/s3tools/s3cmd/subscription", "collaborators_url": "https://api.github.com/repos/s3tools/s3cmd/collaborators{/collaborator}", "issue_comment_url": "https://api.github.com/repos/s3tools/s3cmd/issues/comments{/number}", "notifications_url": "https://api.github.com/repos/s3tools/s3cmd/notifications{?since,all,participating}", "open_issues_count": 279}</t>
  </si>
  <si>
    <t>mirumee/saleor</t>
  </si>
  <si>
    <t>A modular, high performance e-commerce storefront built with Python, GraphQL, Django, and ReactJS.</t>
  </si>
  <si>
    <t>https://github.com/mirumee/saleor</t>
  </si>
  <si>
    <t>"[\"cart\", \"commerce\", \"django\", \"e-commerce\", \"ecommerce\", \"ecommerce-platform\", \"ecommerce-storefront\", \"graphql\", \"python\", \"react\", \"shop\", \"store\", \"storefront\"]"</t>
  </si>
  <si>
    <t>[{"loc": 1902021, "ratio": 0.4461652031577451, "language": "Python"}, {"loc": 1660152, "ratio": 0.38942895706868474, "language": "TypeScript"}, {"loc": 545503, "ratio": 0.12796097246989357, "language": "HTML"}, {"loc": 91700, "ratio": 0.021510461309083982, "language": "CSS"}, {"loc": 60924, "ratio": 0.014291203323823692, "language": "JavaScript"}, {"loc": 1819, "ratio": 0.0004266906120089833, "language": "Dockerfile"}, {"loc": 923, "ratio": 0.00021651205875991838, "language": "Shell"}]</t>
  </si>
  <si>
    <t>v2018.09</t>
  </si>
  <si>
    <t>088edcd8c7cd0335579c8ace3ba290523f4cb917</t>
  </si>
  <si>
    <t>saleor</t>
  </si>
  <si>
    <t>{"id": 8162715, "url": "https://api.github.com/repos/mirumee/saleor", "fork": false, "name": "saleor", "size": 85724, "forks": 1414, "owner": {"id": 170574, "url": "https://api.github.com/users/mirumee", "type": "Organization", "login": "mirumee", "node_id": "MDEyOk9yZ2FuaXphdGlvbjE3MDU3NA==", "html_url": "https://github.com/mirumee", "gists_url": "https://api.github.com/users/mirumee/gists{/gist_id}", "repos_url": "https://api.github.com/users/mirumee/repos", "avatar_url": "https://avatars3.githubusercontent.com/u/170574?v=4", "events_url": "https://api.github.com/users/mirumee/events{/privacy}", "site_admin": false, "gravatar_id": "", "starred_url": "https://api.github.com/users/mirumee/starred{/owner}{/repo}", "followers_url": "https://api.github.com/users/mirumee/followers", "following_url": "https://api.github.com/users/mirumee/following{/other_user}", "organizations_url": "https://api.github.com/users/mirumee/orgs", "subscriptions_url": "https://api.github.com/users/mirumee/subscriptions", "received_events_url": "https://api.github.com/users/mirumee/received_events"}, "score": 1.0, "topics": ["cart", "commerce", "django", "e-commerce", "ecommerce", "ecommerce-platform", "ecommerce-storefront", "graphql", "python", "react", "shop", "store", "storefront"], "git_url": "git://github.com/mirumee/saleor.git", "license": {"key": "bsd-3-clause", "url": "https://api.github.com/licenses/bsd-3-clause", "name": "BSD 3-Clause \"New\" or \"Revised\" License", "node_id": "MDc6TGljZW5zZTU=", "spdx_id": "BSD-3-Clause"}, "node_id": "MDEwOlJlcG9zaXRvcnk4MTYyNzE1", "private": false, "ssh_url": "git@github.com:mirumee/saleor.git", "svn_url": "https://github.com/mirumee/saleor", "archived": false, "has_wiki": true, "homepage": "http://getsaleor.com", "html_url": "https://github.com/mirumee/saleor", "keys_url": "https://api.github.com/repos/mirumee/saleor/keys{/key_id}", "language": "Python", "tags_url": "https://api.github.com/repos/mirumee/saleor/tags", "watchers": 3416, "blobs_url": "https://api.github.com/repos/mirumee/saleor/git/blobs{/sha}", "clone_url": "https://github.com/mirumee/saleor.git", "forks_url": "https://api.github.com/repos/mirumee/saleor/forks", "full_name": "mirumee/saleor", "has_pages": true, "hooks_url": "https://api.github.com/repos/mirumee/saleor/hooks", "pulls_url": "https://api.github.com/repos/mirumee/saleor/pulls{/number}", "pushed_at": "2018-12-24T19:08:13Z", "teams_url": "https://api.github.com/repos/mirumee/saleor/teams", "trees_url": "https://api.github.com/repos/mirumee/saleor/git/trees{/sha}", "created_at": "2013-02-12T16:46:39Z", "events_url": "https://api.github.com/repos/mirumee/saleor/events", "has_issues": true, "issues_url": "https://api.github.com/repos/mirumee/saleor/issues{/number}", "labels_url": "https://api.github.com/repos/mirumee/saleor/labels{/name}", "merges_url": "https://api.github.com/repos/mirumee/saleor/merges", "mirror_url": null, "updated_at": "2018-12-25T01:37:43Z", "archive_url": "https://api.github.com/repos/mirumee/saleor/{archive_format}{/ref}", "commits_url": "https://api.github.com/repos/mirumee/saleor/commits{/sha}", "compare_url": "https://api.github.com/repos/mirumee/saleor/compare/{base}...{head}", "description": "A modular, high performance e-commerce storefront built with Python, GraphQL, Django, and ReactJS.", "forks_count": 1414, "open_issues": 329, "permissions": {"pull": true, "push": false, "admin": false}, "branches_url": "https://api.github.com/repos/mirumee/saleor/branches{/branch}", "comments_url": "https://api.github.com/repos/mirumee/saleor/comments{/number}", "contents_url": "https://api.github.com/repos/mirumee/saleor/contents/{+path}", "git_refs_url": "https://api.github.com/repos/mirumee/saleor/git/refs{/sha}", "git_tags_url": "https://api.github.com/repos/mirumee/saleor/git/tags{/sha}", "has_projects": true, "releases_url": "https://api.github.com/repos/mirumee/saleor/releases{/id}", "statuses_url": "https://api.github.com/repos/mirumee/saleor/statuses/{sha}", "assignees_url": "https://api.github.com/repos/mirumee/saleor/assignees{/user}", "downloads_url": "https://api.github.com/repos/mirumee/saleor/downloads", "has_downloads": true, "languages_url": "https://api.github.com/repos/mirumee/saleor/languages", "default_branch": "master", "milestones_url": "https://api.github.com/repos/mirumee/saleor/milestones{/number}", "stargazers_url": "https://api.github.com/repos/mirumee/saleor/stargazers", "watchers_count": 3416, "deployments_url": "https://api.github.com/repos/mirumee/saleor/deployments", "git_commits_url": "https://api.github.com/repos/mirumee/saleor/git/commits{/sha}", "subscribers_url": "https://api.github.com/repos/mirumee/saleor/subscribers", "contributors_url": "https://api.github.com/repos/mirumee/saleor/contributors", "issue_events_url": "https://api.github.com/repos/mirumee/saleor/issues/events{/number}", "stargazers_count": 3416, "subscription_url": "https://api.github.com/repos/mirumee/saleor/subscription", "collaborators_url": "https://api.github.com/repos/mirumee/saleor/collaborators{/collaborator}", "issue_comment_url": "https://api.github.com/repos/mirumee/saleor/issues/comments{/number}", "notifications_url": "https://api.github.com/repos/mirumee/saleor/notifications{?since,all,participating}", "open_issues_count": 329}</t>
  </si>
  <si>
    <t>saltstack/salt</t>
  </si>
  <si>
    <t>Software to automate the management and configuration of any infrastructure or application at scale. Get access to the Salt software package repository here:</t>
  </si>
  <si>
    <t>https://github.com/saltstack/salt</t>
  </si>
  <si>
    <t>"[\"cloud-management\", \"cloud-providers\", \"cloud-provisioning\", \"configuration-management\", \"event-management\", \"event-stream\", \"infrastructure-management\", \"python\", \"remote-execution\", \"zeromq\"]"</t>
  </si>
  <si>
    <t>[{"loc": 34415103, "ratio": 0.9801918390465734, "language": "Python"}, {"loc": 446451, "ratio": 0.012715569287535816, "language": "Shell"}, {"loc": 62642, "ratio": 0.0017841346336100012, "language": "SaltStack"}, {"loc": 59180, "ratio": 0.0016855318734561456, "language": "NSIS"}, {"loc": 53935, "ratio": 0.0015361466981219534, "language": "Batchfile"}, {"loc": 36561, "ratio": 0.001041310084917711, "language": "PowerShell"}, {"loc": 28643, "ratio": 0.0008157940089794589, "language": "HTML"}, {"loc": 5525, "ratio": 0.00015735997973716128, "language": "Scheme"}, {"loc": 781, "ratio": 0.00002224400799542497, "language": "Ruby"}, {"loc": 713, "ratio": 0.000020307269783275293, "language": "Makefile"}, {"loc": 493, "ratio": 0.000014041352038085159, "language": "C"}, {"loc": 191, "ratio": 0.000005439955860596887, "language": "Roff"}, {"loc": 187, "ratio": 0.0000053260300834116126, "language": "Dockerfile"}, {"loc": 174, "ratio": 0.000004955771307559468, "language": "HCL"}]</t>
  </si>
  <si>
    <t>v2018.11</t>
  </si>
  <si>
    <t>3290cf99626e02b7ce7b0fdf8fb79fb11a24e1a5</t>
  </si>
  <si>
    <t>salt</t>
  </si>
  <si>
    <t>{"id": 1390248, "url": "https://api.github.com/repos/saltstack/salt", "fork": false, "name": "salt", "size": 425249, "forks": 4436, "owner": {"id": 1147473, "url": "https://api.github.com/users/saltstack", "type": "Organization", "login": "saltstack", "node_id": "MDEyOk9yZ2FuaXphdGlvbjExNDc0NzM=", "html_url": "https://github.com/saltstack", "gists_url": "https://api.github.com/users/saltstack/gists{/gist_id}", "repos_url": "https://api.github.com/users/saltstack/repos", "avatar_url": "https://avatars3.githubusercontent.com/u/1147473?v=4", "events_url": "https://api.github.com/users/saltstack/events{/privacy}", "site_admin": false, "gravatar_id": "", "starred_url": "https://api.github.com/users/saltstack/starred{/owner}{/repo}", "followers_url": "https://api.github.com/users/saltstack/followers", "following_url": "https://api.github.com/users/saltstack/following{/other_user}", "organizations_url": "https://api.github.com/users/saltstack/orgs", "subscriptions_url": "https://api.github.com/users/saltstack/subscriptions", "received_events_url": "https://api.github.com/users/saltstack/received_events"}, "score": 1.0, "topics": ["cloud-management", "cloud-providers", "cloud-provisioning", "configuration-management", "event-management", "event-stream", "infrastructure-management", "python", "remote-execution", "zeromq"], "git_url": "git://github.com/saltstack/salt.git", "license": {"key": "apache-2.0", "url": "https://api.github.com/licenses/apache-2.0", "name": "Apache License 2.0", "node_id": "MDc6TGljZW5zZTI=", "spdx_id": "Apache-2.0"}, "node_id": "MDEwOlJlcG9zaXRvcnkxMzkwMjQ4", "private": false, "ssh_url": "git@github.com:saltstack/salt.git", "svn_url": "https://github.com/saltstack/salt", "archived": false, "has_wiki": true, "homepage": "https://repo.saltstack.com/", "html_url": "https://github.com/saltstack/salt", "keys_url": "https://api.github.com/repos/saltstack/salt/keys{/key_id}", "language": "Python", "tags_url": "https://api.github.com/repos/saltstack/salt/tags", "watchers": 9481, "blobs_url": "https://api.github.com/repos/saltstack/salt/git/blobs{/sha}", "clone_url": "https://github.com/saltstack/salt.git", "forks_url": "https://api.github.com/repos/saltstack/salt/forks", "full_name": "saltstack/salt", "has_pages": false, "hooks_url": "https://api.github.com/repos/saltstack/salt/hooks", "pulls_url": "https://api.github.com/repos/saltstack/salt/pulls{/number}", "pushed_at": "2018-12-25T00:38:47Z", "teams_url": "https://api.github.com/repos/saltstack/salt/teams", "trees_url": "https://api.github.com/repos/saltstack/salt/git/trees{/sha}", "created_at": "2011-02-20T20:16:56Z", "events_url": "https://api.github.com/repos/saltstack/salt/events", "has_issues": true, "issues_url": "https://api.github.com/repos/saltstack/salt/issues{/number}", "labels_url": "https://api.github.com/repos/saltstack/salt/labels{/name}", "merges_url": "https://api.github.com/repos/saltstack/salt/merges", "mirror_url": null, "updated_at": "2018-12-25T01:44:23Z", "archive_url": "https://api.github.com/repos/saltstack/salt/{archive_format}{/ref}", "commits_url": "https://api.github.com/repos/saltstack/salt/commits{/sha}", "compare_url": "https://api.github.com/repos/saltstack/salt/compare/{base}...{head}", "description": "Software to automate the management and configuration of any infrastructure or application at scale. Get access to the Salt software package repository here: ", "forks_count": 4436, "open_issues": 2336, "permissions": {"pull": true, "push": false, "admin": false}, "branches_url": "https://api.github.com/repos/saltstack/salt/branches{/branch}", "comments_url": "https://api.github.com/repos/saltstack/salt/comments{/number}", "contents_url": "https://api.github.com/repos/saltstack/salt/contents/{+path}", "git_refs_url": "https://api.github.com/repos/saltstack/salt/git/refs{/sha}", "git_tags_url": "https://api.github.com/repos/saltstack/salt/git/tags{/sha}", "has_projects": true, "releases_url": "https://api.github.com/repos/saltstack/salt/releases{/id}", "statuses_url": "https://api.github.com/repos/saltstack/salt/statuses/{sha}", "assignees_url": "https://api.github.com/repos/saltstack/salt/assignees{/user}", "downloads_url": "https://api.github.com/repos/saltstack/salt/downloads", "has_downloads": true, "languages_url": "https://api.github.com/repos/saltstack/salt/languages", "default_branch": "develop", "milestones_url": "https://api.github.com/repos/saltstack/salt/milestones{/number}", "stargazers_url": "https://api.github.com/repos/saltstack/salt/stargazers", "watchers_count": 9481, "deployments_url": "https://api.github.com/repos/saltstack/salt/deployments", "git_commits_url": "https://api.github.com/repos/saltstack/salt/git/commits{/sha}", "subscribers_url": "https://api.github.com/repos/saltstack/salt/subscribers", "contributors_url": "https://api.github.com/repos/saltstack/salt/contributors", "issue_events_url": "https://api.github.com/repos/saltstack/salt/issues/events{/number}", "stargazers_count": 9481, "subscription_url": "https://api.github.com/repos/saltstack/salt/subscription", "collaborators_url": "https://api.github.com/repos/saltstack/salt/collaborators{/collaborator}", "issue_comment_url": "https://api.github.com/repos/saltstack/salt/issues/comments{/number}", "notifications_url": "https://api.github.com/repos/saltstack/salt/notifications{?since,all,participating}", "open_issues_count": 2336}</t>
  </si>
  <si>
    <t>scikit-image/scikit-image</t>
  </si>
  <si>
    <t>Image processing in Python</t>
  </si>
  <si>
    <t>https://github.com/scikit-image/scikit-image</t>
  </si>
  <si>
    <t>"[\"computer-vision\", \"image-processing\", \"python\"]"</t>
  </si>
  <si>
    <t>[{"loc": 2880282, "ratio": 0.9084085798359348, "language": "Python"}, {"loc": 158972, "ratio": 0.05013798258423245, "language": "Objective-C"}, {"loc": 78468, "ratio": 0.024747925530405054, "language": "C"}, {"loc": 44817, "ratio": 0.014134778234390622, "language": "C++"}, {"loc": 7606, "ratio": 0.0023988469386789627, "language": "Shell"}, {"loc": 545, "ratio": 0.00017188687635814287, "language": "Makefile"}]</t>
  </si>
  <si>
    <t>74e6221809e430130aca5c7e96e960b34d4ec282</t>
  </si>
  <si>
    <t>scikit-image</t>
  </si>
  <si>
    <t>{"id": 2014929, "url": "https://api.github.com/repos/scikit-image/scikit-image", "fork": false, "name": "scikit-image", "size": 56475, "forks": 1187, "owner": {"id": 897180, "url": "https://api.github.com/users/scikit-image", "type": "Organization", "login": "scikit-image", "node_id": "MDEyOk9yZ2FuaXphdGlvbjg5NzE4MA==", "html_url": "https://github.com/scikit-image", "gists_url": "https://api.github.com/users/scikit-image/gists{/gist_id}", "repos_url": "https://api.github.com/users/scikit-image/repos", "avatar_url": "https://avatars0.githubusercontent.com/u/897180?v=4", "events_url": "https://api.github.com/users/scikit-image/events{/privacy}", "site_admin": false, "gravatar_id": "", "starred_url": "https://api.github.com/users/scikit-image/starred{/owner}{/repo}", "followers_url": "https://api.github.com/users/scikit-image/followers", "following_url": "https://api.github.com/users/scikit-image/following{/other_user}", "organizations_url": "https://api.github.com/users/scikit-image/orgs", "subscriptions_url": "https://api.github.com/users/scikit-image/subscriptions", "received_events_url": "https://api.github.com/users/scikit-image/received_events"}, "score": 1.0, "topics": ["computer-vision", "image-processing", "python"], "git_url": "git://github.com/scikit-image/scikit-image.git", "license": {"key": "other", "url": null, "name": "Other", "node_id": "MDc6TGljZW5zZTA=", "spdx_id": "NOASSERTION"}, "node_id": "MDEwOlJlcG9zaXRvcnkyMDE0OTI5", "private": false, "ssh_url": "git@github.com:scikit-image/scikit-image.git", "svn_url": "https://github.com/scikit-image/scikit-image", "archived": false, "has_wiki": true, "homepage": "http://scikit-image.org", "html_url": "https://github.com/scikit-image/scikit-image", "keys_url": "https://api.github.com/repos/scikit-image/scikit-image/keys{/key_id}", "language": "Python", "tags_url": "https://api.github.com/repos/scikit-image/scikit-image/tags", "watchers": 2717, "blobs_url": "https://api.github.com/repos/scikit-image/scikit-image/git/blobs{/sha}", "clone_url": "https://github.com/scikit-image/scikit-image.git", "forks_url": "https://api.github.com/repos/scikit-image/scikit-image/forks", "full_name": "scikit-image/scikit-image", "has_pages": false, "hooks_url": "https://api.github.com/repos/scikit-image/scikit-image/hooks", "pulls_url": "https://api.github.com/repos/scikit-image/scikit-image/pulls{/number}", "pushed_at": "2018-12-24T22:44:25Z", "teams_url": "https://api.github.com/repos/scikit-image/scikit-image/teams", "trees_url": "https://api.github.com/repos/scikit-image/scikit-image/git/trees{/sha}", "created_at": "2011-07-07T22:07:20Z", "events_url": "https://api.github.com/repos/scikit-image/scikit-image/events", "has_issues": true, "issues_url": "https://api.github.com/repos/scikit-image/scikit-image/issues{/number}", "labels_url": "https://api.github.com/repos/scikit-image/scikit-image/labels{/name}", "merges_url": "https://api.github.com/repos/scikit-image/scikit-image/merges", "mirror_url": null, "updated_at": "2018-12-24T23:21:48Z", "archive_url": "https://api.github.com/repos/scikit-image/scikit-image/{archive_format}{/ref}", "commits_url": "https://api.github.com/repos/scikit-image/scikit-image/commits{/sha}", "compare_url": "https://api.github.com/repos/scikit-image/scikit-image/compare/{base}...{head}", "description": "Image processing in Python", "forks_count": 1187, "open_issues": 504, "permissions": {"pull": true, "push": false, "admin": false}, "branches_url": "https://api.github.com/repos/scikit-image/scikit-image/branches{/branch}", "comments_url": "https://api.github.com/repos/scikit-image/scikit-image/comments{/number}", "contents_url": "https://api.github.com/repos/scikit-image/scikit-image/contents/{+path}", "git_refs_url": "https://api.github.com/repos/scikit-image/scikit-image/git/refs{/sha}", "git_tags_url": "https://api.github.com/repos/scikit-image/scikit-image/git/tags{/sha}", "has_projects": true, "releases_url": "https://api.github.com/repos/scikit-image/scikit-image/releases{/id}", "statuses_url": "https://api.github.com/repos/scikit-image/scikit-image/statuses/{sha}", "assignees_url": "https://api.github.com/repos/scikit-image/scikit-image/assignees{/user}", "downloads_url": "https://api.github.com/repos/scikit-image/scikit-image/downloads", "has_downloads": true, "languages_url": "https://api.github.com/repos/scikit-image/scikit-image/languages", "default_branch": "master", "milestones_url": "https://api.github.com/repos/scikit-image/scikit-image/milestones{/number}", "stargazers_url": "https://api.github.com/repos/scikit-image/scikit-image/stargazers", "watchers_count": 2717, "deployments_url": "https://api.github.com/repos/scikit-image/scikit-image/deployments", "git_commits_url": "https://api.github.com/repos/scikit-image/scikit-image/git/commits{/sha}", "subscribers_url": "https://api.github.com/repos/scikit-image/scikit-image/subscribers", "contributors_url": "https://api.github.com/repos/scikit-image/scikit-image/contributors", "issue_events_url": "https://api.github.com/repos/scikit-image/scikit-image/issues/events{/number}", "stargazers_count": 2717, "subscription_url": "https://api.github.com/repos/scikit-image/scikit-image/subscription", "collaborators_url": "https://api.github.com/repos/scikit-image/scikit-image/collaborators{/collaborator}", "issue_comment_url": "https://api.github.com/repos/scikit-image/scikit-image/issues/comments{/number}", "notifications_url": "https://api.github.com/repos/scikit-image/scikit-image/notifications{?since,all,participating}", "open_issues_count": 504}</t>
  </si>
  <si>
    <t>scikit-learn/scikit-learn</t>
  </si>
  <si>
    <t>scikit-learn: machine learning in Python</t>
  </si>
  <si>
    <t>https://github.com/scikit-learn/scikit-learn</t>
  </si>
  <si>
    <t>"[\"data-analysis\", \"data-science\", \"machine-learning\", \"python\", \"statistics\"]"</t>
  </si>
  <si>
    <t>[{"loc": 8161005, "ratio": 0.9276527886742086, "language": "Python"}, {"loc": 451891, "ratio": 0.05136597102033105, "language": "C"}, {"loc": 140428, "ratio": 0.015962301923346668, "language": "C++"}, {"loc": 22252, "ratio": 0.002529361255578019, "language": "Shell"}, {"loc": 17046, "ratio": 0.0019376007533068, "language": "PowerShell"}, {"loc": 3368, "ratio": 0.00038283699032836457, "language": "Batchfile"}, {"loc": 1488, "ratio": 0.0001691393829004176, "language": "Makefile"}]</t>
  </si>
  <si>
    <t>0.20.2</t>
  </si>
  <si>
    <t>c83447b72c4f48ceb8249ea394ebf042618b8a2a</t>
  </si>
  <si>
    <t>scikit-learn</t>
  </si>
  <si>
    <t>{"id": 843222, "url": "https://api.github.com/repos/scikit-learn/scikit-learn", "fork": false, "name": "scikit-learn", "size": 98136, "forks": 15982, "owner": {"id": 365630, "url": "https://api.github.com/users/scikit-learn", "type": "Organization", "login": "scikit-learn", "node_id": "MDEyOk9yZ2FuaXphdGlvbjM2NTYzMA==", "html_url": "https://github.com/scikit-learn", "gists_url": "https://api.github.com/users/scikit-learn/gists{/gist_id}", "repos_url": "https://api.github.com/users/scikit-learn/repos", "avatar_url": "https://avatars2.githubusercontent.com/u/365630?v=4", "events_url": "https://api.github.com/users/scikit-learn/events{/privacy}", "site_admin": false, "gravatar_id": "", "starred_url": "https://api.github.com/users/scikit-learn/starred{/owner}{/repo}", "followers_url": "https://api.github.com/users/scikit-learn/followers", "following_url": "https://api.github.com/users/scikit-learn/following{/other_user}", "organizations_url": "https://api.github.com/users/scikit-learn/orgs", "subscriptions_url": "https://api.github.com/users/scikit-learn/subscriptions", "received_events_url": "https://api.github.com/users/scikit-learn/received_events"}, "score": 1.0, "topics": ["data-analysis", "data-science", "machine-learning", "python", "statistics"], "git_url": "git://github.com/scikit-learn/scikit-learn.git", "license": {"key": "other", "url": null, "name": "Other", "node_id": "MDc6TGljZW5zZTA=", "spdx_id": "NOASSERTION"}, "node_id": "MDEwOlJlcG9zaXRvcnk4NDMyMjI=", "private": false, "ssh_url": "git@github.com:scikit-learn/scikit-learn.git", "svn_url": "https://github.com/scikit-learn/scikit-learn", "archived": false, "has_wiki": true, "homepage": "http://scikit-learn.org", "html_url": "https://github.com/scikit-learn/scikit-learn", "keys_url": "https://api.github.com/repos/scikit-learn/scikit-learn/keys{/key_id}", "language": "Python", "tags_url": "https://api.github.com/repos/scikit-learn/scikit-learn/tags", "watchers": 32458, "blobs_url": "https://api.github.com/repos/scikit-learn/scikit-learn/git/blobs{/sha}", "clone_url": "https://github.com/scikit-learn/scikit-learn.git", "forks_url": "https://api.github.com/repos/scikit-learn/scikit-learn/forks", "full_name": "scikit-learn/scikit-learn", "has_pages": false, "hooks_url": "https://api.github.com/repos/scikit-learn/scikit-learn/hooks", "pulls_url": "https://api.github.com/repos/scikit-learn/scikit-learn/pulls{/number}", "pushed_at": "2018-12-25T02:22:17Z", "teams_url": "https://api.github.com/repos/scikit-learn/scikit-learn/teams", "trees_url": "https://api.github.com/repos/scikit-learn/scikit-learn/git/trees{/sha}", "created_at": "2010-08-17T09:43:38Z", "events_url": "https://api.github.com/repos/scikit-learn/scikit-learn/events", "has_issues": true, "issues_url": "https://api.github.com/repos/scikit-learn/scikit-learn/issues{/number}", "labels_url": "https://api.github.com/repos/scikit-learn/scikit-learn/labels{/name}", "merges_url": "https://api.github.com/repos/scikit-learn/scikit-learn/merges", "mirror_url": null, "updated_at": "2018-12-25T01:45:01Z", "archive_url": "https://api.github.com/repos/scikit-learn/scikit-learn/{archive_format}{/ref}", "commits_url": "https://api.github.com/repos/scikit-learn/scikit-learn/commits{/sha}", "compare_url": "https://api.github.com/repos/scikit-learn/scikit-learn/compare/{base}...{head}", "description": "scikit-learn: machine learning in Python", "forks_count": 15982, "open_issues": 1861, "permissions": {"pull": true, "push": false, "admin": false}, "branches_url": "https://api.github.com/repos/scikit-learn/scikit-learn/branches{/branch}", "comments_url": "https://api.github.com/repos/scikit-learn/scikit-learn/comments{/number}", "contents_url": "https://api.github.com/repos/scikit-learn/scikit-learn/contents/{+path}", "git_refs_url": "https://api.github.com/repos/scikit-learn/scikit-learn/git/refs{/sha}", "git_tags_url": "https://api.github.com/repos/scikit-learn/scikit-learn/git/tags{/sha}", "has_projects": true, "releases_url": "https://api.github.com/repos/scikit-learn/scikit-learn/releases{/id}", "statuses_url": "https://api.github.com/repos/scikit-learn/scikit-learn/statuses/{sha}", "assignees_url": "https://api.github.com/repos/scikit-learn/scikit-learn/assignees{/user}", "downloads_url": "https://api.github.com/repos/scikit-learn/scikit-learn/downloads", "has_downloads": true, "languages_url": "https://api.github.com/repos/scikit-learn/scikit-learn/languages", "default_branch": "master", "milestones_url": "https://api.github.com/repos/scikit-learn/scikit-learn/milestones{/number}", "stargazers_url": "https://api.github.com/repos/scikit-learn/scikit-learn/stargazers", "watchers_count": 32458, "deployments_url": "https://api.github.com/repos/scikit-learn/scikit-learn/deployments", "git_commits_url": "https://api.github.com/repos/scikit-learn/scikit-learn/git/commits{/sha}", "subscribers_url": "https://api.github.com/repos/scikit-learn/scikit-learn/subscribers", "contributors_url": "https://api.github.com/repos/scikit-learn/scikit-learn/contributors", "issue_events_url": "https://api.github.com/repos/scikit-learn/scikit-learn/issues/events{/number}", "stargazers_count": 32458, "subscription_url": "https://api.github.com/repos/scikit-learn/scikit-learn/subscription", "collaborators_url": "https://api.github.com/repos/scikit-learn/scikit-learn/collaborators{/collaborator}", "issue_comment_url": "https://api.github.com/repos/scikit-learn/scikit-learn/issues/comments{/number}", "notifications_url": "https://api.github.com/repos/scikit-learn/scikit-learn/notifications{?since,all,participating}", "open_issues_count": 1861}</t>
  </si>
  <si>
    <t>scipy/scipy</t>
  </si>
  <si>
    <t>Scipy library main repository</t>
  </si>
  <si>
    <t>https://github.com/scipy/scipy</t>
  </si>
  <si>
    <t>[{"loc": 11748532, "ratio": 0.5343347517486641, "language": "Python"}, {"loc": 5494417, "ratio": 0.24989147101090076, "language": "Fortran"}, {"loc": 4210965, "ratio": 0.19151881595907586, "language": "C"}, {"loc": 472243, "ratio": 0.02147807455178608, "language": "C++"}, {"loc": 52106, "ratio": 0.002369831956419397, "language": "TeX"}, {"loc": 4346, "ratio": 0.00019766034012587224, "language": "MATLAB"}, {"loc": 3826, "ratio": 0.00017401023040073337, "language": "Shell"}, {"loc": 778, "ratio": 0.000035384202627227014, "language": "Makefile"}]</t>
  </si>
  <si>
    <t>v1.2.0</t>
  </si>
  <si>
    <t>722bfc3f2cb4884c7ef3eb87cefcb91ff7479208</t>
  </si>
  <si>
    <t>scipy</t>
  </si>
  <si>
    <t>{"id": 1460385, "url": "https://api.github.com/repos/scipy/scipy", "fork": false, "name": "scipy", "size": 83900, "forks": 2618, "owner": {"id": 288277, "url": "https://api.github.com/users/scipy", "type": "Organization", "login": "scipy", "node_id": "MDEyOk9yZ2FuaXphdGlvbjI4ODI3Nw==", "html_url": "https://github.com/scipy", "gists_url": "https://api.github.com/users/scipy/gists{/gist_id}", "repos_url": "https://api.github.com/users/scipy/repos", "avatar_url": "https://avatars2.githubusercontent.com/u/288277?v=4", "events_url": "https://api.github.com/users/scipy/events{/privacy}", "site_admin": false, "gravatar_id": "", "starred_url": "https://api.github.com/users/scipy/starred{/owner}{/repo}", "followers_url": "https://api.github.com/users/scipy/followers", "following_url": "https://api.github.com/users/scipy/following{/other_user}", "organizations_url": "https://api.github.com/users/scipy/orgs", "subscriptions_url": "https://api.github.com/users/scipy/subscriptions", "received_events_url": "https://api.github.com/users/scipy/received_events"}, "score": 1.0, "topics": [], "git_url": "git://github.com/scipy/scipy.git", "license": {"key": "other", "url": null, "name": "Other", "node_id": "MDc6TGljZW5zZTA=", "spdx_id": "NOASSERTION"}, "node_id": "MDEwOlJlcG9zaXRvcnkxNDYwMzg1", "private": false, "ssh_url": "git@github.com:scipy/scipy.git", "svn_url": "https://github.com/scipy/scipy", "archived": false, "has_wiki": true, "homepage": "https://scipy.org/scipylib/", "html_url": "https://github.com/scipy/scipy", "keys_url": "https://api.github.com/repos/scipy/scipy/keys{/key_id}", "language": "Python", "tags_url": "https://api.github.com/repos/scipy/scipy/tags", "watchers": 5234, "blobs_url": "https://api.github.com/repos/scipy/scipy/git/blobs{/sha}", "clone_url": "https://github.com/scipy/scipy.git", "forks_url": "https://api.github.com/repos/scipy/scipy/forks", "full_name": "scipy/scipy", "has_pages": false, "hooks_url": "https://api.github.com/repos/scipy/scipy/hooks", "pulls_url": "https://api.github.com/repos/scipy/scipy/pulls{/number}", "pushed_at": "2018-12-23T20:38:13Z", "teams_url": "https://api.github.com/repos/scipy/scipy/teams", "trees_url": "https://api.github.com/repos/scipy/scipy/git/trees{/sha}", "created_at": "2011-03-09T18:52:03Z", "events_url": "https://api.github.com/repos/scipy/scipy/events", "has_issues": true, "issues_url": "https://api.github.com/repos/scipy/scipy/issues{/number}", "labels_url": "https://api.github.com/repos/scipy/scipy/labels{/name}", "merges_url": "https://api.github.com/repos/scipy/scipy/merges", "mirror_url": null, "updated_at": "2018-12-24T23:16:59Z", "archive_url": "https://api.github.com/repos/scipy/scipy/{archive_format}{/ref}", "commits_url": "https://api.github.com/repos/scipy/scipy/commits{/sha}", "compare_url": "https://api.github.com/repos/scipy/scipy/compare/{base}...{head}", "description": "Scipy library main repository", "forks_count": 2618, "open_issues": 1346, "permissions": {"pull": true, "push": false, "admin": false}, "branches_url": "https://api.github.com/repos/scipy/scipy/branches{/branch}", "comments_url": "https://api.github.com/repos/scipy/scipy/comments{/number}", "contents_url": "https://api.github.com/repos/scipy/scipy/contents/{+path}", "git_refs_url": "https://api.github.com/repos/scipy/scipy/git/refs{/sha}", "git_tags_url": "https://api.github.com/repos/scipy/scipy/git/tags{/sha}", "has_projects": true, "releases_url": "https://api.github.com/repos/scipy/scipy/releases{/id}", "statuses_url": "https://api.github.com/repos/scipy/scipy/statuses/{sha}", "assignees_url": "https://api.github.com/repos/scipy/scipy/assignees{/user}", "downloads_url": "https://api.github.com/repos/scipy/scipy/downloads", "has_downloads": true, "languages_url": "https://api.github.com/repos/scipy/scipy/languages", "default_branch": "master", "milestones_url": "https://api.github.com/repos/scipy/scipy/milestones{/number}", "stargazers_url": "https://api.github.com/repos/scipy/scipy/stargazers", "watchers_count": 5234, "deployments_url": "https://api.github.com/repos/scipy/scipy/deployments", "git_commits_url": "https://api.github.com/repos/scipy/scipy/git/commits{/sha}", "subscribers_url": "https://api.github.com/repos/scipy/scipy/subscribers", "contributors_url": "https://api.github.com/repos/scipy/scipy/contributors", "issue_events_url": "https://api.github.com/repos/scipy/scipy/issues/events{/number}", "stargazers_count": 5234, "subscription_url": "https://api.github.com/repos/scipy/scipy/subscription", "collaborators_url": "https://api.github.com/repos/scipy/scipy/collaborators{/collaborator}", "issue_comment_url": "https://api.github.com/repos/scipy/scipy/issues/comments{/number}", "notifications_url": "https://api.github.com/repos/scipy/scipy/notifications{?since,all,participating}", "open_issues_count": 1346}</t>
  </si>
  <si>
    <t>scrapy/scrapy</t>
  </si>
  <si>
    <t>Scrapy, a fast high-level web crawling &amp; scraping framework for Python.</t>
  </si>
  <si>
    <t>https://github.com/scrapy/scrapy</t>
  </si>
  <si>
    <t>"[\"crawler\", \"crawling\", \"framework\", \"python\", \"scraping\"]"</t>
  </si>
  <si>
    <t>[{"loc": 1337407, "ratio": 0.9967616966473685, "language": "Python"}, {"loc": 2076, "ratio": 0.0015472307848246173, "language": "HTML"}, {"loc": 2010, "ratio": 0.0014980413668099618, "language": "Roff"}, {"loc": 259, "ratio": 0.00019303120099690554, "language": "Shell"}]</t>
  </si>
  <si>
    <t>1.6.0</t>
  </si>
  <si>
    <t>fa1039f5b27162a02dbcc8ef4de7fa07ca36a51c</t>
  </si>
  <si>
    <t>scrapy</t>
  </si>
  <si>
    <t>{"id": 529502, "url": "https://api.github.com/repos/scrapy/scrapy", "fork": false, "name": "scrapy", "size": 16519, "forks": 7370, "owner": {"id": 733635, "url": "https://api.github.com/users/scrapy", "type": "Organization", "login": "scrapy", "node_id": "MDEyOk9yZ2FuaXphdGlvbjczMzYzNQ==", "html_url": "https://github.com/scrapy", "gists_url": "https://api.github.com/users/scrapy/gists{/gist_id}", "repos_url": "https://api.github.com/users/scrapy/repos", "avatar_url": "https://avatars0.githubusercontent.com/u/733635?v=4", "events_url": "https://api.github.com/users/scrapy/events{/privacy}", "site_admin": false, "gravatar_id": "", "starred_url": "https://api.github.com/users/scrapy/starred{/owner}{/repo}", "followers_url": "https://api.github.com/users/scrapy/followers", "following_url": "https://api.github.com/users/scrapy/following{/other_user}", "organizations_url": "https://api.github.com/users/scrapy/orgs", "subscriptions_url": "https://api.github.com/users/scrapy/subscriptions", "received_events_url": "https://api.github.com/users/scrapy/received_events"}, "score": 1.0, "topics": ["crawler", "crawling", "framework", "python", "scraping"], "git_url": "git://github.com/scrapy/scrapy.git", "license": {"key": "other", "url": null, "name": "Other", "node_id": "MDc6TGljZW5zZTA=", "spdx_id": "NOASSERTION"}, "node_id": "MDEwOlJlcG9zaXRvcnk1Mjk1MDI=", "private": false, "ssh_url": "git@github.com:scrapy/scrapy.git", "svn_url": "https://github.com/scrapy/scrapy", "archived": false, "has_wiki": true, "homepage": "https://scrapy.org", "html_url": "https://github.com/scrapy/scrapy", "keys_url": "https://api.github.com/repos/scrapy/scrapy/keys{/key_id}", "language": "Python", "tags_url": "https://api.github.com/repos/scrapy/scrapy/tags", "watchers": 30626, "blobs_url": "https://api.github.com/repos/scrapy/scrapy/git/blobs{/sha}", "clone_url": "https://github.com/scrapy/scrapy.git", "forks_url": "https://api.github.com/repos/scrapy/scrapy/forks", "full_name": "scrapy/scrapy", "has_pages": false, "hooks_url": "https://api.github.com/repos/scrapy/scrapy/hooks", "pulls_url": "https://api.github.com/repos/scrapy/scrapy/pulls{/number}", "pushed_at": "2018-12-24T18:02:16Z", "teams_url": "https://api.github.com/repos/scrapy/scrapy/teams", "trees_url": "https://api.github.com/repos/scrapy/scrapy/git/trees{/sha}", "created_at": "2010-02-22T02:01:14Z", "events_url": "https://api.github.com/repos/scrapy/scrapy/events", "has_issues": true, "issues_url": "https://api.github.com/repos/scrapy/scrapy/issues{/number}", "labels_url": "https://api.github.com/repos/scrapy/scrapy/labels{/name}", "merges_url": "https://api.github.com/repos/scrapy/scrapy/merges", "mirror_url": null, "updated_at": "2018-12-25T02:28:25Z", "archive_url": "https://api.github.com/repos/scrapy/scrapy/{archive_format}{/ref}", "commits_url": "https://api.github.com/repos/scrapy/scrapy/commits{/sha}", "compare_url": "https://api.github.com/repos/scrapy/scrapy/compare/{base}...{head}", "description": "Scrapy, a fast high-level web crawling &amp; scraping framework for Python.", "forks_count": 7370, "open_issues": 708, "permissions": {"pull": true, "push": false, "admin": false}, "branches_url": "https://api.github.com/repos/scrapy/scrapy/branches{/branch}", "comments_url": "https://api.github.com/repos/scrapy/scrapy/comments{/number}", "contents_url": "https://api.github.com/repos/scrapy/scrapy/contents/{+path}", "git_refs_url": "https://api.github.com/repos/scrapy/scrapy/git/refs{/sha}", "git_tags_url": "https://api.github.com/repos/scrapy/scrapy/git/tags{/sha}", "has_projects": true, "releases_url": "https://api.github.com/repos/scrapy/scrapy/releases{/id}", "statuses_url": "https://api.github.com/repos/scrapy/scrapy/statuses/{sha}", "assignees_url": "https://api.github.com/repos/scrapy/scrapy/assignees{/user}", "downloads_url": "https://api.github.com/repos/scrapy/scrapy/downloads", "has_downloads": false, "languages_url": "https://api.github.com/repos/scrapy/scrapy/languages", "default_branch": "master", "milestones_url": "https://api.github.com/repos/scrapy/scrapy/milestones{/number}", "stargazers_url": "https://api.github.com/repos/scrapy/scrapy/stargazers", "watchers_count": 30626, "deployments_url": "https://api.github.com/repos/scrapy/scrapy/deployments", "git_commits_url": "https://api.github.com/repos/scrapy/scrapy/git/commits{/sha}", "subscribers_url": "https://api.github.com/repos/scrapy/scrapy/subscribers", "contributors_url": "https://api.github.com/repos/scrapy/scrapy/contributors", "issue_events_url": "https://api.github.com/repos/scrapy/scrapy/issues/events{/number}", "stargazers_count": 30626, "subscription_url": "https://api.github.com/repos/scrapy/scrapy/subscription", "collaborators_url": "https://api.github.com/repos/scrapy/scrapy/collaborators{/collaborator}", "issue_comment_url": "https://api.github.com/repos/scrapy/scrapy/issues/comments{/number}", "notifications_url": "https://api.github.com/repos/scrapy/scrapy/notifications{?since,all,participating}", "open_issues_count": 708}</t>
  </si>
  <si>
    <t>freedomofpress/securedrop</t>
  </si>
  <si>
    <t>GitHub repository for the SecureDrop whistleblower platform. Do not submit tips here!</t>
  </si>
  <si>
    <t>https://github.com/freedomofpress/securedrop</t>
  </si>
  <si>
    <t>"[\"flask-application\", \"journalism\", \"python\", \"securedrop\"]"</t>
  </si>
  <si>
    <t>[{"loc": 923470, "ratio": 0.7853617756641349, "language": "Python"}, {"loc": 87777, "ratio": 0.07464963732711487, "language": "Shell"}, {"loc": 77349, "ratio": 0.0657811818314024, "language": "CSS"}, {"loc": 60192, "ratio": 0.05119007222841631, "language": "HTML"}, {"loc": 11827, "ratio": 0.010058230067874131, "language": "Makefile"}, {"loc": 10617, "ratio": 0.00902918987322395, "language": "JavaScript"}, {"loc": 3402, "ratio": 0.0028932187952065438, "language": "Dockerfile"}, {"loc": 725, "ratio": 0.0006165736703482493, "language": "Ruby"}, {"loc": 494, "ratio": 0.0004201205422786692, "language": "Mako"}]</t>
  </si>
  <si>
    <t>0.11.0</t>
  </si>
  <si>
    <t>4412aa4e257ce8273acb1fd7e78cdb571e18fdec</t>
  </si>
  <si>
    <t>securedrop</t>
  </si>
  <si>
    <t>{"id": 3156820, "url": "https://api.github.com/repos/freedomofpress/securedrop", "fork": false, "name": "securedrop", "size": 75240, "forks": 528, "owner": {"id": 5388147, "url": "https://api.github.com/users/freedomofpress", "type": "Organization", "login": "freedomofpress", "node_id": "MDEyOk9yZ2FuaXphdGlvbjUzODgxNDc=", "html_url": "https://github.com/freedomofpress", "gists_url": "https://api.github.com/users/freedomofpress/gists{/gist_id}", "repos_url": "https://api.github.com/users/freedomofpress/repos", "avatar_url": "https://avatars1.githubusercontent.com/u/5388147?v=4", "events_url": "https://api.github.com/users/freedomofpress/events{/privacy}", "site_admin": false, "gravatar_id": "", "starred_url": "https://api.github.com/users/freedomofpress/starred{/owner}{/repo}", "followers_url": "https://api.github.com/users/freedomofpress/followers", "following_url": "https://api.github.com/users/freedomofpress/following{/other_user}", "organizations_url": "https://api.github.com/users/freedomofpress/orgs", "subscriptions_url": "https://api.github.com/users/freedomofpress/subscriptions", "received_events_url": "https://api.github.com/users/freedomofpress/received_events"}, "score": 1.0, "topics": ["flask-application", "journalism", "python", "securedrop"], "git_url": "git://github.com/freedomofpress/securedrop.git", "license": {"key": "agpl-3.0", "url": "https://api.github.com/licenses/agpl-3.0", "name": "GNU Affero General Public License v3.0", "node_id": "MDc6TGljZW5zZTE=", "spdx_id": "AGPL-3.0"}, "node_id": "MDEwOlJlcG9zaXRvcnkzMTU2ODIw", "private": false, "ssh_url": "git@github.com:freedomofpress/securedrop.git", "svn_url": "https://github.com/freedomofpress/securedrop", "archived": false, "has_wiki": true, "homepage": "https://securedrop.org/", "html_url": "https://github.com/freedomofpress/securedrop", "keys_url": "https://api.github.com/repos/freedomofpress/securedrop/keys{/key_id}", "language": "Python", "tags_url": "https://api.github.com/repos/freedomofpress/securedrop/tags", "watchers": 2545, "blobs_url": "https://api.github.com/repos/freedomofpress/securedrop/git/blobs{/sha}", "clone_url": "https://github.com/freedomofpress/securedrop.git", "forks_url": "https://api.github.com/repos/freedomofpress/securedrop/forks", "full_name": "freedomofpress/securedrop", "has_pages": false, "hooks_url": "https://api.github.com/repos/freedomofpress/securedrop/hooks", "pulls_url": "https://api.github.com/repos/freedomofpress/securedrop/pulls{/number}", "pushed_at": "2018-12-22T15:08:24Z", "teams_url": "https://api.github.com/repos/freedomofpress/securedrop/teams", "trees_url": "https://api.github.com/repos/freedomofpress/securedrop/git/trees{/sha}", "created_at": "2012-01-11T19:57:55Z", "events_url": "https://api.github.com/repos/freedomofpress/securedrop/events", "has_issues": true, "issues_url": "https://api.github.com/repos/freedomofpress/securedrop/issues{/number}", "labels_url": "https://api.github.com/repos/freedomofpress/securedrop/labels{/name}", "merges_url": "https://api.github.com/repos/freedomofpress/securedrop/merges", "mirror_url": null, "updated_at": "2018-12-21T10:10:51Z", "archive_url": "https://api.github.com/repos/freedomofpress/securedrop/{archive_format}{/ref}", "commits_url": "https://api.github.com/repos/freedomofpress/securedrop/commits{/sha}", "compare_url": "https://api.github.com/repos/freedomofpress/securedrop/compare/{base}...{head}", "description": "GitHub repository for the SecureDrop whistleblower platform. Do not submit tips here!", "forks_count": 528, "open_issues": 422, "permissions": {"pull": true, "push": false, "admin": false}, "branches_url": "https://api.github.com/repos/freedomofpress/securedrop/branches{/branch}", "comments_url": "https://api.github.com/repos/freedomofpress/securedrop/comments{/number}", "contents_url": "https://api.github.com/repos/freedomofpress/securedrop/contents/{+path}", "git_refs_url": "https://api.github.com/repos/freedomofpress/securedrop/git/refs{/sha}", "git_tags_url": "https://api.github.com/repos/freedomofpress/securedrop/git/tags{/sha}", "has_projects": true, "releases_url": "https://api.github.com/repos/freedomofpress/securedrop/releases{/id}", "statuses_url": "https://api.github.com/repos/freedomofpress/securedrop/statuses/{sha}", "assignees_url": "https://api.github.com/repos/freedomofpress/securedrop/assignees{/user}", "downloads_url": "https://api.github.com/repos/freedomofpress/securedrop/downloads", "has_downloads": true, "languages_url": "https://api.github.com/repos/freedomofpress/securedrop/languages", "default_branch": "develop", "milestones_url": "https://api.github.com/repos/freedomofpress/securedrop/milestones{/number}", "stargazers_url": "https://api.github.com/repos/freedomofpress/securedrop/stargazers", "watchers_count": 2545, "deployments_url": "https://api.github.com/repos/freedomofpress/securedrop/deployments", "git_commits_url": "https://api.github.com/repos/freedomofpress/securedrop/git/commits{/sha}", "subscribers_url": "https://api.github.com/repos/freedomofpress/securedrop/subscribers", "contributors_url": "https://api.github.com/repos/freedomofpress/securedrop/contributors", "issue_events_url": "https://api.github.com/repos/freedomofpress/securedrop/issues/events{/number}", "stargazers_count": 2545, "subscription_url": "https://api.github.com/repos/freedomofpress/securedrop/subscription", "collaborators_url": "https://api.github.com/repos/freedomofpress/securedrop/collaborators{/collaborator}", "issue_comment_url": "https://api.github.com/repos/freedomofpress/securedrop/issues/comments{/number}", "notifications_url": "https://api.github.com/repos/freedomofpress/securedrop/notifications{?since,all,participating}", "open_issues_count": 422}</t>
  </si>
  <si>
    <t>Netflix/security_monkey</t>
  </si>
  <si>
    <t>Security Monkey monitors AWS, GCP, OpenStack, and GitHub orgs for assets and their changes over time.</t>
  </si>
  <si>
    <t>https://github.com/Netflix/security_monkey</t>
  </si>
  <si>
    <t>"[\"aws\", \"aws-ec2\", \"aws-iam\", \"aws-policy-tracking\", \"aws-s3\", \"aws-security\", \"aws-sqs\", \"aws-vpc\", \"boto\", \"boto3\", \"botocore\", \"python\", \"security\"]"</t>
  </si>
  <si>
    <t>[{"loc": 1575937, "ratio": 0.8299695226799818, "language": "Python"}, {"loc": 130852, "ratio": 0.06891339690718663, "language": "Dart"}, {"loc": 120422, "ratio": 0.06342042217434375, "language": "HTML"}, {"loc": 30675, "ratio": 0.01615503355033129, "language": "Shell"}, {"loc": 22837, "ratio": 0.012027139403061635, "language": "CSS"}, {"loc": 13728, "ratio": 0.007229871249517456, "language": "JavaScript"}, {"loc": 3926, "ratio": 0.0020676336338582117, "language": "Dockerfile"}, {"loc": 412, "ratio": 0.00021698040171920104, "language": "Mako"}]</t>
  </si>
  <si>
    <t>v1.1.0</t>
  </si>
  <si>
    <t>2f5302b36ac7031728a7fcbf22f52d39ebe67922</t>
  </si>
  <si>
    <t>security_monkey</t>
  </si>
  <si>
    <t>{"id": 21290287, "url": "https://api.github.com/repos/Netflix/security_monkey", "fork": false, "name": "security_monkey", "size": 14235, "forks": 628, "owner": {"id": 913567, "url": "https://api.github.com/users/Netflix", "type": "Organization", "login": "Netflix", "node_id": "MDEyOk9yZ2FuaXphdGlvbjkxMzU2Nw==", "html_url": "https://github.com/Netflix", "gists_url": "https://api.github.com/users/Netflix/gists{/gist_id}", "repos_url": "https://api.github.com/users/Netflix/repos", "avatar_url": "https://avatars3.githubusercontent.com/u/913567?v=4", "events_url": "https://api.github.com/users/Netflix/events{/privacy}", "site_admin": false, "gravatar_id": "", "starred_url": "https://api.github.com/users/Netflix/starred{/owner}{/repo}", "followers_url": "https://api.github.com/users/Netflix/followers", "following_url": "https://api.github.com/users/Netflix/following{/other_user}", "organizations_url": "https://api.github.com/users/Netflix/orgs", "subscriptions_url": "https://api.github.com/users/Netflix/subscriptions", "received_events_url": "https://api.github.com/users/Netflix/received_events"}, "score": 1.0, "topics": ["aws", "aws-ec2", "aws-iam", "aws-policy-tracking", "aws-s3", "aws-security", "aws-sqs", "aws-vpc", "boto", "boto3", "botocore", "python", "security"], "git_url": "git://github.com/Netflix/security_monkey.git", "license": {"key": "apache-2.0", "url": "https://api.github.com/licenses/apache-2.0", "name": "Apache License 2.0", "node_id": "MDc6TGljZW5zZTI=", "spdx_id": "Apache-2.0"}, "node_id": "MDEwOlJlcG9zaXRvcnkyMTI5MDI4Nw==", "private": false, "ssh_url": "git@github.com:Netflix/security_monkey.git", "svn_url": "https://github.com/Netflix/security_monkey", "archived": false, "has_wiki": true, "homepage": "", "html_url": "https://github.com/Netflix/security_monkey", "keys_url": "https://api.github.com/repos/Netflix/security_monkey/keys{/key_id}", "language": "Python", "tags_url": "https://api.github.com/repos/Netflix/security_monkey/tags", "watchers": 3109, "blobs_url": "https://api.github.com/repos/Netflix/security_monkey/git/blobs{/sha}", "clone_url": "https://github.com/Netflix/security_monkey.git", "forks_url": "https://api.github.com/repos/Netflix/security_monkey/forks", "full_name": "Netflix/security_monkey", "has_pages": false, "hooks_url": "https://api.github.com/repos/Netflix/security_monkey/hooks", "pulls_url": "https://api.github.com/repos/Netflix/security_monkey/pulls{/number}", "pushed_at": "2018-12-12T14:06:33Z", "teams_url": "https://api.github.com/repos/Netflix/security_monkey/teams", "trees_url": "https://api.github.com/repos/Netflix/security_monkey/git/trees{/sha}", "created_at": "2014-06-27T21:49:56Z", "events_url": "https://api.github.com/repos/Netflix/security_monkey/events", "has_issues": true, "issues_url": "https://api.github.com/repos/Netflix/security_monkey/issues{/number}", "labels_url": "https://api.github.com/repos/Netflix/security_monkey/labels{/name}", "merges_url": "https://api.github.com/repos/Netflix/security_monkey/merges", "mirror_url": null, "updated_at": "2018-12-23T17:42:48Z", "archive_url": "https://api.github.com/repos/Netflix/security_monkey/{archive_format}{/ref}", "commits_url": "https://api.github.com/repos/Netflix/security_monkey/commits{/sha}", "compare_url": "https://api.github.com/repos/Netflix/security_monkey/compare/{base}...{head}", "description": "Security Monkey monitors AWS, GCP, OpenStack, and GitHub orgs for assets and their changes over time.", "forks_count": 628, "open_issues": 74, "permissions": {"pull": true, "push": false, "admin": false}, "branches_url": "https://api.github.com/repos/Netflix/security_monkey/branches{/branch}", "comments_url": "https://api.github.com/repos/Netflix/security_monkey/comments{/number}", "contents_url": "https://api.github.com/repos/Netflix/security_monkey/contents/{+path}", "git_refs_url": "https://api.github.com/repos/Netflix/security_monkey/git/refs{/sha}", "git_tags_url": "https://api.github.com/repos/Netflix/security_monkey/git/tags{/sha}", "has_projects": true, "releases_url": "https://api.github.com/repos/Netflix/security_monkey/releases{/id}", "statuses_url": "https://api.github.com/repos/Netflix/security_monkey/statuses/{sha}", "assignees_url": "https://api.github.com/repos/Netflix/security_monkey/assignees{/user}", "downloads_url": "https://api.github.com/repos/Netflix/security_monkey/downloads", "has_downloads": true, "languages_url": "https://api.github.com/repos/Netflix/security_monkey/languages", "default_branch": "develop", "milestones_url": "https://api.github.com/repos/Netflix/security_monkey/milestones{/number}", "stargazers_url": "https://api.github.com/repos/Netflix/security_monkey/stargazers", "watchers_count": 3109, "deployments_url": "https://api.github.com/repos/Netflix/security_monkey/deployments", "git_commits_url": "https://api.github.com/repos/Netflix/security_monkey/git/commits{/sha}", "subscribers_url": "https://api.github.com/repos/Netflix/security_monkey/subscribers", "contributors_url": "https://api.github.com/repos/Netflix/security_monkey/contributors", "issue_events_url": "https://api.github.com/repos/Netflix/security_monkey/issues/events{/number}", "stargazers_count": 3109, "subscription_url": "https://api.github.com/repos/Netflix/security_monkey/subscription", "collaborators_url": "https://api.github.com/repos/Netflix/security_monkey/collaborators{/collaborator}", "issue_comment_url": "https://api.github.com/repos/Netflix/security_monkey/issues/comments{/number}", "notifications_url": "https://api.github.com/repos/Netflix/security_monkey/notifications{?since,all,participating}", "open_issues_count": 74}</t>
  </si>
  <si>
    <t>getsentry/sentry</t>
  </si>
  <si>
    <t>Sentry is cross-platform application monitoring, with a focus on error reporting.</t>
  </si>
  <si>
    <t>https://github.com/getsentry/sentry</t>
  </si>
  <si>
    <t>"[\"crash-reporting\", \"crash-reports\", \"csp-report\", \"devops\", \"django\", \"error-logging\", \"error-monitoring\", \"monitoring\"]"</t>
  </si>
  <si>
    <t>[{"loc": 40744126, "ratio": 0.9013895014243454, "language": "Python"}, {"loc": 3848556, "ratio": 0.08514228465825167, "language": "JavaScript"}, {"loc": 288064, "ratio": 0.0063728907901546995, "language": "CSS"}, {"loc": 241843, "ratio": 0.005350335437136827, "language": "HTML"}, {"loc": 65795, "ratio": 0.0014555944149155342, "language": "Lua"}, {"loc": 7089, "ratio": 0.00015683120005070632, "language": "Makefile"}, {"loc": 5775, "ratio": 0.00012776134578823938, "language": "Shell"}, {"loc": 217, "ratio": 0.000004800729356891419, "language": "Ruby"}]</t>
  </si>
  <si>
    <t>v1.13.5</t>
  </si>
  <si>
    <t>06295f5d67d1c2952153518ecc1b1dd09d47df9c</t>
  </si>
  <si>
    <t>sentry</t>
  </si>
  <si>
    <t>{"id": 873328, "url": "https://api.github.com/repos/getsentry/sentry", "fork": false, "name": "sentry", "size": 95309, "forks": 2225, "owner": {"id": 1396951, "url": "https://api.github.com/users/getsentry", "type": "Organization", "login": "getsentry", "node_id": "MDEyOk9yZ2FuaXphdGlvbjEzOTY5NTE=", "html_url": "https://github.com/getsentry", "gists_url": "https://api.github.com/users/getsentry/gists{/gist_id}", "repos_url": "https://api.github.com/users/getsentry/repos", "avatar_url": "https://avatars0.githubusercontent.com/u/1396951?v=4", "events_url": "https://api.github.com/users/getsentry/events{/privacy}", "site_admin": false, "gravatar_id": "", "starred_url": "https://api.github.com/users/getsentry/starred{/owner}{/repo}", "followers_url": "https://api.github.com/users/getsentry/followers", "following_url": "https://api.github.com/users/getsentry/following{/other_user}", "organizations_url": "https://api.github.com/users/getsentry/orgs", "subscriptions_url": "https://api.github.com/users/getsentry/subscriptions", "received_events_url": "https://api.github.com/users/getsentry/received_events"}, "score": 1.0, "topics": ["crash-reporting", "crash-reports", "csp-report", "devops", "django", "error-logging", "error-monitoring", "monitoring"], "git_url": "git://github.com/getsentry/sentry.git", "license": {"key": "bsd-3-clause", "url": "https://api.github.com/licenses/bsd-3-clause", "name": "BSD 3-Clause \"New\" or \"Revised\" License", "node_id": "MDc6TGljZW5zZTU=", "spdx_id": "BSD-3-Clause"}, "node_id": "MDEwOlJlcG9zaXRvcnk4NzMzMjg=", "private": false, "ssh_url": "git@github.com:getsentry/sentry.git", "svn_url": "https://github.com/getsentry/sentry", "archived": false, "has_wiki": false, "homepage": "https://sentry.io", "html_url": "https://github.com/getsentry/sentry", "keys_url": "https://api.github.com/repos/getsentry/sentry/keys{/key_id}", "language": "Python", "tags_url": "https://api.github.com/repos/getsentry/sentry/tags", "watchers": 19244, "blobs_url": "https://api.github.com/repos/getsentry/sentry/git/blobs{/sha}", "clone_url": "https://github.com/getsentry/sentry.git", "forks_url": "https://api.github.com/repos/getsentry/sentry/forks", "full_name": "getsentry/sentry", "has_pages": false, "hooks_url": "https://api.github.com/repos/getsentry/sentry/hooks", "pulls_url": "https://api.github.com/repos/getsentry/sentry/pulls{/number}", "pushed_at": "2018-12-25T01:55:39Z", "teams_url": "https://api.github.com/repos/getsentry/sentry/teams", "trees_url": "https://api.github.com/repos/getsentry/sentry/git/trees{/sha}", "created_at": "2010-08-30T22:06:41Z", "events_url": "https://api.github.com/repos/getsentry/sentry/events", "has_issues": true, "issues_url": "https://api.github.com/repos/getsentry/sentry/issues{/number}", "labels_url": "https://api.github.com/repos/getsentry/sentry/labels{/name}", "merges_url": "https://api.github.com/repos/getsentry/sentry/merges", "mirror_url": null, "updated_at": "2018-12-25T01:45:20Z", "archive_url": "https://api.github.com/repos/getsentry/sentry/{archive_format}{/ref}", "commits_url": "https://api.github.com/repos/getsentry/sentry/commits{/sha}", "compare_url": "https://api.github.com/repos/getsentry/sentry/compare/{base}...{head}", "description": "Sentry is cross-platform application monitoring, with a focus on error reporting.", "forks_count": 2225, "open_issues": 791, "permissions": {"pull": true, "push": false, "admin": false}, "branches_url": "https://api.github.com/repos/getsentry/sentry/branches{/branch}", "comments_url": "https://api.github.com/repos/getsentry/sentry/comments{/number}", "contents_url": "https://api.github.com/repos/getsentry/sentry/contents/{+path}", "git_refs_url": "https://api.github.com/repos/getsentry/sentry/git/refs{/sha}", "git_tags_url": "https://api.github.com/repos/getsentry/sentry/git/tags{/sha}", "has_projects": true, "releases_url": "https://api.github.com/repos/getsentry/sentry/releases{/id}", "statuses_url": "https://api.github.com/repos/getsentry/sentry/statuses/{sha}", "assignees_url": "https://api.github.com/repos/getsentry/sentry/assignees{/user}", "downloads_url": "https://api.github.com/repos/getsentry/sentry/downloads", "has_downloads": true, "languages_url": "https://api.github.com/repos/getsentry/sentry/languages", "default_branch": "master", "milestones_url": "https://api.github.com/repos/getsentry/sentry/milestones{/number}", "stargazers_url": "https://api.github.com/repos/getsentry/sentry/stargazers", "watchers_count": 19244, "deployments_url": "https://api.github.com/repos/getsentry/sentry/deployments", "git_commits_url": "https://api.github.com/repos/getsentry/sentry/git/commits{/sha}", "subscribers_url": "https://api.github.com/repos/getsentry/sentry/subscribers", "contributors_url": "https://api.github.com/repos/getsentry/sentry/contributors", "issue_events_url": "https://api.github.com/repos/getsentry/sentry/issues/events{/number}", "stargazers_count": 19244, "subscription_url": "https://api.github.com/repos/getsentry/sentry/subscription", "collaborators_url": "https://api.github.com/repos/getsentry/sentry/collaborators{/collaborator}", "issue_comment_url": "https://api.github.com/repos/getsentry/sentry/issues/comments{/number}", "notifications_url": "https://api.github.com/repos/getsentry/sentry/notifications{?since,all,participating}", "open_issues_count": 791}</t>
  </si>
  <si>
    <t>midgetspy/Sick-Beard</t>
  </si>
  <si>
    <t>PVR &amp; episode guide that downloads and manages all your TV shows</t>
  </si>
  <si>
    <t>https://github.com/midgetspy/Sick-Beard</t>
  </si>
  <si>
    <t>[{"loc": 4064774, "ratio": 0.9307670061044766, "language": "Python"}, {"loc": 171377, "ratio": 0.039242540226139724, "language": "JavaScript"}, {"loc": 76128, "ratio": 0.017432071411773838, "language": "C"}, {"loc": 45162, "ratio": 0.010341362036287964, "language": "CSS"}, {"loc": 7221, "ratio": 0.0016534913259828039, "language": "Shell"}, {"loc": 2461, "ratio": 0.0005635288953391054, "language": "Ruby"}]</t>
  </si>
  <si>
    <t>build-507</t>
  </si>
  <si>
    <t>db2658a9c12f0282d98d8eb23cb4575b58fc39c9</t>
  </si>
  <si>
    <t>Sick-Beard</t>
  </si>
  <si>
    <t>{"id": 565629, "url": "https://api.github.com/repos/midgetspy/Sick-Beard", "fork": false, "name": "Sick-Beard", "size": 36585, "forks": 1821, "owner": {"id": 63207, "url": "https://api.github.com/users/midgetspy", "type": "User", "login": "midgetspy", "node_id": "MDQ6VXNlcjYzMjA3", "html_url": "https://github.com/midgetspy", "gists_url": "https://api.github.com/users/midgetspy/gists{/gist_id}", "repos_url": "https://api.github.com/users/midgetspy/repos", "avatar_url": "https://avatars2.githubusercontent.com/u/63207?v=4", "events_url": "https://api.github.com/users/midgetspy/events{/privacy}", "site_admin": false, "gravatar_id": "", "starred_url": "https://api.github.com/users/midgetspy/starred{/owner}{/repo}", "followers_url": "https://api.github.com/users/midgetspy/followers", "following_url": "https://api.github.com/users/midgetspy/following{/other_user}", "organizations_url": "https://api.github.com/users/midgetspy/orgs", "subscriptions_url": "https://api.github.com/users/midgetspy/subscriptions", "received_events_url": "https://api.github.com/users/midgetspy/received_events"}, "score": 1.0, "topics": [], "git_url": "git://github.com/midgetspy/Sick-Beard.git", "license": {"key": "gpl-3.0", "url": "https://api.github.com/licenses/gpl-3.0", "name": "GNU General Public License v3.0", "node_id": "MDc6TGljZW5zZTk=", "spdx_id": "GPL-3.0"}, "node_id": "MDEwOlJlcG9zaXRvcnk1NjU2Mjk=", "private": false, "ssh_url": "git@github.com:midgetspy/Sick-Beard.git", "svn_url": "https://github.com/midgetspy/Sick-Beard", "archived": false, "has_wiki": true, "homepage": "http://code.google.com/p/sickbeard/", "html_url": "https://github.com/midgetspy/Sick-Beard", "keys_url": "https://api.github.com/repos/midgetspy/Sick-Beard/keys{/key_id}", "language": "Python", "tags_url": "https://api.github.com/repos/midgetspy/Sick-Beard/tags", "watchers": 3097, "blobs_url": "https://api.github.com/repos/midgetspy/Sick-Beard/git/blobs{/sha}", "clone_url": "https://github.com/midgetspy/Sick-Beard.git", "forks_url": "https://api.github.com/repos/midgetspy/Sick-Beard/forks", "full_name": "midgetspy/Sick-Beard", "has_pages": false, "hooks_url": "https://api.github.com/repos/midgetspy/Sick-Beard/hooks", "pulls_url": "https://api.github.com/repos/midgetspy/Sick-Beard/pulls{/number}", "pushed_at": "2018-11-20T01:10:43Z", "teams_url": "https://api.github.com/repos/midgetspy/Sick-Beard/teams", "trees_url": "https://api.github.com/repos/midgetspy/Sick-Beard/git/trees{/sha}", "created_at": "2010-03-16T21:09:33Z", "events_url": "https://api.github.com/repos/midgetspy/Sick-Beard/events", "has_issues": false, "issues_url": "https://api.github.com/repos/midgetspy/Sick-Beard/issues{/number}", "labels_url": "https://api.github.com/repos/midgetspy/Sick-Beard/labels{/name}", "merges_url": "https://api.github.com/repos/midgetspy/Sick-Beard/merges", "mirror_url": null, "updated_at": "2018-12-15T14:47:18Z", "archive_url": "https://api.github.com/repos/midgetspy/Sick-Beard/{archive_format}{/ref}", "commits_url": "https://api.github.com/repos/midgetspy/Sick-Beard/commits{/sha}", "compare_url": "https://api.github.com/repos/midgetspy/Sick-Beard/compare/{base}...{head}", "description": "PVR &amp; episode guide that downloads and manages all your TV shows ", "forks_count": 1821, "open_issues": 150, "permissions": {"pull": true, "push": false, "admin": false}, "branches_url": "https://api.github.com/repos/midgetspy/Sick-Beard/branches{/branch}", "comments_url": "https://api.github.com/repos/midgetspy/Sick-Beard/comments{/number}", "contents_url": "https://api.github.com/repos/midgetspy/Sick-Beard/contents/{+path}", "git_refs_url": "https://api.github.com/repos/midgetspy/Sick-Beard/git/refs{/sha}", "git_tags_url": "https://api.github.com/repos/midgetspy/Sick-Beard/git/tags{/sha}", "has_projects": true, "releases_url": "https://api.github.com/repos/midgetspy/Sick-Beard/releases{/id}", "statuses_url": "https://api.github.com/repos/midgetspy/Sick-Beard/statuses/{sha}", "assignees_url": "https://api.github.com/repos/midgetspy/Sick-Beard/assignees{/user}", "downloads_url": "https://api.github.com/repos/midgetspy/Sick-Beard/downloads", "has_downloads": false, "languages_url": "https://api.github.com/repos/midgetspy/Sick-Beard/languages", "default_branch": "development", "milestones_url": "https://api.github.com/repos/midgetspy/Sick-Beard/milestones{/number}", "stargazers_url": "https://api.github.com/repos/midgetspy/Sick-Beard/stargazers", "watchers_count": 3097, "deployments_url": "https://api.github.com/repos/midgetspy/Sick-Beard/deployments", "git_commits_url": "https://api.github.com/repos/midgetspy/Sick-Beard/git/commits{/sha}", "subscribers_url": "https://api.github.com/repos/midgetspy/Sick-Beard/subscribers", "contributors_url": "https://api.github.com/repos/midgetspy/Sick-Beard/contributors", "issue_events_url": "https://api.github.com/repos/midgetspy/Sick-Beard/issues/events{/number}", "stargazers_count": 3097, "subscription_url": "https://api.github.com/repos/midgetspy/Sick-Beard/subscription", "collaborators_url": "https://api.github.com/repos/midgetspy/Sick-Beard/collaborators{/collaborator}", "issue_comment_url": "https://api.github.com/repos/midgetspy/Sick-Beard/issues/comments{/number}", "notifications_url": "https://api.github.com/repos/midgetspy/Sick-Beard/notifications{?since,all,participating}", "open_issues_count": 150}</t>
  </si>
  <si>
    <t>SiCKRAGE/SiCKRAGE</t>
  </si>
  <si>
    <t>Mirror of OFFICIAL SiCKRAGE</t>
  </si>
  <si>
    <t>https://github.com/SiCKRAGE/SiCKRAGE</t>
  </si>
  <si>
    <t>"[\"episode\", \"nzb\", \"official\", \"season\", \"sickbeard\", \"sickrage\", \"torrent\", \"tv\"]"</t>
  </si>
  <si>
    <t>[{"loc": 2808292, "ratio": 0.6959976366298579, "language": "Python"}, {"loc": 919449, "ratio": 0.2278731453145493, "language": "Mako"}, {"loc": 284589, "ratio": 0.0705315798395803, "language": "JavaScript"}, {"loc": 12466, "ratio": 0.00308953147971358, "language": "Shell"}, {"loc": 9682, "ratio": 0.0023995542905973755, "language": "CSS"}, {"loc": 438, "ratio": 0.00010855244570147185, "language": "Dockerfile"}]</t>
  </si>
  <si>
    <t>v9.0.37</t>
  </si>
  <si>
    <t>babfd064dd257e21c6b9dca1de8f3769a577e3f3</t>
  </si>
  <si>
    <t>SiCKRAGE</t>
  </si>
  <si>
    <t>{"id": 17582613, "url": "https://api.github.com/repos/SiCKRAGE/SiCKRAGE", "fork": false, "name": "SiCKRAGE", "size": 451375, "forks": 788, "owner": {"id": 43913477, "url": "https://api.github.com/users/SiCKRAGE", "type": "Organization", "login": "SiCKRAGE", "node_id": "MDEyOk9yZ2FuaXphdGlvbjQzOTEzNDc3", "html_url": "https://github.com/SiCKRAGE", "gists_url": "https://api.github.com/users/SiCKRAGE/gists{/gist_id}", "repos_url": "https://api.github.com/users/SiCKRAGE/repos", "avatar_url": "https://avatars3.githubusercontent.com/u/43913477?v=4", "events_url": "https://api.github.com/users/SiCKRAGE/events{/privacy}", "site_admin": false, "gravatar_id": "", "starred_url": "https://api.github.com/users/SiCKRAGE/starred{/owner}{/repo}", "followers_url": "https://api.github.com/users/SiCKRAGE/followers", "following_url": "https://api.github.com/users/SiCKRAGE/following{/other_user}", "organizations_url": "https://api.github.com/users/SiCKRAGE/orgs", "subscriptions_url": "https://api.github.com/users/SiCKRAGE/subscriptions", "received_events_url": "https://api.github.com/users/SiCKRAGE/received_events"}, "score": 1.0, "topics": ["episode", "nzb", "official", "season", "sickbeard", "sickrage", "torrent", "tv"], "git_url": "git://github.com/SiCKRAGE/SiCKRAGE.git", "license": {"key": "gpl-3.0", "url": "https://api.github.com/licenses/gpl-3.0", "name": "GNU General Public License v3.0", "node_id": "MDc6TGljZW5zZTk=", "spdx_id": "GPL-3.0"}, "node_id": "MDEwOlJlcG9zaXRvcnkxNzU4MjYxMw==", "private": false, "ssh_url": "git@github.com:SiCKRAGE/SiCKRAGE.git", "svn_url": "https://github.com/SiCKRAGE/SiCKRAGE", "archived": false, "has_wiki": true, "homepage": "https://git.sickrage.ca/sickrage/sickrage.git", "html_url": "https://github.com/SiCKRAGE/SiCKRAGE", "keys_url": "https://api.github.com/repos/SiCKRAGE/SiCKRAGE/keys{/key_id}", "language": "Python", "tags_url": "https://api.github.com/repos/SiCKRAGE/SiCKRAGE/tags", "watchers": 1487, "blobs_url": "https://api.github.com/repos/SiCKRAGE/SiCKRAGE/git/blobs{/sha}", "clone_url": "https://github.com/SiCKRAGE/SiCKRAGE.git", "forks_url": "https://api.github.com/repos/SiCKRAGE/SiCKRAGE/forks", "full_name": "SiCKRAGE/SiCKRAGE", "has_pages": false, "hooks_url": "https://api.github.com/repos/SiCKRAGE/SiCKRAGE/hooks", "pulls_url": "https://api.github.com/repos/SiCKRAGE/SiCKRAGE/pulls{/number}", "pushed_at": "2018-12-18T19:15:18Z", "teams_url": "https://api.github.com/repos/SiCKRAGE/SiCKRAGE/teams", "trees_url": "https://api.github.com/repos/SiCKRAGE/SiCKRAGE/git/trees{/sha}", "created_at": "2014-03-10T05:20:31Z", "events_url": "https://api.github.com/repos/SiCKRAGE/SiCKRAGE/events", "has_issues": false, "issues_url": "https://api.github.com/repos/SiCKRAGE/SiCKRAGE/issues{/number}", "labels_url": "https://api.github.com/repos/SiCKRAGE/SiCKRAGE/labels{/name}", "merges_url": "https://api.github.com/repos/SiCKRAGE/SiCKRAGE/merges", "mirror_url": null, "updated_at": "2018-12-23T21:49:06Z", "archive_url": "https://api.github.com/repos/SiCKRAGE/SiCKRAGE/{archive_format}{/ref}", "commits_url": "https://api.github.com/repos/SiCKRAGE/SiCKRAGE/commits{/sha}", "compare_url": "https://api.github.com/repos/SiCKRAGE/SiCKRAGE/compare/{base}...{head}", "description": "Mirror of OFFICIAL SiCKRAGE", "forks_count": 788, "open_issues": 0, "permissions": {"pull": true, "push": false, "admin": false}, "branches_url": "https://api.github.com/repos/SiCKRAGE/SiCKRAGE/branches{/branch}", "comments_url": "https://api.github.com/repos/SiCKRAGE/SiCKRAGE/comments{/number}", "contents_url": "https://api.github.com/repos/SiCKRAGE/SiCKRAGE/contents/{+path}", "git_refs_url": "https://api.github.com/repos/SiCKRAGE/SiCKRAGE/git/refs{/sha}", "git_tags_url": "https://api.github.com/repos/SiCKRAGE/SiCKRAGE/git/tags{/sha}", "has_projects": false, "releases_url": "https://api.github.com/repos/SiCKRAGE/SiCKRAGE/releases{/id}", "statuses_url": "https://api.github.com/repos/SiCKRAGE/SiCKRAGE/statuses/{sha}", "assignees_url": "https://api.github.com/repos/SiCKRAGE/SiCKRAGE/assignees{/user}", "downloads_url": "https://api.github.com/repos/SiCKRAGE/SiCKRAGE/downloads", "has_downloads": true, "languages_url": "https://api.github.com/repos/SiCKRAGE/SiCKRAGE/languages", "default_branch": "master", "milestones_url": "https://api.github.com/repos/SiCKRAGE/SiCKRAGE/milestones{/number}", "stargazers_url": "https://api.github.com/repos/SiCKRAGE/SiCKRAGE/stargazers", "watchers_count": 1487, "deployments_url": "https://api.github.com/repos/SiCKRAGE/SiCKRAGE/deployments", "git_commits_url": "https://api.github.com/repos/SiCKRAGE/SiCKRAGE/git/commits{/sha}", "subscribers_url": "https://api.github.com/repos/SiCKRAGE/SiCKRAGE/subscribers", "contributors_url": "https://api.github.com/repos/SiCKRAGE/SiCKRAGE/contributors", "issue_events_url": "https://api.github.com/repos/SiCKRAGE/SiCKRAGE/issues/events{/number}", "stargazers_count": 1487, "subscription_url": "https://api.github.com/repos/SiCKRAGE/SiCKRAGE/subscription", "collaborators_url": "https://api.github.com/repos/SiCKRAGE/SiCKRAGE/collaborators{/collaborator}", "issue_comment_url": "https://api.github.com/repos/SiCKRAGE/SiCKRAGE/issues/comments{/number}", "notifications_url": "https://api.github.com/repos/SiCKRAGE/SiCKRAGE/notifications{?since,all,participating}", "open_issues_count": 0}</t>
  </si>
  <si>
    <t>explosion/spaCy</t>
  </si>
  <si>
    <t>💫 Industrial-strength Natural Language Processing (NLP) with Python and Cython</t>
  </si>
  <si>
    <t>https://github.com/explosion/spaCy</t>
  </si>
  <si>
    <t>"[\"ai\", \"artificial-intelligence\", \"big-data\", \"cython\", \"data-science\", \"deep-learning\", \"machine-learning\", \"natural-language-processing\", \"neural-network\", \"neural-networks\", \"nlp\", \"nlp-library\", \"python\", \"spacy\"]"</t>
  </si>
  <si>
    <t>[{"loc": 230313060, "ratio": 0.9946784567428677, "language": "Python"}, {"loc": 905143, "ratio": 0.00390914107246723, "language": "HTML"}, {"loc": 161734, "ratio": 0.0006984984938450774, "language": "C++"}, {"loc": 103274, "ratio": 0.0004460208333025618, "language": "C"}, {"loc": 42943, "ratio": 0.00018546267835575181, "language": "CSS"}, {"loc": 17993, "ratio": 0.00007770835693023408, "language": "JavaScript"}, {"loc": 1091, "ratio": 0.000004711822231472539, "language": "Shell"}]</t>
  </si>
  <si>
    <t>v2.1.0a6</t>
  </si>
  <si>
    <t>978d8be8f91b930615acf3043d18f86700f77124</t>
  </si>
  <si>
    <t>spaCy</t>
  </si>
  <si>
    <t>{"id": 21467110, "url": "https://api.github.com/repos/explosion/spaCy", "fork": false, "name": "spaCy", "size": 99028, "forks": 1944, "owner": {"id": 20011530, "url": "https://api.github.com/users/explosion", "type": "Organization", "login": "explosion", "node_id": "MDEyOk9yZ2FuaXphdGlvbjIwMDExNTMw", "html_url": "https://github.com/explosion", "gists_url": "https://api.github.com/users/explosion/gists{/gist_id}", "repos_url": "https://api.github.com/users/explosion/repos", "avatar_url": "https://avatars3.githubusercontent.com/u/20011530?v=4", "events_url": "https://api.github.com/users/explosion/events{/privacy}", "site_admin": false, "gravatar_id": "", "starred_url": "https://api.github.com/users/explosion/starred{/owner}{/repo}", "followers_url": "https://api.github.com/users/explosion/followers", "following_url": "https://api.github.com/users/explosion/following{/other_user}", "organizations_url": "https://api.github.com/users/explosion/orgs", "subscriptions_url": "https://api.github.com/users/explosion/subscriptions", "received_events_url": "https://api.github.com/users/explosion/received_events"}, "score": 1.0, "topics": ["ai", "artificial-intelligence", "big-data", "cython", "data-science", "deep-learning", "machine-learning", "natural-language-processing", "neural-network", "neural-networks", "nlp", "nlp-library", "python", "spacy"], "git_url": "git://github.com/explosion/spaCy.git", "license": {"key": "mit", "url": "https://api.github.com/licenses/mit", "name": "MIT License", "node_id": "MDc6TGljZW5zZTEz", "spdx_id": "MIT"}, "node_id": "MDEwOlJlcG9zaXRvcnkyMTQ2NzExMA==", "private": false, "ssh_url": "git@github.com:explosion/spaCy.git", "svn_url": "https://github.com/explosion/spaCy", "archived": false, "has_wiki": false, "homepage": "https://spacy.io", "html_url": "https://github.com/explosion/spaCy", "keys_url": "https://api.github.com/repos/explosion/spaCy/keys{/key_id}", "language": "Python", "tags_url": "https://api.github.com/repos/explosion/spaCy/tags", "watchers": 11698, "blobs_url": "https://api.github.com/repos/explosion/spaCy/git/blobs{/sha}", "clone_url": "https://github.com/explosion/spaCy.git", "forks_url": "https://api.github.com/repos/explosion/spaCy/forks", "full_name": "explosion/spaCy", "has_pages": false, "hooks_url": "https://api.github.com/repos/explosion/spaCy/hooks", "pulls_url": "https://api.github.com/repos/explosion/spaCy/pulls{/number}", "pushed_at": "2018-12-21T23:20:04Z", "teams_url": "https://api.github.com/repos/explosion/spaCy/teams", "trees_url": "https://api.github.com/repos/explosion/spaCy/git/trees{/sha}", "created_at": "2014-07-03T15:15:40Z", "events_url": "https://api.github.com/repos/explosion/spaCy/events", "has_issues": true, "issues_url": "https://api.github.com/repos/explosion/spaCy/issues{/number}", "labels_url": "https://api.github.com/repos/explosion/spaCy/labels{/name}", "merges_url": "https://api.github.com/repos/explosion/spaCy/merges", "mirror_url": null, "updated_at": "2018-12-25T01:24:53Z", "archive_url": "https://api.github.com/repos/explosion/spaCy/{archive_format}{/ref}", "commits_url": "https://api.github.com/repos/explosion/spaCy/commits{/sha}", "compare_url": "https://api.github.com/repos/explosion/spaCy/compare/{base}...{head}", "description": "💫 Industrial-strength Natural Language Processing (NLP) with Python and Cython", "forks_count": 1944, "open_issues": 195, "permissions": {"pull": true, "push": false, "admin": false}, "branches_url": "https://api.github.com/repos/explosion/spaCy/branches{/branch}", "comments_url": "https://api.github.com/repos/explosion/spaCy/comments{/number}", "contents_url": "https://api.github.com/repos/explosion/spaCy/contents/{+path}", "git_refs_url": "https://api.github.com/repos/explosion/spaCy/git/refs{/sha}", "git_tags_url": "https://api.github.com/repos/explosion/spaCy/git/tags{/sha}", "has_projects": true, "releases_url": "https://api.github.com/repos/explosion/spaCy/releases{/id}", "statuses_url": "https://api.github.com/repos/explosion/spaCy/statuses/{sha}", "assignees_url": "https://api.github.com/repos/explosion/spaCy/assignees{/user}", "downloads_url": "https://api.github.com/repos/explosion/spaCy/downloads", "has_downloads": true, "languages_url": "https://api.github.com/repos/explosion/spaCy/languages", "default_branch": "master", "milestones_url": "https://api.github.com/repos/explosion/spaCy/milestones{/number}", "stargazers_url": "https://api.github.com/repos/explosion/spaCy/stargazers", "watchers_count": 11698, "deployments_url": "https://api.github.com/repos/explosion/spaCy/deployments", "git_commits_url": "https://api.github.com/repos/explosion/spaCy/git/commits{/sha}", "subscribers_url": "https://api.github.com/repos/explosion/spaCy/subscribers", "contributors_url": "https://api.github.com/repos/explosion/spaCy/contributors", "issue_events_url": "https://api.github.com/repos/explosion/spaCy/issues/events{/number}", "stargazers_count": 11698, "subscription_url": "https://api.github.com/repos/explosion/spaCy/subscription", "collaborators_url": "https://api.github.com/repos/explosion/spaCy/collaborators{/collaborator}", "issue_comment_url": "https://api.github.com/repos/explosion/spaCy/issues/comments{/number}", "notifications_url": "https://api.github.com/repos/explosion/spaCy/notifications{?since,all,participating}", "open_issues_count": 195}</t>
  </si>
  <si>
    <t>spinnaker/spinnaker</t>
  </si>
  <si>
    <t>Spinnaker is an open source, multi-cloud continuous delivery platform for releasing software changes with high velocity and confidence.</t>
  </si>
  <si>
    <t>https://github.com/spinnaker/spinnaker</t>
  </si>
  <si>
    <t>"[\"continuous-delivery\", \"continuous-deployment\", \"spinnaker\"]"</t>
  </si>
  <si>
    <t>[{"loc": 1233478, "ratio": 0.8620879324407343, "language": "Python"}, {"loc": 185247, "ratio": 0.129470653891556, "language": "Shell"}, {"loc": 7481, "ratio": 0.005228532509367117, "language": "Go"}, {"loc": 2087, "ratio": 0.0014586214873745721, "language": "Smarty"}, {"loc": 1620, "ratio": 0.0011322313414215653, "language": "Dockerfile"}, {"loc": 614, "ratio": 0.0004291296565634822, "language": "HTML"}, {"loc": 276, "ratio": 0.00019289867298293337, "language": "Makefile"}]</t>
  </si>
  <si>
    <t>version-0.24.0</t>
  </si>
  <si>
    <t>0063044a801fe1210fe1ea7320961988fe16bbfc</t>
  </si>
  <si>
    <t>spinnaker</t>
  </si>
  <si>
    <t>{"id": 21436816, "url": "https://api.github.com/repos/spinnaker/spinnaker", "fork": false, "name": "spinnaker", "size": 4960, "forks": 797, "owner": {"id": 7634182, "url": "https://api.github.com/users/spinnaker", "type": "Organization", "login": "spinnaker", "node_id": "MDEyOk9yZ2FuaXphdGlvbjc2MzQxODI=", "html_url": "https://github.com/spinnaker", "gists_url": "https://api.github.com/users/spinnaker/gists{/gist_id}", "repos_url": "https://api.github.com/users/spinnaker/repos", "avatar_url": "https://avatars1.githubusercontent.com/u/7634182?v=4", "events_url": "https://api.github.com/users/spinnaker/events{/privacy}", "site_admin": false, "gravatar_id": "", "starred_url": "https://api.github.com/users/spinnaker/starred{/owner}{/repo}", "followers_url": "https://api.github.com/users/spinnaker/followers", "following_url": "https://api.github.com/users/spinnaker/following{/other_user}", "organizations_url": "https://api.github.com/users/spinnaker/orgs", "subscriptions_url": "https://api.github.com/users/spinnaker/subscriptions", "received_events_url": "https://api.github.com/users/spinnaker/received_events"}, "score": 1.0, "topics": ["continuous-delivery", "continuous-deployment", "spinnaker"], "git_url": "git://github.com/spinnaker/spinnaker.git", "license": {"key": "apache-2.0", "url": "https://api.github.com/licenses/apache-2.0", "name": "Apache License 2.0", "node_id": "MDc6TGljZW5zZTI=", "spdx_id": "Apache-2.0"}, "node_id": "MDEwOlJlcG9zaXRvcnkyMTQzNjgxNg==", "private": false, "ssh_url": "git@github.com:spinnaker/spinnaker.git", "svn_url": "https://github.com/spinnaker/spinnaker", "archived": false, "has_wiki": true, "homepage": "http://www.spinnaker.io/", "html_url": "https://github.com/spinnaker/spinnaker", "keys_url": "https://api.github.com/repos/spinnaker/spinnaker/keys{/key_id}", "language": "Python", "tags_url": "https://api.github.com/repos/spinnaker/spinnaker/tags", "watchers": 5533, "blobs_url": "https://api.github.com/repos/spinnaker/spinnaker/git/blobs{/sha}", "clone_url": "https://github.com/spinnaker/spinnaker.git", "forks_url": "https://api.github.com/repos/spinnaker/spinnaker/forks", "full_name": "spinnaker/spinnaker", "has_pages": false, "hooks_url": "https://api.github.com/repos/spinnaker/spinnaker/hooks", "pulls_url": "https://api.github.com/repos/spinnaker/spinnaker/pulls{/number}", "pushed_at": "2018-12-20T17:47:56Z", "teams_url": "https://api.github.com/repos/spinnaker/spinnaker/teams", "trees_url": "https://api.github.com/repos/spinnaker/spinnaker/git/trees{/sha}", "created_at": "2014-07-02T19:02:36Z", "events_url": "https://api.github.com/repos/spinnaker/spinnaker/events", "has_issues": true, "issues_url": "https://api.github.com/repos/spinnaker/spinnaker/issues{/number}", "labels_url": "https://api.github.com/repos/spinnaker/spinnaker/labels{/name}", "merges_url": "https://api.github.com/repos/spinnaker/spinnaker/merges", "mirror_url": null, "updated_at": "2018-12-25T01:51:39Z", "archive_url": "https://api.github.com/repos/spinnaker/spinnaker/{archive_format}{/ref}", "commits_url": "https://api.github.com/repos/spinnaker/spinnaker/commits{/sha}", "compare_url": "https://api.github.com/repos/spinnaker/spinnaker/compare/{base}...{head}", "description": "Spinnaker is an open source, multi-cloud continuous delivery platform for releasing software changes with high velocity and confidence.", "forks_count": 797, "open_issues": 385, "permissions": {"pull": true, "push": false, "admin": false}, "branches_url": "https://api.github.com/repos/spinnaker/spinnaker/branches{/branch}", "comments_url": "https://api.github.com/repos/spinnaker/spinnaker/comments{/number}", "contents_url": "https://api.github.com/repos/spinnaker/spinnaker/contents/{+path}", "git_refs_url": "https://api.github.com/repos/spinnaker/spinnaker/git/refs{/sha}", "git_tags_url": "https://api.github.com/repos/spinnaker/spinnaker/git/tags{/sha}", "has_projects": true, "releases_url": "https://api.github.com/repos/spinnaker/spinnaker/releases{/id}", "statuses_url": "https://api.github.com/repos/spinnaker/spinnaker/statuses/{sha}", "assignees_url": "https://api.github.com/repos/spinnaker/spinnaker/assignees{/user}", "downloads_url": "https://api.github.com/repos/spinnaker/spinnaker/downloads", "has_downloads": true, "languages_url": "https://api.github.com/repos/spinnaker/spinnaker/languages", "default_branch": "master", "milestones_url": "https://api.github.com/repos/spinnaker/spinnaker/milestones{/number}", "stargazers_url": "https://api.github.com/repos/spinnaker/spinnaker/stargazers", "watchers_count": 5533, "deployments_url": "https://api.github.com/repos/spinnaker/spinnaker/deployments", "git_commits_url": "https://api.github.com/repos/spinnaker/spinnaker/git/commits{/sha}", "subscribers_url": "https://api.github.com/repos/spinnaker/spinnaker/subscribers", "contributors_url": "https://api.github.com/repos/spinnaker/spinnaker/contributors", "issue_events_url": "https://api.github.com/repos/spinnaker/spinnaker/issues/events{/number}", "stargazers_count": 5533, "subscription_url": "https://api.github.com/repos/spinnaker/spinnaker/subscription", "collaborators_url": "https://api.github.com/repos/spinnaker/spinnaker/collaborators{/collaborator}", "issue_comment_url": "https://api.github.com/repos/spinnaker/spinnaker/issues/comments{/number}", "notifications_url": "https://api.github.com/repos/spinnaker/spinnaker/notifications{?since,all,participating}", "open_issues_count": 385}</t>
  </si>
  <si>
    <t>zzzeek/sqlalchemy</t>
  </si>
  <si>
    <t>THIS IS NOT THE OFFICIAL REPO - PLEASE SUBMIT PRs ETC AT: http://github.com/sqlalchemy/sqlalchemy</t>
  </si>
  <si>
    <t>https://github.com/zzzeek/sqlalchemy</t>
  </si>
  <si>
    <t>[{"loc": 10503297, "ratio": 0.9956461264886991, "language": "Python"}, {"loc": 45930, "ratio": 0.004353873511300875, "language": "C"}]</t>
  </si>
  <si>
    <t>rel_1_3_0b1</t>
  </si>
  <si>
    <t>19590812c02945b776a85a709dd6345e30c0dd71</t>
  </si>
  <si>
    <t>sqlalchemy</t>
  </si>
  <si>
    <t>{"id": 10289171, "url": "https://api.github.com/repos/zzzeek/sqlalchemy", "fork": false, "name": "sqlalchemy", "size": 53605, "forks": 889, "owner": {"id": 128223, "url": "https://api.github.com/users/zzzeek", "type": "User", "login": "zzzeek", "node_id": "MDQ6VXNlcjEyODIyMw==", "html_url": "https://github.com/zzzeek", "gists_url": "https://api.github.com/users/zzzeek/gists{/gist_id}", "repos_url": "https://api.github.com/users/zzzeek/repos", "avatar_url": "https://avatars0.githubusercontent.com/u/128223?v=4", "events_url": "https://api.github.com/users/zzzeek/events{/privacy}", "site_admin": false, "gravatar_id": "", "starred_url": "https://api.github.com/users/zzzeek/starred{/owner}{/repo}", "followers_url": "https://api.github.com/users/zzzeek/followers", "following_url": "https://api.github.com/users/zzzeek/following{/other_user}", "organizations_url": "https://api.github.com/users/zzzeek/orgs", "subscriptions_url": "https://api.github.com/users/zzzeek/subscriptions", "received_events_url": "https://api.github.com/users/zzzeek/received_events"}, "score": 1.0, "topics": [], "git_url": "git://github.com/zzzeek/sqlalchemy.git", "license": {"key": "other", "url": null, "name": "Other", "node_id": "MDc6TGljZW5zZTA=", "spdx_id": "NOASSERTION"}, "node_id": "MDEwOlJlcG9zaXRvcnkxMDI4OTE3MQ==", "private": false, "ssh_url": "git@github.com:zzzeek/sqlalchemy.git", "svn_url": "https://github.com/zzzeek/sqlalchemy", "archived": false, "has_wiki": false, "homepage": "https://www.sqlalchemy.org", "html_url": "https://github.com/zzzeek/sqlalchemy", "keys_url": "https://api.github.com/repos/zzzeek/sqlalchemy/keys{/key_id}", "language": "Python", "tags_url": "https://api.github.com/repos/zzzeek/sqlalchemy/tags", "watchers": 3257, "blobs_url": "https://api.github.com/repos/zzzeek/sqlalchemy/git/blobs{/sha}", "clone_url": "https://github.com/zzzeek/sqlalchemy.git", "forks_url": "https://api.github.com/repos/zzzeek/sqlalchemy/forks", "full_name": "zzzeek/sqlalchemy", "has_pages": false, "hooks_url": "https://api.github.com/repos/zzzeek/sqlalchemy/hooks", "pulls_url": "https://api.github.com/repos/zzzeek/sqlalchemy/pulls{/number}", "pushed_at": "2018-12-24T05:14:45Z", "teams_url": "https://api.github.com/repos/zzzeek/sqlalchemy/teams", "trees_url": "https://api.github.com/repos/zzzeek/sqlalchemy/git/trees{/sha}", "created_at": "2013-05-25T20:05:42Z", "events_url": "https://api.github.com/repos/zzzeek/sqlalchemy/events", "has_issues": false, "issues_url": "https://api.github.com/repos/zzzeek/sqlalchemy/issues{/number}", "labels_url": "https://api.github.com/repos/zzzeek/sqlalchemy/labels{/name}", "merges_url": "https://api.github.com/repos/zzzeek/sqlalchemy/merges", "mirror_url": null, "updated_at": "2018-12-24T07:06:29Z", "archive_url": "https://api.github.com/repos/zzzeek/sqlalchemy/{archive_format}{/ref}", "commits_url": "https://api.github.com/repos/zzzeek/sqlalchemy/commits{/sha}", "compare_url": "https://api.github.com/repos/zzzeek/sqlalchemy/compare/{base}...{head}", "description": "THIS IS NOT THE OFFICIAL REPO - PLEASE SUBMIT PRs ETC AT: http://github.com/sqlalchemy/sqlalchemy", "forks_count": 889, "open_issues": 0, "permissions": {"pull": true, "push": false, "admin": false}, "branches_url": "https://api.github.com/repos/zzzeek/sqlalchemy/branches{/branch}", "comments_url": "https://api.github.com/repos/zzzeek/sqlalchemy/comments{/number}", "contents_url": "https://api.github.com/repos/zzzeek/sqlalchemy/contents/{+path}", "git_refs_url": "https://api.github.com/repos/zzzeek/sqlalchemy/git/refs{/sha}", "git_tags_url": "https://api.github.com/repos/zzzeek/sqlalchemy/git/tags{/sha}", "has_projects": false, "releases_url": "https://api.github.com/repos/zzzeek/sqlalchemy/releases{/id}", "statuses_url": "https://api.github.com/repos/zzzeek/sqlalchemy/statuses/{sha}", "assignees_url": "https://api.github.com/repos/zzzeek/sqlalchemy/assignees{/user}", "downloads_url": "https://api.github.com/repos/zzzeek/sqlalchemy/downloads", "has_downloads": true, "languages_url": "https://api.github.com/repos/zzzeek/sqlalchemy/languages", "default_branch": "master", "milestones_url": "https://api.github.com/repos/zzzeek/sqlalchemy/milestones{/number}", "stargazers_url": "https://api.github.com/repos/zzzeek/sqlalchemy/stargazers", "watchers_count": 3257, "deployments_url": "https://api.github.com/repos/zzzeek/sqlalchemy/deployments", "git_commits_url": "https://api.github.com/repos/zzzeek/sqlalchemy/git/commits{/sha}", "subscribers_url": "https://api.github.com/repos/zzzeek/sqlalchemy/subscribers", "contributors_url": "https://api.github.com/repos/zzzeek/sqlalchemy/contributors", "issue_events_url": "https://api.github.com/repos/zzzeek/sqlalchemy/issues/events{/number}", "stargazers_count": 3257, "subscription_url": "https://api.github.com/repos/zzzeek/sqlalchemy/subscription", "collaborators_url": "https://api.github.com/repos/zzzeek/sqlalchemy/collaborators{/collaborator}", "issue_comment_url": "https://api.github.com/repos/zzzeek/sqlalchemy/issues/comments{/number}", "notifications_url": "https://api.github.com/repos/zzzeek/sqlalchemy/notifications{?since,all,participating}", "open_issues_count": 0}</t>
  </si>
  <si>
    <t>sqlmapproject/sqlmap</t>
  </si>
  <si>
    <t>Automatic SQL injection and database takeover tool</t>
  </si>
  <si>
    <t>https://github.com/sqlmapproject/sqlmap</t>
  </si>
  <si>
    <t>"[\"database\", \"detection\", \"exploitation\", \"pentesting\", \"python\", \"sql-injection\", \"takeover\", \"vulnerability-scanner\"]"</t>
  </si>
  <si>
    <t>[{"loc": 1731503, "ratio": 0.9836648852979991, "language": "Python"}, {"loc": 13307, "ratio": 0.007559691567765389, "language": "C"}, {"loc": 10618, "ratio": 0.006032073725598023, "language": "Shell"}, {"loc": 2157, "ratio": 0.001225389247138344, "language": "C++"}, {"loc": 2136, "ratio": 0.0012134591710187773, "language": "Perl"}, {"loc": 536, "ratio": 0.00030450099048036735, "language": "PLpgSQL"}]</t>
  </si>
  <si>
    <t>1.2.12</t>
  </si>
  <si>
    <t>66d26f67bfa20c13a2d2e1a80fbe2b4a7900ecb7</t>
  </si>
  <si>
    <t>sqlmap</t>
  </si>
  <si>
    <t>{"id": 4793392, "url": "https://api.github.com/repos/sqlmapproject/sqlmap", "fork": false, "name": "sqlmap", "size": 62899, "forks": 2854, "owner": {"id": 735289, "url": "https://api.github.com/users/sqlmapproject", "type": "Organization", "login": "sqlmapproject", "node_id": "MDEyOk9yZ2FuaXphdGlvbjczNTI4OQ==", "html_url": "https://github.com/sqlmapproject", "gists_url": "https://api.github.com/users/sqlmapproject/gists{/gist_id}", "repos_url": "https://api.github.com/users/sqlmapproject/repos", "avatar_url": "https://avatars2.githubusercontent.com/u/735289?v=4", "events_url": "https://api.github.com/users/sqlmapproject/events{/privacy}", "site_admin": false, "gravatar_id": "", "starred_url": "https://api.github.com/users/sqlmapproject/starred{/owner}{/repo}", "followers_url": "https://api.github.com/users/sqlmapproject/followers", "following_url": "https://api.github.com/users/sqlmapproject/following{/other_user}", "organizations_url": "https://api.github.com/users/sqlmapproject/orgs", "subscriptions_url": "https://api.github.com/users/sqlmapproject/subscriptions", "received_events_url": "https://api.github.com/users/sqlmapproject/received_events"}, "score": 1.0, "topics": ["database", "detection", "exploitation", "pentesting", "python", "sql-injection", "takeover", "vulnerability-scanner"], "git_url": "git://github.com/sqlmapproject/sqlmap.git", "license": {"key": "other", "url": null, "name": "Other", "node_id": "MDc6TGljZW5zZTA=", "spdx_id": "NOASSERTION"}, "node_id": "MDEwOlJlcG9zaXRvcnk0NzkzMzky", "private": false, "ssh_url": "git@github.com:sqlmapproject/sqlmap.git", "svn_url": "https://github.com/sqlmapproject/sqlmap", "archived": false, "has_wiki": true, "homepage": "http://sqlmap.org", "html_url": "https://github.com/sqlmapproject/sqlmap", "keys_url": "https://api.github.com/repos/sqlmapproject/sqlmap/keys{/key_id}", "language": "Python", "tags_url": "https://api.github.com/repos/sqlmapproject/sqlmap/tags", "watchers": 13040, "blobs_url": "https://api.github.com/repos/sqlmapproject/sqlmap/git/blobs{/sha}", "clone_url": "https://github.com/sqlmapproject/sqlmap.git", "forks_url": "https://api.github.com/repos/sqlmapproject/sqlmap/forks", "full_name": "sqlmapproject/sqlmap", "has_pages": true, "hooks_url": "https://api.github.com/repos/sqlmapproject/sqlmap/hooks", "pulls_url": "https://api.github.com/repos/sqlmapproject/sqlmap/pulls{/number}", "pushed_at": "2018-12-23T09:42:36Z", "teams_url": "https://api.github.com/repos/sqlmapproject/sqlmap/teams", "trees_url": "https://api.github.com/repos/sqlmapproject/sqlmap/git/trees{/sha}", "created_at": "2012-06-26T09:52:15Z", "events_url": "https://api.github.com/repos/sqlmapproject/sqlmap/events", "has_issues": true, "issues_url": "https://api.github.com/repos/sqlmapproject/sqlmap/issues{/number}", "labels_url": "https://api.github.com/repos/sqlmapproject/sqlmap/labels{/name}", "merges_url": "https://api.github.com/repos/sqlmapproject/sqlmap/merges", "mirror_url": null, "updated_at": "2018-12-24T18:50:37Z", "archive_url": "https://api.github.com/repos/sqlmapproject/sqlmap/{archive_format}{/ref}", "commits_url": "https://api.github.com/repos/sqlmapproject/sqlmap/commits{/sha}", "compare_url": "https://api.github.com/repos/sqlmapproject/sqlmap/compare/{base}...{head}", "description": "Automatic SQL injection and database takeover tool", "forks_count": 2854, "open_issues": 50, "permissions": {"pull": true, "push": false, "admin": false}, "branches_url": "https://api.github.com/repos/sqlmapproject/sqlmap/branches{/branch}", "comments_url": "https://api.github.com/repos/sqlmapproject/sqlmap/comments{/number}", "contents_url": "https://api.github.com/repos/sqlmapproject/sqlmap/contents/{+path}", "git_refs_url": "https://api.github.com/repos/sqlmapproject/sqlmap/git/refs{/sha}", "git_tags_url": "https://api.github.com/repos/sqlmapproject/sqlmap/git/tags{/sha}", "has_projects": true, "releases_url": "https://api.github.com/repos/sqlmapproject/sqlmap/releases{/id}", "statuses_url": "https://api.github.com/repos/sqlmapproject/sqlmap/statuses/{sha}", "assignees_url": "https://api.github.com/repos/sqlmapproject/sqlmap/assignees{/user}", "downloads_url": "https://api.github.com/repos/sqlmapproject/sqlmap/downloads", "has_downloads": true, "languages_url": "https://api.github.com/repos/sqlmapproject/sqlmap/languages", "default_branch": "master", "milestones_url": "https://api.github.com/repos/sqlmapproject/sqlmap/milestones{/number}", "stargazers_url": "https://api.github.com/repos/sqlmapproject/sqlmap/stargazers", "watchers_count": 13040, "deployments_url": "https://api.github.com/repos/sqlmapproject/sqlmap/deployments", "git_commits_url": "https://api.github.com/repos/sqlmapproject/sqlmap/git/commits{/sha}", "subscribers_url": "https://api.github.com/repos/sqlmapproject/sqlmap/subscribers", "contributors_url": "https://api.github.com/repos/sqlmapproject/sqlmap/contributors", "issue_events_url": "https://api.github.com/repos/sqlmapproject/sqlmap/issues/events{/number}", "stargazers_count": 13040, "subscription_url": "https://api.github.com/repos/sqlmapproject/sqlmap/subscription", "collaborators_url": "https://api.github.com/repos/sqlmapproject/sqlmap/collaborators{/collaborator}", "issue_comment_url": "https://api.github.com/repos/sqlmapproject/sqlmap/issues/comments{/number}", "notifications_url": "https://api.github.com/repos/sqlmapproject/sqlmap/notifications{?since,all,participating}", "open_issues_count": 50}</t>
  </si>
  <si>
    <t>StackStorm/st2</t>
  </si>
  <si>
    <t>StackStorm (aka "IFTTT for Ops") is event-driven automation for auto-remediation, security responses, troubleshooting, deployments, and more. Includes rules engine, workflow, 2000+ integrations (see https://exchange.stackstorm.org), ChatOps, etc. Installer at https://docs.stackstorm.com/install/index.html. Questions? https://forum.stackstorm.com/.</t>
  </si>
  <si>
    <t>https://github.com/StackStorm/st2</t>
  </si>
  <si>
    <t>"[\"auto-remediation\", \"automation\", \"chatops\", \"cicd\", \"deployment\", \"devops\", \"ifttt\", \"python\", \"st2\", \"stackstorm\", \"workflows\"]"</t>
  </si>
  <si>
    <t>[{"loc": 6425283, "ratio": 0.971934785065144, "language": "Python"}, {"loc": 121783, "ratio": 0.01842177752008564, "language": "Shell"}, {"loc": 61576, "ratio": 0.00931443118150147, "language": "Makefile"}, {"loc": 856, "ratio": 0.00012948475203594352, "language": "PowerShell"}, {"loc": 677, "ratio": 0.00010240791720599739, "language": "Slash"}, {"loc": 444, "ratio": 0.00006716265175696135, "language": "JavaScript"}, {"loc": 198, "ratio": 0.00002995091226999628, "language": "HTML"}]</t>
  </si>
  <si>
    <t>v2.10.1</t>
  </si>
  <si>
    <t>a69d61b786ba02cf30703e860c53f9ce2b1c0def</t>
  </si>
  <si>
    <t>st2</t>
  </si>
  <si>
    <t>{"id": 19051806, "url": "https://api.github.com/repos/StackStorm/st2", "fork": false, "name": "st2", "size": 26758, "forks": 396, "owner": {"id": 4969009, "url": "https://api.github.com/users/StackStorm", "type": "Organization", "login": "StackStorm", "node_id": "MDEyOk9yZ2FuaXphdGlvbjQ5NjkwMDk=", "html_url": "https://github.com/StackStorm", "gists_url": "https://api.github.com/users/StackStorm/gists{/gist_id}", "repos_url": "https://api.github.com/users/StackStorm/repos", "avatar_url": "https://avatars3.githubusercontent.com/u/4969009?v=4", "events_url": "https://api.github.com/users/StackStorm/events{/privacy}", "site_admin": false, "gravatar_id": "", "starred_url": "https://api.github.com/users/StackStorm/starred{/owner}{/repo}", "followers_url": "https://api.github.com/users/StackStorm/followers", "following_url": "https://api.github.com/users/StackStorm/following{/other_user}", "organizations_url": "https://api.github.com/users/StackStorm/orgs", "subscriptions_url": "https://api.github.com/users/StackStorm/subscriptions", "received_events_url": "https://api.github.com/users/StackStorm/received_events"}, "score": 1.0, "topics": ["auto-remediation", "automation", "chatops", "cicd", "deployment", "devops", "ifttt", "python", "st2", "stackstorm", "workflows"], "git_url": "git://github.com/StackStorm/st2.git", "license": {"key": "apache-2.0", "url": "https://api.github.com/licenses/apache-2.0", "name": "Apache License 2.0", "node_id": "MDc6TGljZW5zZTI=", "spdx_id": "Apache-2.0"}, "node_id": "MDEwOlJlcG9zaXRvcnkxOTA1MTgwNg==", "private": false, "ssh_url": "git@github.com:StackStorm/st2.git", "svn_url": "https://github.com/StackStorm/st2", "archived": false, "has_wiki": true, "homepage": "http://www.stackstorm.com/", "html_url": "https://github.com/StackStorm/st2", "keys_url": "https://api.github.com/repos/StackStorm/st2/keys{/key_id}", "language": "Python", "tags_url": "https://api.github.com/repos/StackStorm/st2/tags", "watchers": 2955, "blobs_url": "https://api.github.com/repos/StackStorm/st2/git/blobs{/sha}", "clone_url": "https://github.com/StackStorm/st2.git", "forks_url": "https://api.github.com/repos/StackStorm/st2/forks", "full_name": "StackStorm/st2", "has_pages": false, "hooks_url": "https://api.github.com/repos/StackStorm/st2/hooks", "pulls_url": "https://api.github.com/repos/StackStorm/st2/pulls{/number}", "pushed_at": "2018-12-20T09:41:52Z", "teams_url": "https://api.github.com/repos/StackStorm/st2/teams", "trees_url": "https://api.github.com/repos/StackStorm/st2/git/trees{/sha}", "created_at": "2014-04-23T00:51:34Z", "events_url": "https://api.github.com/repos/StackStorm/st2/events", "has_issues": true, "issues_url": "https://api.github.com/repos/StackStorm/st2/issues{/number}", "labels_url": "https://api.github.com/repos/StackStorm/st2/labels{/name}", "merges_url": "https://api.github.com/repos/StackStorm/st2/merges", "mirror_url": null, "updated_at": "2018-12-24T00:06:07Z", "archive_url": "https://api.github.com/repos/StackStorm/st2/{archive_format}{/ref}", "commits_url": "https://api.github.com/repos/StackStorm/st2/commits{/sha}", "compare_url": "https://api.github.com/repos/StackStorm/st2/compare/{base}...{head}", "description": "StackStorm (aka \"IFTTT for Ops\") is event-driven automation for auto-remediation, security responses, troubleshooting, deployments, and more. Includes rules engine, workflow, 2000+ integrations (see https://exchange.stackstorm.org), ChatOps, etc. Installer at https://docs.stackstorm.com/install/index.html. Questions? https://forum.stackstorm.com/.", "forks_count": 396, "open_issues": 349, "permissions": {"pull": true, "push": false, "admin": false}, "branches_url": "https://api.github.com/repos/StackStorm/st2/branches{/branch}", "comments_url": "https://api.github.com/repos/StackStorm/st2/comments{/number}", "contents_url": "https://api.github.com/repos/StackStorm/st2/contents/{+path}", "git_refs_url": "https://api.github.com/repos/StackStorm/st2/git/refs{/sha}", "git_tags_url": "https://api.github.com/repos/StackStorm/st2/git/tags{/sha}", "has_projects": true, "releases_url": "https://api.github.com/repos/StackStorm/st2/releases{/id}", "statuses_url": "https://api.github.com/repos/StackStorm/st2/statuses/{sha}", "assignees_url": "https://api.github.com/repos/StackStorm/st2/assignees{/user}", "downloads_url": "https://api.github.com/repos/StackStorm/st2/downloads", "has_downloads": true, "languages_url": "https://api.github.com/repos/StackStorm/st2/languages", "default_branch": "master", "milestones_url": "https://api.github.com/repos/StackStorm/st2/milestones{/number}", "stargazers_url": "https://api.github.com/repos/StackStorm/st2/stargazers", "watchers_count": 2955, "deployments_url": "https://api.github.com/repos/StackStorm/st2/deployments", "git_commits_url": "https://api.github.com/repos/StackStorm/st2/git/commits{/sha}", "subscribers_url": "https://api.github.com/repos/StackStorm/st2/subscribers", "contributors_url": "https://api.github.com/repos/StackStorm/st2/contributors", "issue_events_url": "https://api.github.com/repos/StackStorm/st2/issues/events{/number}", "stargazers_count": 2955, "subscription_url": "https://api.github.com/repos/StackStorm/st2/subscription", "collaborators_url": "https://api.github.com/repos/StackStorm/st2/collaborators{/collaborator}", "issue_comment_url": "https://api.github.com/repos/StackStorm/st2/issues/comments{/number}", "notifications_url": "https://api.github.com/repos/StackStorm/st2/notifications{?since,all,participating}", "open_issues_count": 349}</t>
  </si>
  <si>
    <t>Supervisor/supervisor</t>
  </si>
  <si>
    <t>Supervisor process control system for UNIX</t>
  </si>
  <si>
    <t>https://github.com/Supervisor/supervisor</t>
  </si>
  <si>
    <t>[{"loc": 1221101, "ratio": 0.9696464616787075, "language": "Python"}, {"loc": 34494, "ratio": 0.027390842402999698, "language": "HTML"}, {"loc": 3609, "ratio": 0.0028658186998442026, "language": "CSS"}, {"loc": 122, "ratio": 0.00009687721844859869, "language": "Shell"}]</t>
  </si>
  <si>
    <t>3.3.5</t>
  </si>
  <si>
    <t>4f356b7d7af3c734a9f0e4f2deb548ad612b15e6</t>
  </si>
  <si>
    <t>supervisor</t>
  </si>
  <si>
    <t>{"id": 1148352, "url": "https://api.github.com/repos/Supervisor/supervisor", "fork": false, "name": "supervisor", "size": 5091, "forks": 879, "owner": {"id": 513914, "url": "https://api.github.com/users/Supervisor", "type": "Organization", "login": "Supervisor", "node_id": "MDEyOk9yZ2FuaXphdGlvbjUxMzkxNA==", "html_url": "https://github.com/Supervisor", "gists_url": "https://api.github.com/users/Supervisor/gists{/gist_id}", "repos_url": "https://api.github.com/users/Supervisor/repos", "avatar_url": "https://avatars1.githubusercontent.com/u/513914?v=4", "events_url": "https://api.github.com/users/Supervisor/events{/privacy}", "site_admin": false, "gravatar_id": "", "starred_url": "https://api.github.com/users/Supervisor/starred{/owner}{/repo}", "followers_url": "https://api.github.com/users/Supervisor/followers", "following_url": "https://api.github.com/users/Supervisor/following{/other_user}", "organizations_url": "https://api.github.com/users/Supervisor/orgs", "subscriptions_url": "https://api.github.com/users/Supervisor/subscriptions", "received_events_url": "https://api.github.com/users/Supervisor/received_events"}, "score": 1.0, "topics": [], "git_url": "git://github.com/Supervisor/supervisor.git", "license": {"key": "other", "url": null, "name": "Other", "node_id": "MDc6TGljZW5zZTA=", "spdx_id": "NOASSERTION"}, "node_id": "MDEwOlJlcG9zaXRvcnkxMTQ4MzUy", "private": false, "ssh_url": "git@github.com:Supervisor/supervisor.git", "svn_url": "https://github.com/Supervisor/supervisor", "archived": false, "has_wiki": false, "homepage": "http://supervisord.org", "html_url": "https://github.com/Supervisor/supervisor", "keys_url": "https://api.github.com/repos/Supervisor/supervisor/keys{/key_id}", "language": "Python", "tags_url": "https://api.github.com/repos/Supervisor/supervisor/tags", "watchers": 4921, "blobs_url": "https://api.github.com/repos/Supervisor/supervisor/git/blobs{/sha}", "clone_url": "https://github.com/Supervisor/supervisor.git", "forks_url": "https://api.github.com/repos/Supervisor/supervisor/forks", "full_name": "Supervisor/supervisor", "has_pages": false, "hooks_url": "https://api.github.com/repos/Supervisor/supervisor/hooks", "pulls_url": "https://api.github.com/repos/Supervisor/supervisor/pulls{/number}", "pushed_at": "2018-12-22T23:25:52Z", "teams_url": "https://api.github.com/repos/Supervisor/supervisor/teams", "trees_url": "https://api.github.com/repos/Supervisor/supervisor/git/trees{/sha}", "created_at": "2010-12-08T00:48:48Z", "events_url": "https://api.github.com/repos/Supervisor/supervisor/events", "has_issues": true, "issues_url": "https://api.github.com/repos/Supervisor/supervisor/issues{/number}", "labels_url": "https://api.github.com/repos/Supervisor/supervisor/labels{/name}", "merges_url": "https://api.github.com/repos/Supervisor/supervisor/merges", "mirror_url": null, "updated_at": "2018-12-25T01:39:02Z", "archive_url": "https://api.github.com/repos/Supervisor/supervisor/{archive_format}{/ref}", "commits_url": "https://api.github.com/repos/Supervisor/supervisor/commits{/sha}", "compare_url": "https://api.github.com/repos/Supervisor/supervisor/compare/{base}...{head}", "description": "Supervisor process control system for UNIX", "forks_count": 879, "open_issues": 138, "permissions": {"pull": true, "push": false, "admin": false}, "branches_url": "https://api.github.com/repos/Supervisor/supervisor/branches{/branch}", "comments_url": "https://api.github.com/repos/Supervisor/supervisor/comments{/number}", "contents_url": "https://api.github.com/repos/Supervisor/supervisor/contents/{+path}", "git_refs_url": "https://api.github.com/repos/Supervisor/supervisor/git/refs{/sha}", "git_tags_url": "https://api.github.com/repos/Supervisor/supervisor/git/tags{/sha}", "has_projects": false, "releases_url": "https://api.github.com/repos/Supervisor/supervisor/releases{/id}", "statuses_url": "https://api.github.com/repos/Supervisor/supervisor/statuses/{sha}", "assignees_url": "https://api.github.com/repos/Supervisor/supervisor/assignees{/user}", "downloads_url": "https://api.github.com/repos/Supervisor/supervisor/downloads", "has_downloads": true, "languages_url": "https://api.github.com/repos/Supervisor/supervisor/languages", "default_branch": "master", "milestones_url": "https://api.github.com/repos/Supervisor/supervisor/milestones{/number}", "stargazers_url": "https://api.github.com/repos/Supervisor/supervisor/stargazers", "watchers_count": 4921, "deployments_url": "https://api.github.com/repos/Supervisor/supervisor/deployments", "git_commits_url": "https://api.github.com/repos/Supervisor/supervisor/git/commits{/sha}", "subscribers_url": "https://api.github.com/repos/Supervisor/supervisor/subscribers", "contributors_url": "https://api.github.com/repos/Supervisor/supervisor/contributors", "issue_events_url": "https://api.github.com/repos/Supervisor/supervisor/issues/events{/number}", "stargazers_count": 4921, "subscription_url": "https://api.github.com/repos/Supervisor/supervisor/subscription", "collaborators_url": "https://api.github.com/repos/Supervisor/supervisor/collaborators{/collaborator}", "issue_comment_url": "https://api.github.com/repos/Supervisor/supervisor/issues/comments{/number}", "notifications_url": "https://api.github.com/repos/Supervisor/supervisor/notifications{?since,all,participating}", "open_issues_count": 138}</t>
  </si>
  <si>
    <t>openstack/swift</t>
  </si>
  <si>
    <t>OpenStack Storage (Swift)</t>
  </si>
  <si>
    <t>https://github.com/openstack/swift</t>
  </si>
  <si>
    <t>"[\"api-server\"]"</t>
  </si>
  <si>
    <t>[{"loc": 11330594, "ratio": 0.9994186387538, "language": "Python"}, {"loc": 5966, "ratio": 0.0005262329228992911, "language": "Shell"}, {"loc": 625, "ratio": 0.00005512832330071354, "language": "HTML"}]</t>
  </si>
  <si>
    <t>2.20.0</t>
  </si>
  <si>
    <t>fe067413b1fb61cdfba97d543189c5a01230b45c</t>
  </si>
  <si>
    <t>swift</t>
  </si>
  <si>
    <t>{"id": 790019, "url": "https://api.github.com/repos/openstack/swift", "fork": false, "name": "swift", "size": 100089, "forks": 951, "owner": {"id": 324574, "url": "https://api.github.com/users/openstack", "type": "Organization", "login": "openstack", "node_id": "MDEyOk9yZ2FuaXphdGlvbjMyNDU3NA==", "html_url": "https://github.com/openstack", "gists_url": "https://api.github.com/users/openstack/gists{/gist_id}", "repos_url": "https://api.github.com/users/openstack/repos", "avatar_url": "https://avatars3.githubusercontent.com/u/324574?v=4", "events_url": "https://api.github.com/users/openstack/events{/privacy}", "site_admin": false, "gravatar_id": "", "starred_url": "https://api.github.com/users/openstack/starred{/owner}{/repo}", "followers_url": "https://api.github.com/users/openstack/followers", "following_url": "https://api.github.com/users/openstack/following{/other_user}", "organizations_url": "https://api.github.com/users/openstack/orgs", "subscriptions_url": "https://api.github.com/users/openstack/subscriptions", "received_events_url": "https://api.github.com/users/openstack/received_events"}, "score": 1.0, "topics": ["api-server"], "git_url": "git://github.com/openstack/swift.git", "license": {"key": "apache-2.0", "url": "https://api.github.com/licenses/apache-2.0", "name": "Apache License 2.0", "node_id": "MDc6TGljZW5zZTI=", "spdx_id": "Apache-2.0"}, "node_id": "MDEwOlJlcG9zaXRvcnk3OTAwMTk=", "private": false, "ssh_url": "git@github.com:openstack/swift.git", "svn_url": "https://github.com/openstack/swift", "archived": false, "has_wiki": false, "homepage": "http://openstack.org", "html_url": "https://github.com/openstack/swift", "keys_url": "https://api.github.com/repos/openstack/swift/keys{/key_id}", "language": "Python", "tags_url": "https://api.github.com/repos/openstack/swift/tags", "watchers": 1842, "blobs_url": "https://api.github.com/repos/openstack/swift/git/blobs{/sha}", "clone_url": "https://github.com/openstack/swift.git", "forks_url": "https://api.github.com/repos/openstack/swift/forks", "full_name": "openstack/swift", "has_pages": false, "hooks_url": "https://api.github.com/repos/openstack/swift/hooks", "pulls_url": "https://api.github.com/repos/openstack/swift/pulls{/number}", "pushed_at": "2018-12-22T00:22:26Z", "teams_url": "https://api.github.com/repos/openstack/swift/teams", "trees_url": "https://api.github.com/repos/openstack/swift/git/trees{/sha}", "created_at": "2010-07-22T01:50:07Z", "events_url": "https://api.github.com/repos/openstack/swift/events", "has_issues": false, "issues_url": "https://api.github.com/repos/openstack/swift/issues{/number}", "labels_url": "https://api.github.com/repos/openstack/swift/labels{/name}", "merges_url": "https://api.github.com/repos/openstack/swift/merges", "mirror_url": null, "updated_at": "2018-12-23T03:33:58Z", "archive_url": "https://api.github.com/repos/openstack/swift/{archive_format}{/ref}", "commits_url": "https://api.github.com/repos/openstack/swift/commits{/sha}", "compare_url": "https://api.github.com/repos/openstack/swift/compare/{base}...{head}", "description": "OpenStack Storage (Swift)", "forks_count": 951, "open_issues": 0, "permissions": {"pull": true, "push": false, "admin": false}, "branches_url": "https://api.github.com/repos/openstack/swift/branches{/branch}", "comments_url": "https://api.github.com/repos/openstack/swift/comments{/number}", "contents_url": "https://api.github.com/repos/openstack/swift/contents/{+path}", "git_refs_url": "https://api.github.com/repos/openstack/swift/git/refs{/sha}", "git_tags_url": "https://api.github.com/repos/openstack/swift/git/tags{/sha}", "has_projects": false, "releases_url": "https://api.github.com/repos/openstack/swift/releases{/id}", "statuses_url": "https://api.github.com/repos/openstack/swift/statuses/{sha}", "assignees_url": "https://api.github.com/repos/openstack/swift/assignees{/user}", "downloads_url": "https://api.github.com/repos/openstack/swift/downloads", "has_downloads": false, "languages_url": "https://api.github.com/repos/openstack/swift/languages", "default_branch": "master", "milestones_url": "https://api.github.com/repos/openstack/swift/milestones{/number}", "stargazers_url": "https://api.github.com/repos/openstack/swift/stargazers", "watchers_count": 1842, "deployments_url": "https://api.github.com/repos/openstack/swift/deployments", "git_commits_url": "https://api.github.com/repos/openstack/swift/git/commits{/sha}", "subscribers_url": "https://api.github.com/repos/openstack/swift/subscribers", "contributors_url": "https://api.github.com/repos/openstack/swift/contributors", "issue_events_url": "https://api.github.com/repos/openstack/swift/issues/events{/number}", "stargazers_count": 1842, "subscription_url": "https://api.github.com/repos/openstack/swift/subscription", "collaborators_url": "https://api.github.com/repos/openstack/swift/collaborators{/collaborator}", "issue_comment_url": "https://api.github.com/repos/openstack/swift/issues/comments{/number}", "notifications_url": "https://api.github.com/repos/openstack/swift/notifications{?since,all,participating}", "open_issues_count": 0}</t>
  </si>
  <si>
    <t>sympy/sympy</t>
  </si>
  <si>
    <t>A computer algebra system written in pure Python</t>
  </si>
  <si>
    <t>https://github.com/sympy/sympy</t>
  </si>
  <si>
    <t>"[\"computer-algebra\", \"math\", \"python\", \"science\"]"</t>
  </si>
  <si>
    <t>[{"loc": 26233656, "ratio": 0.9853713222234647, "language": "Python"}, {"loc": 366201, "ratio": 0.013755000964011839, "language": "XSLT"}, {"loc": 8513, "ratio": 0.00031975970356889463, "language": "ANTLR"}, {"loc": 7590, "ratio": 0.00028509058499799254, "language": "Perl"}, {"loc": 6164, "ratio": 0.00023152811145291514, "language": "Shell"}, {"loc": 868, "ratio": 0.00003260324476656884, "language": "Dockerfile"}, {"loc": 125, "ratio": 0.000004695167737121089, "language": "Scheme"}]</t>
  </si>
  <si>
    <t>sympy-1.3</t>
  </si>
  <si>
    <t>74affdcc0dfcd5f18ff82a189cf7fae80d507206</t>
  </si>
  <si>
    <t>sympy</t>
  </si>
  <si>
    <t>{"id": 640534, "url": "https://api.github.com/repos/sympy/sympy", "fork": false, "name": "sympy", "size": 96824, "forks": 2444, "owner": {"id": 260832, "url": "https://api.github.com/users/sympy", "type": "Organization", "login": "sympy", "node_id": "MDEyOk9yZ2FuaXphdGlvbjI2MDgzMg==", "html_url": "https://github.com/sympy", "gists_url": "https://api.github.com/users/sympy/gists{/gist_id}", "repos_url": "https://api.github.com/users/sympy/repos", "avatar_url": "https://avatars1.githubusercontent.com/u/260832?v=4", "events_url": "https://api.github.com/users/sympy/events{/privacy}", "site_admin": false, "gravatar_id": "", "starred_url": "https://api.github.com/users/sympy/starred{/owner}{/repo}", "followers_url": "https://api.github.com/users/sympy/followers", "following_url": "https://api.github.com/users/sympy/following{/other_user}", "organizations_url": "https://api.github.com/users/sympy/orgs", "subscriptions_url": "https://api.github.com/users/sympy/subscriptions", "received_events_url": "https://api.github.com/users/sympy/received_events"}, "score": 1.0, "topics": ["computer-algebra", "math", "python", "science"], "git_url": "git://github.com/sympy/sympy.git", "license": {"key": "other", "url": null, "name": "Other", "node_id": "MDc6TGljZW5zZTA=", "spdx_id": "NOASSERTION"}, "node_id": "MDEwOlJlcG9zaXRvcnk2NDA1MzQ=", "private": false, "ssh_url": "git@github.com:sympy/sympy.git", "svn_url": "https://github.com/sympy/sympy", "archived": false, "has_wiki": true, "homepage": "https://sympy.org/", "html_url": "https://github.com/sympy/sympy", "keys_url": "https://api.github.com/repos/sympy/sympy/keys{/key_id}", "language": "Python", "tags_url": "https://api.github.com/repos/sympy/sympy/tags", "watchers": 5422, "blobs_url": "https://api.github.com/repos/sympy/sympy/git/blobs{/sha}", "clone_url": "https://github.com/sympy/sympy.git", "forks_url": "https://api.github.com/repos/sympy/sympy/forks", "full_name": "sympy/sympy", "has_pages": false, "hooks_url": "https://api.github.com/repos/sympy/sympy/hooks", "pulls_url": "https://api.github.com/repos/sympy/sympy/pulls{/number}", "pushed_at": "2018-12-24T14:52:54Z", "teams_url": "https://api.github.com/repos/sympy/sympy/teams", "trees_url": "https://api.github.com/repos/sympy/sympy/git/trees{/sha}", "created_at": "2010-04-30T20:37:14Z", "events_url": "https://api.github.com/repos/sympy/sympy/events", "has_issues": true, "issues_url": "https://api.github.com/repos/sympy/sympy/issues{/number}", "labels_url": "https://api.github.com/repos/sympy/sympy/labels{/name}", "merges_url": "https://api.github.com/repos/sympy/sympy/merges", "mirror_url": null, "updated_at": "2018-12-24T23:29:07Z", "archive_url": "https://api.github.com/repos/sympy/sympy/{archive_format}{/ref}", "commits_url": "https://api.github.com/repos/sympy/sympy/commits{/sha}", "compare_url": "https://api.github.com/repos/sympy/sympy/compare/{base}...{head}", "description": "A computer algebra system written in pure Python", "forks_count": 2444, "open_issues": 3512, "permissions": {"pull": true, "push": false, "admin": false}, "branches_url": "https://api.github.com/repos/sympy/sympy/branches{/branch}", "comments_url": "https://api.github.com/repos/sympy/sympy/comments{/number}", "contents_url": "https://api.github.com/repos/sympy/sympy/contents/{+path}", "git_refs_url": "https://api.github.com/repos/sympy/sympy/git/refs{/sha}", "git_tags_url": "https://api.github.com/repos/sympy/sympy/git/tags{/sha}", "has_projects": true, "releases_url": "https://api.github.com/repos/sympy/sympy/releases{/id}", "statuses_url": "https://api.github.com/repos/sympy/sympy/statuses/{sha}", "assignees_url": "https://api.github.com/repos/sympy/sympy/assignees{/user}", "downloads_url": "https://api.github.com/repos/sympy/sympy/downloads", "has_downloads": true, "languages_url": "https://api.github.com/repos/sympy/sympy/languages", "default_branch": "master", "milestones_url": "https://api.github.com/repos/sympy/sympy/milestones{/number}", "stargazers_url": "https://api.github.com/repos/sympy/sympy/stargazers", "watchers_count": 5422, "deployments_url": "https://api.github.com/repos/sympy/sympy/deployments", "git_commits_url": "https://api.github.com/repos/sympy/sympy/git/commits{/sha}", "subscribers_url": "https://api.github.com/repos/sympy/sympy/subscribers", "contributors_url": "https://api.github.com/repos/sympy/sympy/contributors", "issue_events_url": "https://api.github.com/repos/sympy/sympy/issues/events{/number}", "stargazers_count": 5422, "subscription_url": "https://api.github.com/repos/sympy/sympy/subscription", "collaborators_url": "https://api.github.com/repos/sympy/sympy/collaborators{/collaborator}", "issue_comment_url": "https://api.github.com/repos/sympy/sympy/issues/comments{/number}", "notifications_url": "https://api.github.com/repos/sympy/sympy/notifications{?since,all,participating}", "open_issues_count": 3512}</t>
  </si>
  <si>
    <t>matrix-org/synapse</t>
  </si>
  <si>
    <t>Synapse: Matrix reference homeserver</t>
  </si>
  <si>
    <t>https://github.com/matrix-org/synapse</t>
  </si>
  <si>
    <t>"[\"matrix-org\", \"python\"]"</t>
  </si>
  <si>
    <t>[{"loc": 4147666, "ratio": 0.9414721697437596, "language": "Python"}, {"loc": 176672, "ratio": 0.040102498892863964, "language": "JavaScript"}, {"loc": 30791, "ratio": 0.006989200571738443, "language": "HTML"}, {"loc": 30018, "ratio": 0.006813738519776707, "language": "Perl"}, {"loc": 14778, "ratio": 0.0033544349338816767, "language": "Shell"}, {"loc": 4272, "ratio": 0.0009696945484871108, "language": "CSS"}, {"loc": 1314, "ratio": 0.00029826278949252424, "language": "Dockerfile"}]</t>
  </si>
  <si>
    <t>v0.34.0</t>
  </si>
  <si>
    <t>d731b75c7bcada708f1acbb83e2521da6a7d97a9</t>
  </si>
  <si>
    <t>synapse</t>
  </si>
  <si>
    <t>{"id": 22844864, "url": "https://api.github.com/repos/matrix-org/synapse", "fork": false, "name": "synapse", "size": 24317, "forks": 508, "owner": {"id": 8418310, "url": "https://api.github.com/users/matrix-org", "type": "Organization", "login": "matrix-org", "node_id": "MDEyOk9yZ2FuaXphdGlvbjg0MTgzMTA=", "html_url": "https://github.com/matrix-org", "gists_url": "https://api.github.com/users/matrix-org/gists{/gist_id}", "repos_url": "https://api.github.com/users/matrix-org/repos", "avatar_url": "https://avatars2.githubusercontent.com/u/8418310?v=4", "events_url": "https://api.github.com/users/matrix-org/events{/privacy}", "site_admin": false, "gravatar_id": "", "starred_url": "https://api.github.com/users/matrix-org/starred{/owner}{/repo}", "followers_url": "https://api.github.com/users/matrix-org/followers", "following_url": "https://api.github.com/users/matrix-org/following{/other_user}", "organizations_url": "https://api.github.com/users/matrix-org/orgs", "subscriptions_url": "https://api.github.com/users/matrix-org/subscriptions", "received_events_url": "https://api.github.com/users/matrix-org/received_events"}, "score": 1.0, "topics": ["matrix-org", "python"], "git_url": "git://github.com/matrix-org/synapse.git", "license": {"key": "apache-2.0", "url": "https://api.github.com/licenses/apache-2.0", "name": "Apache License 2.0", "node_id": "MDc6TGljZW5zZTI=", "spdx_id": "Apache-2.0"}, "node_id": "MDEwOlJlcG9zaXRvcnkyMjg0NDg2NA==", "private": false, "ssh_url": "git@github.com:matrix-org/synapse.git", "svn_url": "https://github.com/matrix-org/synapse", "archived": false, "has_wiki": true, "homepage": "http://matrix.org", "html_url": "https://github.com/matrix-org/synapse", "keys_url": "https://api.github.com/repos/matrix-org/synapse/keys{/key_id}", "language": "Python", "tags_url": "https://api.github.com/repos/matrix-org/synapse/tags", "watchers": 3481, "blobs_url": "https://api.github.com/repos/matrix-org/synapse/git/blobs{/sha}", "clone_url": "https://github.com/matrix-org/synapse.git", "forks_url": "https://api.github.com/repos/matrix-org/synapse/forks", "full_name": "matrix-org/synapse", "has_pages": false, "hooks_url": "https://api.github.com/repos/matrix-org/synapse/hooks", "pulls_url": "https://api.github.com/repos/matrix-org/synapse/pulls{/number}", "pushed_at": "2018-12-24T17:36:11Z", "teams_url": "https://api.github.com/repos/matrix-org/synapse/teams", "trees_url": "https://api.github.com/repos/matrix-org/synapse/git/trees{/sha}", "created_at": "2014-08-11T15:51:42Z", "events_url": "https://api.github.com/repos/matrix-org/synapse/events", "has_issues": true, "issues_url": "https://api.github.com/repos/matrix-org/synapse/issues{/number}", "labels_url": "https://api.github.com/repos/matrix-org/synapse/labels{/name}", "merges_url": "https://api.github.com/repos/matrix-org/synapse/merges", "mirror_url": null, "updated_at": "2018-12-24T22:09:41Z", "archive_url": "https://api.github.com/repos/matrix-org/synapse/{archive_format}{/ref}", "commits_url": "https://api.github.com/repos/matrix-org/synapse/commits{/sha}", "compare_url": "https://api.github.com/repos/matrix-org/synapse/compare/{base}...{head}", "description": "Synapse: Matrix reference homeserver", "forks_count": 508, "open_issues": 949, "permissions": {"pull": true, "push": false, "admin": false}, "branches_url": "https://api.github.com/repos/matrix-org/synapse/branches{/branch}", "comments_url": "https://api.github.com/repos/matrix-org/synapse/comments{/number}", "contents_url": "https://api.github.com/repos/matrix-org/synapse/contents/{+path}", "git_refs_url": "https://api.github.com/repos/matrix-org/synapse/git/refs{/sha}", "git_tags_url": "https://api.github.com/repos/matrix-org/synapse/git/tags{/sha}", "has_projects": true, "releases_url": "https://api.github.com/repos/matrix-org/synapse/releases{/id}", "statuses_url": "https://api.github.com/repos/matrix-org/synapse/statuses/{sha}", "assignees_url": "https://api.github.com/repos/matrix-org/synapse/assignees{/user}", "downloads_url": "https://api.github.com/repos/matrix-org/synapse/downloads", "has_downloads": true, "languages_url": "https://api.github.com/repos/matrix-org/synapse/languages", "default_branch": "master", "milestones_url": "https://api.github.com/repos/matrix-org/synapse/milestones{/number}", "stargazers_url": "https://api.github.com/repos/matrix-org/synapse/stargazers", "watchers_count": 3481, "deployments_url": "https://api.github.com/repos/matrix-org/synapse/deployments", "git_commits_url": "https://api.github.com/repos/matrix-org/synapse/git/commits{/sha}", "subscribers_url": "https://api.github.com/repos/matrix-org/synapse/subscribers", "contributors_url": "https://api.github.com/repos/matrix-org/synapse/contributors", "issue_events_url": "https://api.github.com/repos/matrix-org/synapse/issues/events{/number}", "stargazers_count": 3481, "subscription_url": "https://api.github.com/repos/matrix-org/synapse/subscription", "collaborators_url": "https://api.github.com/repos/matrix-org/synapse/collaborators{/collaborator}", "issue_comment_url": "https://api.github.com/repos/matrix-org/synapse/issues/comments{/number}", "notifications_url": "https://api.github.com/repos/matrix-org/synapse/notifications{?since,all,participating}", "open_issues_count": 949}</t>
  </si>
  <si>
    <t>Theano/Theano</t>
  </si>
  <si>
    <t>Theano is a Python library that allows you to define, optimize, and evaluate mathematical expressions involving multi-dimensional arrays efficiently. It can use GPUs and perform efficient symbolic differentiation.</t>
  </si>
  <si>
    <t>https://github.com/Theano/Theano</t>
  </si>
  <si>
    <t>[{"loc": 8258967, "ratio": 0.9416158233134475, "language": "Python"}, {"loc": 439051, "ratio": 0.05005678904414952, "language": "C"}, {"loc": 32491, "ratio": 0.0037043421671593096, "language": "Shell"}, {"loc": 31466, "ratio": 0.0035874805525171537, "language": "Cuda"}, {"loc": 4248, "ratio": 0.000484320135609638, "language": "Batchfile"}, {"loc": 3085, "ratio": 0.0003517249572400502, "language": "HTML"}, {"loc": 1750, "ratio": 0.0001995198298768518, "language": "CSS"}]</t>
  </si>
  <si>
    <t>rel-1.0.3</t>
  </si>
  <si>
    <t>65fefc3acbdbc498e09ea6c6fa8143e2b14dd9e8</t>
  </si>
  <si>
    <t>Theano</t>
  </si>
  <si>
    <t>{"id": 2183193, "url": "https://api.github.com/repos/Theano/Theano", "fork": false, "name": "Theano", "size": 66987, "forks": 2459, "owner": {"id": 970517, "url": "https://api.github.com/users/Theano", "type": "Organization", "login": "Theano", "node_id": "MDEyOk9yZ2FuaXphdGlvbjk3MDUxNw==", "html_url": "https://github.com/Theano", "gists_url": "https://api.github.com/users/Theano/gists{/gist_id}", "repos_url": "https://api.github.com/users/Theano/repos", "avatar_url": "https://avatars2.githubusercontent.com/u/970517?v=4", "events_url": "https://api.github.com/users/Theano/events{/privacy}", "site_admin": false, "gravatar_id": "", "starred_url": "https://api.github.com/users/Theano/starred{/owner}{/repo}", "followers_url": "https://api.github.com/users/Theano/followers", "following_url": "https://api.github.com/users/Theano/following{/other_user}", "organizations_url": "https://api.github.com/users/Theano/orgs", "subscriptions_url": "https://api.github.com/users/Theano/subscriptions", "received_events_url": "https://api.github.com/users/Theano/received_events"}, "score": 1.0, "topics": [], "git_url": "git://github.com/Theano/Theano.git", "license": {"key": "other", "url": null, "name": "Other", "node_id": "MDc6TGljZW5zZTA=", "spdx_id": "NOASSERTION"}, "node_id": "MDEwOlJlcG9zaXRvcnkyMTgzMTkz", "private": false, "ssh_url": "git@github.com:Theano/Theano.git", "svn_url": "https://github.com/Theano/Theano", "archived": false, "has_wiki": true, "homepage": "http://www.deeplearning.net/software/theano", "html_url": "https://github.com/Theano/Theano", "keys_url": "https://api.github.com/repos/Theano/Theano/keys{/key_id}", "language": "Python", "tags_url": "https://api.github.com/repos/Theano/Theano/tags", "watchers": 8631, "blobs_url": "https://api.github.com/repos/Theano/Theano/git/blobs{/sha}", "clone_url": "https://github.com/Theano/Theano.git", "forks_url": "https://api.github.com/repos/Theano/Theano/forks", "full_name": "Theano/Theano", "has_pages": false, "hooks_url": "https://api.github.com/repos/Theano/Theano/hooks", "pulls_url": "https://api.github.com/repos/Theano/Theano/pulls{/number}", "pushed_at": "2018-12-11T02:25:07Z", "teams_url": "https://api.github.com/repos/Theano/Theano/teams", "trees_url": "https://api.github.com/repos/Theano/Theano/git/trees{/sha}", "created_at": "2011-08-10T03:48:06Z", "events_url": "https://api.github.com/repos/Theano/Theano/events", "has_issues": true, "issues_url": "https://api.github.com/repos/Theano/Theano/issues{/number}", "labels_url": "https://api.github.com/repos/Theano/Theano/labels{/name}", "merges_url": "https://api.github.com/repos/Theano/Theano/merges", "mirror_url": null, "updated_at": "2018-12-24T23:12:07Z", "archive_url": "https://api.github.com/repos/Theano/Theano/{archive_format}{/ref}", "commits_url": "https://api.github.com/repos/Theano/Theano/commits{/sha}", "compare_url": "https://api.github.com/repos/Theano/Theano/compare/{base}...{head}", "description": "Theano is a Python library that allows you to define, optimize, and evaluate mathematical expressions involving multi-dimensional arrays efficiently. It can use GPUs and perform efficient symbolic differentiation.", "forks_count": 2459, "open_issues": 632, "permissions": {"pull": true, "push": false, "admin": false}, "branches_url": "https://api.github.com/repos/Theano/Theano/branches{/branch}", "comments_url": "https://api.github.com/repos/Theano/Theano/comments{/number}", "contents_url": "https://api.github.com/repos/Theano/Theano/contents/{+path}", "git_refs_url": "https://api.github.com/repos/Theano/Theano/git/refs{/sha}", "git_tags_url": "https://api.github.com/repos/Theano/Theano/git/tags{/sha}", "has_projects": true, "releases_url": "https://api.github.com/repos/Theano/Theano/releases{/id}", "statuses_url": "https://api.github.com/repos/Theano/Theano/statuses/{sha}", "assignees_url": "https://api.github.com/repos/Theano/Theano/assignees{/user}", "downloads_url": "https://api.github.com/repos/Theano/Theano/downloads", "has_downloads": true, "languages_url": "https://api.github.com/repos/Theano/Theano/languages", "default_branch": "master", "milestones_url": "https://api.github.com/repos/Theano/Theano/milestones{/number}", "stargazers_url": "https://api.github.com/repos/Theano/Theano/stargazers", "watchers_count": 8631, "deployments_url": "https://api.github.com/repos/Theano/Theano/deployments", "git_commits_url": "https://api.github.com/repos/Theano/Theano/git/commits{/sha}", "subscribers_url": "https://api.github.com/repos/Theano/Theano/subscribers", "contributors_url": "https://api.github.com/repos/Theano/Theano/contributors", "issue_events_url": "https://api.github.com/repos/Theano/Theano/issues/events{/number}", "stargazers_count": 8631, "subscription_url": "https://api.github.com/repos/Theano/Theano/subscription", "collaborators_url": "https://api.github.com/repos/Theano/Theano/collaborators{/collaborator}", "issue_comment_url": "https://api.github.com/repos/Theano/Theano/issues/comments{/number}", "notifications_url": "https://api.github.com/repos/Theano/Theano/notifications{?since,all,participating}", "open_issues_count": 632}</t>
  </si>
  <si>
    <t>thumbor/thumbor</t>
  </si>
  <si>
    <t>thumbor is an open-source photo thumbnail service by globo.com</t>
  </si>
  <si>
    <t>https://github.com/thumbor/thumbor</t>
  </si>
  <si>
    <t>[{"loc": 588287, "ratio": 0.8938657242098161, "language": "Python"}, {"loc": 59305, "ratio": 0.09011028082256305, "language": "C"}, {"loc": 10137, "ratio": 0.015402544755051373, "language": "Makefile"}, {"loc": 409, "ratio": 0.0006214502125694003, "language": "JavaScript"}]</t>
  </si>
  <si>
    <t>6.6.0</t>
  </si>
  <si>
    <t>5b6e89c6a3154d409566466c2c0f11450726e549</t>
  </si>
  <si>
    <t>thumbor</t>
  </si>
  <si>
    <t>{"id": 1488139, "url": "https://api.github.com/repos/thumbor/thumbor", "fork": false, "name": "thumbor", "size": 46121, "forks": 592, "owner": {"id": 6918711, "url": "https://api.github.com/users/thumbor", "type": "Organization", "login": "thumbor", "node_id": "MDEyOk9yZ2FuaXphdGlvbjY5MTg3MTE=", "html_url": "https://github.com/thumbor", "gists_url": "https://api.github.com/users/thumbor/gists{/gist_id}", "repos_url": "https://api.github.com/users/thumbor/repos", "avatar_url": "https://avatars3.githubusercontent.com/u/6918711?v=4", "events_url": "https://api.github.com/users/thumbor/events{/privacy}", "site_admin": false, "gravatar_id": "", "starred_url": "https://api.github.com/users/thumbor/starred{/owner}{/repo}", "followers_url": "https://api.github.com/users/thumbor/followers", "following_url": "https://api.github.com/users/thumbor/following{/other_user}", "organizations_url": "https://api.github.com/users/thumbor/orgs", "subscriptions_url": "https://api.github.com/users/thumbor/subscriptions", "received_events_url": "https://api.github.com/users/thumbor/received_events"}, "score": 1.0, "topics": [], "git_url": "git://github.com/thumbor/thumbor.git", "license": {"key": "mit", "url": "https://api.github.com/licenses/mit", "name": "MIT License", "node_id": "MDc6TGljZW5zZTEz", "spdx_id": "MIT"}, "node_id": "MDEwOlJlcG9zaXRvcnkxNDg4MTM5", "private": false, "ssh_url": "git@github.com:thumbor/thumbor.git", "svn_url": "https://github.com/thumbor/thumbor", "archived": false, "has_wiki": true, "homepage": "http://thumbor.org", "html_url": "https://github.com/thumbor/thumbor", "keys_url": "https://api.github.com/repos/thumbor/thumbor/keys{/key_id}", "language": "Python", "tags_url": "https://api.github.com/repos/thumbor/thumbor/tags", "watchers": 6476, "blobs_url": "https://api.github.com/repos/thumbor/thumbor/git/blobs{/sha}", "clone_url": "https://github.com/thumbor/thumbor.git", "forks_url": "https://api.github.com/repos/thumbor/thumbor/forks", "full_name": "thumbor/thumbor", "has_pages": true, "hooks_url": "https://api.github.com/repos/thumbor/thumbor/hooks", "pulls_url": "https://api.github.com/repos/thumbor/thumbor/pulls{/number}", "pushed_at": "2018-12-19T09:04:02Z", "teams_url": "https://api.github.com/repos/thumbor/thumbor/teams", "trees_url": "https://api.github.com/repos/thumbor/thumbor/git/trees{/sha}", "created_at": "2011-03-16T17:30:05Z", "events_url": "https://api.github.com/repos/thumbor/thumbor/events", "has_issues": true, "issues_url": "https://api.github.com/repos/thumbor/thumbor/issues{/number}", "labels_url": "https://api.github.com/repos/thumbor/thumbor/labels{/name}", "merges_url": "https://api.github.com/repos/thumbor/thumbor/merges", "mirror_url": null, "updated_at": "2018-12-25T02:02:02Z", "archive_url": "https://api.github.com/repos/thumbor/thumbor/{archive_format}{/ref}", "commits_url": "https://api.github.com/repos/thumbor/thumbor/commits{/sha}", "compare_url": "https://api.github.com/repos/thumbor/thumbor/compare/{base}...{head}", "description": "thumbor is an open-source photo thumbnail service by globo.com", "forks_count": 592, "open_issues": 74, "permissions": {"pull": true, "push": false, "admin": false}, "branches_url": "https://api.github.com/repos/thumbor/thumbor/branches{/branch}", "comments_url": "https://api.github.com/repos/thumbor/thumbor/comments{/number}", "contents_url": "https://api.github.com/repos/thumbor/thumbor/contents/{+path}", "git_refs_url": "https://api.github.com/repos/thumbor/thumbor/git/refs{/sha}", "git_tags_url": "https://api.github.com/repos/thumbor/thumbor/git/tags{/sha}", "has_projects": true, "releases_url": "https://api.github.com/repos/thumbor/thumbor/releases{/id}", "statuses_url": "https://api.github.com/repos/thumbor/thumbor/statuses/{sha}", "assignees_url": "https://api.github.com/repos/thumbor/thumbor/assignees{/user}", "downloads_url": "https://api.github.com/repos/thumbor/thumbor/downloads", "has_downloads": true, "languages_url": "https://api.github.com/repos/thumbor/thumbor/languages", "default_branch": "master", "milestones_url": "https://api.github.com/repos/thumbor/thumbor/milestones{/number}", "stargazers_url": "https://api.github.com/repos/thumbor/thumbor/stargazers", "watchers_count": 6476, "deployments_url": "https://api.github.com/repos/thumbor/thumbor/deployments", "git_commits_url": "https://api.github.com/repos/thumbor/thumbor/git/commits{/sha}", "subscribers_url": "https://api.github.com/repos/thumbor/thumbor/subscribers", "contributors_url": "https://api.github.com/repos/thumbor/thumbor/contributors", "issue_events_url": "https://api.github.com/repos/thumbor/thumbor/issues/events{/number}", "stargazers_count": 6476, "subscription_url": "https://api.github.com/repos/thumbor/thumbor/subscription", "collaborators_url": "https://api.github.com/repos/thumbor/thumbor/collaborators{/collaborator}", "issue_comment_url": "https://api.github.com/repos/thumbor/thumbor/issues/comments{/number}", "notifications_url": "https://api.github.com/repos/thumbor/thumbor/notifications{?since,all,participating}", "open_issues_count": 74}</t>
  </si>
  <si>
    <t>tornadoweb/tornado</t>
  </si>
  <si>
    <t>Tornado is a Python web framework and asynchronous networking library, originally developed at FriendFeed.</t>
  </si>
  <si>
    <t>https://github.com/tornadoweb/tornado</t>
  </si>
  <si>
    <t>"[\"asynchronous\", \"python\"]"</t>
  </si>
  <si>
    <t>[{"loc": 1504864, "ratio": 0.9952468534460809, "language": "Python"}, {"loc": 4070, "ratio": 0.002691708150055785, "language": "Shell"}, {"loc": 1664, "ratio": 0.0011004919807599083, "language": "C"}, {"loc": 1428, "ratio": 0.000944412589257902, "language": "Ruby"}, {"loc": 25, "ratio": 0.000016533833845551505, "language": "HTML"}]</t>
  </si>
  <si>
    <t>v5.1.1</t>
  </si>
  <si>
    <t>cc2cf078a39abec6f8d181f76a4e5ba9432364f3</t>
  </si>
  <si>
    <t>tornado</t>
  </si>
  <si>
    <t>{"id": 301742, "url": "https://api.github.com/repos/tornadoweb/tornado", "fork": false, "name": "tornado", "size": 8414, "forks": 4820, "owner": {"id": 7468980, "url": "https://api.github.com/users/tornadoweb", "type": "Organization", "login": "tornadoweb", "node_id": "MDEyOk9yZ2FuaXphdGlvbjc0Njg5ODA=", "html_url": "https://github.com/tornadoweb", "gists_url": "https://api.github.com/users/tornadoweb/gists{/gist_id}", "repos_url": "https://api.github.com/users/tornadoweb/repos", "avatar_url": "https://avatars3.githubusercontent.com/u/7468980?v=4", "events_url": "https://api.github.com/users/tornadoweb/events{/privacy}", "site_admin": false, "gravatar_id": "", "starred_url": "https://api.github.com/users/tornadoweb/starred{/owner}{/repo}", "followers_url": "https://api.github.com/users/tornadoweb/followers", "following_url": "https://api.github.com/users/tornadoweb/following{/other_user}", "organizations_url": "https://api.github.com/users/tornadoweb/orgs", "subscriptions_url": "https://api.github.com/users/tornadoweb/subscriptions", "received_events_url": "https://api.github.com/users/tornadoweb/received_events"}, "score": 1.0, "topics": ["asynchronous", "python"], "git_url": "git://github.com/tornadoweb/tornado.git", "license": {"key": "apache-2.0", "url": "https://api.github.com/licenses/apache-2.0", "name": "Apache License 2.0", "node_id": "MDc6TGljZW5zZTI=", "spdx_id": "Apache-2.0"}, "node_id": "MDEwOlJlcG9zaXRvcnkzMDE3NDI=", "private": false, "ssh_url": "git@github.com:tornadoweb/tornado.git", "svn_url": "https://github.com/tornadoweb/tornado", "archived": false, "has_wiki": true, "homepage": "http://www.tornadoweb.org/", "html_url": "https://github.com/tornadoweb/tornado", "keys_url": "https://api.github.com/repos/tornadoweb/tornado/keys{/key_id}", "language": "Python", "tags_url": "https://api.github.com/repos/tornadoweb/tornado/tags", "watchers": 17040, "blobs_url": "https://api.github.com/repos/tornadoweb/tornado/git/blobs{/sha}", "clone_url": "https://github.com/tornadoweb/tornado.git", "forks_url": "https://api.github.com/repos/tornadoweb/tornado/forks", "full_name": "tornadoweb/tornado", "has_pages": true, "hooks_url": "https://api.github.com/repos/tornadoweb/tornado/hooks", "pulls_url": "https://api.github.com/repos/tornadoweb/tornado/pulls{/number}", "pushed_at": "2018-12-23T14:15:20Z", "teams_url": "https://api.github.com/repos/tornadoweb/tornado/teams", "trees_url": "https://api.github.com/repos/tornadoweb/tornado/git/trees{/sha}", "created_at": "2009-09-09T04:55:16Z", "events_url": "https://api.github.com/repos/tornadoweb/tornado/events", "has_issues": true, "issues_url": "https://api.github.com/repos/tornadoweb/tornado/issues{/number}", "labels_url": "https://api.github.com/repos/tornadoweb/tornado/labels{/name}", "merges_url": "https://api.github.com/repos/tornadoweb/tornado/merges", "mirror_url": null, "updated_at": "2018-12-24T23:12:30Z", "archive_url": "https://api.github.com/repos/tornadoweb/tornado/{archive_format}{/ref}", "commits_url": "https://api.github.com/repos/tornadoweb/tornado/commits{/sha}", "compare_url": "https://api.github.com/repos/tornadoweb/tornado/compare/{base}...{head}", "description": "Tornado is a Python web framework and asynchronous networking library, originally developed at FriendFeed.", "forks_count": 4820, "open_issues": 149, "permissions": {"pull": true, "push": false, "admin": false}, "branches_url": "https://api.github.com/repos/tornadoweb/tornado/branches{/branch}", "comments_url": "https://api.github.com/repos/tornadoweb/tornado/comments{/number}", "contents_url": "https://api.github.com/repos/tornadoweb/tornado/contents/{+path}", "git_refs_url": "https://api.github.com/repos/tornadoweb/tornado/git/refs{/sha}", "git_tags_url": "https://api.github.com/repos/tornadoweb/tornado/git/tags{/sha}", "has_projects": true, "releases_url": "https://api.github.com/repos/tornadoweb/tornado/releases{/id}", "statuses_url": "https://api.github.com/repos/tornadoweb/tornado/statuses/{sha}", "assignees_url": "https://api.github.com/repos/tornadoweb/tornado/assignees{/user}", "downloads_url": "https://api.github.com/repos/tornadoweb/tornado/downloads", "has_downloads": true, "languages_url": "https://api.github.com/repos/tornadoweb/tornado/languages", "default_branch": "master", "milestones_url": "https://api.github.com/repos/tornadoweb/tornado/milestones{/number}", "stargazers_url": "https://api.github.com/repos/tornadoweb/tornado/stargazers", "watchers_count": 17040, "deployments_url": "https://api.github.com/repos/tornadoweb/tornado/deployments", "git_commits_url": "https://api.github.com/repos/tornadoweb/tornado/git/commits{/sha}", "subscribers_url": "https://api.github.com/repos/tornadoweb/tornado/subscribers", "contributors_url": "https://api.github.com/repos/tornadoweb/tornado/contributors", "issue_events_url": "https://api.github.com/repos/tornadoweb/tornado/issues/events{/number}", "stargazers_count": 17040, "subscription_url": "https://api.github.com/repos/tornadoweb/tornado/subscription", "collaborators_url": "https://api.github.com/repos/tornadoweb/tornado/collaborators{/collaborator}", "issue_comment_url": "https://api.github.com/repos/tornadoweb/tornado/issues/comments{/number}", "notifications_url": "https://api.github.com/repos/tornadoweb/tornado/notifications{?since,all,participating}", "open_issues_count": 149}</t>
  </si>
  <si>
    <t>Tribler/tribler</t>
  </si>
  <si>
    <t>Privacy enhanced BitTorrent client with P2P content discovery</t>
  </si>
  <si>
    <t>https://github.com/Tribler/tribler</t>
  </si>
  <si>
    <t>"[\"bittorrent\", \"p2p\", \"privacy\", \"python\", \"search\", \"streaming\", \"tor\"]"</t>
  </si>
  <si>
    <t>[{"loc": 3412620, "ratio": 0.8572485762638037, "language": "Python"}, {"loc": 538863, "ratio": 0.13536213804972194, "language": "R"}, {"loc": 11779, "ratio": 0.0029588793888013737, "language": "NSIS"}, {"loc": 8196, "ratio": 0.002058831434809072, "language": "Batchfile"}, {"loc": 6675, "ratio": 0.0016767569335469198, "language": "Shell"}, {"loc": 2459, "ratio": 0.0006176996703508429, "language": "Roff"}, {"loc": 307, "ratio": 0.000077118258966128, "language": "SQLPL"}]</t>
  </si>
  <si>
    <t>v7.2.0</t>
  </si>
  <si>
    <t>9347377986df811a7d2d4eeb697427312c6035b5</t>
  </si>
  <si>
    <t>tribler</t>
  </si>
  <si>
    <t>{"id": 8411137, "url": "https://api.github.com/repos/Tribler/tribler", "fork": false, "name": "tribler", "size": 123386, "forks": 335, "owner": {"id": 2913489, "url": "https://api.github.com/users/Tribler", "type": "Organization", "login": "Tribler", "node_id": "MDEyOk9yZ2FuaXphdGlvbjI5MTM0ODk=", "html_url": "https://github.com/Tribler", "gists_url": "https://api.github.com/users/Tribler/gists{/gist_id}", "repos_url": "https://api.github.com/users/Tribler/repos", "avatar_url": "https://avatars3.githubusercontent.com/u/2913489?v=4", "events_url": "https://api.github.com/users/Tribler/events{/privacy}", "site_admin": false, "gravatar_id": "", "starred_url": "https://api.github.com/users/Tribler/starred{/owner}{/repo}", "followers_url": "https://api.github.com/users/Tribler/followers", "following_url": "https://api.github.com/users/Tribler/following{/other_user}", "organizations_url": "https://api.github.com/users/Tribler/orgs", "subscriptions_url": "https://api.github.com/users/Tribler/subscriptions", "received_events_url": "https://api.github.com/users/Tribler/received_events"}, "score": 1.0, "topics": ["bittorrent", "p2p", "privacy", "python", "search", "streaming", "tor"], "git_url": "git://github.com/Tribler/tribler.git", "license": {"key": "lgpl-3.0", "url": "https://api.github.com/licenses/lgpl-3.0", "name": "GNU Lesser General Public License v3.0", "node_id": "MDc6TGljZW5zZTEy", "spdx_id": "LGPL-3.0"}, "node_id": "MDEwOlJlcG9zaXRvcnk4NDExMTM3", "private": false, "ssh_url": "git@github.com:Tribler/tribler.git", "svn_url": "https://github.com/Tribler/tribler", "archived": false, "has_wiki": true, "homepage": "http://www.tribler.org", "html_url": "https://github.com/Tribler/tribler", "keys_url": "https://api.github.com/repos/Tribler/tribler/keys{/key_id}", "language": "Python", "tags_url": "https://api.github.com/repos/Tribler/tribler/tags", "watchers": 2757, "blobs_url": "https://api.github.com/repos/Tribler/tribler/git/blobs{/sha}", "clone_url": "https://github.com/Tribler/tribler.git", "forks_url": "https://api.github.com/repos/Tribler/tribler/forks", "full_name": "Tribler/tribler", "has_pages": false, "hooks_url": "https://api.github.com/repos/Tribler/tribler/hooks", "pulls_url": "https://api.github.com/repos/Tribler/tribler/pulls{/number}", "pushed_at": "2018-12-23T13:02:53Z", "teams_url": "https://api.github.com/repos/Tribler/tribler/teams", "trees_url": "https://api.github.com/repos/Tribler/tribler/git/trees{/sha}", "created_at": "2013-02-25T14:51:58Z", "events_url": "https://api.github.com/repos/Tribler/tribler/events", "has_issues": true, "issues_url": "https://api.github.com/repos/Tribler/tribler/issues{/number}", "labels_url": "https://api.github.com/repos/Tribler/tribler/labels{/name}", "merges_url": "https://api.github.com/repos/Tribler/tribler/merges", "mirror_url": null, "updated_at": "2018-12-21T23:15:56Z", "archive_url": "https://api.github.com/repos/Tribler/tribler/{archive_format}{/ref}", "commits_url": "https://api.github.com/repos/Tribler/tribler/commits{/sha}", "compare_url": "https://api.github.com/repos/Tribler/tribler/compare/{base}...{head}", "description": "Privacy enhanced BitTorrent client with P2P content discovery", "forks_count": 335, "open_issues": 332, "permissions": {"pull": true, "push": false, "admin": false}, "branches_url": "https://api.github.com/repos/Tribler/tribler/branches{/branch}", "comments_url": "https://api.github.com/repos/Tribler/tribler/comments{/number}", "contents_url": "https://api.github.com/repos/Tribler/tribler/contents/{+path}", "git_refs_url": "https://api.github.com/repos/Tribler/tribler/git/refs{/sha}", "git_tags_url": "https://api.github.com/repos/Tribler/tribler/git/tags{/sha}", "has_projects": true, "releases_url": "https://api.github.com/repos/Tribler/tribler/releases{/id}", "statuses_url": "https://api.github.com/repos/Tribler/tribler/statuses/{sha}", "assignees_url": "https://api.github.com/repos/Tribler/tribler/assignees{/user}", "downloads_url": "https://api.github.com/repos/Tribler/tribler/downloads", "has_downloads": true, "languages_url": "https://api.github.com/repos/Tribler/tribler/languages", "default_branch": "devel", "milestones_url": "https://api.github.com/repos/Tribler/tribler/milestones{/number}", "stargazers_url": "https://api.github.com/repos/Tribler/tribler/stargazers", "watchers_count": 2757, "deployments_url": "https://api.github.com/repos/Tribler/tribler/deployments", "git_commits_url": "https://api.github.com/repos/Tribler/tribler/git/commits{/sha}", "subscribers_url": "https://api.github.com/repos/Tribler/tribler/subscribers", "contributors_url": "https://api.github.com/repos/Tribler/tribler/contributors", "issue_events_url": "https://api.github.com/repos/Tribler/tribler/issues/events{/number}", "stargazers_count": 2757, "subscription_url": "https://api.github.com/repos/Tribler/tribler/subscription", "collaborators_url": "https://api.github.com/repos/Tribler/tribler/collaborators{/collaborator}", "issue_comment_url": "https://api.github.com/repos/Tribler/tribler/issues/comments{/number}", "notifications_url": "https://api.github.com/repos/Tribler/tribler/notifications{?since,all,participating}", "open_issues_count": 332}</t>
  </si>
  <si>
    <t>cloudtools/troposphere</t>
  </si>
  <si>
    <t>troposphere - Python library to create AWS CloudFormation descriptions</t>
  </si>
  <si>
    <t>https://github.com/cloudtools/troposphere</t>
  </si>
  <si>
    <t>"[\"aws-cloudformation\", \"python\", \"python3\"]"</t>
  </si>
  <si>
    <t>[{"loc": 544098, "ratio": 0.9988269568617516, "language": "Python"}, {"loc": 579, "ratio": 0.0010628982426381906, "language": "Makefile"}, {"loc": 60, "ratio": 0.00011014489561017518, "language": "Shell"}]</t>
  </si>
  <si>
    <t>2.3.4</t>
  </si>
  <si>
    <t>9b36e1e47fc6ec45b4a4dec66c53de999b393497</t>
  </si>
  <si>
    <t>troposphere</t>
  </si>
  <si>
    <t>{"id": 7137821, "url": "https://api.github.com/repos/cloudtools/troposphere", "fork": false, "name": "troposphere", "size": 1903, "forks": 997, "owner": {"id": 3028687, "url": "https://api.github.com/users/cloudtools", "type": "Organization", "login": "cloudtools", "node_id": "MDEyOk9yZ2FuaXphdGlvbjMwMjg2ODc=", "html_url": "https://github.com/cloudtools", "gists_url": "https://api.github.com/users/cloudtools/gists{/gist_id}", "repos_url": "https://api.github.com/users/cloudtools/repos", "avatar_url": "https://avatars2.githubusercontent.com/u/3028687?v=4", "events_url": "https://api.github.com/users/cloudtools/events{/privacy}", "site_admin": false, "gravatar_id": "", "starred_url": "https://api.github.com/users/cloudtools/starred{/owner}{/repo}", "followers_url": "https://api.github.com/users/cloudtools/followers", "following_url": "https://api.github.com/users/cloudtools/following{/other_user}", "organizations_url": "https://api.github.com/users/cloudtools/orgs", "subscriptions_url": "https://api.github.com/users/cloudtools/subscriptions", "received_events_url": "https://api.github.com/users/cloudtools/received_events"}, "score": 1.0, "topics": ["aws-cloudformation", "python", "python3"], "git_url": "git://github.com/cloudtools/troposphere.git", "license": {"key": "bsd-2-clause", "url": "https://api.github.com/licenses/bsd-2-clause", "name": "BSD 2-Clause \"Simplified\" License", "node_id": "MDc6TGljZW5zZTQ=", "spdx_id": "BSD-2-Clause"}, "node_id": "MDEwOlJlcG9zaXRvcnk3MTM3ODIx", "private": false, "ssh_url": "git@github.com:cloudtools/troposphere.git", "svn_url": "https://github.com/cloudtools/troposphere", "archived": false, "has_wiki": true, "homepage": "", "html_url": "https://github.com/cloudtools/troposphere", "keys_url": "https://api.github.com/repos/cloudtools/troposphere/keys{/key_id}", "language": "Python", "tags_url": "https://api.github.com/repos/cloudtools/troposphere/tags", "watchers": 3226, "blobs_url": "https://api.github.com/repos/cloudtools/troposphere/git/blobs{/sha}", "clone_url": "https://github.com/cloudtools/troposphere.git", "forks_url": "https://api.github.com/repos/cloudtools/troposphere/forks", "full_name": "cloudtools/troposphere", "has_pages": false, "hooks_url": "https://api.github.com/repos/cloudtools/troposphere/hooks", "pulls_url": "https://api.github.com/repos/cloudtools/troposphere/pulls{/number}", "pushed_at": "2018-12-24T01:00:14Z", "teams_url": "https://api.github.com/repos/cloudtools/troposphere/teams", "trees_url": "https://api.github.com/repos/cloudtools/troposphere/git/trees{/sha}", "created_at": "2012-12-12T21:19:46Z", "events_url": "https://api.github.com/repos/cloudtools/troposphere/events", "has_issues": true, "issues_url": "https://api.github.com/repos/cloudtools/troposphere/issues{/number}", "labels_url": "https://api.github.com/repos/cloudtools/troposphere/labels{/name}", "merges_url": "https://api.github.com/repos/cloudtools/troposphere/merges", "mirror_url": null, "updated_at": "2018-12-24T01:00:20Z", "archive_url": "https://api.github.com/repos/cloudtools/troposphere/{archive_format}{/ref}", "commits_url": "https://api.github.com/repos/cloudtools/troposphere/commits{/sha}", "compare_url": "https://api.github.com/repos/cloudtools/troposphere/compare/{base}...{head}", "description": "troposphere - Python library to create AWS CloudFormation descriptions", "forks_count": 997, "open_issues": 161, "permissions": {"pull": true, "push": false, "admin": false}, "branches_url": "https://api.github.com/repos/cloudtools/troposphere/branches{/branch}", "comments_url": "https://api.github.com/repos/cloudtools/troposphere/comments{/number}", "contents_url": "https://api.github.com/repos/cloudtools/troposphere/contents/{+path}", "git_refs_url": "https://api.github.com/repos/cloudtools/troposphere/git/refs{/sha}", "git_tags_url": "https://api.github.com/repos/cloudtools/troposphere/git/tags{/sha}", "has_projects": true, "releases_url": "https://api.github.com/repos/cloudtools/troposphere/releases{/id}", "statuses_url": "https://api.github.com/repos/cloudtools/troposphere/statuses/{sha}", "assignees_url": "https://api.github.com/repos/cloudtools/troposphere/assignees{/user}", "downloads_url": "https://api.github.com/repos/cloudtools/troposphere/downloads", "has_downloads": true, "languages_url": "https://api.github.com/repos/cloudtools/troposphere/languages", "default_branch": "master", "milestones_url": "https://api.github.com/repos/cloudtools/troposphere/milestones{/number}", "stargazers_url": "https://api.github.com/repos/cloudtools/troposphere/stargazers", "watchers_count": 3226, "deployments_url": "https://api.github.com/repos/cloudtools/troposphere/deployments", "git_commits_url": "https://api.github.com/repos/cloudtools/troposphere/git/commits{/sha}", "subscribers_url": "https://api.github.com/repos/cloudtools/troposphere/subscribers", "contributors_url": "https://api.github.com/repos/cloudtools/troposphere/contributors", "issue_events_url": "https://api.github.com/repos/cloudtools/troposphere/issues/events{/number}", "stargazers_count": 3226, "subscription_url": "https://api.github.com/repos/cloudtools/troposphere/subscription", "collaborators_url": "https://api.github.com/repos/cloudtools/troposphere/collaborators{/collaborator}", "issue_comment_url": "https://api.github.com/repos/cloudtools/troposphere/issues/comments{/number}", "notifications_url": "https://api.github.com/repos/cloudtools/troposphere/notifications{?since,all,participating}", "open_issues_count": 161}</t>
  </si>
  <si>
    <t>twisted/twisted</t>
  </si>
  <si>
    <t>Event-driven networking engine written in Python.</t>
  </si>
  <si>
    <t>https://github.com/twisted/twisted</t>
  </si>
  <si>
    <t>"[\"async\", \"async-python\", \"dns\", \"event-driven\", \"http\", \"imap\", \"irc\", \"network\", \"python\", \"smtp\", \"ssl\", \"tls\", \"twisted\", \"xmpp\"]"</t>
  </si>
  <si>
    <t>[{"loc": 12280238, "ratio": 0.9955054771601178, "language": "Python"}, {"loc": 18122, "ratio": 0.0014690717115658227, "language": "GAP"}, {"loc": 17419, "ratio": 0.0014120825595279256, "language": "C"}, {"loc": 8886, "ratio": 0.0007203493670110308, "language": "HTML"}, {"loc": 5506, "ratio": 0.000446347469588424, "language": "Shell"}, {"loc": 3472, "ratio": 0.00028145993723410973, "language": "Batchfile"}, {"loc": 1292, "ratio": 0.00010473681996154084, "language": "C++"}, {"loc": 746, "ratio": 0.00006047497499327358, "language": "Gherkin"}]</t>
  </si>
  <si>
    <t>twisted-18.9.0</t>
  </si>
  <si>
    <t>132aa9f0f2c8f25a1386d518ddb92bd0e1e3b045</t>
  </si>
  <si>
    <t>twisted</t>
  </si>
  <si>
    <t>{"id": 1985358, "url": "https://api.github.com/repos/twisted/twisted", "fork": false, "name": "twisted", "size": 59271, "forks": 833, "owner": {"id": 716546, "url": "https://api.github.com/users/twisted", "type": "Organization", "login": "twisted", "node_id": "MDEyOk9yZ2FuaXphdGlvbjcxNjU0Ng==", "html_url": "https://github.com/twisted", "gists_url": "https://api.github.com/users/twisted/gists{/gist_id}", "repos_url": "https://api.github.com/users/twisted/repos", "avatar_url": "https://avatars3.githubusercontent.com/u/716546?v=4", "events_url": "https://api.github.com/users/twisted/events{/privacy}", "site_admin": false, "gravatar_id": "", "starred_url": "https://api.github.com/users/twisted/starred{/owner}{/repo}", "followers_url": "https://api.github.com/users/twisted/followers", "following_url": "https://api.github.com/users/twisted/following{/other_user}", "organizations_url": "https://api.github.com/users/twisted/orgs", "subscriptions_url": "https://api.github.com/users/twisted/subscriptions", "received_events_url": "https://api.github.com/users/twisted/received_events"}, "score": 1.0, "topics": ["async", "async-python", "dns", "event-driven", "http", "imap", "irc", "network", "python", "smtp", "ssl", "tls", "twisted", "xmpp"], "git_url": "git://github.com/twisted/twisted.git", "license": {"key": "other", "url": null, "name": "Other", "node_id": "MDc6TGljZW5zZTA=", "spdx_id": "NOASSERTION"}, "node_id": "MDEwOlJlcG9zaXRvcnkxOTg1MzU4", "private": false, "ssh_url": "git@github.com:twisted/twisted.git", "svn_url": "https://github.com/twisted/twisted", "archived": false, "has_wiki": false, "homepage": "https://www.twistedmatrix.com", "html_url": "https://github.com/twisted/twisted", "keys_url": "https://api.github.com/repos/twisted/twisted/keys{/key_id}", "language": "Python", "tags_url": "https://api.github.com/repos/twisted/twisted/tags", "watchers": 3103, "blobs_url": "https://api.github.com/repos/twisted/twisted/git/blobs{/sha}", "clone_url": "https://github.com/twisted/twisted.git", "forks_url": "https://api.github.com/repos/twisted/twisted/forks", "full_name": "twisted/twisted", "has_pages": false, "hooks_url": "https://api.github.com/repos/twisted/twisted/hooks", "pulls_url": "https://api.github.com/repos/twisted/twisted/pulls{/number}", "pushed_at": "2018-12-11T11:49:38Z", "teams_url": "https://api.github.com/repos/twisted/twisted/teams", "trees_url": "https://api.github.com/repos/twisted/twisted/git/trees{/sha}", "created_at": "2011-07-01T20:40:42Z", "events_url": "https://api.github.com/repos/twisted/twisted/events", "has_issues": false, "issues_url": "https://api.github.com/repos/twisted/twisted/issues{/number}", "labels_url": "https://api.github.com/repos/twisted/twisted/labels{/name}", "merges_url": "https://api.github.com/repos/twisted/twisted/merges", "mirror_url": null, "updated_at": "2018-12-24T23:53:23Z", "archive_url": "https://api.github.com/repos/twisted/twisted/{archive_format}{/ref}", "commits_url": "https://api.github.com/repos/twisted/twisted/commits{/sha}", "compare_url": "https://api.github.com/repos/twisted/twisted/compare/{base}...{head}", "description": "Event-driven networking engine written in Python.", "forks_count": 833, "open_issues": 85, "permissions": {"pull": true, "push": false, "admin": false}, "branches_url": "https://api.github.com/repos/twisted/twisted/branches{/branch}", "comments_url": "https://api.github.com/repos/twisted/twisted/comments{/number}", "contents_url": "https://api.github.com/repos/twisted/twisted/contents/{+path}", "git_refs_url": "https://api.github.com/repos/twisted/twisted/git/refs{/sha}", "git_tags_url": "https://api.github.com/repos/twisted/twisted/git/tags{/sha}", "has_projects": true, "releases_url": "https://api.github.com/repos/twisted/twisted/releases{/id}", "statuses_url": "https://api.github.com/repos/twisted/twisted/statuses/{sha}", "assignees_url": "https://api.github.com/repos/twisted/twisted/assignees{/user}", "downloads_url": "https://api.github.com/repos/twisted/twisted/downloads", "has_downloads": true, "languages_url": "https://api.github.com/repos/twisted/twisted/languages", "default_branch": "trunk", "milestones_url": "https://api.github.com/repos/twisted/twisted/milestones{/number}", "stargazers_url": "https://api.github.com/repos/twisted/twisted/stargazers", "watchers_count": 3103, "deployments_url": "https://api.github.com/repos/twisted/twisted/deployments", "git_commits_url": "https://api.github.com/repos/twisted/twisted/git/commits{/sha}", "subscribers_url": "https://api.github.com/repos/twisted/twisted/subscribers", "contributors_url": "https://api.github.com/repos/twisted/twisted/contributors", "issue_events_url": "https://api.github.com/repos/twisted/twisted/issues/events{/number}", "stargazers_count": 3103, "subscription_url": "https://api.github.com/repos/twisted/twisted/subscription", "collaborators_url": "https://api.github.com/repos/twisted/twisted/collaborators{/collaborator}", "issue_comment_url": "https://api.github.com/repos/twisted/twisted/issues/comments{/number}", "notifications_url": "https://api.github.com/repos/twisted/twisted/notifications{?since,all,participating}", "open_issues_count": 85}</t>
  </si>
  <si>
    <t>andresriancho/w3af</t>
  </si>
  <si>
    <t>w3af: web application attack and audit framework, the open source web vulnerability scanner.</t>
  </si>
  <si>
    <t>https://github.com/andresriancho/w3af</t>
  </si>
  <si>
    <t>"[\"appsec\", \"cross-site-scripting\", \"scanner\", \"security\", \"sql-injection\"]"</t>
  </si>
  <si>
    <t>[{"loc": 9169954, "ratio": 0.728844660963528, "language": "Python"}, {"loc": 3164521, "ratio": 0.2515218980768022, "language": "HTML"}, {"loc": 128291, "ratio": 0.010196802557534308, "language": "Roff"}, {"loc": 59124, "ratio": 0.004699283304453613, "language": "JavaScript"}, {"loc": 15797, "ratio": 0.0012555743583054888, "language": "Shell"}, {"loc": 13307, "ratio": 0.0010576646189764602, "language": "C"}, {"loc": 6598, "ratio": 0.0005244210683104144, "language": "Rebol"}, {"loc": 5640, "ratio": 0.0004482774818537037, "language": "Smarty"}, {"loc": 4300, "ratio": 0.0003417718390019372, "language": "Assembly"}, {"loc": 3820, "ratio": 0.0003036205639505582, "language": "Dockerfile"}, {"loc": 2636, "ratio": 0.00020951408549048988, "language": "Perl"}, {"loc": 2416, "ratio": 0.00019202808442527448, "language": "ASP"}, {"loc": 2157, "ratio": 0.00017144229226213455, "language": "C++"}, {"loc": 1589, "ratio": 0.00012629661678466934, "language": "PHP"}, {"loc": 803, "ratio": 0.00006382390388803618, "language": "Java"}, {"loc": 536, "ratio": 0.00004260225714070659, "language": "PLpgSQL"}, {"loc": 4, "ratio": 0.0000003179272920948253, "language": "Hack"}]</t>
  </si>
  <si>
    <t>1.6.54</t>
  </si>
  <si>
    <t>eef1f8343bbbf9f7634b2ce31c9e018da4c81a46</t>
  </si>
  <si>
    <t>w3af</t>
  </si>
  <si>
    <t>{"id": 2304783, "url": "https://api.github.com/repos/andresriancho/w3af", "fork": false, "name": "w3af", "size": 172067, "forks": 757, "owner": {"id": 865200, "url": "https://api.github.com/users/andresriancho", "type": "User", "login": "andresriancho", "node_id": "MDQ6VXNlcjg2NTIwMA==", "html_url": "https://github.com/andresriancho", "gists_url": "https://api.github.com/users/andresriancho/gists{/gist_id}", "repos_url": "https://api.github.com/users/andresriancho/repos", "avatar_url": "https://avatars0.githubusercontent.com/u/865200?v=4", "events_url": "https://api.github.com/users/andresriancho/events{/privacy}", "site_admin": false, "gravatar_id": "", "starred_url": "https://api.github.com/users/andresriancho/starred{/owner}{/repo}", "followers_url": "https://api.github.com/users/andresriancho/followers", "following_url": "https://api.github.com/users/andresriancho/following{/other_user}", "organizations_url": "https://api.github.com/users/andresriancho/orgs", "subscriptions_url": "https://api.github.com/users/andresriancho/subscriptions", "received_events_url": "https://api.github.com/users/andresriancho/received_events"}, "score": 1.0, "topics": ["appsec", "cross-site-scripting", "scanner", "security", "sql-injection"], "git_url": "git://github.com/andresriancho/w3af.git", "license": null, "node_id": "MDEwOlJlcG9zaXRvcnkyMzA0Nzgz", "private": false, "ssh_url": "git@github.com:andresriancho/w3af.git", "svn_url": "https://github.com/andresriancho/w3af", "archived": false, "has_wiki": true, "homepage": "http://w3af.org/", "html_url": "https://github.com/andresriancho/w3af", "keys_url": "https://api.github.com/repos/andresriancho/w3af/keys{/key_id}", "language": "Python", "tags_url": "https://api.github.com/repos/andresriancho/w3af/tags", "watchers": 2349, "blobs_url": "https://api.github.com/repos/andresriancho/w3af/git/blobs{/sha}", "clone_url": "https://github.com/andresriancho/w3af.git", "forks_url": "https://api.github.com/repos/andresriancho/w3af/forks", "full_name": "andresriancho/w3af", "has_pages": false, "hooks_url": "https://api.github.com/repos/andresriancho/w3af/hooks", "pulls_url": "https://api.github.com/repos/andresriancho/w3af/pulls{/number}", "pushed_at": "2018-12-24T06:37:57Z", "teams_url": "https://api.github.com/repos/andresriancho/w3af/teams", "trees_url": "https://api.github.com/repos/andresriancho/w3af/git/trees{/sha}", "created_at": "2011-08-31T23:20:34Z", "events_url": "https://api.github.com/repos/andresriancho/w3af/events", "has_issues": true, "issues_url": "https://api.github.com/repos/andresriancho/w3af/issues{/number}", "labels_url": "https://api.github.com/repos/andresriancho/w3af/labels{/name}", "merges_url": "https://api.github.com/repos/andresriancho/w3af/merges", "mirror_url": null, "updated_at": "2018-12-23T19:59:05Z", "archive_url": "https://api.github.com/repos/andresriancho/w3af/{archive_format}{/ref}", "commits_url": "https://api.github.com/repos/andresriancho/w3af/commits{/sha}", "compare_url": "https://api.github.com/repos/andresriancho/w3af/compare/{base}...{head}", "description": "w3af: web application attack and audit framework, the open source web vulnerability scanner.", "forks_count": 757, "open_issues": 716, "permissions": {"pull": true, "push": false, "admin": false}, "branches_url": "https://api.github.com/repos/andresriancho/w3af/branches{/branch}", "comments_url": "https://api.github.com/repos/andresriancho/w3af/comments{/number}", "contents_url": "https://api.github.com/repos/andresriancho/w3af/contents/{+path}", "git_refs_url": "https://api.github.com/repos/andresriancho/w3af/git/refs{/sha}", "git_tags_url": "https://api.github.com/repos/andresriancho/w3af/git/tags{/sha}", "has_projects": true, "releases_url": "https://api.github.com/repos/andresriancho/w3af/releases{/id}", "statuses_url": "https://api.github.com/repos/andresriancho/w3af/statuses/{sha}", "assignees_url": "https://api.github.com/repos/andresriancho/w3af/assignees{/user}", "downloads_url": "https://api.github.com/repos/andresriancho/w3af/downloads", "has_downloads": true, "languages_url": "https://api.github.com/repos/andresriancho/w3af/languages", "default_branch": "master", "milestones_url": "https://api.github.com/repos/andresriancho/w3af/milestones{/number}", "stargazers_url": "https://api.github.com/repos/andresriancho/w3af/stargazers", "watchers_count": 2349, "deployments_url": "https://api.github.com/repos/andresriancho/w3af/deployments", "git_commits_url": "https://api.github.com/repos/andresriancho/w3af/git/commits{/sha}", "subscribers_url": "https://api.github.com/repos/andresriancho/w3af/subscribers", "contributors_url": "https://api.github.com/repos/andresriancho/w3af/contributors", "issue_events_url": "https://api.github.com/repos/andresriancho/w3af/issues/events{/number}", "stargazers_count": 2349, "subscription_url": "https://api.github.com/repos/andresriancho/w3af/subscription", "collaborators_url": "https://api.github.com/repos/andresriancho/w3af/collaborators{/collaborator}", "issue_comment_url": "https://api.github.com/repos/andresriancho/w3af/issues/comments{/number}", "notifications_url": "https://api.github.com/repos/andresriancho/w3af/notifications{?since,all,participating}", "open_issues_count": 716}</t>
  </si>
  <si>
    <t>wagtail/wagtail</t>
  </si>
  <si>
    <t>A Django content management system focused on flexibility and user experience</t>
  </si>
  <si>
    <t>https://github.com/wagtail/wagtail</t>
  </si>
  <si>
    <t>"[\"cms\", \"django\", \"python\", \"wagtail\"]"</t>
  </si>
  <si>
    <t>[{"loc": 3444070, "ratio": 0.8089038682856942, "language": "Python"}, {"loc": 367296, "ratio": 0.08626629400850225, "language": "HTML"}, {"loc": 255191, "ratio": 0.05993635061183268, "language": "JavaScript"}, {"loc": 181834, "ratio": 0.04270709538013481, "language": "CSS"}, {"loc": 7868, "ratio": 0.001847946074171501, "language": "Shell"}, {"loc": 738, "ratio": 0.00017333302017521197, "language": "Makefile"}, {"loc": 703, "ratio": 0.00016511261948939568, "language": "Dockerfile"}]</t>
  </si>
  <si>
    <t>v2.4</t>
  </si>
  <si>
    <t>442ab73489d1665e3c451d8356c1c9429e92e5af</t>
  </si>
  <si>
    <t>wagtail</t>
  </si>
  <si>
    <t>{"id": 16479108, "url": "https://api.github.com/repos/wagtail/wagtail", "fork": false, "name": "wagtail", "size": 79694, "forks": 1403, "owner": {"id": 23708009, "url": "https://api.github.com/users/wagtail", "type": "Organization", "login": "wagtail", "node_id": "MDEyOk9yZ2FuaXphdGlvbjIzNzA4MDA5", "html_url": "https://github.com/wagtail", "gists_url": "https://api.github.com/users/wagtail/gists{/gist_id}", "repos_url": "https://api.github.com/users/wagtail/repos", "avatar_url": "https://avatars3.githubusercontent.com/u/23708009?v=4", "events_url": "https://api.github.com/users/wagtail/events{/privacy}", "site_admin": false, "gravatar_id": "", "starred_url": "https://api.github.com/users/wagtail/starred{/owner}{/repo}", "followers_url": "https://api.github.com/users/wagtail/followers", "following_url": "https://api.github.com/users/wagtail/following{/other_user}", "organizations_url": "https://api.github.com/users/wagtail/orgs", "subscriptions_url": "https://api.github.com/users/wagtail/subscriptions", "received_events_url": "https://api.github.com/users/wagtail/received_events"}, "score": 1.0, "topics": ["cms", "django", "python", "wagtail"], "git_url": "git://github.com/wagtail/wagtail.git", "license": {"key": "other", "url": null, "name": "Other", "node_id": "MDc6TGljZW5zZTA=", "spdx_id": "NOASSERTION"}, "node_id": "MDEwOlJlcG9zaXRvcnkxNjQ3OTEwOA==", "private": false, "ssh_url": "git@github.com:wagtail/wagtail.git", "svn_url": "https://github.com/wagtail/wagtail", "archived": false, "has_wiki": true, "homepage": "https://wagtail.io", "html_url": "https://github.com/wagtail/wagtail", "keys_url": "https://api.github.com/repos/wagtail/wagtail/keys{/key_id}", "language": "Python", "tags_url": "https://api.github.com/repos/wagtail/wagtail/tags", "watchers": 6421, "blobs_url": "https://api.github.com/repos/wagtail/wagtail/git/blobs{/sha}", "clone_url": "https://github.com/wagtail/wagtail.git", "forks_url": "https://api.github.com/repos/wagtail/wagtail/forks", "full_name": "wagtail/wagtail", "has_pages": false, "hooks_url": "https://api.github.com/repos/wagtail/wagtail/hooks", "pulls_url": "https://api.github.com/repos/wagtail/wagtail/pulls{/number}", "pushed_at": "2018-12-22T13:54:42Z", "teams_url": "https://api.github.com/repos/wagtail/wagtail/teams", "trees_url": "https://api.github.com/repos/wagtail/wagtail/git/trees{/sha}", "created_at": "2014-02-03T12:41:59Z", "events_url": "https://api.github.com/repos/wagtail/wagtail/events", "has_issues": true, "issues_url": "https://api.github.com/repos/wagtail/wagtail/issues{/number}", "labels_url": "https://api.github.com/repos/wagtail/wagtail/labels{/name}", "merges_url": "https://api.github.com/repos/wagtail/wagtail/merges", "mirror_url": null, "updated_at": "2018-12-24T15:14:09Z", "archive_url": "https://api.github.com/repos/wagtail/wagtail/{archive_format}{/ref}", "commits_url": "https://api.github.com/repos/wagtail/wagtail/commits{/sha}", "compare_url": "https://api.github.com/repos/wagtail/wagtail/compare/{base}...{head}", "description": "A Django content management system focused on flexibility and user experience", "forks_count": 1403, "open_issues": 652, "permissions": {"pull": true, "push": false, "admin": false}, "branches_url": "https://api.github.com/repos/wagtail/wagtail/branches{/branch}", "comments_url": "https://api.github.com/repos/wagtail/wagtail/comments{/number}", "contents_url": "https://api.github.com/repos/wagtail/wagtail/contents/{+path}", "git_refs_url": "https://api.github.com/repos/wagtail/wagtail/git/refs{/sha}", "git_tags_url": "https://api.github.com/repos/wagtail/wagtail/git/tags{/sha}", "has_projects": true, "releases_url": "https://api.github.com/repos/wagtail/wagtail/releases{/id}", "statuses_url": "https://api.github.com/repos/wagtail/wagtail/statuses/{sha}", "assignees_url": "https://api.github.com/repos/wagtail/wagtail/assignees{/user}", "downloads_url": "https://api.github.com/repos/wagtail/wagtail/downloads", "has_downloads": true, "languages_url": "https://api.github.com/repos/wagtail/wagtail/languages", "default_branch": "master", "milestones_url": "https://api.github.com/repos/wagtail/wagtail/milestones{/number}", "stargazers_url": "https://api.github.com/repos/wagtail/wagtail/stargazers", "watchers_count": 6421, "deployments_url": "https://api.github.com/repos/wagtail/wagtail/deployments", "git_commits_url": "https://api.github.com/repos/wagtail/wagtail/git/commits{/sha}", "subscribers_url": "https://api.github.com/repos/wagtail/wagtail/subscribers", "contributors_url": "https://api.github.com/repos/wagtail/wagtail/contributors", "issue_events_url": "https://api.github.com/repos/wagtail/wagtail/issues/events{/number}", "stargazers_count": 6421, "subscription_url": "https://api.github.com/repos/wagtail/wagtail/subscription", "collaborators_url": "https://api.github.com/repos/wagtail/wagtail/collaborators{/collaborator}", "issue_comment_url": "https://api.github.com/repos/wagtail/wagtail/issues/comments{/number}", "notifications_url": "https://api.github.com/repos/wagtail/wagtail/notifications{?since,all,participating}", "open_issues_count": 652}</t>
  </si>
  <si>
    <t>Kozea/WeasyPrint</t>
  </si>
  <si>
    <t>WeasyPrint converts web documents (HTML with CSS, SVG, …) to PDF.</t>
  </si>
  <si>
    <t>https://github.com/Kozea/WeasyPrint</t>
  </si>
  <si>
    <t>"[\"converter\", \"css\", \"html\", \"pdf\", \"python\", \"weasyprint\"]"</t>
  </si>
  <si>
    <t>[{"loc": 1356611, "ratio": 0.9591613804571923, "language": "Python"}, {"loc": 38844, "ratio": 0.027463778977525007, "language": "CSS"}, {"loc": 18917, "ratio": 0.013374840565282684, "language": "HTML"}]</t>
  </si>
  <si>
    <t>v43</t>
  </si>
  <si>
    <t>0f25c532873653a5bdc258c723dfe07c2085beaf</t>
  </si>
  <si>
    <t>WeasyPrint</t>
  </si>
  <si>
    <t>{"id": 2179572, "url": "https://api.github.com/repos/Kozea/WeasyPrint", "fork": false, "name": "WeasyPrint", "size": 28898, "forks": 204, "owner": {"id": 870325, "url": "https://api.github.com/users/Kozea", "type": "Organization", "login": "Kozea", "node_id": "MDEyOk9yZ2FuaXphdGlvbjg3MDMyNQ==", "html_url": "https://github.com/Kozea", "gists_url": "https://api.github.com/users/Kozea/gists{/gist_id}", "repos_url": "https://api.github.com/users/Kozea/repos", "avatar_url": "https://avatars0.githubusercontent.com/u/870325?v=4", "events_url": "https://api.github.com/users/Kozea/events{/privacy}", "site_admin": false, "gravatar_id": "", "starred_url": "https://api.github.com/users/Kozea/starred{/owner}{/repo}", "followers_url": "https://api.github.com/users/Kozea/followers", "following_url": "https://api.github.com/users/Kozea/following{/other_user}", "organizations_url": "https://api.github.com/users/Kozea/orgs", "subscriptions_url": "https://api.github.com/users/Kozea/subscriptions", "received_events_url": "https://api.github.com/users/Kozea/received_events"}, "score": 1.0, "topics": ["converter", "css", "html", "pdf", "python", "weasyprint"], "git_url": "git://github.com/Kozea/WeasyPrint.git", "license": {"key": "bsd-3-clause", "url": "https://api.github.com/licenses/bsd-3-clause", "name": "BSD 3-Clause \"New\" or \"Revised\" License", "node_id": "MDc6TGljZW5zZTU=", "spdx_id": "BSD-3-Clause"}, "node_id": "MDEwOlJlcG9zaXRvcnkyMTc5NTcy", "private": false, "ssh_url": "git@github.com:Kozea/WeasyPrint.git", "svn_url": "https://github.com/Kozea/WeasyPrint", "archived": false, "has_wiki": false, "homepage": "https://weasyprint.org/", "html_url": "https://github.com/Kozea/WeasyPrint", "keys_url": "https://api.github.com/repos/Kozea/WeasyPrint/keys{/key_id}", "language": "Python", "tags_url": "https://api.github.com/repos/Kozea/WeasyPrint/tags", "watchers": 2344, "blobs_url": "https://api.github.com/repos/Kozea/WeasyPrint/git/blobs{/sha}", "clone_url": "https://github.com/Kozea/WeasyPrint.git", "forks_url": "https://api.github.com/repos/Kozea/WeasyPrint/forks", "full_name": "Kozea/WeasyPrint", "has_pages": true, "hooks_url": "https://api.github.com/repos/Kozea/WeasyPrint/hooks", "pulls_url": "https://api.github.com/repos/Kozea/WeasyPrint/pulls{/number}", "pushed_at": "2018-12-05T09:26:23Z", "teams_url": "https://api.github.com/repos/Kozea/WeasyPrint/teams", "trees_url": "https://api.github.com/repos/Kozea/WeasyPrint/git/trees{/sha}", "created_at": "2011-08-09T14:14:24Z", "events_url": "https://api.github.com/repos/Kozea/WeasyPrint/events", "has_issues": true, "issues_url": "https://api.github.com/repos/Kozea/WeasyPrint/issues{/number}", "labels_url": "https://api.github.com/repos/Kozea/WeasyPrint/labels{/name}", "merges_url": "https://api.github.com/repos/Kozea/WeasyPrint/merges", "mirror_url": null, "updated_at": "2018-12-23T11:48:26Z", "archive_url": "https://api.github.com/repos/Kozea/WeasyPrint/{archive_format}{/ref}", "commits_url": "https://api.github.com/repos/Kozea/WeasyPrint/commits{/sha}", "compare_url": "https://api.github.com/repos/Kozea/WeasyPrint/compare/{base}...{head}", "description": "WeasyPrint converts web documents (HTML with CSS, SVG, …) to PDF.", "forks_count": 204, "open_issues": 115, "permissions": {"pull": true, "push": false, "admin": false}, "branches_url": "https://api.github.com/repos/Kozea/WeasyPrint/branches{/branch}", "comments_url": "https://api.github.com/repos/Kozea/WeasyPrint/comments{/number}", "contents_url": "https://api.github.com/repos/Kozea/WeasyPrint/contents/{+path}", "git_refs_url": "https://api.github.com/repos/Kozea/WeasyPrint/git/refs{/sha}", "git_tags_url": "https://api.github.com/repos/Kozea/WeasyPrint/git/tags{/sha}", "has_projects": false, "releases_url": "https://api.github.com/repos/Kozea/WeasyPrint/releases{/id}", "statuses_url": "https://api.github.com/repos/Kozea/WeasyPrint/statuses/{sha}", "assignees_url": "https://api.github.com/repos/Kozea/WeasyPrint/assignees{/user}", "downloads_url": "https://api.github.com/repos/Kozea/WeasyPrint/downloads", "has_downloads": true, "languages_url": "https://api.github.com/repos/Kozea/WeasyPrint/languages", "default_branch": "master", "milestones_url": "https://api.github.com/repos/Kozea/WeasyPrint/milestones{/number}", "stargazers_url": "https://api.github.com/repos/Kozea/WeasyPrint/stargazers", "watchers_count": 2344, "deployments_url": "https://api.github.com/repos/Kozea/WeasyPrint/deployments", "git_commits_url": "https://api.github.com/repos/Kozea/WeasyPrint/git/commits{/sha}", "subscribers_url": "https://api.github.com/repos/Kozea/WeasyPrint/subscribers", "contributors_url": "https://api.github.com/repos/Kozea/WeasyPrint/contributors", "issue_events_url": "https://api.github.com/repos/Kozea/WeasyPrint/issues/events{/number}", "stargazers_count": 2344, "subscription_url": "https://api.github.com/repos/Kozea/WeasyPrint/subscription", "collaborators_url": "https://api.github.com/repos/Kozea/WeasyPrint/collaborators{/collaborator}", "issue_comment_url": "https://api.github.com/repos/Kozea/WeasyPrint/issues/comments{/number}", "notifications_url": "https://api.github.com/repos/Kozea/WeasyPrint/notifications{?since,all,participating}", "open_issues_count": 115}</t>
  </si>
  <si>
    <t>web2py/web2py</t>
  </si>
  <si>
    <t>Free and open source full-stack enterprise framework for agile development of secure database-driven web-based applications, written and programmable in Python.</t>
  </si>
  <si>
    <t>https://github.com/web2py/web2py</t>
  </si>
  <si>
    <t>[{"loc": 6866140, "ratio": 0.8939421615851487, "language": "Python"}, {"loc": 351405, "ratio": 0.045751433162130276, "language": "HTML"}, {"loc": 262694, "ratio": 0.034201639086218615, "language": "JavaScript"}, {"loc": 95499, "ratio": 0.012433562742562796, "language": "Shell"}, {"loc": 48265, "ratio": 0.006283897274000705, "language": "CSS"}, {"loc": 44882, "ratio": 0.005843445093788453, "language": "Dockerfile"}, {"loc": 5974, "ratio": 0.0007777893362660357, "language": "PowerShell"}, {"loc": 5884, "ratio": 0.0007660717198843914, "language": "Makefile"}]</t>
  </si>
  <si>
    <t>R-2.17.2</t>
  </si>
  <si>
    <t>cda35fd48abac605416e4ed0c70aaedad10c8827</t>
  </si>
  <si>
    <t>web2py</t>
  </si>
  <si>
    <t>{"id": 72690, "url": "https://api.github.com/repos/web2py/web2py", "fork": false, "name": "web2py", "size": 40258, "forks": 800, "owner": {"id": 33118, "url": "https://api.github.com/users/web2py", "type": "Organization", "login": "web2py", "node_id": "MDEyOk9yZ2FuaXphdGlvbjMzMTE4", "html_url": "https://github.com/web2py", "gists_url": "https://api.github.com/users/web2py/gists{/gist_id}", "repos_url": "https://api.github.com/users/web2py/repos", "avatar_url": "https://avatars0.githubusercontent.com/u/33118?v=4", "events_url": "https://api.github.com/users/web2py/events{/privacy}", "site_admin": false, "gravatar_id": "", "starred_url": "https://api.github.com/users/web2py/starred{/owner}{/repo}", "followers_url": "https://api.github.com/users/web2py/followers", "following_url": "https://api.github.com/users/web2py/following{/other_user}", "organizations_url": "https://api.github.com/users/web2py/orgs", "subscriptions_url": "https://api.github.com/users/web2py/subscriptions", "received_events_url": "https://api.github.com/users/web2py/received_events"}, "score": 1.0, "topics": [], "git_url": "git://github.com/web2py/web2py.git", "license": {"key": "other", "url": null, "name": "Other", "node_id": "MDc6TGljZW5zZTA=", "spdx_id": "NOASSERTION"}, "node_id": "MDEwOlJlcG9zaXRvcnk3MjY5MA==", "private": false, "ssh_url": "git@github.com:web2py/web2py.git", "svn_url": "https://github.com/web2py/web2py", "archived": false, "has_wiki": true, "homepage": "http://www.web2py.com", "html_url": "https://github.com/web2py/web2py", "keys_url": "https://api.github.com/repos/web2py/web2py/keys{/key_id}", "language": "Python", "tags_url": "https://api.github.com/repos/web2py/web2py/tags", "watchers": 1682, "blobs_url": "https://api.github.com/repos/web2py/web2py/git/blobs{/sha}", "clone_url": "https://github.com/web2py/web2py.git", "forks_url": "https://api.github.com/repos/web2py/web2py/forks", "full_name": "web2py/web2py", "has_pages": false, "hooks_url": "https://api.github.com/repos/web2py/web2py/hooks", "pulls_url": "https://api.github.com/repos/web2py/web2py/pulls{/number}", "pushed_at": "2018-12-10T03:26:06Z", "teams_url": "https://api.github.com/repos/web2py/web2py/teams", "trees_url": "https://api.github.com/repos/web2py/web2py/git/trees{/sha}", "created_at": "2008-11-07T06:08:58Z", "events_url": "https://api.github.com/repos/web2py/web2py/events", "has_issues": true, "issues_url": "https://api.github.com/repos/web2py/web2py/issues{/number}", "labels_url": "https://api.github.com/repos/web2py/web2py/labels{/name}", "merges_url": "https://api.github.com/repos/web2py/web2py/merges", "mirror_url": null, "updated_at": "2018-12-24T11:22:11Z", "archive_url": "https://api.github.com/repos/web2py/web2py/{archive_format}{/ref}", "commits_url": "https://api.github.com/repos/web2py/web2py/commits{/sha}", "compare_url": "https://api.github.com/repos/web2py/web2py/compare/{base}...{head}", "description": "Free and open source full-stack enterprise framework for agile development of secure database-driven web-based applications, written and programmable in Python.", "forks_count": 800, "open_issues": 234, "permissions": {"pull": true, "push": false, "admin": false}, "branches_url": "https://api.github.com/repos/web2py/web2py/branches{/branch}", "comments_url": "https://api.github.com/repos/web2py/web2py/comments{/number}", "contents_url": "https://api.github.com/repos/web2py/web2py/contents/{+path}", "git_refs_url": "https://api.github.com/repos/web2py/web2py/git/refs{/sha}", "git_tags_url": "https://api.github.com/repos/web2py/web2py/git/tags{/sha}", "has_projects": true, "releases_url": "https://api.github.com/repos/web2py/web2py/releases{/id}", "statuses_url": "https://api.github.com/repos/web2py/web2py/statuses/{sha}", "assignees_url": "https://api.github.com/repos/web2py/web2py/assignees{/user}", "downloads_url": "https://api.github.com/repos/web2py/web2py/downloads", "has_downloads": true, "languages_url": "https://api.github.com/repos/web2py/web2py/languages", "default_branch": "master", "milestones_url": "https://api.github.com/repos/web2py/web2py/milestones{/number}", "stargazers_url": "https://api.github.com/repos/web2py/web2py/stargazers", "watchers_count": 1682, "deployments_url": "https://api.github.com/repos/web2py/web2py/deployments", "git_commits_url": "https://api.github.com/repos/web2py/web2py/git/commits{/sha}", "subscribers_url": "https://api.github.com/repos/web2py/web2py/subscribers", "contributors_url": "https://api.github.com/repos/web2py/web2py/contributors", "issue_events_url": "https://api.github.com/repos/web2py/web2py/issues/events{/number}", "stargazers_count": 1682, "subscription_url": "https://api.github.com/repos/web2py/web2py/subscription", "collaborators_url": "https://api.github.com/repos/web2py/web2py/collaborators{/collaborator}", "issue_comment_url": "https://api.github.com/repos/web2py/web2py/issues/comments{/number}", "notifications_url": "https://api.github.com/repos/web2py/web2py/notifications{?since,all,participating}", "open_issues_count": 234}</t>
  </si>
  <si>
    <t>aio-libs/aiohttp</t>
  </si>
  <si>
    <t>Asynchronous HTTP client/server framework for asyncio and Python</t>
  </si>
  <si>
    <t>https://github.com/aio-libs/aiohttp</t>
  </si>
  <si>
    <t>"[\"aiohttp\", \"async\", \"asyncio\", \"http\", \"http-client\", \"http-server\", \"python\"]"</t>
  </si>
  <si>
    <t>[{"loc": 1620191, "ratio": 0.8916409708055026, "language": "Python"}, {"loc": 190102, "ratio": 0.10461898123867351, "language": "C"}, {"loc": 3023, "ratio": 0.0016636499367945104, "language": "Shell"}, {"loc": 2935, "ratio": 0.0016152208284789572, "language": "Makefile"}, {"loc": 838, "ratio": 0.00046117719055038033, "language": "Batchfile"}]</t>
  </si>
  <si>
    <t>v3.5.1</t>
  </si>
  <si>
    <t>e29785191158fb7503be5cf9a43f7f7c3119eb76</t>
  </si>
  <si>
    <t>aiohttp</t>
  </si>
  <si>
    <t>{"id": 13258039, "url": "https://api.github.com/repos/aio-libs/aiohttp", "fork": false, "name": "aiohttp", "size": 14370, "forks": 1019, "owner": {"id": 7049303, "url": "https://api.github.com/users/aio-libs", "type": "Organization", "login": "aio-libs", "node_id": "MDEyOk9yZ2FuaXphdGlvbjcwNDkzMDM=", "html_url": "https://github.com/aio-libs", "gists_url": "https://api.github.com/users/aio-libs/gists{/gist_id}", "repos_url": "https://api.github.com/users/aio-libs/repos", "avatar_url": "https://avatars2.githubusercontent.com/u/7049303?v=4", "events_url": "https://api.github.com/users/aio-libs/events{/privacy}", "site_admin": false, "gravatar_id": "", "starred_url": "https://api.github.com/users/aio-libs/starred{/owner}{/repo}", "followers_url": "https://api.github.com/users/aio-libs/followers", "following_url": "https://api.github.com/users/aio-libs/following{/other_user}", "organizations_url": "https://api.github.com/users/aio-libs/orgs", "subscriptions_url": "https://api.github.com/users/aio-libs/subscriptions", "received_events_url": "https://api.github.com/users/aio-libs/received_events"}, "score": 1.0, "topics": ["aiohttp", "async", "asyncio", "http", "http-client", "http-server", "python"], "git_url": "git://github.com/aio-libs/aiohttp.git", "license": {"key": "apache-2.0", "url": "https://api.github.com/licenses/apache-2.0", "name": "Apache License 2.0", "node_id": "MDc6TGljZW5zZTI=", "spdx_id": "Apache-2.0"}, "node_id": "MDEwOlJlcG9zaXRvcnkxMzI1ODAzOQ==", "private": false, "ssh_url": "git@github.com:aio-libs/aiohttp.git", "svn_url": "https://github.com/aio-libs/aiohttp", "archived": false, "has_wiki": false, "homepage": "https://docs.aiohttp.org", "html_url": "https://github.com/aio-libs/aiohttp", "keys_url": "https://api.github.com/repos/aio-libs/aiohttp/keys{/key_id}", "language": "Python", "tags_url": "https://api.github.com/repos/aio-libs/aiohttp/tags", "watchers": 6634, "blobs_url": "https://api.github.com/repos/aio-libs/aiohttp/git/blobs{/sha}", "clone_url": "https://github.com/aio-libs/aiohttp.git", "forks_url": "https://api.github.com/repos/aio-libs/aiohttp/forks", "full_name": "aio-libs/aiohttp", "has_pages": false, "hooks_url": "https://api.github.com/repos/aio-libs/aiohttp/hooks", "pulls_url": "https://api.github.com/repos/aio-libs/aiohttp/pulls{/number}", "pushed_at": "2018-12-25T01:19:39Z", "teams_url": "https://api.github.com/repos/aio-libs/aiohttp/teams", "trees_url": "https://api.github.com/repos/aio-libs/aiohttp/git/trees{/sha}", "created_at": "2013-10-01T23:04:01Z", "events_url": "https://api.github.com/repos/aio-libs/aiohttp/events", "has_issues": true, "issues_url": "https://api.github.com/repos/aio-libs/aiohttp/issues{/number}", "labels_url": "https://api.github.com/repos/aio-libs/aiohttp/labels{/name}", "merges_url": "https://api.github.com/repos/aio-libs/aiohttp/merges", "mirror_url": null, "updated_at": "2018-12-25T01:05:07Z", "archive_url": "https://api.github.com/repos/aio-libs/aiohttp/{archive_format}{/ref}", "commits_url": "https://api.github.com/repos/aio-libs/aiohttp/commits{/sha}", "compare_url": "https://api.github.com/repos/aio-libs/aiohttp/compare/{base}...{head}", "description": "Asynchronous HTTP client/server framework for asyncio and Python", "forks_count": 1019, "open_issues": 173, "permissions": {"pull": true, "push": false, "admin": false}, "branches_url": "https://api.github.com/repos/aio-libs/aiohttp/branches{/branch}", "comments_url": "https://api.github.com/repos/aio-libs/aiohttp/comments{/number}", "contents_url": "https://api.github.com/repos/aio-libs/aiohttp/contents/{+path}", "git_refs_url": "https://api.github.com/repos/aio-libs/aiohttp/git/refs{/sha}", "git_tags_url": "https://api.github.com/repos/aio-libs/aiohttp/git/tags{/sha}", "has_projects": true, "releases_url": "https://api.github.com/repos/aio-libs/aiohttp/releases{/id}", "statuses_url": "https://api.github.com/repos/aio-libs/aiohttp/statuses/{sha}", "assignees_url": "https://api.github.com/repos/aio-libs/aiohttp/assignees{/user}", "downloads_url": "https://api.github.com/repos/aio-libs/aiohttp/downloads", "has_downloads": true, "languages_url": "https://api.github.com/repos/aio-libs/aiohttp/languages", "default_branch": "master", "milestones_url": "https://api.github.com/repos/aio-libs/aiohttp/milestones{/number}", "stargazers_url": "https://api.github.com/repos/aio-libs/aiohttp/stargazers", "watchers_count": 6634, "deployments_url": "https://api.github.com/repos/aio-libs/aiohttp/deployments", "git_commits_url": "https://api.github.com/repos/aio-libs/aiohttp/git/commits{/sha}", "subscribers_url": "https://api.github.com/repos/aio-libs/aiohttp/subscribers", "contributors_url": "https://api.github.com/repos/aio-libs/aiohttp/contributors", "issue_events_url": "https://api.github.com/repos/aio-libs/aiohttp/issues/events{/number}", "stargazers_count": 6634, "subscription_url": "https://api.github.com/repos/aio-libs/aiohttp/subscription", "collaborators_url": "https://api.github.com/repos/aio-libs/aiohttp/collaborators{/collaborator}", "issue_comment_url": "https://api.github.com/repos/aio-libs/aiohttp/issues/comments{/number}", "notifications_url": "https://api.github.com/repos/aio-libs/aiohttp/notifications{?since,all,participating}", "open_issues_count": 173}</t>
  </si>
  <si>
    <t>pallets/werkzeug</t>
  </si>
  <si>
    <t>The comprehensive WSGI web application library.</t>
  </si>
  <si>
    <t>https://github.com/pallets/werkzeug</t>
  </si>
  <si>
    <t>"[\"http\", \"python\", \"werkzeug\", \"wsgi\"]"</t>
  </si>
  <si>
    <t>[{"loc": 1133625, "ratio": 0.988042818893026, "language": "Python"}, {"loc": 6581, "ratio": 0.005735856029229246, "language": "CSS"}, {"loc": 6400, "ratio": 0.005578100377916301, "language": "JavaScript"}, {"loc": 738, "ratio": 0.0006432246998284735, "language": "Makefile"}]</t>
  </si>
  <si>
    <t>0.14.1</t>
  </si>
  <si>
    <t>6fc07fec6dfd21690c9909f8c7c8e744d55afba7</t>
  </si>
  <si>
    <t>werkzeug</t>
  </si>
  <si>
    <t>{"id": 997338, "url": "https://api.github.com/repos/pallets/werkzeug", "fork": false, "name": "werkzeug", "size": 10667, "forks": 1285, "owner": {"id": 16748505, "url": "https://api.github.com/users/pallets", "type": "Organization", "login": "pallets", "node_id": "MDEyOk9yZ2FuaXphdGlvbjE2NzQ4NTA1", "html_url": "https://github.com/pallets", "gists_url": "https://api.github.com/users/pallets/gists{/gist_id}", "repos_url": "https://api.github.com/users/pallets/repos", "avatar_url": "https://avatars3.githubusercontent.com/u/16748505?v=4", "events_url": "https://api.github.com/users/pallets/events{/privacy}", "site_admin": false, "gravatar_id": "", "starred_url": "https://api.github.com/users/pallets/starred{/owner}{/repo}", "followers_url": "https://api.github.com/users/pallets/followers", "following_url": "https://api.github.com/users/pallets/following{/other_user}", "organizations_url": "https://api.github.com/users/pallets/orgs", "subscriptions_url": "https://api.github.com/users/pallets/subscriptions", "received_events_url": "https://api.github.com/users/pallets/received_events"}, "score": 1.0, "topics": ["http", "python", "werkzeug", "wsgi"], "git_url": "git://github.com/pallets/werkzeug.git", "license": {"key": "bsd-3-clause", "url": "https://api.github.com/licenses/bsd-3-clause", "name": "BSD 3-Clause \"New\" or \"Revised\" License", "node_id": "MDc6TGljZW5zZTU=", "spdx_id": "BSD-3-Clause"}, "node_id": "MDEwOlJlcG9zaXRvcnk5OTczMzg=", "private": false, "ssh_url": "git@github.com:pallets/werkzeug.git", "svn_url": "https://github.com/pallets/werkzeug", "archived": false, "has_wiki": false, "homepage": "https://palletsprojects.com/p/werkzeug/", "html_url": "https://github.com/pallets/werkzeug", "keys_url": "https://api.github.com/repos/pallets/werkzeug/keys{/key_id}", "language": "Python", "tags_url": "https://api.github.com/repos/pallets/werkzeug/tags", "watchers": 4444, "blobs_url": "https://api.github.com/repos/pallets/werkzeug/git/blobs{/sha}", "clone_url": "https://github.com/pallets/werkzeug.git", "forks_url": "https://api.github.com/repos/pallets/werkzeug/forks", "full_name": "pallets/werkzeug", "has_pages": false, "hooks_url": "https://api.github.com/repos/pallets/werkzeug/hooks", "pulls_url": "https://api.github.com/repos/pallets/werkzeug/pulls{/number}", "pushed_at": "2018-12-11T17:23:21Z", "teams_url": "https://api.github.com/repos/pallets/werkzeug/teams", "trees_url": "https://api.github.com/repos/pallets/werkzeug/git/trees{/sha}", "created_at": "2010-10-18T11:42:40Z", "events_url": "https://api.github.com/repos/pallets/werkzeug/events", "has_issues": true, "issues_url": "https://api.github.com/repos/pallets/werkzeug/issues{/number}", "labels_url": "https://api.github.com/repos/pallets/werkzeug/labels{/name}", "merges_url": "https://api.github.com/repos/pallets/werkzeug/merges", "mirror_url": null, "updated_at": "2018-12-24T23:53:32Z", "archive_url": "https://api.github.com/repos/pallets/werkzeug/{archive_format}{/ref}", "commits_url": "https://api.github.com/repos/pallets/werkzeug/commits{/sha}", "compare_url": "https://api.github.com/repos/pallets/werkzeug/compare/{base}...{head}", "description": "The comprehensive WSGI web application library.", "forks_count": 1285, "open_issues": 54, "permissions": {"pull": true, "push": false, "admin": false}, "branches_url": "https://api.github.com/repos/pallets/werkzeug/branches{/branch}", "comments_url": "https://api.github.com/repos/pallets/werkzeug/comments{/number}", "contents_url": "https://api.github.com/repos/pallets/werkzeug/contents/{+path}", "git_refs_url": "https://api.github.com/repos/pallets/werkzeug/git/refs{/sha}", "git_tags_url": "https://api.github.com/repos/pallets/werkzeug/git/tags{/sha}", "has_projects": true, "releases_url": "https://api.github.com/repos/pallets/werkzeug/releases{/id}", "statuses_url": "https://api.github.com/repos/pallets/werkzeug/statuses/{sha}", "assignees_url": "https://api.github.com/repos/pallets/werkzeug/assignees{/user}", "downloads_url": "https://api.github.com/repos/pallets/werkzeug/downloads", "has_downloads": true, "languages_url": "https://api.github.com/repos/pallets/werkzeug/languages", "default_branch": "master", "milestones_url": "https://api.github.com/repos/pallets/werkzeug/milestones{/number}", "stargazers_url": "https://api.github.com/repos/pallets/werkzeug/stargazers", "watchers_count": 4444, "deployments_url": "https://api.github.com/repos/pallets/werkzeug/deployments", "git_commits_url": "https://api.github.com/repos/pallets/werkzeug/git/commits{/sha}", "subscribers_url": "https://api.github.com/repos/pallets/werkzeug/subscribers", "contributors_url": "https://api.github.com/repos/pallets/werkzeug/contributors", "issue_events_url": "https://api.github.com/repos/pallets/werkzeug/issues/events{/number}", "stargazers_count": 4444, "subscription_url": "https://api.github.com/repos/pallets/werkzeug/subscription", "collaborators_url": "https://api.github.com/repos/pallets/werkzeug/collaborators{/collaborator}", "issue_comment_url": "https://api.github.com/repos/pallets/werkzeug/issues/comments{/number}", "notifications_url": "https://api.github.com/repos/pallets/werkzeug/notifications{?since,all,participating}", "open_issues_count": 54}</t>
  </si>
  <si>
    <t>rg3/youtube-dl</t>
  </si>
  <si>
    <t>Command-line program to download videos from YouTube.com and other video sites</t>
  </si>
  <si>
    <t>https://github.com/rg3/youtube-dl</t>
  </si>
  <si>
    <t>[{"loc": 5284961, "ratio": 0.996504759688794, "language": "Python"}, {"loc": 8773, "ratio": 0.0016541912526411814, "language": "Shell"}, {"loc": 5464, "ratio": 0.0010302634223676524, "language": "Makefile"}, {"loc": 4300, "ratio": 0.0008107856361970911, "language": "AngelScript"}]</t>
  </si>
  <si>
    <t>2018.12.17</t>
  </si>
  <si>
    <t>4cee62ade0d991eedb2feae927c44370be3c389e</t>
  </si>
  <si>
    <t>{"key": "unlicense", "url": "https://api.github.com/licenses/unlicense", "name": "The Unlicense", "node_id": "MDc6TGljZW5zZTE1", "spdx_id": "Unlicense"}</t>
  </si>
  <si>
    <t>youtube-dl</t>
  </si>
  <si>
    <t>{"id": 1039520, "url": "https://api.github.com/repos/rg3/youtube-dl", "fork": false, "name": "youtube-dl", "size": 53560, "forks": 7869, "owner": {"id": 53487, "url": "https://api.github.com/users/rg3", "type": "User", "login": "rg3", "node_id": "MDQ6VXNlcjUzNDg3", "html_url": "https://github.com/rg3", "gists_url": "https://api.github.com/users/rg3/gists{/gist_id}", "repos_url": "https://api.github.com/users/rg3/repos", "avatar_url": "https://avatars0.githubusercontent.com/u/53487?v=4", "events_url": "https://api.github.com/users/rg3/events{/privacy}", "site_admin": false, "gravatar_id": "", "starred_url": "https://api.github.com/users/rg3/starred{/owner}{/repo}", "followers_url": "https://api.github.com/users/rg3/followers", "following_url": "https://api.github.com/users/rg3/following{/other_user}", "organizations_url": "https://api.github.com/users/rg3/orgs", "subscriptions_url": "https://api.github.com/users/rg3/subscriptions", "received_events_url": "https://api.github.com/users/rg3/received_events"}, "score": 1.0, "topics": [], "git_url": "git://github.com/rg3/youtube-dl.git", "license": {"key": "unlicense", "url": "https://api.github.com/licenses/unlicense", "name": "The Unlicense", "node_id": "MDc6TGljZW5zZTE1", "spdx_id": "Unlicense"}, "node_id": "MDEwOlJlcG9zaXRvcnkxMDM5NTIw", "private": false, "ssh_url": "git@github.com:rg3/youtube-dl.git", "svn_url": "https://github.com/rg3/youtube-dl", "archived": false, "has_wiki": false, "homepage": "http://rg3.github.io/youtube-dl/", "html_url": "https://github.com/rg3/youtube-dl", "keys_url": "https://api.github.com/repos/rg3/youtube-dl/keys{/key_id}", "language": "Python", "tags_url": "https://api.github.com/repos/rg3/youtube-dl/tags", "watchers": 45187, "blobs_url": "https://api.github.com/repos/rg3/youtube-dl/git/blobs{/sha}", "clone_url": "https://github.com/rg3/youtube-dl.git", "forks_url": "https://api.github.com/repos/rg3/youtube-dl/forks", "full_name": "rg3/youtube-dl", "has_pages": true, "hooks_url": "https://api.github.com/repos/rg3/youtube-dl/hooks", "pulls_url": "https://api.github.com/repos/rg3/youtube-dl/pulls{/number}", "pushed_at": "2018-12-24T23:04:55Z", "teams_url": "https://api.github.com/repos/rg3/youtube-dl/teams", "trees_url": "https://api.github.com/repos/rg3/youtube-dl/git/trees{/sha}", "created_at": "2010-10-31T14:35:07Z", "events_url": "https://api.github.com/repos/rg3/youtube-dl/events", "has_issues": true, "issues_url": "https://api.github.com/repos/rg3/youtube-dl/issues{/number}", "labels_url": "https://api.github.com/repos/rg3/youtube-dl/labels{/name}", "merges_url": "https://api.github.com/repos/rg3/youtube-dl/merges", "mirror_url": null, "updated_at": "2018-12-25T01:59:35Z", "archive_url": "https://api.github.com/repos/rg3/youtube-dl/{archive_format}{/ref}", "commits_url": "https://api.github.com/repos/rg3/youtube-dl/commits{/sha}", "compare_url": "https://api.github.com/repos/rg3/youtube-dl/compare/{base}...{head}", "description": "Command-line program to download videos from YouTube.com and other video sites", "forks_count": 7869, "open_issues": 2583, "permissions": {"pull": true, "push": false, "admin": false}, "branches_url": "https://api.github.com/repos/rg3/youtube-dl/branches{/branch}", "comments_url": "https://api.github.com/repos/rg3/youtube-dl/comments{/number}", "contents_url": "https://api.github.com/repos/rg3/youtube-dl/contents/{+path}", "git_refs_url": "https://api.github.com/repos/rg3/youtube-dl/git/refs{/sha}", "git_tags_url": "https://api.github.com/repos/rg3/youtube-dl/git/tags{/sha}", "has_projects": true, "releases_url": "https://api.github.com/repos/rg3/youtube-dl/releases{/id}", "statuses_url": "https://api.github.com/repos/rg3/youtube-dl/statuses/{sha}", "assignees_url": "https://api.github.com/repos/rg3/youtube-dl/assignees{/user}", "downloads_url": "https://api.github.com/repos/rg3/youtube-dl/downloads", "has_downloads": true, "languages_url": "https://api.github.com/repos/rg3/youtube-dl/languages", "default_branch": "master", "milestones_url": "https://api.github.com/repos/rg3/youtube-dl/milestones{/number}", "stargazers_url": "https://api.github.com/repos/rg3/youtube-dl/stargazers", "watchers_count": 45187, "deployments_url": "https://api.github.com/repos/rg3/youtube-dl/deployments", "git_commits_url": "https://api.github.com/repos/rg3/youtube-dl/git/commits{/sha}", "subscribers_url": "https://api.github.com/repos/rg3/youtube-dl/subscribers", "contributors_url": "https://api.github.com/repos/rg3/youtube-dl/contributors", "issue_events_url": "https://api.github.com/repos/rg3/youtube-dl/issues/events{/number}", "stargazers_count": 45187, "subscription_url": "https://api.github.com/repos/rg3/youtube-dl/subscription", "collaborators_url": "https://api.github.com/repos/rg3/youtube-dl/collaborators{/collaborator}", "issue_comment_url": "https://api.github.com/repos/rg3/youtube-dl/issues/comments{/number}", "notifications_url": "https://api.github.com/repos/rg3/youtube-dl/notifications{?since,all,participating}", "open_issues_count": 2583}</t>
  </si>
  <si>
    <t>quantopian/zipline</t>
  </si>
  <si>
    <t>Zipline, a Pythonic Algorithmic Trading Library</t>
  </si>
  <si>
    <t>https://github.com/quantopian/zipline</t>
  </si>
  <si>
    <t>"[\"algorithmic-trading\", \"python\", \"quant\", \"zipline\"]"</t>
  </si>
  <si>
    <t>[{"loc": 3822552, "ratio": 0.9550158072016082, "language": "Python"}, {"loc": 162383, "ratio": 0.04056931908861377, "language": "Jupyter Notebook"}, {"loc": 6700, "ratio": 0.0016739094479946315, "language": "Shell"}, {"loc": 5070, "ratio": 0.0012666747613929526, "language": "Batchfile"}, {"loc": 3280, "ratio": 0.0008194661178242375, "language": "PowerShell"}, {"loc": 2483, "ratio": 0.0006203458446821895, "language": "Dockerfile"}, {"loc": 138, "ratio": 0.00003447753788406853, "language": "Emacs Lisp"}]</t>
  </si>
  <si>
    <t>v1.3.0</t>
  </si>
  <si>
    <t>1105f513233682bb4c1cab8d882238f5484a1bb3</t>
  </si>
  <si>
    <t>zipline</t>
  </si>
  <si>
    <t>{"id": 6297520, "url": "https://api.github.com/repos/quantopian/zipline", "fork": false, "name": "zipline", "size": 154622, "forks": 2523, "owner": {"id": 1393215, "url": "https://api.github.com/users/quantopian", "type": "Organization", "login": "quantopian", "node_id": "MDEyOk9yZ2FuaXphdGlvbjEzOTMyMTU=", "html_url": "https://github.com/quantopian", "gists_url": "https://api.github.com/users/quantopian/gists{/gist_id}", "repos_url": "https://api.github.com/users/quantopian/repos", "avatar_url": "https://avatars0.githubusercontent.com/u/1393215?v=4", "events_url": "https://api.github.com/users/quantopian/events{/privacy}", "site_admin": false, "gravatar_id": "", "starred_url": "https://api.github.com/users/quantopian/starred{/owner}{/repo}", "followers_url": "https://api.github.com/users/quantopian/followers", "following_url": "https://api.github.com/users/quantopian/following{/other_user}", "organizations_url": "https://api.github.com/users/quantopian/orgs", "subscriptions_url": "https://api.github.com/users/quantopian/subscriptions", "received_events_url": "https://api.github.com/users/quantopian/received_events"}, "score": 1.0, "topics": ["algorithmic-trading", "python", "quant", "zipline"], "git_url": "git://github.com/quantopian/zipline.git", "license": {"key": "apache-2.0", "url": "https://api.github.com/licenses/apache-2.0", "name": "Apache License 2.0", "node_id": "MDc6TGljZW5zZTI=", "spdx_id": "Apache-2.0"}, "node_id": "MDEwOlJlcG9zaXRvcnk2Mjk3NTIw", "private": false, "ssh_url": "git@github.com:quantopian/zipline.git", "svn_url": "https://github.com/quantopian/zipline", "archived": false, "has_wiki": false, "homepage": "http://www.zipline.io/", "html_url": "https://github.com/quantopian/zipline", "keys_url": "https://api.github.com/repos/quantopian/zipline/keys{/key_id}", "language": "Python", "tags_url": "https://api.github.com/repos/quantopian/zipline/tags", "watchers": 8109, "blobs_url": "https://api.github.com/repos/quantopian/zipline/git/blobs{/sha}", "clone_url": "https://github.com/quantopian/zipline.git", "forks_url": "https://api.github.com/repos/quantopian/zipline/forks", "full_name": "quantopian/zipline", "has_pages": true, "hooks_url": "https://api.github.com/repos/quantopian/zipline/hooks", "pulls_url": "https://api.github.com/repos/quantopian/zipline/pulls{/number}", "pushed_at": "2018-12-12T18:06:02Z", "teams_url": "https://api.github.com/repos/quantopian/zipline/teams", "trees_url": "https://api.github.com/repos/quantopian/zipline/git/trees{/sha}", "created_at": "2012-10-19T15:50:29Z", "events_url": "https://api.github.com/repos/quantopian/zipline/events", "has_issues": true, "issues_url": "https://api.github.com/repos/quantopian/zipline/issues{/number}", "labels_url": "https://api.github.com/repos/quantopian/zipline/labels{/name}", "merges_url": "https://api.github.com/repos/quantopian/zipline/merges", "mirror_url": null, "updated_at": "2018-12-24T08:03:20Z", "archive_url": "https://api.github.com/repos/quantopian/zipline/{archive_format}{/ref}", "commits_url": "https://api.github.com/repos/quantopian/zipline/commits{/sha}", "compare_url": "https://api.github.com/repos/quantopian/zipline/compare/{base}...{head}", "description": "Zipline, a Pythonic Algorithmic Trading Library", "forks_count": 2523, "open_issues": 260, "permissions": {"pull": true, "push": false, "admin": false}, "branches_url": "https://api.github.com/repos/quantopian/zipline/branches{/branch}", "comments_url": "https://api.github.com/repos/quantopian/zipline/comments{/number}", "contents_url": "https://api.github.com/repos/quantopian/zipline/contents/{+path}", "git_refs_url": "https://api.github.com/repos/quantopian/zipline/git/refs{/sha}", "git_tags_url": "https://api.github.com/repos/quantopian/zipline/git/tags{/sha}", "has_projects": true, "releases_url": "https://api.github.com/repos/quantopian/zipline/releases{/id}", "statuses_url": "https://api.github.com/repos/quantopian/zipline/statuses/{sha}", "assignees_url": "https://api.github.com/repos/quantopian/zipline/assignees{/user}", "downloads_url": "https://api.github.com/repos/quantopian/zipline/downloads", "has_downloads": true, "languages_url": "https://api.github.com/repos/quantopian/zipline/languages", "default_branch": "master", "milestones_url": "https://api.github.com/repos/quantopian/zipline/milestones{/number}", "stargazers_url": "https://api.github.com/repos/quantopian/zipline/stargazers", "watchers_count": 8109, "deployments_url": "https://api.github.com/repos/quantopian/zipline/deployments", "git_commits_url": "https://api.github.com/repos/quantopian/zipline/git/commits{/sha}", "subscribers_url": "https://api.github.com/repos/quantopian/zipline/subscribers", "contributors_url": "https://api.github.com/repos/quantopian/zipline/contributors", "issue_events_url": "https://api.github.com/repos/quantopian/zipline/issues/events{/number}", "stargazers_count": 8109, "subscription_url": "https://api.github.com/repos/quantopian/zipline/subscription", "collaborators_url": "https://api.github.com/repos/quantopian/zipline/collaborators{/collaborator}", "issue_comment_url": "https://api.github.com/repos/quantopian/zipline/issues/comments{/number}", "notifications_url": "https://api.github.com/repos/quantopian/zipline/notifications{?since,all,participating}", "open_issues_count": 260}</t>
  </si>
  <si>
    <r>
      <rPr>
        <rFont val="Arial"/>
        <b/>
        <color theme="1"/>
      </rPr>
      <t>Step 1:</t>
    </r>
    <r>
      <rPr>
        <rFont val="Arial"/>
        <color theme="1"/>
      </rPr>
      <t xml:space="preserve"> Sort by value in column C, smallest to largest (A to Z)</t>
    </r>
  </si>
  <si>
    <r>
      <rPr>
        <rFont val="Arial"/>
        <b/>
        <color theme="1"/>
      </rPr>
      <t>Step 2:</t>
    </r>
    <r>
      <rPr>
        <rFont val="Arial"/>
        <color theme="1"/>
      </rPr>
      <t xml:space="preserve"> Create Percentile formula in </t>
    </r>
    <r>
      <rPr>
        <rFont val="Arial"/>
        <b/>
        <color rgb="FFFF9900"/>
      </rPr>
      <t>cell E2</t>
    </r>
    <r>
      <rPr>
        <rFont val="Arial"/>
        <color theme="1"/>
      </rPr>
      <t xml:space="preserve"> (</t>
    </r>
    <r>
      <rPr>
        <rFont val="Courier New"/>
        <b/>
        <color rgb="FF6AA84F"/>
      </rPr>
      <t>=PERCENTILE(C2:C134, 0.9)</t>
    </r>
    <r>
      <rPr>
        <rFont val="Arial"/>
        <color theme="1"/>
      </rPr>
      <t>)</t>
    </r>
  </si>
  <si>
    <r>
      <rPr>
        <rFont val="Arial"/>
        <b/>
        <color theme="1"/>
      </rPr>
      <t>Step 3:</t>
    </r>
    <r>
      <rPr>
        <rFont val="Arial"/>
        <b val="0"/>
        <color theme="1"/>
      </rPr>
      <t xml:space="preserve"> Nth percentile value is in </t>
    </r>
    <r>
      <rPr>
        <rFont val="Arial"/>
        <b/>
        <color rgb="FFFF9900"/>
      </rPr>
      <t>cell E2</t>
    </r>
  </si>
  <si>
    <r>
      <rPr>
        <rFont val="Arial"/>
        <b/>
        <color theme="1"/>
      </rPr>
      <t>Step 1:</t>
    </r>
    <r>
      <rPr>
        <rFont val="Arial"/>
        <color theme="1"/>
      </rPr>
      <t xml:space="preserve"> Sort by value in column C, smallest to largest (A to Z)</t>
    </r>
  </si>
  <si>
    <r>
      <rPr>
        <rFont val="Arial"/>
        <b/>
        <color theme="1"/>
      </rPr>
      <t>Step 2:</t>
    </r>
    <r>
      <rPr>
        <rFont val="Arial"/>
        <color theme="1"/>
      </rPr>
      <t xml:space="preserve"> Create Percentile formula in </t>
    </r>
    <r>
      <rPr>
        <rFont val="Arial"/>
        <b/>
        <color rgb="FFFF9900"/>
      </rPr>
      <t>cell E2</t>
    </r>
    <r>
      <rPr>
        <rFont val="Arial"/>
        <color theme="1"/>
      </rPr>
      <t xml:space="preserve"> (</t>
    </r>
    <r>
      <rPr>
        <rFont val="Courier New"/>
        <b/>
        <color rgb="FF6AA84F"/>
      </rPr>
      <t>=PERCENTILE(C2:C134, 0.9)</t>
    </r>
    <r>
      <rPr>
        <rFont val="Arial"/>
        <color theme="1"/>
      </rPr>
      <t>)</t>
    </r>
  </si>
  <si>
    <r>
      <rPr>
        <rFont val="Arial"/>
        <b/>
        <color theme="1"/>
      </rPr>
      <t>Step 3:</t>
    </r>
    <r>
      <rPr>
        <rFont val="Arial"/>
        <b val="0"/>
        <color theme="1"/>
      </rPr>
      <t xml:space="preserve"> Nth percentile value is in </t>
    </r>
    <r>
      <rPr>
        <rFont val="Arial"/>
        <b/>
        <color rgb="FFFF9900"/>
      </rPr>
      <t>cell E2</t>
    </r>
  </si>
  <si>
    <r>
      <rPr>
        <rFont val="Arial"/>
        <b/>
        <color theme="1"/>
      </rPr>
      <t>Step 1:</t>
    </r>
    <r>
      <rPr>
        <rFont val="Arial"/>
        <color theme="1"/>
      </rPr>
      <t xml:space="preserve"> Sort by value in column C, smallest to largest (A to Z)</t>
    </r>
  </si>
  <si>
    <r>
      <rPr>
        <rFont val="Arial"/>
        <b/>
        <color theme="1"/>
      </rPr>
      <t>Step 2:</t>
    </r>
    <r>
      <rPr>
        <rFont val="Arial"/>
        <color theme="1"/>
      </rPr>
      <t xml:space="preserve"> Create Percentile formula in </t>
    </r>
    <r>
      <rPr>
        <rFont val="Arial"/>
        <b/>
        <color rgb="FFFF9900"/>
      </rPr>
      <t>cell E2</t>
    </r>
    <r>
      <rPr>
        <rFont val="Arial"/>
        <color theme="1"/>
      </rPr>
      <t xml:space="preserve"> (</t>
    </r>
    <r>
      <rPr>
        <rFont val="Courier New"/>
        <b/>
        <color rgb="FF6AA84F"/>
      </rPr>
      <t>=PERCENTILE(C2:C134, 0.9)</t>
    </r>
    <r>
      <rPr>
        <rFont val="Arial"/>
        <color theme="1"/>
      </rPr>
      <t>)</t>
    </r>
  </si>
  <si>
    <r>
      <rPr>
        <rFont val="Arial"/>
        <b/>
        <color theme="1"/>
      </rPr>
      <t>Step 3:</t>
    </r>
    <r>
      <rPr>
        <rFont val="Arial"/>
        <b val="0"/>
        <color theme="1"/>
      </rPr>
      <t xml:space="preserve"> Nth percentile value is in </t>
    </r>
    <r>
      <rPr>
        <rFont val="Arial"/>
        <b/>
        <color rgb="FFFF9900"/>
      </rPr>
      <t>cell E2</t>
    </r>
  </si>
  <si>
    <r>
      <rPr>
        <rFont val="Arial"/>
        <b/>
        <color theme="1"/>
      </rPr>
      <t>Step 1:</t>
    </r>
    <r>
      <rPr>
        <rFont val="Arial"/>
        <color theme="1"/>
      </rPr>
      <t xml:space="preserve"> Sort by value in column C, smallest to largest (A to Z)</t>
    </r>
  </si>
  <si>
    <r>
      <rPr>
        <rFont val="Arial"/>
        <b/>
        <color theme="1"/>
      </rPr>
      <t>Step 2:</t>
    </r>
    <r>
      <rPr>
        <rFont val="Arial"/>
        <color theme="1"/>
      </rPr>
      <t xml:space="preserve"> Create Percentile formula in </t>
    </r>
    <r>
      <rPr>
        <rFont val="Arial"/>
        <b/>
        <color rgb="FFFF9900"/>
      </rPr>
      <t>cell E2</t>
    </r>
    <r>
      <rPr>
        <rFont val="Arial"/>
        <color theme="1"/>
      </rPr>
      <t xml:space="preserve"> (</t>
    </r>
    <r>
      <rPr>
        <rFont val="Courier New"/>
        <b/>
        <color rgb="FF6AA84F"/>
      </rPr>
      <t>=PERCENTILE(C2:C134, 0.9)</t>
    </r>
    <r>
      <rPr>
        <rFont val="Arial"/>
        <color theme="1"/>
      </rPr>
      <t>)</t>
    </r>
  </si>
  <si>
    <r>
      <rPr>
        <rFont val="Arial"/>
        <b/>
        <color theme="1"/>
      </rPr>
      <t>Step 3:</t>
    </r>
    <r>
      <rPr>
        <rFont val="Arial"/>
        <b val="0"/>
        <color theme="1"/>
      </rPr>
      <t xml:space="preserve"> Nth percentile value is in </t>
    </r>
    <r>
      <rPr>
        <rFont val="Arial"/>
        <b/>
        <color rgb="FFFF9900"/>
      </rPr>
      <t>cell E2</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</si>
</sst>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9">
    <font>
      <sz val="10.0"/>
      <color rgb="FF000000"/>
      <name val="Arial"/>
    </font>
    <font>
      <b/>
      <color theme="1"/>
      <name val="Arial"/>
    </font>
    <font>
      <color theme="1"/>
      <name val="Arial"/>
    </font>
    <font>
      <u/>
      <color rgb="FF0000FF"/>
    </font>
    <font>
      <i/>
      <color rgb="FF999999"/>
      <name val="Arial"/>
    </font>
    <font>
      <i/>
      <color rgb="FFEA4335"/>
      <name val="Arial"/>
    </font>
    <font>
      <b/>
      <i/>
      <sz val="12.0"/>
      <color rgb="FF38761D"/>
      <name val="Arial"/>
    </font>
    <font>
      <color rgb="FF000000"/>
      <name val="Arial"/>
    </font>
    <font>
      <b/>
      <color rgb="FFEA4335"/>
      <name val="Arial"/>
    </font>
    <font>
      <b/>
      <color rgb="FFEA4335"/>
      <name val="Roboto"/>
    </font>
    <font>
      <i/>
      <color rgb="FF999999"/>
      <name val="Roboto"/>
    </font>
    <font>
      <b/>
      <color theme="5"/>
      <name val="Arial"/>
    </font>
    <font>
      <i/>
      <color theme="1"/>
      <name val="Arial"/>
    </font>
    <font>
      <b/>
      <i/>
      <color rgb="FFEA4335"/>
      <name val="Arial"/>
    </font>
    <font>
      <i/>
      <sz val="8.0"/>
      <color rgb="FF6AA84F"/>
      <name val="Arial"/>
    </font>
    <font>
      <u/>
      <color rgb="FF0000FF"/>
    </font>
    <font>
      <b/>
      <sz val="24.0"/>
      <color rgb="FFFFFFFF"/>
      <name val="Arial"/>
    </font>
    <font>
      <sz val="24.0"/>
      <color theme="0"/>
      <name val="Arial"/>
    </font>
    <font>
      <u/>
      <color rgb="FF1155CC"/>
      <name val="Arial"/>
    </font>
  </fonts>
  <fills count="11">
    <fill>
      <patternFill patternType="none"/>
    </fill>
    <fill>
      <patternFill patternType="lightGray"/>
    </fill>
    <fill>
      <patternFill patternType="solid">
        <fgColor rgb="FFB6D7A8"/>
        <bgColor rgb="FFB6D7A8"/>
      </patternFill>
    </fill>
    <fill>
      <patternFill patternType="solid">
        <fgColor rgb="FFF3F3F3"/>
        <bgColor rgb="FFF3F3F3"/>
      </patternFill>
    </fill>
    <fill>
      <patternFill patternType="solid">
        <fgColor rgb="FFFFE599"/>
        <bgColor rgb="FFFFE599"/>
      </patternFill>
    </fill>
    <fill>
      <patternFill patternType="solid">
        <fgColor rgb="FFD9EAD3"/>
        <bgColor rgb="FFD9EAD3"/>
      </patternFill>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674EA7"/>
        <bgColor rgb="FF674EA7"/>
      </patternFill>
    </fill>
  </fills>
  <borders count="13">
    <border/>
    <border>
      <left style="medium">
        <color rgb="FF34A853"/>
      </left>
      <top style="medium">
        <color rgb="FF34A853"/>
      </top>
    </border>
    <border>
      <top style="medium">
        <color rgb="FF34A853"/>
      </top>
    </border>
    <border>
      <right style="medium">
        <color rgb="FF34A853"/>
      </right>
      <top style="medium">
        <color rgb="FF34A853"/>
      </top>
    </border>
    <border>
      <left style="medium">
        <color rgb="FF34A853"/>
      </left>
    </border>
    <border>
      <right style="medium">
        <color rgb="FF34A853"/>
      </right>
    </border>
    <border>
      <left style="medium">
        <color rgb="FF34A853"/>
      </left>
      <bottom style="medium">
        <color rgb="FF34A853"/>
      </bottom>
    </border>
    <border>
      <bottom style="medium">
        <color rgb="FF34A853"/>
      </bottom>
    </border>
    <border>
      <right style="medium">
        <color rgb="FF34A853"/>
      </right>
      <bottom style="medium">
        <color rgb="FF34A853"/>
      </bottom>
    </border>
    <border>
      <right style="medium">
        <color rgb="FF38761D"/>
      </right>
      <bottom style="medium">
        <color rgb="FF38761D"/>
      </bottom>
    </border>
    <border>
      <bottom style="medium">
        <color rgb="FF38761D"/>
      </bottom>
    </border>
    <border>
      <right style="medium">
        <color rgb="FF38761D"/>
      </right>
    </border>
    <border>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3" fontId="1" numFmtId="0" xfId="0" applyAlignment="1" applyFill="1" applyFont="1">
      <alignment horizontal="left" readingOrder="0" shrinkToFit="0" vertical="top" wrapText="1"/>
    </xf>
    <xf borderId="0" fillId="2" fontId="1" numFmtId="0" xfId="0" applyAlignment="1" applyFont="1">
      <alignment horizontal="center" readingOrder="0" shrinkToFit="0" vertical="top" wrapText="1"/>
    </xf>
    <xf borderId="0" fillId="3" fontId="1" numFmtId="0" xfId="0" applyAlignment="1" applyFont="1">
      <alignment horizontal="center" readingOrder="0" shrinkToFit="0" vertical="top" wrapText="1"/>
    </xf>
    <xf borderId="0" fillId="3" fontId="1" numFmtId="0" xfId="0" applyAlignment="1" applyFont="1">
      <alignment horizontal="center" shrinkToFit="0" vertical="top" wrapText="1"/>
    </xf>
    <xf borderId="0" fillId="2" fontId="1" numFmtId="3" xfId="0" applyAlignment="1" applyFont="1" applyNumberFormat="1">
      <alignment horizontal="center" readingOrder="0" shrinkToFit="0" vertical="top" wrapText="1"/>
    </xf>
    <xf borderId="0" fillId="4" fontId="1" numFmtId="10" xfId="0" applyAlignment="1" applyFill="1" applyFont="1" applyNumberFormat="1">
      <alignment horizontal="left" readingOrder="0" shrinkToFit="0" vertical="top" wrapText="1"/>
    </xf>
    <xf borderId="0" fillId="4" fontId="1" numFmtId="0" xfId="0" applyAlignment="1" applyFont="1">
      <alignment horizontal="left" readingOrder="0" shrinkToFit="0" vertical="top" wrapText="1"/>
    </xf>
    <xf borderId="0" fillId="5" fontId="2" numFmtId="0" xfId="0" applyAlignment="1" applyFill="1" applyFont="1">
      <alignment horizontal="left" vertical="top"/>
    </xf>
    <xf borderId="0" fillId="0" fontId="2" numFmtId="0" xfId="0" applyAlignment="1" applyFont="1">
      <alignment horizontal="left" vertical="top"/>
    </xf>
    <xf borderId="0" fillId="0" fontId="3" numFmtId="0" xfId="0" applyAlignment="1" applyFont="1">
      <alignment horizontal="left" vertical="top"/>
    </xf>
    <xf borderId="0" fillId="0" fontId="2" numFmtId="0" xfId="0" applyAlignment="1" applyFont="1">
      <alignment horizontal="center" vertical="top"/>
    </xf>
    <xf borderId="0" fillId="0" fontId="2" numFmtId="164" xfId="0" applyAlignment="1" applyFont="1" applyNumberFormat="1">
      <alignment horizontal="left" vertical="top"/>
    </xf>
    <xf borderId="0" fillId="0" fontId="2" numFmtId="3" xfId="0" applyAlignment="1" applyFont="1" applyNumberFormat="1">
      <alignment horizontal="center" vertical="top"/>
    </xf>
    <xf borderId="0" fillId="6" fontId="2" numFmtId="10" xfId="0" applyAlignment="1" applyFill="1" applyFont="1" applyNumberFormat="1">
      <alignment horizontal="left" vertical="top"/>
    </xf>
    <xf borderId="0" fillId="0" fontId="1" numFmtId="0" xfId="0" applyAlignment="1" applyFont="1">
      <alignment horizontal="center" readingOrder="0" vertical="top"/>
    </xf>
    <xf borderId="0" fillId="0" fontId="1" numFmtId="0" xfId="0" applyAlignment="1" applyFont="1">
      <alignment readingOrder="0" shrinkToFit="0" vertical="top" wrapText="1"/>
    </xf>
    <xf borderId="0" fillId="0" fontId="1" numFmtId="0" xfId="0" applyAlignment="1" applyFont="1">
      <alignment horizontal="center" readingOrder="0" shrinkToFit="0" vertical="top" wrapText="1"/>
    </xf>
    <xf borderId="0" fillId="7" fontId="4" numFmtId="0" xfId="0" applyAlignment="1" applyFill="1" applyFont="1">
      <alignment horizontal="right" readingOrder="0" shrinkToFit="0" vertical="top" wrapText="1"/>
    </xf>
    <xf borderId="0" fillId="7" fontId="2" numFmtId="0" xfId="0" applyAlignment="1" applyFont="1">
      <alignment horizontal="center" readingOrder="0" vertical="top"/>
    </xf>
    <xf borderId="0" fillId="7" fontId="2" numFmtId="0" xfId="0" applyAlignment="1" applyFont="1">
      <alignment readingOrder="0" shrinkToFit="0" vertical="top" wrapText="1"/>
    </xf>
    <xf borderId="0" fillId="7" fontId="5" numFmtId="0" xfId="0" applyAlignment="1" applyFont="1">
      <alignment readingOrder="0" shrinkToFit="0" vertical="top" wrapText="1"/>
    </xf>
    <xf borderId="0" fillId="6" fontId="6" numFmtId="0" xfId="0" applyAlignment="1" applyFont="1">
      <alignment horizontal="right" readingOrder="0" shrinkToFit="0" vertical="top" wrapText="1"/>
    </xf>
    <xf borderId="1" fillId="0" fontId="2" numFmtId="0" xfId="0" applyAlignment="1" applyBorder="1" applyFont="1">
      <alignment horizontal="center" readingOrder="0" vertical="top"/>
    </xf>
    <xf borderId="2" fillId="8" fontId="7" numFmtId="0" xfId="0" applyAlignment="1" applyBorder="1" applyFill="1" applyFont="1">
      <alignment horizontal="left" readingOrder="0"/>
    </xf>
    <xf borderId="2" fillId="0" fontId="8" numFmtId="0" xfId="0" applyAlignment="1" applyBorder="1" applyFont="1">
      <alignment readingOrder="0" shrinkToFit="0" vertical="top" wrapText="1"/>
    </xf>
    <xf borderId="3" fillId="0" fontId="8" numFmtId="0" xfId="0" applyAlignment="1" applyBorder="1" applyFont="1">
      <alignment readingOrder="0" shrinkToFit="0" vertical="top" wrapText="1"/>
    </xf>
    <xf borderId="0" fillId="7" fontId="4" numFmtId="4" xfId="0" applyAlignment="1" applyFont="1" applyNumberFormat="1">
      <alignment horizontal="right" readingOrder="0" shrinkToFit="0" vertical="top" wrapText="1"/>
    </xf>
    <xf borderId="4" fillId="0" fontId="2" numFmtId="0" xfId="0" applyAlignment="1" applyBorder="1" applyFont="1">
      <alignment horizontal="center" readingOrder="0" vertical="top"/>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5" fillId="0" fontId="8" numFmtId="0" xfId="0" applyAlignment="1" applyBorder="1" applyFont="1">
      <alignment readingOrder="0" shrinkToFit="0" vertical="top" wrapText="1"/>
    </xf>
    <xf borderId="0" fillId="8" fontId="9" numFmtId="0" xfId="0" applyAlignment="1" applyFont="1">
      <alignment readingOrder="0" shrinkToFit="0" vertical="top" wrapText="1"/>
    </xf>
    <xf borderId="5" fillId="8" fontId="9" numFmtId="0" xfId="0" applyAlignment="1" applyBorder="1" applyFont="1">
      <alignment horizontal="right" readingOrder="0" shrinkToFit="0" vertical="top" wrapText="1"/>
    </xf>
    <xf borderId="0" fillId="7" fontId="10" numFmtId="0" xfId="0" applyAlignment="1" applyFont="1">
      <alignment horizontal="right" readingOrder="0" shrinkToFit="0" vertical="top" wrapText="1"/>
    </xf>
    <xf borderId="6" fillId="0" fontId="2" numFmtId="0" xfId="0" applyAlignment="1" applyBorder="1" applyFont="1">
      <alignment horizontal="center" readingOrder="0" vertical="top"/>
    </xf>
    <xf borderId="7" fillId="0" fontId="2" numFmtId="0" xfId="0" applyAlignment="1" applyBorder="1" applyFont="1">
      <alignment readingOrder="0" shrinkToFit="0" vertical="top" wrapText="1"/>
    </xf>
    <xf borderId="7" fillId="0" fontId="11" numFmtId="0" xfId="0" applyAlignment="1" applyBorder="1" applyFont="1">
      <alignment readingOrder="0" shrinkToFit="0" vertical="top" wrapText="1"/>
    </xf>
    <xf borderId="8" fillId="0" fontId="8" numFmtId="0" xfId="0" applyAlignment="1" applyBorder="1" applyFont="1">
      <alignment readingOrder="0" shrinkToFit="0" vertical="top" wrapText="1"/>
    </xf>
    <xf borderId="0" fillId="7" fontId="12" numFmtId="0" xfId="0" applyAlignment="1" applyFont="1">
      <alignment horizontal="center" vertical="top"/>
    </xf>
    <xf borderId="0" fillId="7" fontId="12" numFmtId="0" xfId="0" applyAlignment="1" applyFont="1">
      <alignment readingOrder="0" shrinkToFit="0" vertical="top" wrapText="1"/>
    </xf>
    <xf borderId="9" fillId="5" fontId="13" numFmtId="0" xfId="0" applyAlignment="1" applyBorder="1" applyFont="1">
      <alignment readingOrder="0" shrinkToFit="0" vertical="top" wrapText="1"/>
    </xf>
    <xf borderId="10" fillId="0" fontId="8" numFmtId="0" xfId="0" applyAlignment="1" applyBorder="1" applyFont="1">
      <alignment readingOrder="0" shrinkToFit="0" vertical="top" wrapText="1"/>
    </xf>
    <xf borderId="10" fillId="8" fontId="9" numFmtId="0" xfId="0" applyAlignment="1" applyBorder="1" applyFont="1">
      <alignment readingOrder="0" shrinkToFit="0" vertical="top" wrapText="1"/>
    </xf>
    <xf borderId="11" fillId="5" fontId="12" numFmtId="0" xfId="0" applyBorder="1" applyFont="1"/>
    <xf borderId="0" fillId="0" fontId="2" numFmtId="0" xfId="0" applyFont="1"/>
    <xf borderId="10" fillId="0" fontId="2" numFmtId="0" xfId="0" applyBorder="1" applyFont="1"/>
    <xf borderId="11" fillId="9" fontId="12" numFmtId="0" xfId="0" applyBorder="1" applyFill="1" applyFont="1"/>
    <xf borderId="0" fillId="9" fontId="2" numFmtId="0" xfId="0" applyFont="1"/>
    <xf borderId="0" fillId="0" fontId="1" numFmtId="0" xfId="0" applyAlignment="1" applyFont="1">
      <alignment readingOrder="0"/>
    </xf>
    <xf borderId="0" fillId="0" fontId="1" numFmtId="0" xfId="0" applyFont="1"/>
    <xf borderId="0" fillId="0" fontId="2" numFmtId="0" xfId="0" applyAlignment="1" applyFont="1">
      <alignment readingOrder="0"/>
    </xf>
    <xf borderId="0" fillId="6" fontId="14" numFmtId="0" xfId="0" applyAlignment="1" applyFont="1">
      <alignment horizontal="center" readingOrder="0"/>
    </xf>
    <xf borderId="0" fillId="0" fontId="2" numFmtId="164" xfId="0" applyAlignment="1" applyFont="1" applyNumberFormat="1">
      <alignment readingOrder="0"/>
    </xf>
    <xf borderId="0" fillId="0" fontId="15" numFmtId="0" xfId="0" applyAlignment="1" applyFont="1">
      <alignment readingOrder="0"/>
    </xf>
    <xf borderId="0" fillId="10" fontId="16" numFmtId="0" xfId="0" applyAlignment="1" applyFill="1" applyFont="1">
      <alignment horizontal="center" readingOrder="0"/>
    </xf>
    <xf borderId="0" fillId="0" fontId="2" numFmtId="3" xfId="0" applyAlignment="1" applyFont="1" applyNumberFormat="1">
      <alignment readingOrder="0"/>
    </xf>
    <xf borderId="0" fillId="10" fontId="17" numFmtId="4" xfId="0" applyAlignment="1" applyFont="1" applyNumberFormat="1">
      <alignment horizontal="center" readingOrder="0"/>
    </xf>
    <xf borderId="0" fillId="0" fontId="1" numFmtId="0" xfId="0" applyAlignment="1" applyFont="1">
      <alignment vertical="bottom"/>
    </xf>
    <xf borderId="0" fillId="0" fontId="2" numFmtId="0" xfId="0" applyAlignment="1" applyFont="1">
      <alignment vertical="bottom"/>
    </xf>
    <xf borderId="0" fillId="0" fontId="18" numFmtId="0" xfId="0" applyAlignment="1" applyFont="1">
      <alignment vertical="bottom"/>
    </xf>
    <xf borderId="0" fillId="0" fontId="2" numFmtId="3" xfId="0" applyAlignment="1" applyFont="1" applyNumberFormat="1">
      <alignment horizontal="right" vertical="bottom"/>
    </xf>
    <xf borderId="0" fillId="0" fontId="2" numFmtId="0" xfId="0" applyAlignment="1" applyFont="1">
      <alignment shrinkToFit="0" vertical="bottom" wrapText="0"/>
    </xf>
    <xf borderId="12" fillId="0" fontId="2" numFmtId="0" xfId="0" applyAlignment="1" applyBorder="1" applyFont="1">
      <alignment vertical="bottom"/>
    </xf>
    <xf borderId="12" fillId="0" fontId="1" numFmtId="0" xfId="0" applyAlignment="1" applyBorder="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getsentry/sentry" TargetMode="External"/><Relationship Id="rId42" Type="http://schemas.openxmlformats.org/officeDocument/2006/relationships/hyperlink" Target="https://github.com/openstack/swift" TargetMode="External"/><Relationship Id="rId41" Type="http://schemas.openxmlformats.org/officeDocument/2006/relationships/hyperlink" Target="https://github.com/zzzeek/sqlalchemy" TargetMode="External"/><Relationship Id="rId44" Type="http://schemas.openxmlformats.org/officeDocument/2006/relationships/hyperlink" Target="https://github.com/tornadoweb/tornado" TargetMode="External"/><Relationship Id="rId43" Type="http://schemas.openxmlformats.org/officeDocument/2006/relationships/hyperlink" Target="https://github.com/sympy/sympy" TargetMode="External"/><Relationship Id="rId46" Type="http://schemas.openxmlformats.org/officeDocument/2006/relationships/hyperlink" Target="https://github.com/pallets/werkzeug" TargetMode="External"/><Relationship Id="rId45" Type="http://schemas.openxmlformats.org/officeDocument/2006/relationships/hyperlink" Target="https://github.com/web2py/web2py" TargetMode="External"/><Relationship Id="rId1" Type="http://schemas.openxmlformats.org/officeDocument/2006/relationships/comments" Target="../comments1.xml"/><Relationship Id="rId2" Type="http://schemas.openxmlformats.org/officeDocument/2006/relationships/hyperlink" Target="https://github.com/ansible/ansible" TargetMode="External"/><Relationship Id="rId3" Type="http://schemas.openxmlformats.org/officeDocument/2006/relationships/hyperlink" Target="https://github.com/astropy/astropy" TargetMode="External"/><Relationship Id="rId4" Type="http://schemas.openxmlformats.org/officeDocument/2006/relationships/hyperlink" Target="https://github.com/crossbario/autobahn-python" TargetMode="External"/><Relationship Id="rId9" Type="http://schemas.openxmlformats.org/officeDocument/2006/relationships/hyperlink" Target="https://github.com/buildbot/buildbot" TargetMode="External"/><Relationship Id="rId48" Type="http://schemas.openxmlformats.org/officeDocument/2006/relationships/drawing" Target="../drawings/drawing1.xml"/><Relationship Id="rId47" Type="http://schemas.openxmlformats.org/officeDocument/2006/relationships/hyperlink" Target="https://github.com/rg3/youtube-dl" TargetMode="External"/><Relationship Id="rId49" Type="http://schemas.openxmlformats.org/officeDocument/2006/relationships/vmlDrawing" Target="../drawings/vmlDrawing1.vml"/><Relationship Id="rId5" Type="http://schemas.openxmlformats.org/officeDocument/2006/relationships/hyperlink" Target="https://github.com/aws/aws-cli" TargetMode="External"/><Relationship Id="rId6" Type="http://schemas.openxmlformats.org/officeDocument/2006/relationships/hyperlink" Target="https://github.com/beetbox/beets" TargetMode="External"/><Relationship Id="rId7" Type="http://schemas.openxmlformats.org/officeDocument/2006/relationships/hyperlink" Target="https://github.com/biopython/biopython" TargetMode="External"/><Relationship Id="rId8" Type="http://schemas.openxmlformats.org/officeDocument/2006/relationships/hyperlink" Target="https://github.com/boto/boto" TargetMode="External"/><Relationship Id="rId31" Type="http://schemas.openxmlformats.org/officeDocument/2006/relationships/hyperlink" Target="https://github.com/getpelican/pelican" TargetMode="External"/><Relationship Id="rId30" Type="http://schemas.openxmlformats.org/officeDocument/2006/relationships/hyperlink" Target="https://github.com/coleifer/peewee" TargetMode="External"/><Relationship Id="rId33" Type="http://schemas.openxmlformats.org/officeDocument/2006/relationships/hyperlink" Target="https://github.com/Pylons/pyramid" TargetMode="External"/><Relationship Id="rId32" Type="http://schemas.openxmlformats.org/officeDocument/2006/relationships/hyperlink" Target="https://github.com/pypa/pip" TargetMode="External"/><Relationship Id="rId35" Type="http://schemas.openxmlformats.org/officeDocument/2006/relationships/hyperlink" Target="https://github.com/getsentry/raven-python" TargetMode="External"/><Relationship Id="rId34" Type="http://schemas.openxmlformats.org/officeDocument/2006/relationships/hyperlink" Target="https://github.com/ranger/ranger" TargetMode="External"/><Relationship Id="rId37" Type="http://schemas.openxmlformats.org/officeDocument/2006/relationships/hyperlink" Target="https://github.com/scikit-image/scikit-image" TargetMode="External"/><Relationship Id="rId36" Type="http://schemas.openxmlformats.org/officeDocument/2006/relationships/hyperlink" Target="https://github.com/saltstack/salt" TargetMode="External"/><Relationship Id="rId39" Type="http://schemas.openxmlformats.org/officeDocument/2006/relationships/hyperlink" Target="https://github.com/scrapy/scrapy" TargetMode="External"/><Relationship Id="rId38" Type="http://schemas.openxmlformats.org/officeDocument/2006/relationships/hyperlink" Target="https://github.com/scikit-learn/scikit-learn" TargetMode="External"/><Relationship Id="rId20" Type="http://schemas.openxmlformats.org/officeDocument/2006/relationships/hyperlink" Target="https://github.com/matplotlib/matplotlib" TargetMode="External"/><Relationship Id="rId22" Type="http://schemas.openxmlformats.org/officeDocument/2006/relationships/hyperlink" Target="https://github.com/mitmproxy/mitmproxy" TargetMode="External"/><Relationship Id="rId21" Type="http://schemas.openxmlformats.org/officeDocument/2006/relationships/hyperlink" Target="https://github.com/MongoEngine/mongoengine" TargetMode="External"/><Relationship Id="rId24" Type="http://schemas.openxmlformats.org/officeDocument/2006/relationships/hyperlink" Target="https://github.com/mopidy/mopidy" TargetMode="External"/><Relationship Id="rId23" Type="http://schemas.openxmlformats.org/officeDocument/2006/relationships/hyperlink" Target="https://github.com/mongodb/mongo-python-driver" TargetMode="External"/><Relationship Id="rId26" Type="http://schemas.openxmlformats.org/officeDocument/2006/relationships/hyperlink" Target="https://github.com/paramiko/paramiko" TargetMode="External"/><Relationship Id="rId25" Type="http://schemas.openxmlformats.org/officeDocument/2006/relationships/hyperlink" Target="https://github.com/networkx/networkx" TargetMode="External"/><Relationship Id="rId28" Type="http://schemas.openxmlformats.org/officeDocument/2006/relationships/hyperlink" Target="https://github.com/numba/numba" TargetMode="External"/><Relationship Id="rId27" Type="http://schemas.openxmlformats.org/officeDocument/2006/relationships/hyperlink" Target="https://github.com/openstack/nova" TargetMode="External"/><Relationship Id="rId29" Type="http://schemas.openxmlformats.org/officeDocument/2006/relationships/hyperlink" Target="https://github.com/pandas-dev/pandas" TargetMode="External"/><Relationship Id="rId11" Type="http://schemas.openxmlformats.org/officeDocument/2006/relationships/hyperlink" Target="https://github.com/cobbler/cobbler" TargetMode="External"/><Relationship Id="rId10" Type="http://schemas.openxmlformats.org/officeDocument/2006/relationships/hyperlink" Target="https://github.com/celery/celery" TargetMode="External"/><Relationship Id="rId13" Type="http://schemas.openxmlformats.org/officeDocument/2006/relationships/hyperlink" Target="https://github.com/cython/cython" TargetMode="External"/><Relationship Id="rId12" Type="http://schemas.openxmlformats.org/officeDocument/2006/relationships/hyperlink" Target="https://github.com/conda/conda" TargetMode="External"/><Relationship Id="rId15" Type="http://schemas.openxmlformats.org/officeDocument/2006/relationships/hyperlink" Target="https://github.com/encode/django-rest-framework" TargetMode="External"/><Relationship Id="rId14" Type="http://schemas.openxmlformats.org/officeDocument/2006/relationships/hyperlink" Target="https://github.com/django/django" TargetMode="External"/><Relationship Id="rId17" Type="http://schemas.openxmlformats.org/officeDocument/2006/relationships/hyperlink" Target="https://github.com/fail2ban/fail2ban" TargetMode="External"/><Relationship Id="rId16" Type="http://schemas.openxmlformats.org/officeDocument/2006/relationships/hyperlink" Target="https://github.com/spesmilo/electrum" TargetMode="External"/><Relationship Id="rId19" Type="http://schemas.openxmlformats.org/officeDocument/2006/relationships/hyperlink" Target="https://github.com/spotify/luigi" TargetMode="External"/><Relationship Id="rId18" Type="http://schemas.openxmlformats.org/officeDocument/2006/relationships/hyperlink" Target="https://github.com/RaRe-Technologies/gensim"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pyeve/eve" TargetMode="External"/><Relationship Id="rId42" Type="http://schemas.openxmlformats.org/officeDocument/2006/relationships/hyperlink" Target="https://github.com/joke2k/faker" TargetMode="External"/><Relationship Id="rId41" Type="http://schemas.openxmlformats.org/officeDocument/2006/relationships/hyperlink" Target="https://github.com/fail2ban/fail2ban" TargetMode="External"/><Relationship Id="rId44" Type="http://schemas.openxmlformats.org/officeDocument/2006/relationships/hyperlink" Target="https://github.com/pallets/flask" TargetMode="External"/><Relationship Id="rId43" Type="http://schemas.openxmlformats.org/officeDocument/2006/relationships/hyperlink" Target="https://github.com/falconry/falcon" TargetMode="External"/><Relationship Id="rId46" Type="http://schemas.openxmlformats.org/officeDocument/2006/relationships/hyperlink" Target="https://github.com/RaRe-Technologies/gensim" TargetMode="External"/><Relationship Id="rId45" Type="http://schemas.openxmlformats.org/officeDocument/2006/relationships/hyperlink" Target="https://github.com/fonttools/fonttools" TargetMode="External"/><Relationship Id="rId107" Type="http://schemas.openxmlformats.org/officeDocument/2006/relationships/hyperlink" Target="https://github.com/freedomofpress/securedrop" TargetMode="External"/><Relationship Id="rId106" Type="http://schemas.openxmlformats.org/officeDocument/2006/relationships/hyperlink" Target="https://github.com/scrapy/scrapy" TargetMode="External"/><Relationship Id="rId105" Type="http://schemas.openxmlformats.org/officeDocument/2006/relationships/hyperlink" Target="https://github.com/scipy/scipy" TargetMode="External"/><Relationship Id="rId104" Type="http://schemas.openxmlformats.org/officeDocument/2006/relationships/hyperlink" Target="https://github.com/scikit-learn/scikit-learn" TargetMode="External"/><Relationship Id="rId109" Type="http://schemas.openxmlformats.org/officeDocument/2006/relationships/hyperlink" Target="https://github.com/getsentry/sentry" TargetMode="External"/><Relationship Id="rId108" Type="http://schemas.openxmlformats.org/officeDocument/2006/relationships/hyperlink" Target="https://github.com/Netflix/security_monkey" TargetMode="External"/><Relationship Id="rId48" Type="http://schemas.openxmlformats.org/officeDocument/2006/relationships/hyperlink" Target="https://github.com/nicolargo/glances" TargetMode="External"/><Relationship Id="rId47" Type="http://schemas.openxmlformats.org/officeDocument/2006/relationships/hyperlink" Target="https://github.com/gevent/gevent" TargetMode="External"/><Relationship Id="rId49" Type="http://schemas.openxmlformats.org/officeDocument/2006/relationships/hyperlink" Target="https://github.com/googleapis/google-cloud-python" TargetMode="External"/><Relationship Id="rId103" Type="http://schemas.openxmlformats.org/officeDocument/2006/relationships/hyperlink" Target="https://github.com/scikit-image/scikit-image" TargetMode="External"/><Relationship Id="rId102" Type="http://schemas.openxmlformats.org/officeDocument/2006/relationships/hyperlink" Target="https://github.com/saltstack/salt" TargetMode="External"/><Relationship Id="rId101" Type="http://schemas.openxmlformats.org/officeDocument/2006/relationships/hyperlink" Target="https://github.com/mirumee/saleor" TargetMode="External"/><Relationship Id="rId100" Type="http://schemas.openxmlformats.org/officeDocument/2006/relationships/hyperlink" Target="https://github.com/s3tools/s3cmd" TargetMode="External"/><Relationship Id="rId31" Type="http://schemas.openxmlformats.org/officeDocument/2006/relationships/hyperlink" Target="https://github.com/django-oscar/django-oscar" TargetMode="External"/><Relationship Id="rId30" Type="http://schemas.openxmlformats.org/officeDocument/2006/relationships/hyperlink" Target="https://github.com/django-haystack/django-haystack" TargetMode="External"/><Relationship Id="rId33" Type="http://schemas.openxmlformats.org/officeDocument/2006/relationships/hyperlink" Target="https://github.com/awesto/django-shop" TargetMode="External"/><Relationship Id="rId32" Type="http://schemas.openxmlformats.org/officeDocument/2006/relationships/hyperlink" Target="https://github.com/encode/django-rest-framework" TargetMode="External"/><Relationship Id="rId35" Type="http://schemas.openxmlformats.org/officeDocument/2006/relationships/hyperlink" Target="https://github.com/docker/docker-py" TargetMode="External"/><Relationship Id="rId34" Type="http://schemas.openxmlformats.org/officeDocument/2006/relationships/hyperlink" Target="https://github.com/django-tastypie/django-tastypie" TargetMode="External"/><Relationship Id="rId37" Type="http://schemas.openxmlformats.org/officeDocument/2006/relationships/hyperlink" Target="https://github.com/Yelp/elastalert" TargetMode="External"/><Relationship Id="rId36" Type="http://schemas.openxmlformats.org/officeDocument/2006/relationships/hyperlink" Target="https://github.com/edx/edx-platform" TargetMode="External"/><Relationship Id="rId39" Type="http://schemas.openxmlformats.org/officeDocument/2006/relationships/hyperlink" Target="https://github.com/frappe/erpnext" TargetMode="External"/><Relationship Id="rId38" Type="http://schemas.openxmlformats.org/officeDocument/2006/relationships/hyperlink" Target="https://github.com/spesmilo/electrum" TargetMode="External"/><Relationship Id="rId20" Type="http://schemas.openxmlformats.org/officeDocument/2006/relationships/hyperlink" Target="https://github.com/docker/compose" TargetMode="External"/><Relationship Id="rId22" Type="http://schemas.openxmlformats.org/officeDocument/2006/relationships/hyperlink" Target="https://github.com/CouchPotato/CouchPotatoServer" TargetMode="External"/><Relationship Id="rId21" Type="http://schemas.openxmlformats.org/officeDocument/2006/relationships/hyperlink" Target="https://github.com/conda/conda" TargetMode="External"/><Relationship Id="rId24" Type="http://schemas.openxmlformats.org/officeDocument/2006/relationships/hyperlink" Target="https://github.com/cython/cython" TargetMode="External"/><Relationship Id="rId23" Type="http://schemas.openxmlformats.org/officeDocument/2006/relationships/hyperlink" Target="https://github.com/pyca/cryptography" TargetMode="External"/><Relationship Id="rId129" Type="http://schemas.openxmlformats.org/officeDocument/2006/relationships/hyperlink" Target="https://github.com/Kozea/WeasyPrint" TargetMode="External"/><Relationship Id="rId128" Type="http://schemas.openxmlformats.org/officeDocument/2006/relationships/hyperlink" Target="https://github.com/wagtail/wagtail" TargetMode="External"/><Relationship Id="rId127" Type="http://schemas.openxmlformats.org/officeDocument/2006/relationships/hyperlink" Target="https://github.com/andresriancho/w3af" TargetMode="External"/><Relationship Id="rId126" Type="http://schemas.openxmlformats.org/officeDocument/2006/relationships/hyperlink" Target="https://github.com/twisted/twisted" TargetMode="External"/><Relationship Id="rId26" Type="http://schemas.openxmlformats.org/officeDocument/2006/relationships/hyperlink" Target="https://github.com/pennersr/django-allauth" TargetMode="External"/><Relationship Id="rId121" Type="http://schemas.openxmlformats.org/officeDocument/2006/relationships/hyperlink" Target="https://github.com/Theano/Theano" TargetMode="External"/><Relationship Id="rId25" Type="http://schemas.openxmlformats.org/officeDocument/2006/relationships/hyperlink" Target="https://github.com/django/django" TargetMode="External"/><Relationship Id="rId120" Type="http://schemas.openxmlformats.org/officeDocument/2006/relationships/hyperlink" Target="https://github.com/matrix-org/synapse" TargetMode="External"/><Relationship Id="rId28" Type="http://schemas.openxmlformats.org/officeDocument/2006/relationships/hyperlink" Target="https://github.com/divio/django-cms" TargetMode="External"/><Relationship Id="rId27" Type="http://schemas.openxmlformats.org/officeDocument/2006/relationships/hyperlink" Target="https://github.com/Fantomas42/django-blog-zinnia" TargetMode="External"/><Relationship Id="rId125" Type="http://schemas.openxmlformats.org/officeDocument/2006/relationships/hyperlink" Target="https://github.com/cloudtools/troposphere" TargetMode="External"/><Relationship Id="rId29" Type="http://schemas.openxmlformats.org/officeDocument/2006/relationships/hyperlink" Target="https://github.com/django-extensions/django-extensions" TargetMode="External"/><Relationship Id="rId124" Type="http://schemas.openxmlformats.org/officeDocument/2006/relationships/hyperlink" Target="https://github.com/Tribler/tribler" TargetMode="External"/><Relationship Id="rId123" Type="http://schemas.openxmlformats.org/officeDocument/2006/relationships/hyperlink" Target="https://github.com/tornadoweb/tornado" TargetMode="External"/><Relationship Id="rId122" Type="http://schemas.openxmlformats.org/officeDocument/2006/relationships/hyperlink" Target="https://github.com/thumbor/thumbor" TargetMode="External"/><Relationship Id="rId95" Type="http://schemas.openxmlformats.org/officeDocument/2006/relationships/hyperlink" Target="https://github.com/rtfd/readthedocs.org" TargetMode="External"/><Relationship Id="rId94" Type="http://schemas.openxmlformats.org/officeDocument/2006/relationships/hyperlink" Target="https://github.com/getsentry/raven-python" TargetMode="External"/><Relationship Id="rId97" Type="http://schemas.openxmlformats.org/officeDocument/2006/relationships/hyperlink" Target="https://github.com/getredash/redash" TargetMode="External"/><Relationship Id="rId96" Type="http://schemas.openxmlformats.org/officeDocument/2006/relationships/hyperlink" Target="http://readthedocs.org" TargetMode="External"/><Relationship Id="rId11" Type="http://schemas.openxmlformats.org/officeDocument/2006/relationships/hyperlink" Target="https://github.com/boto/boto3" TargetMode="External"/><Relationship Id="rId99" Type="http://schemas.openxmlformats.org/officeDocument/2006/relationships/hyperlink" Target="https://github.com/robotframework/robotframework" TargetMode="External"/><Relationship Id="rId10" Type="http://schemas.openxmlformats.org/officeDocument/2006/relationships/hyperlink" Target="https://github.com/boto/boto" TargetMode="External"/><Relationship Id="rId98" Type="http://schemas.openxmlformats.org/officeDocument/2006/relationships/hyperlink" Target="https://github.com/soimort/you-get" TargetMode="External"/><Relationship Id="rId13" Type="http://schemas.openxmlformats.org/officeDocument/2006/relationships/hyperlink" Target="https://github.com/bup/bup" TargetMode="External"/><Relationship Id="rId12" Type="http://schemas.openxmlformats.org/officeDocument/2006/relationships/hyperlink" Target="https://github.com/buildbot/buildbot" TargetMode="External"/><Relationship Id="rId91" Type="http://schemas.openxmlformats.org/officeDocument/2006/relationships/hyperlink" Target="https://github.com/zeromq/pyzmq" TargetMode="External"/><Relationship Id="rId90" Type="http://schemas.openxmlformats.org/officeDocument/2006/relationships/hyperlink" Target="https://github.com/Pylons/pyramid" TargetMode="External"/><Relationship Id="rId93" Type="http://schemas.openxmlformats.org/officeDocument/2006/relationships/hyperlink" Target="https://github.com/ranger/ranger" TargetMode="External"/><Relationship Id="rId92" Type="http://schemas.openxmlformats.org/officeDocument/2006/relationships/hyperlink" Target="https://github.com/qutebrowser/qutebrowser" TargetMode="External"/><Relationship Id="rId118" Type="http://schemas.openxmlformats.org/officeDocument/2006/relationships/hyperlink" Target="https://github.com/openstack/swift" TargetMode="External"/><Relationship Id="rId117" Type="http://schemas.openxmlformats.org/officeDocument/2006/relationships/hyperlink" Target="https://github.com/Supervisor/supervisor" TargetMode="External"/><Relationship Id="rId116" Type="http://schemas.openxmlformats.org/officeDocument/2006/relationships/hyperlink" Target="https://github.com/StackStorm/st2" TargetMode="External"/><Relationship Id="rId115" Type="http://schemas.openxmlformats.org/officeDocument/2006/relationships/hyperlink" Target="https://github.com/sqlmapproject/sqlmap" TargetMode="External"/><Relationship Id="rId119" Type="http://schemas.openxmlformats.org/officeDocument/2006/relationships/hyperlink" Target="https://github.com/sympy/sympy" TargetMode="External"/><Relationship Id="rId15" Type="http://schemas.openxmlformats.org/officeDocument/2006/relationships/hyperlink" Target="https://github.com/celery/celery" TargetMode="External"/><Relationship Id="rId110" Type="http://schemas.openxmlformats.org/officeDocument/2006/relationships/hyperlink" Target="https://github.com/midgetspy/Sick-Beard" TargetMode="External"/><Relationship Id="rId14" Type="http://schemas.openxmlformats.org/officeDocument/2006/relationships/hyperlink" Target="https://github.com/kovidgoyal/calibre" TargetMode="External"/><Relationship Id="rId17" Type="http://schemas.openxmlformats.org/officeDocument/2006/relationships/hyperlink" Target="https://github.com/ckan/ckan" TargetMode="External"/><Relationship Id="rId16" Type="http://schemas.openxmlformats.org/officeDocument/2006/relationships/hyperlink" Target="https://github.com/certbot/certbot" TargetMode="External"/><Relationship Id="rId19" Type="http://schemas.openxmlformats.org/officeDocument/2006/relationships/hyperlink" Target="https://github.com/elastic/curator" TargetMode="External"/><Relationship Id="rId114" Type="http://schemas.openxmlformats.org/officeDocument/2006/relationships/hyperlink" Target="https://github.com/zzzeek/sqlalchemy" TargetMode="External"/><Relationship Id="rId18" Type="http://schemas.openxmlformats.org/officeDocument/2006/relationships/hyperlink" Target="https://github.com/cobbler/cobbler" TargetMode="External"/><Relationship Id="rId113" Type="http://schemas.openxmlformats.org/officeDocument/2006/relationships/hyperlink" Target="https://github.com/spinnaker/spinnaker" TargetMode="External"/><Relationship Id="rId112" Type="http://schemas.openxmlformats.org/officeDocument/2006/relationships/hyperlink" Target="https://github.com/explosion/spaCy" TargetMode="External"/><Relationship Id="rId111" Type="http://schemas.openxmlformats.org/officeDocument/2006/relationships/hyperlink" Target="https://github.com/SiCKRAGE/SiCKRAGE" TargetMode="External"/><Relationship Id="rId84" Type="http://schemas.openxmlformats.org/officeDocument/2006/relationships/hyperlink" Target="https://github.com/playframework/play1" TargetMode="External"/><Relationship Id="rId83" Type="http://schemas.openxmlformats.org/officeDocument/2006/relationships/hyperlink" Target="https://github.com/aosp-mirror/platform_development" TargetMode="External"/><Relationship Id="rId86" Type="http://schemas.openxmlformats.org/officeDocument/2006/relationships/hyperlink" Target="https://github.com/Gallopsled/pwntools" TargetMode="External"/><Relationship Id="rId85" Type="http://schemas.openxmlformats.org/officeDocument/2006/relationships/hyperlink" Target="https://github.com/giampaolo/psutil" TargetMode="External"/><Relationship Id="rId88" Type="http://schemas.openxmlformats.org/officeDocument/2006/relationships/hyperlink" Target="https://github.com/pyinstaller/pyinstaller" TargetMode="External"/><Relationship Id="rId87" Type="http://schemas.openxmlformats.org/officeDocument/2006/relationships/hyperlink" Target="https://github.com/ethereum/pyethereum" TargetMode="External"/><Relationship Id="rId89" Type="http://schemas.openxmlformats.org/officeDocument/2006/relationships/hyperlink" Target="https://github.com/pymc-devs/pymc3" TargetMode="External"/><Relationship Id="rId80" Type="http://schemas.openxmlformats.org/officeDocument/2006/relationships/hyperlink" Target="https://github.com/pika/pika" TargetMode="External"/><Relationship Id="rId82" Type="http://schemas.openxmlformats.org/officeDocument/2006/relationships/hyperlink" Target="https://github.com/pypa/pip" TargetMode="External"/><Relationship Id="rId81" Type="http://schemas.openxmlformats.org/officeDocument/2006/relationships/hyperlink" Target="https://github.com/python-pillow/Pillow" TargetMode="External"/><Relationship Id="rId1" Type="http://schemas.openxmlformats.org/officeDocument/2006/relationships/hyperlink" Target="https://github.com/ajenti/ajenti" TargetMode="External"/><Relationship Id="rId2" Type="http://schemas.openxmlformats.org/officeDocument/2006/relationships/hyperlink" Target="https://github.com/ansible/ansible" TargetMode="External"/><Relationship Id="rId3" Type="http://schemas.openxmlformats.org/officeDocument/2006/relationships/hyperlink" Target="https://github.com/astropy/astropy" TargetMode="External"/><Relationship Id="rId4" Type="http://schemas.openxmlformats.org/officeDocument/2006/relationships/hyperlink" Target="https://github.com/crossbario/autobahn-python" TargetMode="External"/><Relationship Id="rId9" Type="http://schemas.openxmlformats.org/officeDocument/2006/relationships/hyperlink" Target="https://github.com/bokeh/bokeh" TargetMode="External"/><Relationship Id="rId5" Type="http://schemas.openxmlformats.org/officeDocument/2006/relationships/hyperlink" Target="https://github.com/aws/aws-cli" TargetMode="External"/><Relationship Id="rId6" Type="http://schemas.openxmlformats.org/officeDocument/2006/relationships/hyperlink" Target="https://github.com/beetbox/beets" TargetMode="External"/><Relationship Id="rId7" Type="http://schemas.openxmlformats.org/officeDocument/2006/relationships/hyperlink" Target="https://github.com/biopython/biopython" TargetMode="External"/><Relationship Id="rId8" Type="http://schemas.openxmlformats.org/officeDocument/2006/relationships/hyperlink" Target="https://github.com/blaze/blaze" TargetMode="External"/><Relationship Id="rId73" Type="http://schemas.openxmlformats.org/officeDocument/2006/relationships/hyperlink" Target="https://github.com/numenta/nupic" TargetMode="External"/><Relationship Id="rId72" Type="http://schemas.openxmlformats.org/officeDocument/2006/relationships/hyperlink" Target="https://github.com/numba/numba" TargetMode="External"/><Relationship Id="rId75" Type="http://schemas.openxmlformats.org/officeDocument/2006/relationships/hyperlink" Target="https://github.com/biolab/orange3" TargetMode="External"/><Relationship Id="rId74" Type="http://schemas.openxmlformats.org/officeDocument/2006/relationships/hyperlink" Target="https://github.com/foosel/OctoPrint" TargetMode="External"/><Relationship Id="rId77" Type="http://schemas.openxmlformats.org/officeDocument/2006/relationships/hyperlink" Target="https://github.com/coleifer/peewee" TargetMode="External"/><Relationship Id="rId76" Type="http://schemas.openxmlformats.org/officeDocument/2006/relationships/hyperlink" Target="https://github.com/pandas-dev/pandas" TargetMode="External"/><Relationship Id="rId79" Type="http://schemas.openxmlformats.org/officeDocument/2006/relationships/hyperlink" Target="https://github.com/metabrainz/picard" TargetMode="External"/><Relationship Id="rId78" Type="http://schemas.openxmlformats.org/officeDocument/2006/relationships/hyperlink" Target="https://github.com/getpelican/pelican" TargetMode="External"/><Relationship Id="rId71" Type="http://schemas.openxmlformats.org/officeDocument/2006/relationships/hyperlink" Target="https://github.com/openstack/nova" TargetMode="External"/><Relationship Id="rId70" Type="http://schemas.openxmlformats.org/officeDocument/2006/relationships/hyperlink" Target="https://github.com/paramiko/paramiko" TargetMode="External"/><Relationship Id="rId132" Type="http://schemas.openxmlformats.org/officeDocument/2006/relationships/hyperlink" Target="https://github.com/pallets/werkzeug" TargetMode="External"/><Relationship Id="rId131" Type="http://schemas.openxmlformats.org/officeDocument/2006/relationships/hyperlink" Target="https://github.com/aio-libs/aiohttp" TargetMode="External"/><Relationship Id="rId130" Type="http://schemas.openxmlformats.org/officeDocument/2006/relationships/hyperlink" Target="https://github.com/web2py/web2py" TargetMode="External"/><Relationship Id="rId135" Type="http://schemas.openxmlformats.org/officeDocument/2006/relationships/drawing" Target="../drawings/drawing4.xml"/><Relationship Id="rId134" Type="http://schemas.openxmlformats.org/officeDocument/2006/relationships/hyperlink" Target="https://github.com/quantopian/zipline" TargetMode="External"/><Relationship Id="rId133" Type="http://schemas.openxmlformats.org/officeDocument/2006/relationships/hyperlink" Target="https://github.com/rg3/youtube-dl" TargetMode="External"/><Relationship Id="rId62" Type="http://schemas.openxmlformats.org/officeDocument/2006/relationships/hyperlink" Target="https://github.com/stephenmcd/mezzanine" TargetMode="External"/><Relationship Id="rId61" Type="http://schemas.openxmlformats.org/officeDocument/2006/relationships/hyperlink" Target="https://github.com/MongoEngine/mongoengine" TargetMode="External"/><Relationship Id="rId64" Type="http://schemas.openxmlformats.org/officeDocument/2006/relationships/hyperlink" Target="https://github.com/mongodb/mongo-python-driver" TargetMode="External"/><Relationship Id="rId63" Type="http://schemas.openxmlformats.org/officeDocument/2006/relationships/hyperlink" Target="https://github.com/mitmproxy/mitmproxy" TargetMode="External"/><Relationship Id="rId66" Type="http://schemas.openxmlformats.org/officeDocument/2006/relationships/hyperlink" Target="https://github.com/Yelp/mrjob" TargetMode="External"/><Relationship Id="rId65" Type="http://schemas.openxmlformats.org/officeDocument/2006/relationships/hyperlink" Target="https://github.com/mopidy/mopidy" TargetMode="External"/><Relationship Id="rId68" Type="http://schemas.openxmlformats.org/officeDocument/2006/relationships/hyperlink" Target="https://github.com/python/mypy" TargetMode="External"/><Relationship Id="rId67" Type="http://schemas.openxmlformats.org/officeDocument/2006/relationships/hyperlink" Target="https://github.com/munki/munki" TargetMode="External"/><Relationship Id="rId60" Type="http://schemas.openxmlformats.org/officeDocument/2006/relationships/hyperlink" Target="https://github.com/matplotlib/matplotlib" TargetMode="External"/><Relationship Id="rId69" Type="http://schemas.openxmlformats.org/officeDocument/2006/relationships/hyperlink" Target="https://github.com/networkx/networkx" TargetMode="External"/><Relationship Id="rId51" Type="http://schemas.openxmlformats.org/officeDocument/2006/relationships/hyperlink" Target="https://github.com/home-assistant/home-assistant" TargetMode="External"/><Relationship Id="rId50" Type="http://schemas.openxmlformats.org/officeDocument/2006/relationships/hyperlink" Target="https://github.com/rembo10/headphones" TargetMode="External"/><Relationship Id="rId53" Type="http://schemas.openxmlformats.org/officeDocument/2006/relationships/hyperlink" Target="https://github.com/ipython/ipython" TargetMode="External"/><Relationship Id="rId52" Type="http://schemas.openxmlformats.org/officeDocument/2006/relationships/hyperlink" Target="https://github.com/cloudera/hue" TargetMode="External"/><Relationship Id="rId55" Type="http://schemas.openxmlformats.org/officeDocument/2006/relationships/hyperlink" Target="https://github.com/jupyterhub/jupyterhub" TargetMode="External"/><Relationship Id="rId54" Type="http://schemas.openxmlformats.org/officeDocument/2006/relationships/hyperlink" Target="https://github.com/pallets/jinja" TargetMode="External"/><Relationship Id="rId57" Type="http://schemas.openxmlformats.org/officeDocument/2006/relationships/hyperlink" Target="https://github.com/kivy/kivy" TargetMode="External"/><Relationship Id="rId56" Type="http://schemas.openxmlformats.org/officeDocument/2006/relationships/hyperlink" Target="https://github.com/dpkp/kafka-python" TargetMode="External"/><Relationship Id="rId59" Type="http://schemas.openxmlformats.org/officeDocument/2006/relationships/hyperlink" Target="https://github.com/spotify/luigi" TargetMode="External"/><Relationship Id="rId58" Type="http://schemas.openxmlformats.org/officeDocument/2006/relationships/hyperlink" Target="https://github.com/chrippa/livestreamer"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RaRe-Technologies/gensim" TargetMode="External"/><Relationship Id="rId42" Type="http://schemas.openxmlformats.org/officeDocument/2006/relationships/hyperlink" Target="https://github.com/pallets/werkzeug" TargetMode="External"/><Relationship Id="rId41" Type="http://schemas.openxmlformats.org/officeDocument/2006/relationships/hyperlink" Target="https://github.com/spotify/luigi" TargetMode="External"/><Relationship Id="rId44" Type="http://schemas.openxmlformats.org/officeDocument/2006/relationships/hyperlink" Target="https://github.com/ranger/ranger" TargetMode="External"/><Relationship Id="rId43" Type="http://schemas.openxmlformats.org/officeDocument/2006/relationships/hyperlink" Target="https://github.com/coleifer/peewee" TargetMode="External"/><Relationship Id="rId46" Type="http://schemas.openxmlformats.org/officeDocument/2006/relationships/hyperlink" Target="https://github.com/tornadoweb/tornado" TargetMode="External"/><Relationship Id="rId45" Type="http://schemas.openxmlformats.org/officeDocument/2006/relationships/hyperlink" Target="https://github.com/midgetspy/Sick-Beard" TargetMode="External"/><Relationship Id="rId107" Type="http://schemas.openxmlformats.org/officeDocument/2006/relationships/hyperlink" Target="https://github.com/divio/django-cms" TargetMode="External"/><Relationship Id="rId106" Type="http://schemas.openxmlformats.org/officeDocument/2006/relationships/hyperlink" Target="https://github.com/cloudera/hue" TargetMode="External"/><Relationship Id="rId105" Type="http://schemas.openxmlformats.org/officeDocument/2006/relationships/hyperlink" Target="https://github.com/cython/cython" TargetMode="External"/><Relationship Id="rId104" Type="http://schemas.openxmlformats.org/officeDocument/2006/relationships/hyperlink" Target="https://github.com/Tribler/tribler" TargetMode="External"/><Relationship Id="rId109" Type="http://schemas.openxmlformats.org/officeDocument/2006/relationships/hyperlink" Target="https://github.com/home-assistant/home-assistant" TargetMode="External"/><Relationship Id="rId108" Type="http://schemas.openxmlformats.org/officeDocument/2006/relationships/hyperlink" Target="https://github.com/andresriancho/w3af" TargetMode="External"/><Relationship Id="rId48" Type="http://schemas.openxmlformats.org/officeDocument/2006/relationships/hyperlink" Target="https://github.com/mongodb/mongo-python-driver" TargetMode="External"/><Relationship Id="rId47" Type="http://schemas.openxmlformats.org/officeDocument/2006/relationships/hyperlink" Target="https://github.com/playframework/play1" TargetMode="External"/><Relationship Id="rId49" Type="http://schemas.openxmlformats.org/officeDocument/2006/relationships/hyperlink" Target="https://github.com/awesto/django-shop" TargetMode="External"/><Relationship Id="rId103" Type="http://schemas.openxmlformats.org/officeDocument/2006/relationships/hyperlink" Target="https://github.com/conda/conda" TargetMode="External"/><Relationship Id="rId102" Type="http://schemas.openxmlformats.org/officeDocument/2006/relationships/hyperlink" Target="https://github.com/numba/numba" TargetMode="External"/><Relationship Id="rId101" Type="http://schemas.openxmlformats.org/officeDocument/2006/relationships/hyperlink" Target="https://github.com/matrix-org/synapse" TargetMode="External"/><Relationship Id="rId100" Type="http://schemas.openxmlformats.org/officeDocument/2006/relationships/hyperlink" Target="https://github.com/biopython/biopython" TargetMode="External"/><Relationship Id="rId31" Type="http://schemas.openxmlformats.org/officeDocument/2006/relationships/hyperlink" Target="https://github.com/Fantomas42/django-blog-zinnia" TargetMode="External"/><Relationship Id="rId30" Type="http://schemas.openxmlformats.org/officeDocument/2006/relationships/hyperlink" Target="https://github.com/getpelican/pelican" TargetMode="External"/><Relationship Id="rId33" Type="http://schemas.openxmlformats.org/officeDocument/2006/relationships/hyperlink" Target="https://github.com/MongoEngine/mongoengine" TargetMode="External"/><Relationship Id="rId32" Type="http://schemas.openxmlformats.org/officeDocument/2006/relationships/hyperlink" Target="https://github.com/munki/munki" TargetMode="External"/><Relationship Id="rId35" Type="http://schemas.openxmlformats.org/officeDocument/2006/relationships/hyperlink" Target="https://github.com/Gallopsled/pwntools" TargetMode="External"/><Relationship Id="rId34" Type="http://schemas.openxmlformats.org/officeDocument/2006/relationships/hyperlink" Target="https://github.com/paramiko/paramiko" TargetMode="External"/><Relationship Id="rId37" Type="http://schemas.openxmlformats.org/officeDocument/2006/relationships/hyperlink" Target="https://github.com/nicolargo/glances" TargetMode="External"/><Relationship Id="rId36" Type="http://schemas.openxmlformats.org/officeDocument/2006/relationships/hyperlink" Target="https://github.com/jupyterhub/jupyterhub" TargetMode="External"/><Relationship Id="rId39" Type="http://schemas.openxmlformats.org/officeDocument/2006/relationships/hyperlink" Target="https://github.com/getsentry/raven-python" TargetMode="External"/><Relationship Id="rId38" Type="http://schemas.openxmlformats.org/officeDocument/2006/relationships/hyperlink" Target="https://github.com/pallets/flask" TargetMode="External"/><Relationship Id="rId20" Type="http://schemas.openxmlformats.org/officeDocument/2006/relationships/hyperlink" Target="https://github.com/Supervisor/supervisor" TargetMode="External"/><Relationship Id="rId22" Type="http://schemas.openxmlformats.org/officeDocument/2006/relationships/hyperlink" Target="https://github.com/ajenti/ajenti" TargetMode="External"/><Relationship Id="rId21" Type="http://schemas.openxmlformats.org/officeDocument/2006/relationships/hyperlink" Target="https://github.com/zeromq/pyzmq" TargetMode="External"/><Relationship Id="rId24" Type="http://schemas.openxmlformats.org/officeDocument/2006/relationships/hyperlink" Target="https://github.com/docker/docker-py" TargetMode="External"/><Relationship Id="rId23" Type="http://schemas.openxmlformats.org/officeDocument/2006/relationships/hyperlink" Target="https://github.com/django-extensions/django-extensions" TargetMode="External"/><Relationship Id="rId129" Type="http://schemas.openxmlformats.org/officeDocument/2006/relationships/hyperlink" Target="https://github.com/kovidgoyal/calibre" TargetMode="External"/><Relationship Id="rId128" Type="http://schemas.openxmlformats.org/officeDocument/2006/relationships/hyperlink" Target="https://github.com/sympy/sympy" TargetMode="External"/><Relationship Id="rId127" Type="http://schemas.openxmlformats.org/officeDocument/2006/relationships/hyperlink" Target="https://github.com/matplotlib/matplotlib" TargetMode="External"/><Relationship Id="rId126" Type="http://schemas.openxmlformats.org/officeDocument/2006/relationships/hyperlink" Target="https://github.com/Theano/Theano" TargetMode="External"/><Relationship Id="rId26" Type="http://schemas.openxmlformats.org/officeDocument/2006/relationships/hyperlink" Target="https://github.com/pyeve/eve" TargetMode="External"/><Relationship Id="rId121" Type="http://schemas.openxmlformats.org/officeDocument/2006/relationships/hyperlink" Target="https://github.com/getsentry/sentry" TargetMode="External"/><Relationship Id="rId25" Type="http://schemas.openxmlformats.org/officeDocument/2006/relationships/hyperlink" Target="https://github.com/rembo10/headphones" TargetMode="External"/><Relationship Id="rId120" Type="http://schemas.openxmlformats.org/officeDocument/2006/relationships/hyperlink" Target="https://github.com/ipython/ipython" TargetMode="External"/><Relationship Id="rId28" Type="http://schemas.openxmlformats.org/officeDocument/2006/relationships/hyperlink" Target="https://github.com/crossbario/autobahn-python" TargetMode="External"/><Relationship Id="rId27" Type="http://schemas.openxmlformats.org/officeDocument/2006/relationships/hyperlink" Target="https://github.com/Kozea/WeasyPrint" TargetMode="External"/><Relationship Id="rId125" Type="http://schemas.openxmlformats.org/officeDocument/2006/relationships/hyperlink" Target="https://github.com/django/django" TargetMode="External"/><Relationship Id="rId29" Type="http://schemas.openxmlformats.org/officeDocument/2006/relationships/hyperlink" Target="https://github.com/ethereum/pyethereum" TargetMode="External"/><Relationship Id="rId124" Type="http://schemas.openxmlformats.org/officeDocument/2006/relationships/hyperlink" Target="https://github.com/aosp-mirror/platform_development" TargetMode="External"/><Relationship Id="rId123" Type="http://schemas.openxmlformats.org/officeDocument/2006/relationships/hyperlink" Target="https://github.com/frappe/erpnext" TargetMode="External"/><Relationship Id="rId122" Type="http://schemas.openxmlformats.org/officeDocument/2006/relationships/hyperlink" Target="https://github.com/twisted/twisted" TargetMode="External"/><Relationship Id="rId95" Type="http://schemas.openxmlformats.org/officeDocument/2006/relationships/hyperlink" Target="https://github.com/celery/celery" TargetMode="External"/><Relationship Id="rId94" Type="http://schemas.openxmlformats.org/officeDocument/2006/relationships/hyperlink" Target="https://github.com/scikit-image/scikit-image" TargetMode="External"/><Relationship Id="rId97" Type="http://schemas.openxmlformats.org/officeDocument/2006/relationships/hyperlink" Target="https://github.com/kivy/kivy" TargetMode="External"/><Relationship Id="rId96" Type="http://schemas.openxmlformats.org/officeDocument/2006/relationships/hyperlink" Target="https://github.com/Pylons/pyramid" TargetMode="External"/><Relationship Id="rId11" Type="http://schemas.openxmlformats.org/officeDocument/2006/relationships/hyperlink" Target="https://github.com/Yelp/elastalert" TargetMode="External"/><Relationship Id="rId99" Type="http://schemas.openxmlformats.org/officeDocument/2006/relationships/hyperlink" Target="https://github.com/zzzeek/sqlalchemy" TargetMode="External"/><Relationship Id="rId10" Type="http://schemas.openxmlformats.org/officeDocument/2006/relationships/hyperlink" Target="https://github.com/boto/boto3" TargetMode="External"/><Relationship Id="rId98" Type="http://schemas.openxmlformats.org/officeDocument/2006/relationships/hyperlink" Target="https://github.com/robotframework/robotframework" TargetMode="External"/><Relationship Id="rId13" Type="http://schemas.openxmlformats.org/officeDocument/2006/relationships/hyperlink" Target="https://github.com/spinnaker/spinnaker" TargetMode="External"/><Relationship Id="rId12" Type="http://schemas.openxmlformats.org/officeDocument/2006/relationships/hyperlink" Target="https://github.com/pallets/jinja" TargetMode="External"/><Relationship Id="rId91" Type="http://schemas.openxmlformats.org/officeDocument/2006/relationships/hyperlink" Target="https://github.com/biolab/orange3" TargetMode="External"/><Relationship Id="rId90" Type="http://schemas.openxmlformats.org/officeDocument/2006/relationships/hyperlink" Target="https://github.com/spesmilo/electrum" TargetMode="External"/><Relationship Id="rId93" Type="http://schemas.openxmlformats.org/officeDocument/2006/relationships/hyperlink" Target="https://github.com/SiCKRAGE/SiCKRAGE" TargetMode="External"/><Relationship Id="rId92" Type="http://schemas.openxmlformats.org/officeDocument/2006/relationships/hyperlink" Target="https://github.com/rtfd/readthedocs.org" TargetMode="External"/><Relationship Id="rId118" Type="http://schemas.openxmlformats.org/officeDocument/2006/relationships/hyperlink" Target="https://github.com/scikit-learn/scikit-learn" TargetMode="External"/><Relationship Id="rId117" Type="http://schemas.openxmlformats.org/officeDocument/2006/relationships/hyperlink" Target="https://github.com/scipy/scipy" TargetMode="External"/><Relationship Id="rId116" Type="http://schemas.openxmlformats.org/officeDocument/2006/relationships/hyperlink" Target="https://github.com/ckan/ckan" TargetMode="External"/><Relationship Id="rId115" Type="http://schemas.openxmlformats.org/officeDocument/2006/relationships/hyperlink" Target="https://github.com/pandas-dev/pandas" TargetMode="External"/><Relationship Id="rId119" Type="http://schemas.openxmlformats.org/officeDocument/2006/relationships/hyperlink" Target="https://github.com/astropy/astropy" TargetMode="External"/><Relationship Id="rId15" Type="http://schemas.openxmlformats.org/officeDocument/2006/relationships/hyperlink" Target="https://github.com/pennersr/django-allauth" TargetMode="External"/><Relationship Id="rId110" Type="http://schemas.openxmlformats.org/officeDocument/2006/relationships/hyperlink" Target="https://github.com/rg3/youtube-dl" TargetMode="External"/><Relationship Id="rId14" Type="http://schemas.openxmlformats.org/officeDocument/2006/relationships/hyperlink" Target="https://github.com/dpkp/kafka-python" TargetMode="External"/><Relationship Id="rId17" Type="http://schemas.openxmlformats.org/officeDocument/2006/relationships/hyperlink" Target="https://github.com/joke2k/faker" TargetMode="External"/><Relationship Id="rId16" Type="http://schemas.openxmlformats.org/officeDocument/2006/relationships/hyperlink" Target="https://github.com/soimort/you-get" TargetMode="External"/><Relationship Id="rId19" Type="http://schemas.openxmlformats.org/officeDocument/2006/relationships/hyperlink" Target="https://github.com/thumbor/thumbor" TargetMode="External"/><Relationship Id="rId114" Type="http://schemas.openxmlformats.org/officeDocument/2006/relationships/hyperlink" Target="https://github.com/buildbot/buildbot" TargetMode="External"/><Relationship Id="rId18" Type="http://schemas.openxmlformats.org/officeDocument/2006/relationships/hyperlink" Target="https://github.com/pika/pika" TargetMode="External"/><Relationship Id="rId113" Type="http://schemas.openxmlformats.org/officeDocument/2006/relationships/hyperlink" Target="https://github.com/bokeh/bokeh" TargetMode="External"/><Relationship Id="rId112" Type="http://schemas.openxmlformats.org/officeDocument/2006/relationships/hyperlink" Target="https://github.com/qutebrowser/qutebrowser" TargetMode="External"/><Relationship Id="rId111" Type="http://schemas.openxmlformats.org/officeDocument/2006/relationships/hyperlink" Target="https://github.com/StackStorm/st2" TargetMode="External"/><Relationship Id="rId84" Type="http://schemas.openxmlformats.org/officeDocument/2006/relationships/hyperlink" Target="https://github.com/sqlmapproject/sqlmap" TargetMode="External"/><Relationship Id="rId83" Type="http://schemas.openxmlformats.org/officeDocument/2006/relationships/hyperlink" Target="https://github.com/beetbox/beets" TargetMode="External"/><Relationship Id="rId86" Type="http://schemas.openxmlformats.org/officeDocument/2006/relationships/hyperlink" Target="https://github.com/wagtail/wagtail" TargetMode="External"/><Relationship Id="rId85" Type="http://schemas.openxmlformats.org/officeDocument/2006/relationships/hyperlink" Target="https://github.com/freedomofpress/securedrop" TargetMode="External"/><Relationship Id="rId88" Type="http://schemas.openxmlformats.org/officeDocument/2006/relationships/hyperlink" Target="https://github.com/certbot/certbot" TargetMode="External"/><Relationship Id="rId87" Type="http://schemas.openxmlformats.org/officeDocument/2006/relationships/hyperlink" Target="https://github.com/explosion/spaCy" TargetMode="External"/><Relationship Id="rId89" Type="http://schemas.openxmlformats.org/officeDocument/2006/relationships/hyperlink" Target="https://github.com/mirumee/saleor" TargetMode="External"/><Relationship Id="rId80" Type="http://schemas.openxmlformats.org/officeDocument/2006/relationships/hyperlink" Target="https://github.com/python-pillow/Pillow" TargetMode="External"/><Relationship Id="rId82" Type="http://schemas.openxmlformats.org/officeDocument/2006/relationships/hyperlink" Target="https://github.com/openstack/swift" TargetMode="External"/><Relationship Id="rId81" Type="http://schemas.openxmlformats.org/officeDocument/2006/relationships/hyperlink" Target="https://github.com/mitmproxy/mitmproxy" TargetMode="External"/><Relationship Id="rId1" Type="http://schemas.openxmlformats.org/officeDocument/2006/relationships/hyperlink" Target="https://github.com/django-tastypie/django-tastypie" TargetMode="External"/><Relationship Id="rId2" Type="http://schemas.openxmlformats.org/officeDocument/2006/relationships/hyperlink" Target="https://github.com/falconry/falcon" TargetMode="External"/><Relationship Id="rId3" Type="http://schemas.openxmlformats.org/officeDocument/2006/relationships/hyperlink" Target="https://github.com/chrippa/livestreamer" TargetMode="External"/><Relationship Id="rId4" Type="http://schemas.openxmlformats.org/officeDocument/2006/relationships/hyperlink" Target="https://github.com/elastic/curator" TargetMode="External"/><Relationship Id="rId9" Type="http://schemas.openxmlformats.org/officeDocument/2006/relationships/hyperlink" Target="https://github.com/s3tools/s3cmd" TargetMode="External"/><Relationship Id="rId5" Type="http://schemas.openxmlformats.org/officeDocument/2006/relationships/hyperlink" Target="https://github.com/cloudtools/troposphere" TargetMode="External"/><Relationship Id="rId6" Type="http://schemas.openxmlformats.org/officeDocument/2006/relationships/hyperlink" Target="https://github.com/Netflix/security_monkey" TargetMode="External"/><Relationship Id="rId7" Type="http://schemas.openxmlformats.org/officeDocument/2006/relationships/hyperlink" Target="https://github.com/django-haystack/django-haystack" TargetMode="External"/><Relationship Id="rId8" Type="http://schemas.openxmlformats.org/officeDocument/2006/relationships/hyperlink" Target="https://github.com/bup/bup" TargetMode="External"/><Relationship Id="rId73" Type="http://schemas.openxmlformats.org/officeDocument/2006/relationships/hyperlink" Target="https://github.com/Yelp/mrjob" TargetMode="External"/><Relationship Id="rId72" Type="http://schemas.openxmlformats.org/officeDocument/2006/relationships/hyperlink" Target="https://github.com/python/mypy" TargetMode="External"/><Relationship Id="rId75" Type="http://schemas.openxmlformats.org/officeDocument/2006/relationships/hyperlink" Target="https://github.com/pyca/cryptography" TargetMode="External"/><Relationship Id="rId74" Type="http://schemas.openxmlformats.org/officeDocument/2006/relationships/hyperlink" Target="https://github.com/blaze/blaze" TargetMode="External"/><Relationship Id="rId77" Type="http://schemas.openxmlformats.org/officeDocument/2006/relationships/hyperlink" Target="https://github.com/web2py/web2py" TargetMode="External"/><Relationship Id="rId76" Type="http://schemas.openxmlformats.org/officeDocument/2006/relationships/hyperlink" Target="https://github.com/mopidy/mopidy" TargetMode="External"/><Relationship Id="rId79" Type="http://schemas.openxmlformats.org/officeDocument/2006/relationships/hyperlink" Target="https://github.com/encode/django-rest-framework" TargetMode="External"/><Relationship Id="rId78" Type="http://schemas.openxmlformats.org/officeDocument/2006/relationships/hyperlink" Target="https://github.com/django-oscar/django-oscar" TargetMode="External"/><Relationship Id="rId71" Type="http://schemas.openxmlformats.org/officeDocument/2006/relationships/hyperlink" Target="https://github.com/boto/boto" TargetMode="External"/><Relationship Id="rId70" Type="http://schemas.openxmlformats.org/officeDocument/2006/relationships/hyperlink" Target="https://github.com/googleapis/google-cloud-python" TargetMode="External"/><Relationship Id="rId132" Type="http://schemas.openxmlformats.org/officeDocument/2006/relationships/hyperlink" Target="https://github.com/openstack/nova" TargetMode="External"/><Relationship Id="rId131" Type="http://schemas.openxmlformats.org/officeDocument/2006/relationships/hyperlink" Target="https://github.com/edx/edx-platform" TargetMode="External"/><Relationship Id="rId130" Type="http://schemas.openxmlformats.org/officeDocument/2006/relationships/hyperlink" Target="https://github.com/ansible/ansible" TargetMode="External"/><Relationship Id="rId134" Type="http://schemas.openxmlformats.org/officeDocument/2006/relationships/drawing" Target="../drawings/drawing5.xml"/><Relationship Id="rId133" Type="http://schemas.openxmlformats.org/officeDocument/2006/relationships/hyperlink" Target="https://github.com/saltstack/salt" TargetMode="External"/><Relationship Id="rId62" Type="http://schemas.openxmlformats.org/officeDocument/2006/relationships/hyperlink" Target="https://github.com/fonttools/fonttools" TargetMode="External"/><Relationship Id="rId61" Type="http://schemas.openxmlformats.org/officeDocument/2006/relationships/hyperlink" Target="https://github.com/aio-libs/aiohttp" TargetMode="External"/><Relationship Id="rId64" Type="http://schemas.openxmlformats.org/officeDocument/2006/relationships/hyperlink" Target="https://github.com/numenta/nupic" TargetMode="External"/><Relationship Id="rId63" Type="http://schemas.openxmlformats.org/officeDocument/2006/relationships/hyperlink" Target="https://github.com/aws/aws-cli" TargetMode="External"/><Relationship Id="rId66" Type="http://schemas.openxmlformats.org/officeDocument/2006/relationships/hyperlink" Target="https://github.com/pymc-devs/pymc3" TargetMode="External"/><Relationship Id="rId65" Type="http://schemas.openxmlformats.org/officeDocument/2006/relationships/hyperlink" Target="https://github.com/pypa/pip" TargetMode="External"/><Relationship Id="rId68" Type="http://schemas.openxmlformats.org/officeDocument/2006/relationships/hyperlink" Target="https://github.com/pyinstaller/pyinstaller" TargetMode="External"/><Relationship Id="rId67" Type="http://schemas.openxmlformats.org/officeDocument/2006/relationships/hyperlink" Target="https://github.com/scrapy/scrapy" TargetMode="External"/><Relationship Id="rId60" Type="http://schemas.openxmlformats.org/officeDocument/2006/relationships/hyperlink" Target="https://github.com/getredash/redash" TargetMode="External"/><Relationship Id="rId69" Type="http://schemas.openxmlformats.org/officeDocument/2006/relationships/hyperlink" Target="https://github.com/cobbler/cobbler" TargetMode="External"/><Relationship Id="rId51" Type="http://schemas.openxmlformats.org/officeDocument/2006/relationships/hyperlink" Target="https://github.com/giampaolo/psutil" TargetMode="External"/><Relationship Id="rId50" Type="http://schemas.openxmlformats.org/officeDocument/2006/relationships/hyperlink" Target="https://github.com/fail2ban/fail2ban" TargetMode="External"/><Relationship Id="rId53" Type="http://schemas.openxmlformats.org/officeDocument/2006/relationships/hyperlink" Target="https://github.com/CouchPotato/CouchPotatoServer" TargetMode="External"/><Relationship Id="rId52" Type="http://schemas.openxmlformats.org/officeDocument/2006/relationships/hyperlink" Target="https://github.com/gevent/gevent" TargetMode="External"/><Relationship Id="rId55" Type="http://schemas.openxmlformats.org/officeDocument/2006/relationships/hyperlink" Target="https://github.com/docker/compose" TargetMode="External"/><Relationship Id="rId54" Type="http://schemas.openxmlformats.org/officeDocument/2006/relationships/hyperlink" Target="https://github.com/stephenmcd/mezzanine" TargetMode="External"/><Relationship Id="rId57" Type="http://schemas.openxmlformats.org/officeDocument/2006/relationships/hyperlink" Target="https://github.com/networkx/networkx" TargetMode="External"/><Relationship Id="rId56" Type="http://schemas.openxmlformats.org/officeDocument/2006/relationships/hyperlink" Target="https://github.com/foosel/OctoPrint" TargetMode="External"/><Relationship Id="rId59" Type="http://schemas.openxmlformats.org/officeDocument/2006/relationships/hyperlink" Target="https://github.com/metabrainz/picard" TargetMode="External"/><Relationship Id="rId58" Type="http://schemas.openxmlformats.org/officeDocument/2006/relationships/hyperlink" Target="https://github.com/quantopian/ziplin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github.com/foosel/OctoPrint" TargetMode="External"/><Relationship Id="rId42" Type="http://schemas.openxmlformats.org/officeDocument/2006/relationships/hyperlink" Target="https://github.com/pika/pika" TargetMode="External"/><Relationship Id="rId41" Type="http://schemas.openxmlformats.org/officeDocument/2006/relationships/hyperlink" Target="https://github.com/ranger/ranger" TargetMode="External"/><Relationship Id="rId44" Type="http://schemas.openxmlformats.org/officeDocument/2006/relationships/hyperlink" Target="https://github.com/s3tools/s3cmd" TargetMode="External"/><Relationship Id="rId43" Type="http://schemas.openxmlformats.org/officeDocument/2006/relationships/hyperlink" Target="https://github.com/midgetspy/Sick-Beard" TargetMode="External"/><Relationship Id="rId46" Type="http://schemas.openxmlformats.org/officeDocument/2006/relationships/hyperlink" Target="https://github.com/matrix-org/synapse" TargetMode="External"/><Relationship Id="rId45" Type="http://schemas.openxmlformats.org/officeDocument/2006/relationships/hyperlink" Target="https://github.com/rembo10/headphones" TargetMode="External"/><Relationship Id="rId107" Type="http://schemas.openxmlformats.org/officeDocument/2006/relationships/hyperlink" Target="https://github.com/kivy/kivy" TargetMode="External"/><Relationship Id="rId106" Type="http://schemas.openxmlformats.org/officeDocument/2006/relationships/hyperlink" Target="https://github.com/divio/django-cms" TargetMode="External"/><Relationship Id="rId105" Type="http://schemas.openxmlformats.org/officeDocument/2006/relationships/hyperlink" Target="https://github.com/openstack/nova" TargetMode="External"/><Relationship Id="rId104" Type="http://schemas.openxmlformats.org/officeDocument/2006/relationships/hyperlink" Target="https://github.com/rtfd/readthedocs.org" TargetMode="External"/><Relationship Id="rId109" Type="http://schemas.openxmlformats.org/officeDocument/2006/relationships/hyperlink" Target="https://github.com/getpelican/pelican" TargetMode="External"/><Relationship Id="rId108" Type="http://schemas.openxmlformats.org/officeDocument/2006/relationships/hyperlink" Target="https://github.com/Theano/Theano" TargetMode="External"/><Relationship Id="rId48" Type="http://schemas.openxmlformats.org/officeDocument/2006/relationships/hyperlink" Target="https://github.com/dpkp/kafka-python" TargetMode="External"/><Relationship Id="rId47" Type="http://schemas.openxmlformats.org/officeDocument/2006/relationships/hyperlink" Target="https://github.com/jupyterhub/jupyterhub" TargetMode="External"/><Relationship Id="rId49" Type="http://schemas.openxmlformats.org/officeDocument/2006/relationships/hyperlink" Target="https://github.com/mongodb/mongo-python-driver" TargetMode="External"/><Relationship Id="rId103" Type="http://schemas.openxmlformats.org/officeDocument/2006/relationships/hyperlink" Target="https://github.com/wagtail/wagtail" TargetMode="External"/><Relationship Id="rId102" Type="http://schemas.openxmlformats.org/officeDocument/2006/relationships/hyperlink" Target="https://github.com/RaRe-Technologies/gensim" TargetMode="External"/><Relationship Id="rId101" Type="http://schemas.openxmlformats.org/officeDocument/2006/relationships/hyperlink" Target="https://github.com/zzzeek/sqlalchemy" TargetMode="External"/><Relationship Id="rId100" Type="http://schemas.openxmlformats.org/officeDocument/2006/relationships/hyperlink" Target="https://github.com/tornadoweb/tornado" TargetMode="External"/><Relationship Id="rId31" Type="http://schemas.openxmlformats.org/officeDocument/2006/relationships/hyperlink" Target="https://github.com/quantopian/zipline" TargetMode="External"/><Relationship Id="rId30" Type="http://schemas.openxmlformats.org/officeDocument/2006/relationships/hyperlink" Target="https://github.com/Netflix/security_monkey" TargetMode="External"/><Relationship Id="rId33" Type="http://schemas.openxmlformats.org/officeDocument/2006/relationships/hyperlink" Target="https://github.com/mopidy/mopidy" TargetMode="External"/><Relationship Id="rId32" Type="http://schemas.openxmlformats.org/officeDocument/2006/relationships/hyperlink" Target="https://github.com/coleifer/peewee" TargetMode="External"/><Relationship Id="rId35" Type="http://schemas.openxmlformats.org/officeDocument/2006/relationships/hyperlink" Target="https://github.com/numba/numba" TargetMode="External"/><Relationship Id="rId34" Type="http://schemas.openxmlformats.org/officeDocument/2006/relationships/hyperlink" Target="https://github.com/paramiko/paramiko" TargetMode="External"/><Relationship Id="rId37" Type="http://schemas.openxmlformats.org/officeDocument/2006/relationships/hyperlink" Target="https://github.com/thumbor/thumbor" TargetMode="External"/><Relationship Id="rId36" Type="http://schemas.openxmlformats.org/officeDocument/2006/relationships/hyperlink" Target="https://github.com/Supervisor/supervisor" TargetMode="External"/><Relationship Id="rId39" Type="http://schemas.openxmlformats.org/officeDocument/2006/relationships/hyperlink" Target="https://github.com/zeromq/pyzmq" TargetMode="External"/><Relationship Id="rId38" Type="http://schemas.openxmlformats.org/officeDocument/2006/relationships/hyperlink" Target="https://github.com/falconry/falcon" TargetMode="External"/><Relationship Id="rId20" Type="http://schemas.openxmlformats.org/officeDocument/2006/relationships/hyperlink" Target="https://github.com/giampaolo/psutil" TargetMode="External"/><Relationship Id="rId22" Type="http://schemas.openxmlformats.org/officeDocument/2006/relationships/hyperlink" Target="https://github.com/elastic/curator" TargetMode="External"/><Relationship Id="rId21" Type="http://schemas.openxmlformats.org/officeDocument/2006/relationships/hyperlink" Target="https://github.com/Yelp/mrjob" TargetMode="External"/><Relationship Id="rId24" Type="http://schemas.openxmlformats.org/officeDocument/2006/relationships/hyperlink" Target="https://github.com/numenta/nupic" TargetMode="External"/><Relationship Id="rId23" Type="http://schemas.openxmlformats.org/officeDocument/2006/relationships/hyperlink" Target="https://github.com/nicolargo/glances" TargetMode="External"/><Relationship Id="rId129" Type="http://schemas.openxmlformats.org/officeDocument/2006/relationships/hyperlink" Target="https://github.com/home-assistant/home-assistant" TargetMode="External"/><Relationship Id="rId128" Type="http://schemas.openxmlformats.org/officeDocument/2006/relationships/hyperlink" Target="https://github.com/scipy/scipy" TargetMode="External"/><Relationship Id="rId127" Type="http://schemas.openxmlformats.org/officeDocument/2006/relationships/hyperlink" Target="https://github.com/pandas-dev/pandas" TargetMode="External"/><Relationship Id="rId126" Type="http://schemas.openxmlformats.org/officeDocument/2006/relationships/hyperlink" Target="https://github.com/pallets/flask" TargetMode="External"/><Relationship Id="rId26" Type="http://schemas.openxmlformats.org/officeDocument/2006/relationships/hyperlink" Target="https://github.com/twisted/twisted" TargetMode="External"/><Relationship Id="rId121" Type="http://schemas.openxmlformats.org/officeDocument/2006/relationships/hyperlink" Target="https://github.com/ansible/ansible" TargetMode="External"/><Relationship Id="rId25" Type="http://schemas.openxmlformats.org/officeDocument/2006/relationships/hyperlink" Target="https://github.com/spinnaker/spinnaker" TargetMode="External"/><Relationship Id="rId120" Type="http://schemas.openxmlformats.org/officeDocument/2006/relationships/hyperlink" Target="https://github.com/pypa/pip" TargetMode="External"/><Relationship Id="rId28" Type="http://schemas.openxmlformats.org/officeDocument/2006/relationships/hyperlink" Target="https://github.com/crossbario/autobahn-python" TargetMode="External"/><Relationship Id="rId27" Type="http://schemas.openxmlformats.org/officeDocument/2006/relationships/hyperlink" Target="https://github.com/mirumee/saleor" TargetMode="External"/><Relationship Id="rId125" Type="http://schemas.openxmlformats.org/officeDocument/2006/relationships/hyperlink" Target="https://github.com/celery/celery" TargetMode="External"/><Relationship Id="rId29" Type="http://schemas.openxmlformats.org/officeDocument/2006/relationships/hyperlink" Target="https://github.com/StackStorm/st2" TargetMode="External"/><Relationship Id="rId124" Type="http://schemas.openxmlformats.org/officeDocument/2006/relationships/hyperlink" Target="https://github.com/django/django" TargetMode="External"/><Relationship Id="rId123" Type="http://schemas.openxmlformats.org/officeDocument/2006/relationships/hyperlink" Target="https://github.com/rg3/youtube-dl" TargetMode="External"/><Relationship Id="rId122" Type="http://schemas.openxmlformats.org/officeDocument/2006/relationships/hyperlink" Target="https://github.com/encode/django-rest-framework" TargetMode="External"/><Relationship Id="rId95" Type="http://schemas.openxmlformats.org/officeDocument/2006/relationships/hyperlink" Target="https://github.com/scikit-image/scikit-image" TargetMode="External"/><Relationship Id="rId94" Type="http://schemas.openxmlformats.org/officeDocument/2006/relationships/hyperlink" Target="https://github.com/pallets/werkzeug" TargetMode="External"/><Relationship Id="rId97" Type="http://schemas.openxmlformats.org/officeDocument/2006/relationships/hyperlink" Target="https://github.com/scrapy/scrapy" TargetMode="External"/><Relationship Id="rId96" Type="http://schemas.openxmlformats.org/officeDocument/2006/relationships/hyperlink" Target="https://github.com/docker/compose" TargetMode="External"/><Relationship Id="rId11" Type="http://schemas.openxmlformats.org/officeDocument/2006/relationships/hyperlink" Target="https://github.com/biolab/orange3" TargetMode="External"/><Relationship Id="rId99" Type="http://schemas.openxmlformats.org/officeDocument/2006/relationships/hyperlink" Target="https://github.com/docker/docker-py" TargetMode="External"/><Relationship Id="rId10" Type="http://schemas.openxmlformats.org/officeDocument/2006/relationships/hyperlink" Target="https://github.com/fonttools/fonttools" TargetMode="External"/><Relationship Id="rId98" Type="http://schemas.openxmlformats.org/officeDocument/2006/relationships/hyperlink" Target="https://github.com/beetbox/beets" TargetMode="External"/><Relationship Id="rId13" Type="http://schemas.openxmlformats.org/officeDocument/2006/relationships/hyperlink" Target="https://github.com/gevent/gevent" TargetMode="External"/><Relationship Id="rId12" Type="http://schemas.openxmlformats.org/officeDocument/2006/relationships/hyperlink" Target="https://github.com/boto/boto3" TargetMode="External"/><Relationship Id="rId91" Type="http://schemas.openxmlformats.org/officeDocument/2006/relationships/hyperlink" Target="https://github.com/explosion/spaCy" TargetMode="External"/><Relationship Id="rId90" Type="http://schemas.openxmlformats.org/officeDocument/2006/relationships/hyperlink" Target="https://github.com/astropy/astropy" TargetMode="External"/><Relationship Id="rId93" Type="http://schemas.openxmlformats.org/officeDocument/2006/relationships/hyperlink" Target="https://github.com/openstack/swift" TargetMode="External"/><Relationship Id="rId92" Type="http://schemas.openxmlformats.org/officeDocument/2006/relationships/hyperlink" Target="https://github.com/getsentry/raven-python" TargetMode="External"/><Relationship Id="rId118" Type="http://schemas.openxmlformats.org/officeDocument/2006/relationships/hyperlink" Target="https://github.com/pennersr/django-allauth" TargetMode="External"/><Relationship Id="rId117" Type="http://schemas.openxmlformats.org/officeDocument/2006/relationships/hyperlink" Target="https://github.com/aio-libs/aiohttp" TargetMode="External"/><Relationship Id="rId116" Type="http://schemas.openxmlformats.org/officeDocument/2006/relationships/hyperlink" Target="https://github.com/django-extensions/django-extensions" TargetMode="External"/><Relationship Id="rId115" Type="http://schemas.openxmlformats.org/officeDocument/2006/relationships/hyperlink" Target="https://github.com/spotify/luigi" TargetMode="External"/><Relationship Id="rId119" Type="http://schemas.openxmlformats.org/officeDocument/2006/relationships/hyperlink" Target="https://github.com/getsentry/sentry" TargetMode="External"/><Relationship Id="rId15" Type="http://schemas.openxmlformats.org/officeDocument/2006/relationships/hyperlink" Target="https://github.com/Gallopsled/pwntools" TargetMode="External"/><Relationship Id="rId110" Type="http://schemas.openxmlformats.org/officeDocument/2006/relationships/hyperlink" Target="https://github.com/buildbot/buildbot" TargetMode="External"/><Relationship Id="rId14" Type="http://schemas.openxmlformats.org/officeDocument/2006/relationships/hyperlink" Target="https://github.com/sqlmapproject/sqlmap" TargetMode="External"/><Relationship Id="rId17" Type="http://schemas.openxmlformats.org/officeDocument/2006/relationships/hyperlink" Target="https://github.com/ethereum/pyethereum" TargetMode="External"/><Relationship Id="rId16" Type="http://schemas.openxmlformats.org/officeDocument/2006/relationships/hyperlink" Target="https://github.com/robotframework/robotframework" TargetMode="External"/><Relationship Id="rId19" Type="http://schemas.openxmlformats.org/officeDocument/2006/relationships/hyperlink" Target="https://github.com/chrippa/livestreamer" TargetMode="External"/><Relationship Id="rId114" Type="http://schemas.openxmlformats.org/officeDocument/2006/relationships/hyperlink" Target="https://github.com/boto/boto" TargetMode="External"/><Relationship Id="rId18" Type="http://schemas.openxmlformats.org/officeDocument/2006/relationships/hyperlink" Target="https://github.com/bup/bup" TargetMode="External"/><Relationship Id="rId113" Type="http://schemas.openxmlformats.org/officeDocument/2006/relationships/hyperlink" Target="https://github.com/certbot/certbot" TargetMode="External"/><Relationship Id="rId112" Type="http://schemas.openxmlformats.org/officeDocument/2006/relationships/hyperlink" Target="https://github.com/saltstack/salt" TargetMode="External"/><Relationship Id="rId111" Type="http://schemas.openxmlformats.org/officeDocument/2006/relationships/hyperlink" Target="https://github.com/bokeh/bokeh" TargetMode="External"/><Relationship Id="rId84" Type="http://schemas.openxmlformats.org/officeDocument/2006/relationships/hyperlink" Target="https://github.com/MongoEngine/mongoengine" TargetMode="External"/><Relationship Id="rId83" Type="http://schemas.openxmlformats.org/officeDocument/2006/relationships/hyperlink" Target="https://github.com/frappe/erpnext" TargetMode="External"/><Relationship Id="rId86" Type="http://schemas.openxmlformats.org/officeDocument/2006/relationships/hyperlink" Target="https://github.com/Pylons/pyramid" TargetMode="External"/><Relationship Id="rId85" Type="http://schemas.openxmlformats.org/officeDocument/2006/relationships/hyperlink" Target="https://github.com/stephenmcd/mezzanine" TargetMode="External"/><Relationship Id="rId88" Type="http://schemas.openxmlformats.org/officeDocument/2006/relationships/hyperlink" Target="https://github.com/cython/cython" TargetMode="External"/><Relationship Id="rId87" Type="http://schemas.openxmlformats.org/officeDocument/2006/relationships/hyperlink" Target="https://github.com/cloudtools/troposphere" TargetMode="External"/><Relationship Id="rId89" Type="http://schemas.openxmlformats.org/officeDocument/2006/relationships/hyperlink" Target="https://github.com/networkx/networkx" TargetMode="External"/><Relationship Id="rId80" Type="http://schemas.openxmlformats.org/officeDocument/2006/relationships/hyperlink" Target="https://github.com/pyinstaller/pyinstaller" TargetMode="External"/><Relationship Id="rId82" Type="http://schemas.openxmlformats.org/officeDocument/2006/relationships/hyperlink" Target="https://github.com/mitmproxy/mitmproxy" TargetMode="External"/><Relationship Id="rId81" Type="http://schemas.openxmlformats.org/officeDocument/2006/relationships/hyperlink" Target="https://github.com/qutebrowser/qutebrowser" TargetMode="External"/><Relationship Id="rId1" Type="http://schemas.openxmlformats.org/officeDocument/2006/relationships/hyperlink" Target="https://github.com/Kozea/WeasyPrint" TargetMode="External"/><Relationship Id="rId2" Type="http://schemas.openxmlformats.org/officeDocument/2006/relationships/hyperlink" Target="https://github.com/blaze/blaze" TargetMode="External"/><Relationship Id="rId3" Type="http://schemas.openxmlformats.org/officeDocument/2006/relationships/hyperlink" Target="https://github.com/ajenti/ajenti" TargetMode="External"/><Relationship Id="rId4" Type="http://schemas.openxmlformats.org/officeDocument/2006/relationships/hyperlink" Target="https://github.com/Fantomas42/django-blog-zinnia" TargetMode="External"/><Relationship Id="rId9" Type="http://schemas.openxmlformats.org/officeDocument/2006/relationships/hyperlink" Target="https://github.com/munki/munki" TargetMode="External"/><Relationship Id="rId5" Type="http://schemas.openxmlformats.org/officeDocument/2006/relationships/hyperlink" Target="https://github.com/andresriancho/w3af" TargetMode="External"/><Relationship Id="rId6" Type="http://schemas.openxmlformats.org/officeDocument/2006/relationships/hyperlink" Target="https://github.com/metabrainz/picard" TargetMode="External"/><Relationship Id="rId7" Type="http://schemas.openxmlformats.org/officeDocument/2006/relationships/hyperlink" Target="https://github.com/Tribler/tribler" TargetMode="External"/><Relationship Id="rId8" Type="http://schemas.openxmlformats.org/officeDocument/2006/relationships/hyperlink" Target="https://github.com/awesto/django-shop" TargetMode="External"/><Relationship Id="rId73" Type="http://schemas.openxmlformats.org/officeDocument/2006/relationships/hyperlink" Target="https://github.com/biopython/biopython" TargetMode="External"/><Relationship Id="rId72" Type="http://schemas.openxmlformats.org/officeDocument/2006/relationships/hyperlink" Target="https://github.com/CouchPotato/CouchPotatoServer" TargetMode="External"/><Relationship Id="rId75" Type="http://schemas.openxmlformats.org/officeDocument/2006/relationships/hyperlink" Target="https://github.com/getredash/redash" TargetMode="External"/><Relationship Id="rId74" Type="http://schemas.openxmlformats.org/officeDocument/2006/relationships/hyperlink" Target="https://github.com/python/mypy" TargetMode="External"/><Relationship Id="rId77" Type="http://schemas.openxmlformats.org/officeDocument/2006/relationships/hyperlink" Target="https://github.com/joke2k/faker" TargetMode="External"/><Relationship Id="rId76" Type="http://schemas.openxmlformats.org/officeDocument/2006/relationships/hyperlink" Target="https://github.com/spesmilo/electrum" TargetMode="External"/><Relationship Id="rId79" Type="http://schemas.openxmlformats.org/officeDocument/2006/relationships/hyperlink" Target="https://github.com/edx/edx-platform" TargetMode="External"/><Relationship Id="rId78" Type="http://schemas.openxmlformats.org/officeDocument/2006/relationships/hyperlink" Target="https://github.com/python-pillow/Pillow" TargetMode="External"/><Relationship Id="rId71" Type="http://schemas.openxmlformats.org/officeDocument/2006/relationships/hyperlink" Target="https://github.com/conda/conda" TargetMode="External"/><Relationship Id="rId70" Type="http://schemas.openxmlformats.org/officeDocument/2006/relationships/hyperlink" Target="https://github.com/django-oscar/django-oscar" TargetMode="External"/><Relationship Id="rId132" Type="http://schemas.openxmlformats.org/officeDocument/2006/relationships/hyperlink" Target="https://github.com/matplotlib/matplotlib" TargetMode="External"/><Relationship Id="rId131" Type="http://schemas.openxmlformats.org/officeDocument/2006/relationships/hyperlink" Target="https://github.com/ipython/ipython" TargetMode="External"/><Relationship Id="rId130" Type="http://schemas.openxmlformats.org/officeDocument/2006/relationships/hyperlink" Target="https://github.com/scikit-learn/scikit-learn" TargetMode="External"/><Relationship Id="rId134" Type="http://schemas.openxmlformats.org/officeDocument/2006/relationships/drawing" Target="../drawings/drawing6.xml"/><Relationship Id="rId133" Type="http://schemas.openxmlformats.org/officeDocument/2006/relationships/hyperlink" Target="https://github.com/sympy/sympy" TargetMode="External"/><Relationship Id="rId62" Type="http://schemas.openxmlformats.org/officeDocument/2006/relationships/hyperlink" Target="https://github.com/aosp-mirror/platform_development" TargetMode="External"/><Relationship Id="rId61" Type="http://schemas.openxmlformats.org/officeDocument/2006/relationships/hyperlink" Target="https://github.com/web2py/web2py" TargetMode="External"/><Relationship Id="rId64" Type="http://schemas.openxmlformats.org/officeDocument/2006/relationships/hyperlink" Target="https://github.com/cobbler/cobbler" TargetMode="External"/><Relationship Id="rId63" Type="http://schemas.openxmlformats.org/officeDocument/2006/relationships/hyperlink" Target="https://github.com/kovidgoyal/calibre" TargetMode="External"/><Relationship Id="rId66" Type="http://schemas.openxmlformats.org/officeDocument/2006/relationships/hyperlink" Target="https://github.com/googleapis/google-cloud-python" TargetMode="External"/><Relationship Id="rId65" Type="http://schemas.openxmlformats.org/officeDocument/2006/relationships/hyperlink" Target="https://github.com/aws/aws-cli" TargetMode="External"/><Relationship Id="rId68" Type="http://schemas.openxmlformats.org/officeDocument/2006/relationships/hyperlink" Target="https://github.com/SiCKRAGE/SiCKRAGE" TargetMode="External"/><Relationship Id="rId67" Type="http://schemas.openxmlformats.org/officeDocument/2006/relationships/hyperlink" Target="https://github.com/pymc-devs/pymc3" TargetMode="External"/><Relationship Id="rId60" Type="http://schemas.openxmlformats.org/officeDocument/2006/relationships/hyperlink" Target="https://github.com/fail2ban/fail2ban" TargetMode="External"/><Relationship Id="rId69" Type="http://schemas.openxmlformats.org/officeDocument/2006/relationships/hyperlink" Target="https://github.com/ckan/ckan" TargetMode="External"/><Relationship Id="rId51" Type="http://schemas.openxmlformats.org/officeDocument/2006/relationships/hyperlink" Target="https://github.com/freedomofpress/securedrop" TargetMode="External"/><Relationship Id="rId50" Type="http://schemas.openxmlformats.org/officeDocument/2006/relationships/hyperlink" Target="https://github.com/pyeve/eve" TargetMode="External"/><Relationship Id="rId53" Type="http://schemas.openxmlformats.org/officeDocument/2006/relationships/hyperlink" Target="https://github.com/cloudera/hue" TargetMode="External"/><Relationship Id="rId52" Type="http://schemas.openxmlformats.org/officeDocument/2006/relationships/hyperlink" Target="https://github.com/soimort/you-get" TargetMode="External"/><Relationship Id="rId55" Type="http://schemas.openxmlformats.org/officeDocument/2006/relationships/hyperlink" Target="https://github.com/playframework/play1" TargetMode="External"/><Relationship Id="rId54" Type="http://schemas.openxmlformats.org/officeDocument/2006/relationships/hyperlink" Target="https://github.com/django-haystack/django-haystack" TargetMode="External"/><Relationship Id="rId57" Type="http://schemas.openxmlformats.org/officeDocument/2006/relationships/hyperlink" Target="https://github.com/pallets/jinja" TargetMode="External"/><Relationship Id="rId56" Type="http://schemas.openxmlformats.org/officeDocument/2006/relationships/hyperlink" Target="https://github.com/pyca/cryptography" TargetMode="External"/><Relationship Id="rId59" Type="http://schemas.openxmlformats.org/officeDocument/2006/relationships/hyperlink" Target="https://github.com/Yelp/elastalert" TargetMode="External"/><Relationship Id="rId58" Type="http://schemas.openxmlformats.org/officeDocument/2006/relationships/hyperlink" Target="https://github.com/django-tastypie/django-tastypie"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github.com/beetbox/beets" TargetMode="External"/><Relationship Id="rId42" Type="http://schemas.openxmlformats.org/officeDocument/2006/relationships/hyperlink" Target="https://github.com/Yelp/mrjob" TargetMode="External"/><Relationship Id="rId41" Type="http://schemas.openxmlformats.org/officeDocument/2006/relationships/hyperlink" Target="https://github.com/mitmproxy/mitmproxy" TargetMode="External"/><Relationship Id="rId44" Type="http://schemas.openxmlformats.org/officeDocument/2006/relationships/hyperlink" Target="https://github.com/pallets/werkzeug" TargetMode="External"/><Relationship Id="rId43" Type="http://schemas.openxmlformats.org/officeDocument/2006/relationships/hyperlink" Target="https://github.com/networkx/networkx" TargetMode="External"/><Relationship Id="rId46" Type="http://schemas.openxmlformats.org/officeDocument/2006/relationships/hyperlink" Target="https://github.com/python-pillow/Pillow" TargetMode="External"/><Relationship Id="rId45" Type="http://schemas.openxmlformats.org/officeDocument/2006/relationships/hyperlink" Target="https://github.com/RaRe-Technologies/gensim" TargetMode="External"/><Relationship Id="rId107" Type="http://schemas.openxmlformats.org/officeDocument/2006/relationships/hyperlink" Target="https://github.com/coleifer/peewee" TargetMode="External"/><Relationship Id="rId106" Type="http://schemas.openxmlformats.org/officeDocument/2006/relationships/hyperlink" Target="https://github.com/cython/cython" TargetMode="External"/><Relationship Id="rId105" Type="http://schemas.openxmlformats.org/officeDocument/2006/relationships/hyperlink" Target="https://github.com/Pylons/pyramid" TargetMode="External"/><Relationship Id="rId104" Type="http://schemas.openxmlformats.org/officeDocument/2006/relationships/hyperlink" Target="https://github.com/ajenti/ajenti" TargetMode="External"/><Relationship Id="rId109" Type="http://schemas.openxmlformats.org/officeDocument/2006/relationships/hyperlink" Target="https://github.com/saltstack/salt" TargetMode="External"/><Relationship Id="rId108" Type="http://schemas.openxmlformats.org/officeDocument/2006/relationships/hyperlink" Target="https://github.com/paramiko/paramiko" TargetMode="External"/><Relationship Id="rId48" Type="http://schemas.openxmlformats.org/officeDocument/2006/relationships/hyperlink" Target="https://github.com/StackStorm/st2" TargetMode="External"/><Relationship Id="rId47" Type="http://schemas.openxmlformats.org/officeDocument/2006/relationships/hyperlink" Target="https://github.com/tornadoweb/tornado" TargetMode="External"/><Relationship Id="rId49" Type="http://schemas.openxmlformats.org/officeDocument/2006/relationships/hyperlink" Target="https://github.com/biopython/biopython" TargetMode="External"/><Relationship Id="rId103" Type="http://schemas.openxmlformats.org/officeDocument/2006/relationships/hyperlink" Target="https://github.com/soimort/you-get" TargetMode="External"/><Relationship Id="rId102" Type="http://schemas.openxmlformats.org/officeDocument/2006/relationships/hyperlink" Target="https://github.com/stephenmcd/mezzanine" TargetMode="External"/><Relationship Id="rId101" Type="http://schemas.openxmlformats.org/officeDocument/2006/relationships/hyperlink" Target="https://github.com/spesmilo/electrum" TargetMode="External"/><Relationship Id="rId100" Type="http://schemas.openxmlformats.org/officeDocument/2006/relationships/hyperlink" Target="https://github.com/Yelp/elastalert" TargetMode="External"/><Relationship Id="rId31" Type="http://schemas.openxmlformats.org/officeDocument/2006/relationships/hyperlink" Target="https://github.com/getpelican/pelican" TargetMode="External"/><Relationship Id="rId30" Type="http://schemas.openxmlformats.org/officeDocument/2006/relationships/hyperlink" Target="https://github.com/twisted/twisted" TargetMode="External"/><Relationship Id="rId33" Type="http://schemas.openxmlformats.org/officeDocument/2006/relationships/hyperlink" Target="https://github.com/qutebrowser/qutebrowser" TargetMode="External"/><Relationship Id="rId32" Type="http://schemas.openxmlformats.org/officeDocument/2006/relationships/hyperlink" Target="https://github.com/zeromq/pyzmq" TargetMode="External"/><Relationship Id="rId35" Type="http://schemas.openxmlformats.org/officeDocument/2006/relationships/hyperlink" Target="https://github.com/Netflix/security_monkey" TargetMode="External"/><Relationship Id="rId34" Type="http://schemas.openxmlformats.org/officeDocument/2006/relationships/hyperlink" Target="https://github.com/ranger/ranger" TargetMode="External"/><Relationship Id="rId37" Type="http://schemas.openxmlformats.org/officeDocument/2006/relationships/hyperlink" Target="https://github.com/blaze/blaze" TargetMode="External"/><Relationship Id="rId36" Type="http://schemas.openxmlformats.org/officeDocument/2006/relationships/hyperlink" Target="https://github.com/munki/munki" TargetMode="External"/><Relationship Id="rId39" Type="http://schemas.openxmlformats.org/officeDocument/2006/relationships/hyperlink" Target="https://github.com/cloudtools/troposphere" TargetMode="External"/><Relationship Id="rId38" Type="http://schemas.openxmlformats.org/officeDocument/2006/relationships/hyperlink" Target="https://github.com/scikit-image/scikit-image" TargetMode="External"/><Relationship Id="rId20" Type="http://schemas.openxmlformats.org/officeDocument/2006/relationships/hyperlink" Target="https://github.com/chrippa/livestreamer" TargetMode="External"/><Relationship Id="rId22" Type="http://schemas.openxmlformats.org/officeDocument/2006/relationships/hyperlink" Target="https://github.com/pennersr/django-allauth" TargetMode="External"/><Relationship Id="rId21" Type="http://schemas.openxmlformats.org/officeDocument/2006/relationships/hyperlink" Target="https://github.com/awesto/django-shop" TargetMode="External"/><Relationship Id="rId24" Type="http://schemas.openxmlformats.org/officeDocument/2006/relationships/hyperlink" Target="https://github.com/biolab/orange3" TargetMode="External"/><Relationship Id="rId23" Type="http://schemas.openxmlformats.org/officeDocument/2006/relationships/hyperlink" Target="https://github.com/midgetspy/Sick-Beard" TargetMode="External"/><Relationship Id="rId129" Type="http://schemas.openxmlformats.org/officeDocument/2006/relationships/hyperlink" Target="https://github.com/aws/aws-cli" TargetMode="External"/><Relationship Id="rId128" Type="http://schemas.openxmlformats.org/officeDocument/2006/relationships/hyperlink" Target="https://github.com/SiCKRAGE/SiCKRAGE" TargetMode="External"/><Relationship Id="rId127" Type="http://schemas.openxmlformats.org/officeDocument/2006/relationships/hyperlink" Target="https://github.com/googleapis/google-cloud-python" TargetMode="External"/><Relationship Id="rId126" Type="http://schemas.openxmlformats.org/officeDocument/2006/relationships/hyperlink" Target="https://github.com/cloudera/hue" TargetMode="External"/><Relationship Id="rId26" Type="http://schemas.openxmlformats.org/officeDocument/2006/relationships/hyperlink" Target="https://github.com/ethereum/pyethereum" TargetMode="External"/><Relationship Id="rId121" Type="http://schemas.openxmlformats.org/officeDocument/2006/relationships/hyperlink" Target="https://github.com/ansible/ansible" TargetMode="External"/><Relationship Id="rId25" Type="http://schemas.openxmlformats.org/officeDocument/2006/relationships/hyperlink" Target="https://github.com/falconry/falcon" TargetMode="External"/><Relationship Id="rId120" Type="http://schemas.openxmlformats.org/officeDocument/2006/relationships/hyperlink" Target="https://github.com/matrix-org/synapse" TargetMode="External"/><Relationship Id="rId28" Type="http://schemas.openxmlformats.org/officeDocument/2006/relationships/hyperlink" Target="https://github.com/pika/pika" TargetMode="External"/><Relationship Id="rId27" Type="http://schemas.openxmlformats.org/officeDocument/2006/relationships/hyperlink" Target="https://github.com/spotify/luigi" TargetMode="External"/><Relationship Id="rId125" Type="http://schemas.openxmlformats.org/officeDocument/2006/relationships/hyperlink" Target="https://github.com/getsentry/sentry" TargetMode="External"/><Relationship Id="rId29" Type="http://schemas.openxmlformats.org/officeDocument/2006/relationships/hyperlink" Target="https://github.com/sqlmapproject/sqlmap" TargetMode="External"/><Relationship Id="rId124" Type="http://schemas.openxmlformats.org/officeDocument/2006/relationships/hyperlink" Target="https://github.com/home-assistant/home-assistant" TargetMode="External"/><Relationship Id="rId123" Type="http://schemas.openxmlformats.org/officeDocument/2006/relationships/hyperlink" Target="https://github.com/getredash/redash" TargetMode="External"/><Relationship Id="rId122" Type="http://schemas.openxmlformats.org/officeDocument/2006/relationships/hyperlink" Target="https://github.com/boto/boto3" TargetMode="External"/><Relationship Id="rId95" Type="http://schemas.openxmlformats.org/officeDocument/2006/relationships/hyperlink" Target="https://github.com/mongodb/mongo-python-driver" TargetMode="External"/><Relationship Id="rId94" Type="http://schemas.openxmlformats.org/officeDocument/2006/relationships/hyperlink" Target="https://github.com/spinnaker/spinnaker" TargetMode="External"/><Relationship Id="rId97" Type="http://schemas.openxmlformats.org/officeDocument/2006/relationships/hyperlink" Target="https://github.com/divio/django-cms" TargetMode="External"/><Relationship Id="rId96" Type="http://schemas.openxmlformats.org/officeDocument/2006/relationships/hyperlink" Target="https://github.com/buildbot/buildbot" TargetMode="External"/><Relationship Id="rId11" Type="http://schemas.openxmlformats.org/officeDocument/2006/relationships/hyperlink" Target="https://github.com/pyinstaller/pyinstaller" TargetMode="External"/><Relationship Id="rId99" Type="http://schemas.openxmlformats.org/officeDocument/2006/relationships/hyperlink" Target="https://github.com/numba/numba" TargetMode="External"/><Relationship Id="rId10" Type="http://schemas.openxmlformats.org/officeDocument/2006/relationships/hyperlink" Target="https://github.com/dpkp/kafka-python" TargetMode="External"/><Relationship Id="rId98" Type="http://schemas.openxmlformats.org/officeDocument/2006/relationships/hyperlink" Target="https://github.com/docker/compose" TargetMode="External"/><Relationship Id="rId13" Type="http://schemas.openxmlformats.org/officeDocument/2006/relationships/hyperlink" Target="https://github.com/Theano/Theano" TargetMode="External"/><Relationship Id="rId12" Type="http://schemas.openxmlformats.org/officeDocument/2006/relationships/hyperlink" Target="https://github.com/python/mypy" TargetMode="External"/><Relationship Id="rId91" Type="http://schemas.openxmlformats.org/officeDocument/2006/relationships/hyperlink" Target="https://github.com/scipy/scipy" TargetMode="External"/><Relationship Id="rId90" Type="http://schemas.openxmlformats.org/officeDocument/2006/relationships/hyperlink" Target="https://github.com/wagtail/wagtail" TargetMode="External"/><Relationship Id="rId93" Type="http://schemas.openxmlformats.org/officeDocument/2006/relationships/hyperlink" Target="https://github.com/encode/django-rest-framework" TargetMode="External"/><Relationship Id="rId92" Type="http://schemas.openxmlformats.org/officeDocument/2006/relationships/hyperlink" Target="https://github.com/crossbario/autobahn-python" TargetMode="External"/><Relationship Id="rId118" Type="http://schemas.openxmlformats.org/officeDocument/2006/relationships/hyperlink" Target="https://github.com/conda/conda" TargetMode="External"/><Relationship Id="rId117" Type="http://schemas.openxmlformats.org/officeDocument/2006/relationships/hyperlink" Target="https://github.com/fail2ban/fail2ban" TargetMode="External"/><Relationship Id="rId116" Type="http://schemas.openxmlformats.org/officeDocument/2006/relationships/hyperlink" Target="https://github.com/openstack/nova" TargetMode="External"/><Relationship Id="rId115" Type="http://schemas.openxmlformats.org/officeDocument/2006/relationships/hyperlink" Target="https://github.com/django/django" TargetMode="External"/><Relationship Id="rId119" Type="http://schemas.openxmlformats.org/officeDocument/2006/relationships/hyperlink" Target="https://github.com/thumbor/thumbor" TargetMode="External"/><Relationship Id="rId15" Type="http://schemas.openxmlformats.org/officeDocument/2006/relationships/hyperlink" Target="https://github.com/django-haystack/django-haystack" TargetMode="External"/><Relationship Id="rId110" Type="http://schemas.openxmlformats.org/officeDocument/2006/relationships/hyperlink" Target="https://github.com/celery/celery" TargetMode="External"/><Relationship Id="rId14" Type="http://schemas.openxmlformats.org/officeDocument/2006/relationships/hyperlink" Target="https://github.com/andresriancho/w3af" TargetMode="External"/><Relationship Id="rId17" Type="http://schemas.openxmlformats.org/officeDocument/2006/relationships/hyperlink" Target="https://github.com/s3tools/s3cmd" TargetMode="External"/><Relationship Id="rId16" Type="http://schemas.openxmlformats.org/officeDocument/2006/relationships/hyperlink" Target="https://github.com/pyeve/eve" TargetMode="External"/><Relationship Id="rId19" Type="http://schemas.openxmlformats.org/officeDocument/2006/relationships/hyperlink" Target="https://github.com/Supervisor/supervisor" TargetMode="External"/><Relationship Id="rId114" Type="http://schemas.openxmlformats.org/officeDocument/2006/relationships/hyperlink" Target="https://github.com/kovidgoyal/calibre" TargetMode="External"/><Relationship Id="rId18" Type="http://schemas.openxmlformats.org/officeDocument/2006/relationships/hyperlink" Target="https://github.com/rembo10/headphones" TargetMode="External"/><Relationship Id="rId113" Type="http://schemas.openxmlformats.org/officeDocument/2006/relationships/hyperlink" Target="https://github.com/aio-libs/aiohttp" TargetMode="External"/><Relationship Id="rId112" Type="http://schemas.openxmlformats.org/officeDocument/2006/relationships/hyperlink" Target="https://github.com/getsentry/raven-python" TargetMode="External"/><Relationship Id="rId111" Type="http://schemas.openxmlformats.org/officeDocument/2006/relationships/hyperlink" Target="https://github.com/zzzeek/sqlalchemy" TargetMode="External"/><Relationship Id="rId84" Type="http://schemas.openxmlformats.org/officeDocument/2006/relationships/hyperlink" Target="https://github.com/elastic/curator" TargetMode="External"/><Relationship Id="rId83" Type="http://schemas.openxmlformats.org/officeDocument/2006/relationships/hyperlink" Target="https://github.com/scikit-learn/scikit-learn" TargetMode="External"/><Relationship Id="rId86" Type="http://schemas.openxmlformats.org/officeDocument/2006/relationships/hyperlink" Target="https://github.com/cobbler/cobbler" TargetMode="External"/><Relationship Id="rId85" Type="http://schemas.openxmlformats.org/officeDocument/2006/relationships/hyperlink" Target="https://github.com/docker/docker-py" TargetMode="External"/><Relationship Id="rId88" Type="http://schemas.openxmlformats.org/officeDocument/2006/relationships/hyperlink" Target="https://github.com/pandas-dev/pandas" TargetMode="External"/><Relationship Id="rId87" Type="http://schemas.openxmlformats.org/officeDocument/2006/relationships/hyperlink" Target="https://github.com/django-extensions/django-extensions" TargetMode="External"/><Relationship Id="rId89" Type="http://schemas.openxmlformats.org/officeDocument/2006/relationships/hyperlink" Target="https://github.com/django-oscar/django-oscar" TargetMode="External"/><Relationship Id="rId80" Type="http://schemas.openxmlformats.org/officeDocument/2006/relationships/hyperlink" Target="https://github.com/ipython/ipython" TargetMode="External"/><Relationship Id="rId82" Type="http://schemas.openxmlformats.org/officeDocument/2006/relationships/hyperlink" Target="https://github.com/openstack/swift" TargetMode="External"/><Relationship Id="rId81" Type="http://schemas.openxmlformats.org/officeDocument/2006/relationships/hyperlink" Target="https://github.com/boto/boto" TargetMode="External"/><Relationship Id="rId1" Type="http://schemas.openxmlformats.org/officeDocument/2006/relationships/hyperlink" Target="https://github.com/django-tastypie/django-tastypie" TargetMode="External"/><Relationship Id="rId2" Type="http://schemas.openxmlformats.org/officeDocument/2006/relationships/hyperlink" Target="https://github.com/pallets/flask" TargetMode="External"/><Relationship Id="rId3" Type="http://schemas.openxmlformats.org/officeDocument/2006/relationships/hyperlink" Target="https://github.com/quantopian/zipline" TargetMode="External"/><Relationship Id="rId4" Type="http://schemas.openxmlformats.org/officeDocument/2006/relationships/hyperlink" Target="https://github.com/CouchPotato/CouchPotatoServer" TargetMode="External"/><Relationship Id="rId9" Type="http://schemas.openxmlformats.org/officeDocument/2006/relationships/hyperlink" Target="https://github.com/pallets/jinja" TargetMode="External"/><Relationship Id="rId5" Type="http://schemas.openxmlformats.org/officeDocument/2006/relationships/hyperlink" Target="https://github.com/Fantomas42/django-blog-zinnia" TargetMode="External"/><Relationship Id="rId6" Type="http://schemas.openxmlformats.org/officeDocument/2006/relationships/hyperlink" Target="https://github.com/kivy/kivy" TargetMode="External"/><Relationship Id="rId7" Type="http://schemas.openxmlformats.org/officeDocument/2006/relationships/hyperlink" Target="https://github.com/pymc-devs/pymc3" TargetMode="External"/><Relationship Id="rId8" Type="http://schemas.openxmlformats.org/officeDocument/2006/relationships/hyperlink" Target="https://github.com/jupyterhub/jupyterhub" TargetMode="External"/><Relationship Id="rId73" Type="http://schemas.openxmlformats.org/officeDocument/2006/relationships/hyperlink" Target="https://github.com/explosion/spaCy" TargetMode="External"/><Relationship Id="rId72" Type="http://schemas.openxmlformats.org/officeDocument/2006/relationships/hyperlink" Target="https://github.com/playframework/play1" TargetMode="External"/><Relationship Id="rId75" Type="http://schemas.openxmlformats.org/officeDocument/2006/relationships/hyperlink" Target="https://github.com/robotframework/robotframework" TargetMode="External"/><Relationship Id="rId74" Type="http://schemas.openxmlformats.org/officeDocument/2006/relationships/hyperlink" Target="https://github.com/astropy/astropy" TargetMode="External"/><Relationship Id="rId77" Type="http://schemas.openxmlformats.org/officeDocument/2006/relationships/hyperlink" Target="https://github.com/scrapy/scrapy" TargetMode="External"/><Relationship Id="rId76" Type="http://schemas.openxmlformats.org/officeDocument/2006/relationships/hyperlink" Target="https://github.com/foosel/OctoPrint" TargetMode="External"/><Relationship Id="rId79" Type="http://schemas.openxmlformats.org/officeDocument/2006/relationships/hyperlink" Target="https://github.com/rtfd/readthedocs.org" TargetMode="External"/><Relationship Id="rId78" Type="http://schemas.openxmlformats.org/officeDocument/2006/relationships/hyperlink" Target="https://github.com/ckan/ckan" TargetMode="External"/><Relationship Id="rId71" Type="http://schemas.openxmlformats.org/officeDocument/2006/relationships/hyperlink" Target="https://github.com/bokeh/bokeh" TargetMode="External"/><Relationship Id="rId70" Type="http://schemas.openxmlformats.org/officeDocument/2006/relationships/hyperlink" Target="https://github.com/Tribler/tribler" TargetMode="External"/><Relationship Id="rId132" Type="http://schemas.openxmlformats.org/officeDocument/2006/relationships/hyperlink" Target="https://github.com/rg3/youtube-dl" TargetMode="External"/><Relationship Id="rId131" Type="http://schemas.openxmlformats.org/officeDocument/2006/relationships/hyperlink" Target="https://github.com/frappe/erpnext" TargetMode="External"/><Relationship Id="rId130" Type="http://schemas.openxmlformats.org/officeDocument/2006/relationships/hyperlink" Target="https://github.com/aosp-mirror/platform_development" TargetMode="External"/><Relationship Id="rId134" Type="http://schemas.openxmlformats.org/officeDocument/2006/relationships/drawing" Target="../drawings/drawing7.xml"/><Relationship Id="rId133" Type="http://schemas.openxmlformats.org/officeDocument/2006/relationships/hyperlink" Target="https://github.com/edx/edx-platform" TargetMode="External"/><Relationship Id="rId62" Type="http://schemas.openxmlformats.org/officeDocument/2006/relationships/hyperlink" Target="https://github.com/bup/bup" TargetMode="External"/><Relationship Id="rId61" Type="http://schemas.openxmlformats.org/officeDocument/2006/relationships/hyperlink" Target="https://github.com/nicolargo/glances" TargetMode="External"/><Relationship Id="rId64" Type="http://schemas.openxmlformats.org/officeDocument/2006/relationships/hyperlink" Target="https://github.com/web2py/web2py" TargetMode="External"/><Relationship Id="rId63" Type="http://schemas.openxmlformats.org/officeDocument/2006/relationships/hyperlink" Target="https://github.com/Gallopsled/pwntools" TargetMode="External"/><Relationship Id="rId66" Type="http://schemas.openxmlformats.org/officeDocument/2006/relationships/hyperlink" Target="https://github.com/numenta/nupic" TargetMode="External"/><Relationship Id="rId65" Type="http://schemas.openxmlformats.org/officeDocument/2006/relationships/hyperlink" Target="https://github.com/fonttools/fonttools" TargetMode="External"/><Relationship Id="rId68" Type="http://schemas.openxmlformats.org/officeDocument/2006/relationships/hyperlink" Target="https://github.com/MongoEngine/mongoengine" TargetMode="External"/><Relationship Id="rId67" Type="http://schemas.openxmlformats.org/officeDocument/2006/relationships/hyperlink" Target="https://github.com/gevent/gevent" TargetMode="External"/><Relationship Id="rId60" Type="http://schemas.openxmlformats.org/officeDocument/2006/relationships/hyperlink" Target="https://github.com/pyca/cryptography" TargetMode="External"/><Relationship Id="rId69" Type="http://schemas.openxmlformats.org/officeDocument/2006/relationships/hyperlink" Target="https://github.com/matplotlib/matplotlib" TargetMode="External"/><Relationship Id="rId51" Type="http://schemas.openxmlformats.org/officeDocument/2006/relationships/hyperlink" Target="https://github.com/freedomofpress/securedrop" TargetMode="External"/><Relationship Id="rId50" Type="http://schemas.openxmlformats.org/officeDocument/2006/relationships/hyperlink" Target="https://github.com/Kozea/WeasyPrint" TargetMode="External"/><Relationship Id="rId53" Type="http://schemas.openxmlformats.org/officeDocument/2006/relationships/hyperlink" Target="https://github.com/mirumee/saleor" TargetMode="External"/><Relationship Id="rId52" Type="http://schemas.openxmlformats.org/officeDocument/2006/relationships/hyperlink" Target="https://github.com/mopidy/mopidy" TargetMode="External"/><Relationship Id="rId55" Type="http://schemas.openxmlformats.org/officeDocument/2006/relationships/hyperlink" Target="https://github.com/sympy/sympy" TargetMode="External"/><Relationship Id="rId54" Type="http://schemas.openxmlformats.org/officeDocument/2006/relationships/hyperlink" Target="https://github.com/joke2k/faker" TargetMode="External"/><Relationship Id="rId57" Type="http://schemas.openxmlformats.org/officeDocument/2006/relationships/hyperlink" Target="https://github.com/metabrainz/picard" TargetMode="External"/><Relationship Id="rId56" Type="http://schemas.openxmlformats.org/officeDocument/2006/relationships/hyperlink" Target="https://github.com/certbot/certbot" TargetMode="External"/><Relationship Id="rId59" Type="http://schemas.openxmlformats.org/officeDocument/2006/relationships/hyperlink" Target="https://github.com/giampaolo/psutil" TargetMode="External"/><Relationship Id="rId58" Type="http://schemas.openxmlformats.org/officeDocument/2006/relationships/hyperlink" Target="https://github.com/pypa/pip"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github.com/pyeve/eve" TargetMode="External"/><Relationship Id="rId42" Type="http://schemas.openxmlformats.org/officeDocument/2006/relationships/hyperlink" Target="https://github.com/quantopian/zipline" TargetMode="External"/><Relationship Id="rId41" Type="http://schemas.openxmlformats.org/officeDocument/2006/relationships/hyperlink" Target="https://github.com/joke2k/faker" TargetMode="External"/><Relationship Id="rId44" Type="http://schemas.openxmlformats.org/officeDocument/2006/relationships/hyperlink" Target="https://github.com/dpkp/kafka-python" TargetMode="External"/><Relationship Id="rId43" Type="http://schemas.openxmlformats.org/officeDocument/2006/relationships/hyperlink" Target="https://github.com/conda/conda" TargetMode="External"/><Relationship Id="rId46" Type="http://schemas.openxmlformats.org/officeDocument/2006/relationships/hyperlink" Target="https://github.com/gevent/gevent" TargetMode="External"/><Relationship Id="rId45" Type="http://schemas.openxmlformats.org/officeDocument/2006/relationships/hyperlink" Target="https://github.com/bup/bup" TargetMode="External"/><Relationship Id="rId107" Type="http://schemas.openxmlformats.org/officeDocument/2006/relationships/hyperlink" Target="https://github.com/openstack/nova" TargetMode="External"/><Relationship Id="rId106" Type="http://schemas.openxmlformats.org/officeDocument/2006/relationships/hyperlink" Target="https://github.com/buildbot/buildbot" TargetMode="External"/><Relationship Id="rId105" Type="http://schemas.openxmlformats.org/officeDocument/2006/relationships/hyperlink" Target="https://github.com/scikit-learn/scikit-learn" TargetMode="External"/><Relationship Id="rId104" Type="http://schemas.openxmlformats.org/officeDocument/2006/relationships/hyperlink" Target="https://github.com/rtfd/readthedocs.org" TargetMode="External"/><Relationship Id="rId109" Type="http://schemas.openxmlformats.org/officeDocument/2006/relationships/hyperlink" Target="https://github.com/cloudera/hue" TargetMode="External"/><Relationship Id="rId108" Type="http://schemas.openxmlformats.org/officeDocument/2006/relationships/hyperlink" Target="https://github.com/openstack/swift" TargetMode="External"/><Relationship Id="rId48" Type="http://schemas.openxmlformats.org/officeDocument/2006/relationships/hyperlink" Target="https://github.com/spesmilo/electrum" TargetMode="External"/><Relationship Id="rId47" Type="http://schemas.openxmlformats.org/officeDocument/2006/relationships/hyperlink" Target="https://github.com/spotify/luigi" TargetMode="External"/><Relationship Id="rId49" Type="http://schemas.openxmlformats.org/officeDocument/2006/relationships/hyperlink" Target="https://github.com/soimort/you-get" TargetMode="External"/><Relationship Id="rId103" Type="http://schemas.openxmlformats.org/officeDocument/2006/relationships/hyperlink" Target="https://github.com/zeromq/pyzmq" TargetMode="External"/><Relationship Id="rId102" Type="http://schemas.openxmlformats.org/officeDocument/2006/relationships/hyperlink" Target="https://github.com/playframework/play1" TargetMode="External"/><Relationship Id="rId101" Type="http://schemas.openxmlformats.org/officeDocument/2006/relationships/hyperlink" Target="https://github.com/pandas-dev/pandas" TargetMode="External"/><Relationship Id="rId100" Type="http://schemas.openxmlformats.org/officeDocument/2006/relationships/hyperlink" Target="https://github.com/beetbox/beets" TargetMode="External"/><Relationship Id="rId31" Type="http://schemas.openxmlformats.org/officeDocument/2006/relationships/hyperlink" Target="https://github.com/blaze/blaze" TargetMode="External"/><Relationship Id="rId30" Type="http://schemas.openxmlformats.org/officeDocument/2006/relationships/hyperlink" Target="https://github.com/numenta/nupic" TargetMode="External"/><Relationship Id="rId33" Type="http://schemas.openxmlformats.org/officeDocument/2006/relationships/hyperlink" Target="https://github.com/biolab/orange3" TargetMode="External"/><Relationship Id="rId32" Type="http://schemas.openxmlformats.org/officeDocument/2006/relationships/hyperlink" Target="https://github.com/Tribler/tribler" TargetMode="External"/><Relationship Id="rId35" Type="http://schemas.openxmlformats.org/officeDocument/2006/relationships/hyperlink" Target="https://github.com/foosel/OctoPrint" TargetMode="External"/><Relationship Id="rId34" Type="http://schemas.openxmlformats.org/officeDocument/2006/relationships/hyperlink" Target="https://github.com/mirumee/saleor" TargetMode="External"/><Relationship Id="rId37" Type="http://schemas.openxmlformats.org/officeDocument/2006/relationships/hyperlink" Target="https://github.com/python/mypy" TargetMode="External"/><Relationship Id="rId36" Type="http://schemas.openxmlformats.org/officeDocument/2006/relationships/hyperlink" Target="https://github.com/falconry/falcon" TargetMode="External"/><Relationship Id="rId39" Type="http://schemas.openxmlformats.org/officeDocument/2006/relationships/hyperlink" Target="https://github.com/aws/aws-cli" TargetMode="External"/><Relationship Id="rId38" Type="http://schemas.openxmlformats.org/officeDocument/2006/relationships/hyperlink" Target="https://github.com/cloudtools/troposphere" TargetMode="External"/><Relationship Id="rId20" Type="http://schemas.openxmlformats.org/officeDocument/2006/relationships/hyperlink" Target="https://github.com/aio-libs/aiohttp" TargetMode="External"/><Relationship Id="rId22" Type="http://schemas.openxmlformats.org/officeDocument/2006/relationships/hyperlink" Target="https://github.com/home-assistant/home-assistant" TargetMode="External"/><Relationship Id="rId21" Type="http://schemas.openxmlformats.org/officeDocument/2006/relationships/hyperlink" Target="https://github.com/elastic/curator" TargetMode="External"/><Relationship Id="rId24" Type="http://schemas.openxmlformats.org/officeDocument/2006/relationships/hyperlink" Target="https://github.com/fonttools/fonttools" TargetMode="External"/><Relationship Id="rId23" Type="http://schemas.openxmlformats.org/officeDocument/2006/relationships/hyperlink" Target="https://github.com/pyca/cryptography" TargetMode="External"/><Relationship Id="rId129" Type="http://schemas.openxmlformats.org/officeDocument/2006/relationships/hyperlink" Target="https://github.com/django-haystack/django-haystack" TargetMode="External"/><Relationship Id="rId128" Type="http://schemas.openxmlformats.org/officeDocument/2006/relationships/hyperlink" Target="https://github.com/divio/django-cms" TargetMode="External"/><Relationship Id="rId127" Type="http://schemas.openxmlformats.org/officeDocument/2006/relationships/hyperlink" Target="https://github.com/biopython/biopython" TargetMode="External"/><Relationship Id="rId126" Type="http://schemas.openxmlformats.org/officeDocument/2006/relationships/hyperlink" Target="https://github.com/django-extensions/django-extensions" TargetMode="External"/><Relationship Id="rId26" Type="http://schemas.openxmlformats.org/officeDocument/2006/relationships/hyperlink" Target="https://github.com/edx/edx-platform" TargetMode="External"/><Relationship Id="rId121" Type="http://schemas.openxmlformats.org/officeDocument/2006/relationships/hyperlink" Target="https://github.com/tornadoweb/tornado" TargetMode="External"/><Relationship Id="rId25" Type="http://schemas.openxmlformats.org/officeDocument/2006/relationships/hyperlink" Target="https://github.com/kovidgoyal/calibre" TargetMode="External"/><Relationship Id="rId120" Type="http://schemas.openxmlformats.org/officeDocument/2006/relationships/hyperlink" Target="https://github.com/pika/pika" TargetMode="External"/><Relationship Id="rId28" Type="http://schemas.openxmlformats.org/officeDocument/2006/relationships/hyperlink" Target="https://github.com/docker/docker-py" TargetMode="External"/><Relationship Id="rId27" Type="http://schemas.openxmlformats.org/officeDocument/2006/relationships/hyperlink" Target="https://github.com/zzzeek/sqlalchemy" TargetMode="External"/><Relationship Id="rId125" Type="http://schemas.openxmlformats.org/officeDocument/2006/relationships/hyperlink" Target="https://github.com/pymc-devs/pymc3" TargetMode="External"/><Relationship Id="rId29" Type="http://schemas.openxmlformats.org/officeDocument/2006/relationships/hyperlink" Target="https://github.com/Gallopsled/pwntools" TargetMode="External"/><Relationship Id="rId124" Type="http://schemas.openxmlformats.org/officeDocument/2006/relationships/hyperlink" Target="https://github.com/celery/celery" TargetMode="External"/><Relationship Id="rId123" Type="http://schemas.openxmlformats.org/officeDocument/2006/relationships/hyperlink" Target="https://github.com/ranger/ranger" TargetMode="External"/><Relationship Id="rId122" Type="http://schemas.openxmlformats.org/officeDocument/2006/relationships/hyperlink" Target="https://github.com/Fantomas42/django-blog-zinnia" TargetMode="External"/><Relationship Id="rId95" Type="http://schemas.openxmlformats.org/officeDocument/2006/relationships/hyperlink" Target="https://github.com/coleifer/peewee" TargetMode="External"/><Relationship Id="rId94" Type="http://schemas.openxmlformats.org/officeDocument/2006/relationships/hyperlink" Target="https://github.com/Yelp/mrjob" TargetMode="External"/><Relationship Id="rId97" Type="http://schemas.openxmlformats.org/officeDocument/2006/relationships/hyperlink" Target="https://github.com/boto/boto" TargetMode="External"/><Relationship Id="rId96" Type="http://schemas.openxmlformats.org/officeDocument/2006/relationships/hyperlink" Target="https://github.com/getpelican/pelican" TargetMode="External"/><Relationship Id="rId11" Type="http://schemas.openxmlformats.org/officeDocument/2006/relationships/hyperlink" Target="https://github.com/jupyterhub/jupyterhub" TargetMode="External"/><Relationship Id="rId99" Type="http://schemas.openxmlformats.org/officeDocument/2006/relationships/hyperlink" Target="https://github.com/getsentry/sentry" TargetMode="External"/><Relationship Id="rId10" Type="http://schemas.openxmlformats.org/officeDocument/2006/relationships/hyperlink" Target="https://github.com/spinnaker/spinnaker" TargetMode="External"/><Relationship Id="rId98" Type="http://schemas.openxmlformats.org/officeDocument/2006/relationships/hyperlink" Target="https://github.com/networkx/networkx" TargetMode="External"/><Relationship Id="rId13" Type="http://schemas.openxmlformats.org/officeDocument/2006/relationships/hyperlink" Target="https://github.com/StackStorm/st2" TargetMode="External"/><Relationship Id="rId12" Type="http://schemas.openxmlformats.org/officeDocument/2006/relationships/hyperlink" Target="https://github.com/giampaolo/psutil" TargetMode="External"/><Relationship Id="rId91" Type="http://schemas.openxmlformats.org/officeDocument/2006/relationships/hyperlink" Target="https://github.com/pallets/werkzeug" TargetMode="External"/><Relationship Id="rId90" Type="http://schemas.openxmlformats.org/officeDocument/2006/relationships/hyperlink" Target="https://github.com/Pylons/pyramid" TargetMode="External"/><Relationship Id="rId93" Type="http://schemas.openxmlformats.org/officeDocument/2006/relationships/hyperlink" Target="https://github.com/pennersr/django-allauth" TargetMode="External"/><Relationship Id="rId92" Type="http://schemas.openxmlformats.org/officeDocument/2006/relationships/hyperlink" Target="https://github.com/rg3/youtube-dl" TargetMode="External"/><Relationship Id="rId118" Type="http://schemas.openxmlformats.org/officeDocument/2006/relationships/hyperlink" Target="https://github.com/scrapy/scrapy" TargetMode="External"/><Relationship Id="rId117" Type="http://schemas.openxmlformats.org/officeDocument/2006/relationships/hyperlink" Target="https://github.com/mitmproxy/mitmproxy" TargetMode="External"/><Relationship Id="rId116" Type="http://schemas.openxmlformats.org/officeDocument/2006/relationships/hyperlink" Target="https://github.com/ajenti/ajenti" TargetMode="External"/><Relationship Id="rId115" Type="http://schemas.openxmlformats.org/officeDocument/2006/relationships/hyperlink" Target="https://github.com/midgetspy/Sick-Beard" TargetMode="External"/><Relationship Id="rId119" Type="http://schemas.openxmlformats.org/officeDocument/2006/relationships/hyperlink" Target="https://github.com/mopidy/mopidy" TargetMode="External"/><Relationship Id="rId15" Type="http://schemas.openxmlformats.org/officeDocument/2006/relationships/hyperlink" Target="https://github.com/googleapis/google-cloud-python" TargetMode="External"/><Relationship Id="rId110" Type="http://schemas.openxmlformats.org/officeDocument/2006/relationships/hyperlink" Target="https://github.com/stephenmcd/mezzanine" TargetMode="External"/><Relationship Id="rId14" Type="http://schemas.openxmlformats.org/officeDocument/2006/relationships/hyperlink" Target="https://github.com/SiCKRAGE/SiCKRAGE" TargetMode="External"/><Relationship Id="rId17" Type="http://schemas.openxmlformats.org/officeDocument/2006/relationships/hyperlink" Target="https://github.com/ethereum/pyethereum" TargetMode="External"/><Relationship Id="rId16" Type="http://schemas.openxmlformats.org/officeDocument/2006/relationships/hyperlink" Target="https://github.com/wagtail/wagtail" TargetMode="External"/><Relationship Id="rId19" Type="http://schemas.openxmlformats.org/officeDocument/2006/relationships/hyperlink" Target="https://github.com/getredash/redash" TargetMode="External"/><Relationship Id="rId114" Type="http://schemas.openxmlformats.org/officeDocument/2006/relationships/hyperlink" Target="https://github.com/pallets/flask" TargetMode="External"/><Relationship Id="rId18" Type="http://schemas.openxmlformats.org/officeDocument/2006/relationships/hyperlink" Target="https://github.com/docker/compose" TargetMode="External"/><Relationship Id="rId113" Type="http://schemas.openxmlformats.org/officeDocument/2006/relationships/hyperlink" Target="https://github.com/sympy/sympy" TargetMode="External"/><Relationship Id="rId112" Type="http://schemas.openxmlformats.org/officeDocument/2006/relationships/hyperlink" Target="https://github.com/ipython/ipython" TargetMode="External"/><Relationship Id="rId111" Type="http://schemas.openxmlformats.org/officeDocument/2006/relationships/hyperlink" Target="https://github.com/django-tastypie/django-tastypie" TargetMode="External"/><Relationship Id="rId84" Type="http://schemas.openxmlformats.org/officeDocument/2006/relationships/hyperlink" Target="https://github.com/django-oscar/django-oscar" TargetMode="External"/><Relationship Id="rId83" Type="http://schemas.openxmlformats.org/officeDocument/2006/relationships/hyperlink" Target="https://github.com/saltstack/salt" TargetMode="External"/><Relationship Id="rId86" Type="http://schemas.openxmlformats.org/officeDocument/2006/relationships/hyperlink" Target="https://github.com/cython/cython" TargetMode="External"/><Relationship Id="rId85" Type="http://schemas.openxmlformats.org/officeDocument/2006/relationships/hyperlink" Target="https://github.com/Supervisor/supervisor" TargetMode="External"/><Relationship Id="rId88" Type="http://schemas.openxmlformats.org/officeDocument/2006/relationships/hyperlink" Target="https://github.com/pallets/jinja" TargetMode="External"/><Relationship Id="rId87" Type="http://schemas.openxmlformats.org/officeDocument/2006/relationships/hyperlink" Target="https://github.com/awesto/django-shop" TargetMode="External"/><Relationship Id="rId89" Type="http://schemas.openxmlformats.org/officeDocument/2006/relationships/hyperlink" Target="https://github.com/kivy/kivy" TargetMode="External"/><Relationship Id="rId80" Type="http://schemas.openxmlformats.org/officeDocument/2006/relationships/hyperlink" Target="https://github.com/CouchPotato/CouchPotatoServer" TargetMode="External"/><Relationship Id="rId82" Type="http://schemas.openxmlformats.org/officeDocument/2006/relationships/hyperlink" Target="https://github.com/matplotlib/matplotlib" TargetMode="External"/><Relationship Id="rId81" Type="http://schemas.openxmlformats.org/officeDocument/2006/relationships/hyperlink" Target="https://github.com/RaRe-Technologies/gensim" TargetMode="External"/><Relationship Id="rId1" Type="http://schemas.openxmlformats.org/officeDocument/2006/relationships/hyperlink" Target="https://github.com/Yelp/elastalert" TargetMode="External"/><Relationship Id="rId2" Type="http://schemas.openxmlformats.org/officeDocument/2006/relationships/hyperlink" Target="https://github.com/certbot/certbot" TargetMode="External"/><Relationship Id="rId3" Type="http://schemas.openxmlformats.org/officeDocument/2006/relationships/hyperlink" Target="https://github.com/boto/boto3" TargetMode="External"/><Relationship Id="rId4" Type="http://schemas.openxmlformats.org/officeDocument/2006/relationships/hyperlink" Target="https://github.com/munki/munki" TargetMode="External"/><Relationship Id="rId9" Type="http://schemas.openxmlformats.org/officeDocument/2006/relationships/hyperlink" Target="https://github.com/explosion/spaCy" TargetMode="External"/><Relationship Id="rId5" Type="http://schemas.openxmlformats.org/officeDocument/2006/relationships/hyperlink" Target="https://github.com/matrix-org/synapse" TargetMode="External"/><Relationship Id="rId6" Type="http://schemas.openxmlformats.org/officeDocument/2006/relationships/hyperlink" Target="https://github.com/qutebrowser/qutebrowser" TargetMode="External"/><Relationship Id="rId7" Type="http://schemas.openxmlformats.org/officeDocument/2006/relationships/hyperlink" Target="https://github.com/robotframework/robotframework" TargetMode="External"/><Relationship Id="rId8" Type="http://schemas.openxmlformats.org/officeDocument/2006/relationships/hyperlink" Target="https://github.com/Netflix/security_monkey" TargetMode="External"/><Relationship Id="rId73" Type="http://schemas.openxmlformats.org/officeDocument/2006/relationships/hyperlink" Target="https://github.com/twisted/twisted" TargetMode="External"/><Relationship Id="rId72" Type="http://schemas.openxmlformats.org/officeDocument/2006/relationships/hyperlink" Target="https://github.com/scikit-image/scikit-image" TargetMode="External"/><Relationship Id="rId75" Type="http://schemas.openxmlformats.org/officeDocument/2006/relationships/hyperlink" Target="https://github.com/rembo10/headphones" TargetMode="External"/><Relationship Id="rId74" Type="http://schemas.openxmlformats.org/officeDocument/2006/relationships/hyperlink" Target="https://github.com/frappe/erpnext" TargetMode="External"/><Relationship Id="rId77" Type="http://schemas.openxmlformats.org/officeDocument/2006/relationships/hyperlink" Target="https://github.com/pypa/pip" TargetMode="External"/><Relationship Id="rId76" Type="http://schemas.openxmlformats.org/officeDocument/2006/relationships/hyperlink" Target="https://github.com/encode/django-rest-framework" TargetMode="External"/><Relationship Id="rId79" Type="http://schemas.openxmlformats.org/officeDocument/2006/relationships/hyperlink" Target="https://github.com/thumbor/thumbor" TargetMode="External"/><Relationship Id="rId78" Type="http://schemas.openxmlformats.org/officeDocument/2006/relationships/hyperlink" Target="https://github.com/scipy/scipy" TargetMode="External"/><Relationship Id="rId71" Type="http://schemas.openxmlformats.org/officeDocument/2006/relationships/hyperlink" Target="https://github.com/s3tools/s3cmd" TargetMode="External"/><Relationship Id="rId70" Type="http://schemas.openxmlformats.org/officeDocument/2006/relationships/hyperlink" Target="https://github.com/astropy/astropy" TargetMode="External"/><Relationship Id="rId132" Type="http://schemas.openxmlformats.org/officeDocument/2006/relationships/hyperlink" Target="https://github.com/mongodb/mongo-python-driver" TargetMode="External"/><Relationship Id="rId131" Type="http://schemas.openxmlformats.org/officeDocument/2006/relationships/hyperlink" Target="https://github.com/aosp-mirror/platform_development" TargetMode="External"/><Relationship Id="rId130" Type="http://schemas.openxmlformats.org/officeDocument/2006/relationships/hyperlink" Target="https://github.com/paramiko/paramiko" TargetMode="External"/><Relationship Id="rId134" Type="http://schemas.openxmlformats.org/officeDocument/2006/relationships/drawing" Target="../drawings/drawing8.xml"/><Relationship Id="rId133" Type="http://schemas.openxmlformats.org/officeDocument/2006/relationships/hyperlink" Target="https://github.com/web2py/web2py" TargetMode="External"/><Relationship Id="rId62" Type="http://schemas.openxmlformats.org/officeDocument/2006/relationships/hyperlink" Target="https://github.com/fail2ban/fail2ban" TargetMode="External"/><Relationship Id="rId61" Type="http://schemas.openxmlformats.org/officeDocument/2006/relationships/hyperlink" Target="https://github.com/pyinstaller/pyinstaller" TargetMode="External"/><Relationship Id="rId64" Type="http://schemas.openxmlformats.org/officeDocument/2006/relationships/hyperlink" Target="https://github.com/andresriancho/w3af" TargetMode="External"/><Relationship Id="rId63" Type="http://schemas.openxmlformats.org/officeDocument/2006/relationships/hyperlink" Target="https://github.com/getsentry/raven-python" TargetMode="External"/><Relationship Id="rId66" Type="http://schemas.openxmlformats.org/officeDocument/2006/relationships/hyperlink" Target="https://github.com/crossbario/autobahn-python" TargetMode="External"/><Relationship Id="rId65" Type="http://schemas.openxmlformats.org/officeDocument/2006/relationships/hyperlink" Target="https://github.com/Kozea/WeasyPrint" TargetMode="External"/><Relationship Id="rId68" Type="http://schemas.openxmlformats.org/officeDocument/2006/relationships/hyperlink" Target="https://github.com/metabrainz/picard" TargetMode="External"/><Relationship Id="rId67" Type="http://schemas.openxmlformats.org/officeDocument/2006/relationships/hyperlink" Target="https://github.com/chrippa/livestreamer" TargetMode="External"/><Relationship Id="rId60" Type="http://schemas.openxmlformats.org/officeDocument/2006/relationships/hyperlink" Target="https://github.com/cobbler/cobbler" TargetMode="External"/><Relationship Id="rId69" Type="http://schemas.openxmlformats.org/officeDocument/2006/relationships/hyperlink" Target="https://github.com/Theano/Theano" TargetMode="External"/><Relationship Id="rId51" Type="http://schemas.openxmlformats.org/officeDocument/2006/relationships/hyperlink" Target="https://github.com/sqlmapproject/sqlmap" TargetMode="External"/><Relationship Id="rId50" Type="http://schemas.openxmlformats.org/officeDocument/2006/relationships/hyperlink" Target="https://github.com/python-pillow/Pillow" TargetMode="External"/><Relationship Id="rId53" Type="http://schemas.openxmlformats.org/officeDocument/2006/relationships/hyperlink" Target="https://github.com/bokeh/bokeh" TargetMode="External"/><Relationship Id="rId52" Type="http://schemas.openxmlformats.org/officeDocument/2006/relationships/hyperlink" Target="https://github.com/django/django" TargetMode="External"/><Relationship Id="rId55" Type="http://schemas.openxmlformats.org/officeDocument/2006/relationships/hyperlink" Target="https://github.com/MongoEngine/mongoengine" TargetMode="External"/><Relationship Id="rId54" Type="http://schemas.openxmlformats.org/officeDocument/2006/relationships/hyperlink" Target="https://github.com/ansible/ansible" TargetMode="External"/><Relationship Id="rId57" Type="http://schemas.openxmlformats.org/officeDocument/2006/relationships/hyperlink" Target="https://github.com/freedomofpress/securedrop" TargetMode="External"/><Relationship Id="rId56" Type="http://schemas.openxmlformats.org/officeDocument/2006/relationships/hyperlink" Target="https://github.com/numba/numba" TargetMode="External"/><Relationship Id="rId59" Type="http://schemas.openxmlformats.org/officeDocument/2006/relationships/hyperlink" Target="https://github.com/ckan/ckan" TargetMode="External"/><Relationship Id="rId58" Type="http://schemas.openxmlformats.org/officeDocument/2006/relationships/hyperlink" Target="https://github.com/nicolargo/glan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3" max="3" width="19.71"/>
    <col hidden="1" min="4" max="6" width="14.43"/>
    <col customWidth="1" hidden="1" min="7" max="7" width="73.43"/>
    <col customWidth="1" min="8" max="9" width="13.71"/>
    <col customWidth="1" hidden="1" min="10" max="13" width="13.71"/>
    <col customWidth="1" min="14" max="14" width="13.71"/>
    <col customWidth="1" hidden="1" min="15" max="21" width="13.71"/>
    <col customWidth="1" min="22" max="22" width="13.71"/>
    <col customWidth="1" min="23" max="23" width="20.71"/>
    <col customWidth="1" min="24" max="24" width="123.0"/>
  </cols>
  <sheetData>
    <row r="1">
      <c r="A1" s="1" t="s">
        <v>0</v>
      </c>
      <c r="B1" s="1" t="s">
        <v>1</v>
      </c>
      <c r="C1" s="1" t="s">
        <v>2</v>
      </c>
      <c r="D1" s="2" t="s">
        <v>3</v>
      </c>
      <c r="E1" s="2" t="s">
        <v>4</v>
      </c>
      <c r="F1" s="2" t="s">
        <v>5</v>
      </c>
      <c r="G1" s="2" t="s">
        <v>6</v>
      </c>
      <c r="H1" s="3" t="s">
        <v>7</v>
      </c>
      <c r="I1" s="3" t="s">
        <v>8</v>
      </c>
      <c r="J1" s="2" t="s">
        <v>9</v>
      </c>
      <c r="K1" s="2" t="s">
        <v>10</v>
      </c>
      <c r="L1" s="2" t="s">
        <v>11</v>
      </c>
      <c r="M1" s="2" t="s">
        <v>12</v>
      </c>
      <c r="N1" s="3" t="s">
        <v>13</v>
      </c>
      <c r="O1" s="4" t="s">
        <v>14</v>
      </c>
      <c r="P1" s="4" t="s">
        <v>15</v>
      </c>
      <c r="Q1" s="4" t="s">
        <v>16</v>
      </c>
      <c r="R1" s="4" t="s">
        <v>17</v>
      </c>
      <c r="S1" s="4" t="s">
        <v>18</v>
      </c>
      <c r="T1" s="5"/>
      <c r="U1" s="5"/>
      <c r="V1" s="6" t="s">
        <v>19</v>
      </c>
      <c r="W1" s="7" t="s">
        <v>20</v>
      </c>
      <c r="X1" s="8" t="s">
        <v>21</v>
      </c>
    </row>
    <row r="2">
      <c r="A2" s="9" t="str">
        <f>IFERROR(__xludf.DUMMYFUNCTION("filter(
'Original Set'!A3:V135, 
'Original Set'!H3:H135&gt;='✅ Filter Rules'!D3,
'Original Set'!I3:I135&gt;='✅ Filter Rules'!D4,
REGEXMATCH('Original Set'!J3:J135, """"""ratio"""": (0.[89]\d*)|(1.0), """"language"""": """"Python""""""),
'Original Set'!N3:N135&gt;"&amp;"='✅ Filter Rules'!D6,
'Original Set'!V3:V135&gt;='✅ Filter Rules'!D7
)"),"ansible/ansible")</f>
        <v>ansible/ansible</v>
      </c>
      <c r="B2" s="10" t="str">
        <f>IFERROR(__xludf.DUMMYFUNCTION("""COMPUTED_VALUE"""),"Ansible is a radically simple IT automation platform that makes your applications and systems easier to deploy. Avoid writing scripts or custom code to deploy and update your applications — automate in a language that approaches plain English, using SSH, "&amp;"with no agents to install on remote systems. https://docs.ansible.com/ansible/")</f>
        <v>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v>
      </c>
      <c r="C2" s="11" t="str">
        <f>IFERROR(__xludf.DUMMYFUNCTION("""COMPUTED_VALUE"""),"https://github.com/ansible/ansible")</f>
        <v>https://github.com/ansible/ansible</v>
      </c>
      <c r="D2" s="10">
        <f>IFERROR(__xludf.DUMMYFUNCTION("""COMPUTED_VALUE"""),34454.0)</f>
        <v>34454</v>
      </c>
      <c r="E2" s="10">
        <f>IFERROR(__xludf.DUMMYFUNCTION("""COMPUTED_VALUE"""),2047.0)</f>
        <v>2047</v>
      </c>
      <c r="F2" s="10">
        <f>IFERROR(__xludf.DUMMYFUNCTION("""COMPUTED_VALUE"""),148936.0)</f>
        <v>148936</v>
      </c>
      <c r="G2" s="10" t="str">
        <f>IFERROR(__xludf.DUMMYFUNCTION("""COMPUTED_VALUE"""),"""[\""ansible\"", \""python\""]""")</f>
        <v>"[\"ansible\", \"python\"]"</v>
      </c>
      <c r="H2" s="12">
        <f>IFERROR(__xludf.DUMMYFUNCTION("""COMPUTED_VALUE"""),41785.0)</f>
        <v>41785</v>
      </c>
      <c r="I2" s="12">
        <f>IFERROR(__xludf.DUMMYFUNCTION("""COMPUTED_VALUE"""),394.0)</f>
        <v>394</v>
      </c>
      <c r="J2" s="10" t="str">
        <f>IFERROR(__xludf.DUMMYFUNCTION("""COMPUTED_VALUE"""),"[{""loc"": 41633174, ""ratio"": 0.9663909602283025, ""language"": ""Python""}, {""loc"": 1159196, ""ratio"": 0.02690730559079659, ""language"": ""PowerShell""}, {""loc"": 134655, ""ratio"": 0.0031256174403023434, ""language"": ""C#""}, {""loc"": 121617, "&amp;"""ratio"": 0.0028229788439883413, ""language"": ""Shell""}, {""loc"": 23922, ""ratio"": 0.0005552784553630587, ""language"": ""Makefile""}, {""loc"": 3223, ""ratio"": 0.00007481240956588654, ""language"": ""Tcl""}, {""loc"": 2010, ""ratio"": 0.00004665620"&amp;"329737262, ""language"": ""Go""}, {""loc"": 1362, ""ratio"": 0.00003161480044329428, ""language"": ""Roff""}, {""loc"": 1166, ""ratio"": 0.000027065240320764414, ""language"": ""DIGITAL Command Language""}, {""loc"": 329, ""ratio"": 0.00000763676163424656"&amp;"3, ""language"": ""Dockerfile""}, {""loc"": 156, ""ratio"": 0.0000036210784648707107, ""language"": ""SQLPL""}, {""loc"": 144, ""ratio"": 0.000003342533967572964, ""language"": ""Batchfile""}, {""loc"": 80, ""ratio"": 0.0000018569633153183133, ""language"&amp;""": ""JavaScript""}, {""loc"": 54, ""ratio"": 0.0000012534502378398615, ""language"": ""HTML""}]")</f>
        <v>[{"loc": 41633174, "ratio": 0.9663909602283025, "language": "Python"}, {"loc": 1159196, "ratio": 0.02690730559079659, "language": "PowerShell"}, {"loc": 134655, "ratio": 0.0031256174403023434, "language": "C#"}, {"loc": 121617, "ratio": 0.0028229788439883413, "language": "Shell"}, {"loc": 23922, "ratio": 0.0005552784553630587, "language": "Makefile"}, {"loc": 3223, "ratio": 0.00007481240956588654, "language": "Tcl"}, {"loc": 2010, "ratio": 0.00004665620329737262, "language": "Go"}, {"loc": 1362, "ratio": 0.00003161480044329428, "language": "Roff"}, {"loc": 1166, "ratio": 0.000027065240320764414, "language": "DIGITAL Command Language"}, {"loc": 329, "ratio": 0.000007636761634246563, "language": "Dockerfile"}, {"loc": 156, "ratio": 0.0000036210784648707107, "language": "SQLPL"}, {"loc": 144, "ratio": 0.000003342533967572964, "language": "Batchfile"}, {"loc": 80, "ratio": 0.0000018569633153183133, "language": "JavaScript"}, {"loc": 54, "ratio": 0.0000012534502378398615, "language": "HTML"}]</v>
      </c>
      <c r="K2" s="13">
        <f>IFERROR(__xludf.DUMMYFUNCTION("""COMPUTED_VALUE"""),40974.0)</f>
        <v>40974</v>
      </c>
      <c r="L2" s="13">
        <f>IFERROR(__xludf.DUMMYFUNCTION("""COMPUTED_VALUE"""),43458.0)</f>
        <v>43458</v>
      </c>
      <c r="M2" s="10">
        <f>IFERROR(__xludf.DUMMYFUNCTION("""COMPUTED_VALUE"""),5531.0)</f>
        <v>5531</v>
      </c>
      <c r="N2" s="12">
        <f>IFERROR(__xludf.DUMMYFUNCTION("""COMPUTED_VALUE"""),252.0)</f>
        <v>252</v>
      </c>
      <c r="O2" s="12" t="str">
        <f>IFERROR(__xludf.DUMMYFUNCTION("""COMPUTED_VALUE"""),"v2.7.5")</f>
        <v>v2.7.5</v>
      </c>
      <c r="P2" s="12" t="str">
        <f>IFERROR(__xludf.DUMMYFUNCTION("""COMPUTED_VALUE"""),"a771ed93ab09691e53184c809d88a0f1073ef82d")</f>
        <v>a771ed93ab09691e53184c809d88a0f1073ef82d</v>
      </c>
      <c r="Q2" s="12" t="str">
        <f>IFERROR(__xludf.DUMMYFUNCTION("""COMPUTED_VALUE"""),"{""key"": ""gpl-3.0"", ""url"": ""https://api.github.com/licenses/gpl-3.0"", ""name"": ""GNU General Public License v3.0"", ""node_id"": ""MDc6TGljZW5zZTk="", ""spdx_id"": ""GPL-3.0""}")</f>
        <v>{"key": "gpl-3.0", "url": "https://api.github.com/licenses/gpl-3.0", "name": "GNU General Public License v3.0", "node_id": "MDc6TGljZW5zZTk=", "spdx_id": "GPL-3.0"}</v>
      </c>
      <c r="R2" s="12" t="str">
        <f>IFERROR(__xludf.DUMMYFUNCTION("""COMPUTED_VALUE"""),"ansible")</f>
        <v>ansible</v>
      </c>
      <c r="S2" s="12" t="str">
        <f>IFERROR(__xludf.DUMMYFUNCTION("""COMPUTED_VALUE"""),"{""id"": 3638964, ""url"": ""https://api.github.com/repos/ansible/ansible"", ""fork"": false, ""name"": ""ansible"", ""size"": 148936, ""forks"": 13833, ""owner"": {""id"": 1507452, ""url"": ""https://api.github.com/users/ansible"", ""type"": ""Organizati"&amp;"on"", ""login"": ""ansible"", ""node_id"": ""MDEyOk9yZ2FuaXphdGlvbjE1MDc0NTI="", ""html_url"": ""https://github.com/ansible"", ""gists_url"": ""https://api.github.com/users/ansible/gists{/gist_id}"", ""repos_url"": ""https://api.github.com/users/ansible/r"&amp;"epos"", ""avatar_url"": ""https://avatars2.githubusercontent.com/u/1507452?v=4"", ""events_url"": ""https://api.github.com/users/ansible/events{/privacy}"", ""site_admin"": false, ""gravatar_id"": """", ""starred_url"": ""https://api.github.com/users/ansi"&amp;"ble/starred{/owner}{/repo}"", ""followers_url"": ""https://api.github.com/users/ansible/followers"", ""following_url"": ""https://api.github.com/users/ansible/following{/other_user}"", ""organizations_url"": ""https://api.github.com/users/ansible/orgs"", "&amp;"""subscriptions_url"": ""https://api.github.com/users/ansible/subscriptions"", ""received_events_url"": ""https://api.github.com/users/ansible/received_events""}, ""score"": 1.0, ""topics"": [""ansible"", ""python""], ""git_url"": ""git://github.com/ansib"&amp;"le/ansible.git"", ""license"": {""key"": ""gpl-3.0"", ""url"": ""https://api.github.com/licenses/gpl-3.0"", ""name"": ""GNU General Public License v3.0"", ""node_id"": ""MDc6TGljZW5zZTk="", ""spdx_id"": ""GPL-3.0""}, ""node_id"": ""MDEwOlJlcG9zaXRvcnkzNjM"&amp;"4OTY0"", ""private"": false, ""ssh_url"": ""git@github.com:ansible/ansible.git"", ""svn_url"": ""https://github.com/ansible/ansible"", ""archived"": false, ""has_wiki"": false, ""homepage"": ""https://www.ansible.com/"", ""html_url"": ""https://github.com"&amp;"/ansible/ansible"", ""keys_url"": ""https://api.github.com/repos/ansible/ansible/keys{/key_id}"", ""language"": ""Python"", ""tags_url"": ""https://api.github.com/repos/ansible/ansible/tags"", ""watchers"": 34454, ""blobs_url"": ""https://api.github.com/r"&amp;"epos/ansible/ansible/git/blobs{/sha}"", ""clone_url"": ""https://github.com/ansible/ansible.git"", ""forks_url"": ""https://api.github.com/repos/ansible/ansible/forks"", ""full_name"": ""ansible/ansible"", ""has_pages"": false, ""hooks_url"": ""https://ap"&amp;"i.github.com/repos/ansible/ansible/hooks"", ""pulls_url"": ""https://api.github.com/repos/ansible/ansible/pulls{/number}"", ""pushed_at"": ""2018-12-24T18:05:42Z"", ""teams_url"": ""https://api.github.com/repos/ansible/ansible/teams"", ""trees_url"": ""ht"&amp;"tps://api.github.com/repos/ansible/ansible/git/trees{/sha}"", ""created_at"": ""2012-03-06T14:58:02Z"", ""events_url"": ""https://api.github.com/repos/ansible/ansible/events"", ""has_issues"": true, ""issues_url"": ""https://api.github.com/repos/ansible/a"&amp;"nsible/issues{/number}"", ""labels_url"": ""https://api.github.com/repos/ansible/ansible/labels{/name}"", ""merges_url"": ""https://api.github.com/repos/ansible/ansible/merges"", ""mirror_url"": null, ""updated_at"": ""2018-12-25T02:32:33Z"", ""archive_ur"&amp;"l"": ""https://api.github.com/repos/ansible/ansible/{archive_format}{/ref}"", ""commits_url"": ""https://api.github.com/repos/ansible/ansible/commits{/sha}"", ""compare_url"": ""https://api.github.com/repos/ansible/ansible/compare/{base}...{head}"", ""des"&amp;"cription"": ""Ansible is a radically simple IT automation platform that makes your applications and systems easier to deploy. Avoid writing scripts or custom code to deploy and update your applications — automate in a language that approaches plain Englis"&amp;"h, using SSH, with no agents to install on remote systems. https://docs.ansible.com/ansible/"", ""forks_count"": 13833, ""open_issues"": 5531, ""permissions"": {""pull"": true, ""push"": false, ""admin"": false}, ""branches_url"": ""https://api.github.com"&amp;"/repos/ansible/ansible/branches{/branch}"", ""comments_url"": ""https://api.github.com/repos/ansible/ansible/comments{/number}"", ""contents_url"": ""https://api.github.com/repos/ansible/ansible/contents/{+path}"", ""git_refs_url"": ""https://api.github.c"&amp;"om/repos/ansible/ansible/git/refs{/sha}"", ""git_tags_url"": ""https://api.github.com/repos/ansible/ansible/git/tags{/sha}"", ""has_projects"": true, ""releases_url"": ""https://api.github.com/repos/ansible/ansible/releases{/id}"", ""statuses_url"": ""htt"&amp;"ps://api.github.com/repos/ansible/ansible/statuses/{sha}"", ""assignees_url"": ""https://api.github.com/repos/ansible/ansible/assignees{/user}"", ""downloads_url"": ""https://api.github.com/repos/ansible/ansible/downloads"", ""has_downloads"": true, ""lan"&amp;"guages_url"": ""https://api.github.com/repos/ansible/ansible/languages"", ""default_branch"": ""devel"", ""milestones_url"": ""https://api.github.com/repos/ansible/ansible/milestones{/number}"", ""stargazers_url"": ""https://api.github.com/repos/ansible/a"&amp;"nsible/stargazers"", ""watchers_count"": 34454, ""deployments_url"": ""https://api.github.com/repos/ansible/ansible/deployments"", ""git_commits_url"": ""https://api.github.com/repos/ansible/ansible/git/commits{/sha}"", ""subscribers_url"": ""https://api."&amp;"github.com/repos/ansible/ansible/subscribers"", ""contributors_url"": ""https://api.github.com/repos/ansible/ansible/contributors"", ""issue_events_url"": ""https://api.github.com/repos/ansible/ansible/issues/events{/number}"", ""stargazers_count"": 34454"&amp;", ""subscription_url"": ""https://api.github.com/repos/ansible/ansible/subscription"", ""collaborators_url"": ""https://api.github.com/repos/ansible/ansible/collaborators{/collaborator}"", ""issue_comment_url"": ""https://api.github.com/repos/ansible/ansi"&amp;"ble/issues/comments{/number}"", ""notifications_url"": ""https://api.github.com/repos/ansible/ansible/notifications{?since,all,participating}"", ""open_issues_count"": 5531}")</f>
        <v>{"id": 3638964, "url": "https://api.github.com/repos/ansible/ansible", "fork": false, "name": "ansible", "size": 148936, "forks": 13833, "owner": {"id": 1507452, "url": "https://api.github.com/users/ansible", "type": "Organization", "login": "ansible", "node_id": "MDEyOk9yZ2FuaXphdGlvbjE1MDc0NTI=", "html_url": "https://github.com/ansible", "gists_url": "https://api.github.com/users/ansible/gists{/gist_id}", "repos_url": "https://api.github.com/users/ansible/repos", "avatar_url": "https://avatars2.githubusercontent.com/u/1507452?v=4", "events_url": "https://api.github.com/users/ansible/events{/privacy}", "site_admin": false, "gravatar_id": "", "starred_url": "https://api.github.com/users/ansible/starred{/owner}{/repo}", "followers_url": "https://api.github.com/users/ansible/followers", "following_url": "https://api.github.com/users/ansible/following{/other_user}", "organizations_url": "https://api.github.com/users/ansible/orgs", "subscriptions_url": "https://api.github.com/users/ansible/subscriptions", "received_events_url": "https://api.github.com/users/ansible/received_events"}, "score": 1.0, "topics": ["ansible", "python"], "git_url": "git://github.com/ansible/ansible.git", "license": {"key": "gpl-3.0", "url": "https://api.github.com/licenses/gpl-3.0", "name": "GNU General Public License v3.0", "node_id": "MDc6TGljZW5zZTk=", "spdx_id": "GPL-3.0"}, "node_id": "MDEwOlJlcG9zaXRvcnkzNjM4OTY0", "private": false, "ssh_url": "git@github.com:ansible/ansible.git", "svn_url": "https://github.com/ansible/ansible", "archived": false, "has_wiki": false, "homepage": "https://www.ansible.com/", "html_url": "https://github.com/ansible/ansible", "keys_url": "https://api.github.com/repos/ansible/ansible/keys{/key_id}", "language": "Python", "tags_url": "https://api.github.com/repos/ansible/ansible/tags", "watchers": 34454, "blobs_url": "https://api.github.com/repos/ansible/ansible/git/blobs{/sha}", "clone_url": "https://github.com/ansible/ansible.git", "forks_url": "https://api.github.com/repos/ansible/ansible/forks", "full_name": "ansible/ansible", "has_pages": false, "hooks_url": "https://api.github.com/repos/ansible/ansible/hooks", "pulls_url": "https://api.github.com/repos/ansible/ansible/pulls{/number}", "pushed_at": "2018-12-24T18:05:42Z", "teams_url": "https://api.github.com/repos/ansible/ansible/teams", "trees_url": "https://api.github.com/repos/ansible/ansible/git/trees{/sha}", "created_at": "2012-03-06T14:58:02Z", "events_url": "https://api.github.com/repos/ansible/ansible/events", "has_issues": true, "issues_url": "https://api.github.com/repos/ansible/ansible/issues{/number}", "labels_url": "https://api.github.com/repos/ansible/ansible/labels{/name}", "merges_url": "https://api.github.com/repos/ansible/ansible/merges", "mirror_url": null, "updated_at": "2018-12-25T02:32:33Z", "archive_url": "https://api.github.com/repos/ansible/ansible/{archive_format}{/ref}", "commits_url": "https://api.github.com/repos/ansible/ansible/commits{/sha}", "compare_url": "https://api.github.com/repos/ansible/ansible/compare/{base}...{head}", "description": "Ansible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 "forks_count": 13833, "open_issues": 5531, "permissions": {"pull": true, "push": false, "admin": false}, "branches_url": "https://api.github.com/repos/ansible/ansible/branches{/branch}", "comments_url": "https://api.github.com/repos/ansible/ansible/comments{/number}", "contents_url": "https://api.github.com/repos/ansible/ansible/contents/{+path}", "git_refs_url": "https://api.github.com/repos/ansible/ansible/git/refs{/sha}", "git_tags_url": "https://api.github.com/repos/ansible/ansible/git/tags{/sha}", "has_projects": true, "releases_url": "https://api.github.com/repos/ansible/ansible/releases{/id}", "statuses_url": "https://api.github.com/repos/ansible/ansible/statuses/{sha}", "assignees_url": "https://api.github.com/repos/ansible/ansible/assignees{/user}", "downloads_url": "https://api.github.com/repos/ansible/ansible/downloads", "has_downloads": true, "languages_url": "https://api.github.com/repos/ansible/ansible/languages", "default_branch": "devel", "milestones_url": "https://api.github.com/repos/ansible/ansible/milestones{/number}", "stargazers_url": "https://api.github.com/repos/ansible/ansible/stargazers", "watchers_count": 34454, "deployments_url": "https://api.github.com/repos/ansible/ansible/deployments", "git_commits_url": "https://api.github.com/repos/ansible/ansible/git/commits{/sha}", "subscribers_url": "https://api.github.com/repos/ansible/ansible/subscribers", "contributors_url": "https://api.github.com/repos/ansible/ansible/contributors", "issue_events_url": "https://api.github.com/repos/ansible/ansible/issues/events{/number}", "stargazers_count": 34454, "subscription_url": "https://api.github.com/repos/ansible/ansible/subscription", "collaborators_url": "https://api.github.com/repos/ansible/ansible/collaborators{/collaborator}", "issue_comment_url": "https://api.github.com/repos/ansible/ansible/issues/comments{/number}", "notifications_url": "https://api.github.com/repos/ansible/ansible/notifications{?since,all,participating}", "open_issues_count": 5531}</v>
      </c>
      <c r="T2" s="12">
        <f>IFERROR(__xludf.DUMMYFUNCTION("""COMPUTED_VALUE"""),0.96639096)</f>
        <v>0.96639096</v>
      </c>
      <c r="U2" s="12">
        <f>IFERROR(__xludf.DUMMYFUNCTION("""COMPUTED_VALUE"""),4.1633174E7)</f>
        <v>41633174</v>
      </c>
      <c r="V2" s="14">
        <f>IFERROR(__xludf.DUMMYFUNCTION("""COMPUTED_VALUE"""),81.0)</f>
        <v>81</v>
      </c>
      <c r="W2" s="15" t="str">
        <f>IFERROR(__xludf.DUMMYFUNCTION("IFERROR(REGEXEXTRACT(J2,""""""ratio"""": (\d+.\d+), """"language"""": """"Python""""""),"""")"),"0.9663909602283025")</f>
        <v>0.9663909602283025</v>
      </c>
      <c r="X2" s="15" t="str">
        <f t="shared" ref="X2:X134" si="1">SUBSTITUTE(SUBSTITUTE(SUBSTITUTE(G2, "\""", ""), """[", ""), "]""", "")</f>
        <v>ansible, python</v>
      </c>
    </row>
    <row r="3">
      <c r="A3" s="10" t="str">
        <f>IFERROR(__xludf.DUMMYFUNCTION("""COMPUTED_VALUE"""),"astropy/astropy")</f>
        <v>astropy/astropy</v>
      </c>
      <c r="B3" s="10" t="str">
        <f>IFERROR(__xludf.DUMMYFUNCTION("""COMPUTED_VALUE"""),"Repository for the Astropy core package")</f>
        <v>Repository for the Astropy core package</v>
      </c>
      <c r="C3" s="11" t="str">
        <f>IFERROR(__xludf.DUMMYFUNCTION("""COMPUTED_VALUE"""),"https://github.com/astropy/astropy")</f>
        <v>https://github.com/astropy/astropy</v>
      </c>
      <c r="D3" s="10">
        <f>IFERROR(__xludf.DUMMYFUNCTION("""COMPUTED_VALUE"""),1954.0)</f>
        <v>1954</v>
      </c>
      <c r="E3" s="10">
        <f>IFERROR(__xludf.DUMMYFUNCTION("""COMPUTED_VALUE"""),177.0)</f>
        <v>177</v>
      </c>
      <c r="F3" s="10">
        <f>IFERROR(__xludf.DUMMYFUNCTION("""COMPUTED_VALUE"""),77648.0)</f>
        <v>77648</v>
      </c>
      <c r="G3" s="10" t="str">
        <f>IFERROR(__xludf.DUMMYFUNCTION("""COMPUTED_VALUE"""),"""[\""astronomy\"", \""python\"", \""science\""]""")</f>
        <v>"[\"astronomy\", \"python\", \"science\"]"</v>
      </c>
      <c r="H3" s="12">
        <f>IFERROR(__xludf.DUMMYFUNCTION("""COMPUTED_VALUE"""),23638.0)</f>
        <v>23638</v>
      </c>
      <c r="I3" s="12">
        <f>IFERROR(__xludf.DUMMYFUNCTION("""COMPUTED_VALUE"""),274.0)</f>
        <v>274</v>
      </c>
      <c r="J3" s="10" t="str">
        <f>IFERROR(__xludf.DUMMYFUNCTION("""COMPUTED_VALUE"""),"[{""loc"": 8946476, ""ratio"": 0.9540699379450304, ""language"": ""Python""}, {""loc"": 426997, ""ratio"": 0.0455358066452885, ""language"": ""C""}, {""loc"": 1172, ""ratio"": 0.0001249844036100444, ""language"": ""HTML""}, {""loc"": 1057, ""ratio"": 0.00"&amp;"011272057561076529, ""language"": ""C++""}, {""loc"": 853, ""ratio"": 0.0000909656111598702, ""language"": ""TeX""}, {""loc"": 615, ""ratio"": 0.00006558481930049258, ""language"": ""Objective-C""}]")</f>
        <v>[{"loc": 8946476, "ratio": 0.9540699379450304, "language": "Python"}, {"loc": 426997, "ratio": 0.0455358066452885, "language": "C"}, {"loc": 1172, "ratio": 0.0001249844036100444, "language": "HTML"}, {"loc": 1057, "ratio": 0.00011272057561076529, "language": "C++"}, {"loc": 853, "ratio": 0.0000909656111598702, "language": "TeX"}, {"loc": 615, "ratio": 0.00006558481930049258, "language": "Objective-C"}]</v>
      </c>
      <c r="K3" s="13">
        <f>IFERROR(__xludf.DUMMYFUNCTION("""COMPUTED_VALUE"""),40745.0)</f>
        <v>40745</v>
      </c>
      <c r="L3" s="13">
        <f>IFERROR(__xludf.DUMMYFUNCTION("""COMPUTED_VALUE"""),43458.0)</f>
        <v>43458</v>
      </c>
      <c r="M3" s="10">
        <f>IFERROR(__xludf.DUMMYFUNCTION("""COMPUTED_VALUE"""),966.0)</f>
        <v>966</v>
      </c>
      <c r="N3" s="12">
        <f>IFERROR(__xludf.DUMMYFUNCTION("""COMPUTED_VALUE"""),80.0)</f>
        <v>80</v>
      </c>
      <c r="O3" s="12" t="str">
        <f>IFERROR(__xludf.DUMMYFUNCTION("""COMPUTED_VALUE"""),"v3.1")</f>
        <v>v3.1</v>
      </c>
      <c r="P3" s="12" t="str">
        <f>IFERROR(__xludf.DUMMYFUNCTION("""COMPUTED_VALUE"""),"743055cada122d6da8704ad28452806690679ef5")</f>
        <v>743055cada122d6da8704ad28452806690679ef5</v>
      </c>
      <c r="Q3" s="12" t="str">
        <f>IFERROR(__xludf.DUMMYFUNCTION("""COMPUTED_VALUE"""),"{""key"": ""bsd-3-clause"", ""url"": ""https://api.github.com/licenses/bsd-3-clause"", ""name"": ""BSD 3-Clause \""New\"" or \""Revised\"" License"", ""node_id"": ""MDc6TGljZW5zZTU="", ""spdx_id"": ""BSD-3-Clause""}")</f>
        <v>{"key": "bsd-3-clause", "url": "https://api.github.com/licenses/bsd-3-clause", "name": "BSD 3-Clause \"New\" or \"Revised\" License", "node_id": "MDc6TGljZW5zZTU=", "spdx_id": "BSD-3-Clause"}</v>
      </c>
      <c r="R3" s="12" t="str">
        <f>IFERROR(__xludf.DUMMYFUNCTION("""COMPUTED_VALUE"""),"astropy")</f>
        <v>astropy</v>
      </c>
      <c r="S3" s="12" t="str">
        <f>IFERROR(__xludf.DUMMYFUNCTION("""COMPUTED_VALUE"""),"{""id"": 2081289, ""url"": ""https://api.github.com/repos/astropy/astropy"", ""fork"": false, ""name"": ""astropy"", ""size"": 77648, ""forks"": 1001, ""owner"": {""id"": 847984, ""url"": ""https://api.github.com/users/astropy"", ""type"": ""Organization"&amp;""", ""login"": ""astropy"", ""node_id"": ""MDEyOk9yZ2FuaXphdGlvbjg0Nzk4NA=="", ""html_url"": ""https://github.com/astropy"", ""gists_url"": ""https://api.github.com/users/astropy/gists{/gist_id}"", ""repos_url"": ""https://api.github.com/users/astropy/rep"&amp;"os"", ""avatar_url"": ""https://avatars0.githubusercontent.com/u/847984?v=4"", ""events_url"": ""https://api.github.com/users/astropy/events{/privacy}"", ""site_admin"": false, ""gravatar_id"": """", ""starred_url"": ""https://api.github.com/users/astropy"&amp;"/starred{/owner}{/repo}"", ""followers_url"": ""https://api.github.com/users/astropy/followers"", ""following_url"": ""https://api.github.com/users/astropy/following{/other_user}"", ""organizations_url"": ""https://api.github.com/users/astropy/orgs"", ""s"&amp;"ubscriptions_url"": ""https://api.github.com/users/astropy/subscriptions"", ""received_events_url"": ""https://api.github.com/users/astropy/received_events""}, ""score"": 1.0, ""topics"": [""astronomy"", ""python"", ""science""], ""git_url"": ""git://gith"&amp;"ub.com/astropy/astropy.git"", ""license"": {""key"": ""bsd-3-clause"", ""url"": ""https://api.github.com/licenses/bsd-3-clause"", ""name"": ""BSD 3-Clause \""New\"" or \""Revised\"" License"", ""node_id"": ""MDc6TGljZW5zZTU="", ""spdx_id"": ""BSD-3-Clause"&amp;"""}, ""node_id"": ""MDEwOlJlcG9zaXRvcnkyMDgxMjg5"", ""private"": false, ""ssh_url"": ""git@github.com:astropy/astropy.git"", ""svn_url"": ""https://github.com/astropy/astropy"", ""archived"": false, ""has_wiki"": true, ""homepage"": ""www.astropy.org"", "&amp;"""html_url"": ""https://github.com/astropy/astropy"", ""keys_url"": ""https://api.github.com/repos/astropy/astropy/keys{/key_id}"", ""language"": ""Python"", ""tags_url"": ""https://api.github.com/repos/astropy/astropy/tags"", ""watchers"": 1954, ""blobs_"&amp;"url"": ""https://api.github.com/repos/astropy/astropy/git/blobs{/sha}"", ""clone_url"": ""https://github.com/astropy/astropy.git"", ""forks_url"": ""https://api.github.com/repos/astropy/astropy/forks"", ""full_name"": ""astropy/astropy"", ""has_pages"": f"&amp;"alse, ""hooks_url"": ""https://api.github.com/repos/astropy/astropy/hooks"", ""pulls_url"": ""https://api.github.com/repos/astropy/astropy/pulls{/number}"", ""pushed_at"": ""2018-12-24T18:22:17Z"", ""teams_url"": ""https://api.github.com/repos/astropy/ast"&amp;"ropy/teams"", ""trees_url"": ""https://api.github.com/repos/astropy/astropy/git/trees{/sha}"", ""created_at"": ""2011-07-21T01:33:49Z"", ""events_url"": ""https://api.github.com/repos/astropy/astropy/events"", ""has_issues"": true, ""issues_url"": ""https"&amp;"://api.github.com/repos/astropy/astropy/issues{/number}"", ""labels_url"": ""https://api.github.com/repos/astropy/astropy/labels{/name}"", ""merges_url"": ""https://api.github.com/repos/astropy/astropy/merges"", ""mirror_url"": null, ""updated_at"": ""201"&amp;"8-12-24T23:14:15Z"", ""archive_url"": ""https://api.github.com/repos/astropy/astropy/{archive_format}{/ref}"", ""commits_url"": ""https://api.github.com/repos/astropy/astropy/commits{/sha}"", ""compare_url"": ""https://api.github.com/repos/astropy/astropy"&amp;"/compare/{base}...{head}"", ""description"": ""Repository for the Astropy core package"", ""forks_count"": 1001, ""open_issues"": 966, ""permissions"": {""pull"": true, ""push"": false, ""admin"": false}, ""branches_url"": ""https://api.github.com/repos/a"&amp;"stropy/astropy/branches{/branch}"", ""comments_url"": ""https://api.github.com/repos/astropy/astropy/comments{/number}"", ""contents_url"": ""https://api.github.com/repos/astropy/astropy/contents/{+path}"", ""git_refs_url"": ""https://api.github.com/repos"&amp;"/astropy/astropy/git/refs{/sha}"", ""git_tags_url"": ""https://api.github.com/repos/astropy/astropy/git/tags{/sha}"", ""has_projects"": true, ""releases_url"": ""https://api.github.com/repos/astropy/astropy/releases{/id}"", ""statuses_url"": ""https://api"&amp;".github.com/repos/astropy/astropy/statuses/{sha}"", ""assignees_url"": ""https://api.github.com/repos/astropy/astropy/assignees{/user}"", ""downloads_url"": ""https://api.github.com/repos/astropy/astropy/downloads"", ""has_downloads"": true, ""languages_u"&amp;"rl"": ""https://api.github.com/repos/astropy/astropy/languages"", ""default_branch"": ""master"", ""milestones_url"": ""https://api.github.com/repos/astropy/astropy/milestones{/number}"", ""stargazers_url"": ""https://api.github.com/repos/astropy/astropy/"&amp;"stargazers"", ""watchers_count"": 1954, ""deployments_url"": ""https://api.github.com/repos/astropy/astropy/deployments"", ""git_commits_url"": ""https://api.github.com/repos/astropy/astropy/git/commits{/sha}"", ""subscribers_url"": ""https://api.github.c"&amp;"om/repos/astropy/astropy/subscribers"", ""contributors_url"": ""https://api.github.com/repos/astropy/astropy/contributors"", ""issue_events_url"": ""https://api.github.com/repos/astropy/astropy/issues/events{/number}"", ""stargazers_count"": 1954, ""subsc"&amp;"ription_url"": ""https://api.github.com/repos/astropy/astropy/subscription"", ""collaborators_url"": ""https://api.github.com/repos/astropy/astropy/collaborators{/collaborator}"", ""issue_comment_url"": ""https://api.github.com/repos/astropy/astropy/issue"&amp;"s/comments{/number}"", ""notifications_url"": ""https://api.github.com/repos/astropy/astropy/notifications{?since,all,participating}"", ""open_issues_count"": 966}")</f>
        <v>{"id": 2081289, "url": "https://api.github.com/repos/astropy/astropy", "fork": false, "name": "astropy", "size": 77648, "forks": 1001, "owner": {"id": 847984, "url": "https://api.github.com/users/astropy", "type": "Organization", "login": "astropy", "node_id": "MDEyOk9yZ2FuaXphdGlvbjg0Nzk4NA==", "html_url": "https://github.com/astropy", "gists_url": "https://api.github.com/users/astropy/gists{/gist_id}", "repos_url": "https://api.github.com/users/astropy/repos", "avatar_url": "https://avatars0.githubusercontent.com/u/847984?v=4", "events_url": "https://api.github.com/users/astropy/events{/privacy}", "site_admin": false, "gravatar_id": "", "starred_url": "https://api.github.com/users/astropy/starred{/owner}{/repo}", "followers_url": "https://api.github.com/users/astropy/followers", "following_url": "https://api.github.com/users/astropy/following{/other_user}", "organizations_url": "https://api.github.com/users/astropy/orgs", "subscriptions_url": "https://api.github.com/users/astropy/subscriptions", "received_events_url": "https://api.github.com/users/astropy/received_events"}, "score": 1.0, "topics": ["astronomy", "python", "science"], "git_url": "git://github.com/astropy/astropy.git", "license": {"key": "bsd-3-clause", "url": "https://api.github.com/licenses/bsd-3-clause", "name": "BSD 3-Clause \"New\" or \"Revised\" License", "node_id": "MDc6TGljZW5zZTU=", "spdx_id": "BSD-3-Clause"}, "node_id": "MDEwOlJlcG9zaXRvcnkyMDgxMjg5", "private": false, "ssh_url": "git@github.com:astropy/astropy.git", "svn_url": "https://github.com/astropy/astropy", "archived": false, "has_wiki": true, "homepage": "www.astropy.org", "html_url": "https://github.com/astropy/astropy", "keys_url": "https://api.github.com/repos/astropy/astropy/keys{/key_id}", "language": "Python", "tags_url": "https://api.github.com/repos/astropy/astropy/tags", "watchers": 1954, "blobs_url": "https://api.github.com/repos/astropy/astropy/git/blobs{/sha}", "clone_url": "https://github.com/astropy/astropy.git", "forks_url": "https://api.github.com/repos/astropy/astropy/forks", "full_name": "astropy/astropy", "has_pages": false, "hooks_url": "https://api.github.com/repos/astropy/astropy/hooks", "pulls_url": "https://api.github.com/repos/astropy/astropy/pulls{/number}", "pushed_at": "2018-12-24T18:22:17Z", "teams_url": "https://api.github.com/repos/astropy/astropy/teams", "trees_url": "https://api.github.com/repos/astropy/astropy/git/trees{/sha}", "created_at": "2011-07-21T01:33:49Z", "events_url": "https://api.github.com/repos/astropy/astropy/events", "has_issues": true, "issues_url": "https://api.github.com/repos/astropy/astropy/issues{/number}", "labels_url": "https://api.github.com/repos/astropy/astropy/labels{/name}", "merges_url": "https://api.github.com/repos/astropy/astropy/merges", "mirror_url": null, "updated_at": "2018-12-24T23:14:15Z", "archive_url": "https://api.github.com/repos/astropy/astropy/{archive_format}{/ref}", "commits_url": "https://api.github.com/repos/astropy/astropy/commits{/sha}", "compare_url": "https://api.github.com/repos/astropy/astropy/compare/{base}...{head}", "description": "Repository for the Astropy core package", "forks_count": 1001, "open_issues": 966, "permissions": {"pull": true, "push": false, "admin": false}, "branches_url": "https://api.github.com/repos/astropy/astropy/branches{/branch}", "comments_url": "https://api.github.com/repos/astropy/astropy/comments{/number}", "contents_url": "https://api.github.com/repos/astropy/astropy/contents/{+path}", "git_refs_url": "https://api.github.com/repos/astropy/astropy/git/refs{/sha}", "git_tags_url": "https://api.github.com/repos/astropy/astropy/git/tags{/sha}", "has_projects": true, "releases_url": "https://api.github.com/repos/astropy/astropy/releases{/id}", "statuses_url": "https://api.github.com/repos/astropy/astropy/statuses/{sha}", "assignees_url": "https://api.github.com/repos/astropy/astropy/assignees{/user}", "downloads_url": "https://api.github.com/repos/astropy/astropy/downloads", "has_downloads": true, "languages_url": "https://api.github.com/repos/astropy/astropy/languages", "default_branch": "master", "milestones_url": "https://api.github.com/repos/astropy/astropy/milestones{/number}", "stargazers_url": "https://api.github.com/repos/astropy/astropy/stargazers", "watchers_count": 1954, "deployments_url": "https://api.github.com/repos/astropy/astropy/deployments", "git_commits_url": "https://api.github.com/repos/astropy/astropy/git/commits{/sha}", "subscribers_url": "https://api.github.com/repos/astropy/astropy/subscribers", "contributors_url": "https://api.github.com/repos/astropy/astropy/contributors", "issue_events_url": "https://api.github.com/repos/astropy/astropy/issues/events{/number}", "stargazers_count": 1954, "subscription_url": "https://api.github.com/repos/astropy/astropy/subscription", "collaborators_url": "https://api.github.com/repos/astropy/astropy/collaborators{/collaborator}", "issue_comment_url": "https://api.github.com/repos/astropy/astropy/issues/comments{/number}", "notifications_url": "https://api.github.com/repos/astropy/astropy/notifications{?since,all,participating}", "open_issues_count": 966}</v>
      </c>
      <c r="T3" s="12">
        <f>IFERROR(__xludf.DUMMYFUNCTION("""COMPUTED_VALUE"""),0.954069938)</f>
        <v>0.954069938</v>
      </c>
      <c r="U3" s="12">
        <f>IFERROR(__xludf.DUMMYFUNCTION("""COMPUTED_VALUE"""),8946476.0)</f>
        <v>8946476</v>
      </c>
      <c r="V3" s="14">
        <f>IFERROR(__xludf.DUMMYFUNCTION("""COMPUTED_VALUE"""),89.0)</f>
        <v>89</v>
      </c>
      <c r="W3" s="15" t="str">
        <f>IFERROR(__xludf.DUMMYFUNCTION("IFERROR(REGEXEXTRACT(J3,""""""ratio"""": (\d+.\d+), """"language"""": """"Python""""""),"""")"),"0.9540699379450304")</f>
        <v>0.9540699379450304</v>
      </c>
      <c r="X3" s="15" t="str">
        <f t="shared" si="1"/>
        <v>astronomy, python, science</v>
      </c>
    </row>
    <row r="4">
      <c r="A4" s="10" t="str">
        <f>IFERROR(__xludf.DUMMYFUNCTION("""COMPUTED_VALUE"""),"crossbario/autobahn-python")</f>
        <v>crossbario/autobahn-python</v>
      </c>
      <c r="B4" s="10" t="str">
        <f>IFERROR(__xludf.DUMMYFUNCTION("""COMPUTED_VALUE"""),"WebSocket and WAMP in Python for Twisted and asyncio")</f>
        <v>WebSocket and WAMP in Python for Twisted and asyncio</v>
      </c>
      <c r="C4" s="11" t="str">
        <f>IFERROR(__xludf.DUMMYFUNCTION("""COMPUTED_VALUE"""),"https://github.com/crossbario/autobahn-python")</f>
        <v>https://github.com/crossbario/autobahn-python</v>
      </c>
      <c r="D4" s="10">
        <f>IFERROR(__xludf.DUMMYFUNCTION("""COMPUTED_VALUE"""),1933.0)</f>
        <v>1933</v>
      </c>
      <c r="E4" s="10">
        <f>IFERROR(__xludf.DUMMYFUNCTION("""COMPUTED_VALUE"""),109.0)</f>
        <v>109</v>
      </c>
      <c r="F4" s="10">
        <f>IFERROR(__xludf.DUMMYFUNCTION("""COMPUTED_VALUE"""),12528.0)</f>
        <v>12528</v>
      </c>
      <c r="G4" s="10" t="str">
        <f>IFERROR(__xludf.DUMMYFUNCTION("""COMPUTED_VALUE"""),"""[\""autobahn\"", \""pubsub\"", \""python\"", \""real-time\"", \""rpc\"", \""wamp\"", \""websocket\""]""")</f>
        <v>"[\"autobahn\", \"pubsub\", \"python\", \"real-time\", \"rpc\", \"wamp\", \"websocket\"]"</v>
      </c>
      <c r="H4" s="12">
        <f>IFERROR(__xludf.DUMMYFUNCTION("""COMPUTED_VALUE"""),2995.0)</f>
        <v>2995</v>
      </c>
      <c r="I4" s="12">
        <f>IFERROR(__xludf.DUMMYFUNCTION("""COMPUTED_VALUE"""),91.0)</f>
        <v>91</v>
      </c>
      <c r="J4" s="10" t="str">
        <f>IFERROR(__xludf.DUMMYFUNCTION("""COMPUTED_VALUE"""),"[{""loc"": 1391161, ""ratio"": 0.95890026661373, ""language"": ""Python""}, {""loc"": 40470, ""ratio"": 0.027895185237264163, ""language"": ""Makefile""}, {""loc"": 17063, ""ratio"": 0.011761194605965862, ""language"": ""C""}, {""loc"": 2094, ""ratio"": 0"&amp;".0014433535430400583, ""language"": ""Shell""}]")</f>
        <v>[{"loc": 1391161, "ratio": 0.95890026661373, "language": "Python"}, {"loc": 40470, "ratio": 0.027895185237264163, "language": "Makefile"}, {"loc": 17063, "ratio": 0.011761194605965862, "language": "C"}, {"loc": 2094, "ratio": 0.0014433535430400583, "language": "Shell"}]</v>
      </c>
      <c r="K4" s="13">
        <f>IFERROR(__xludf.DUMMYFUNCTION("""COMPUTED_VALUE"""),40751.0)</f>
        <v>40751</v>
      </c>
      <c r="L4" s="13">
        <f>IFERROR(__xludf.DUMMYFUNCTION("""COMPUTED_VALUE"""),43451.0)</f>
        <v>43451</v>
      </c>
      <c r="M4" s="10">
        <f>IFERROR(__xludf.DUMMYFUNCTION("""COMPUTED_VALUE"""),103.0)</f>
        <v>103</v>
      </c>
      <c r="N4" s="12">
        <f>IFERROR(__xludf.DUMMYFUNCTION("""COMPUTED_VALUE"""),105.0)</f>
        <v>105</v>
      </c>
      <c r="O4" s="12" t="str">
        <f>IFERROR(__xludf.DUMMYFUNCTION("""COMPUTED_VALUE"""),"v18.12.1")</f>
        <v>v18.12.1</v>
      </c>
      <c r="P4" s="12" t="str">
        <f>IFERROR(__xludf.DUMMYFUNCTION("""COMPUTED_VALUE"""),"bf699dbb03b74dc066830ec426d866af4e704e60")</f>
        <v>bf699dbb03b74dc066830ec426d866af4e704e60</v>
      </c>
      <c r="Q4" s="12" t="str">
        <f>IFERROR(__xludf.DUMMYFUNCTION("""COMPUTED_VALUE"""),"{""key"": ""mit"", ""url"": ""https://api.github.com/licenses/mit"", ""name"": ""MIT License"", ""node_id"": ""MDc6TGljZW5zZTEz"", ""spdx_id"": ""MIT""}")</f>
        <v>{"key": "mit", "url": "https://api.github.com/licenses/mit", "name": "MIT License", "node_id": "MDc6TGljZW5zZTEz", "spdx_id": "MIT"}</v>
      </c>
      <c r="R4" s="12" t="str">
        <f>IFERROR(__xludf.DUMMYFUNCTION("""COMPUTED_VALUE"""),"autobahn-python")</f>
        <v>autobahn-python</v>
      </c>
      <c r="S4" s="12" t="str">
        <f>IFERROR(__xludf.DUMMYFUNCTION("""COMPUTED_VALUE"""),"{""id"": 2113510, ""url"": ""https://api.github.com/repos/crossbario/autobahn-python"", ""fork"": false, ""name"": ""autobahn-python"", ""size"": 12528, ""forks"": 550, ""owner"": {""id"": 5656948, ""url"": ""https://api.github.com/users/crossbario"", ""t"&amp;"ype"": ""Organization"", ""login"": ""crossbario"", ""node_id"": ""MDEyOk9yZ2FuaXphdGlvbjU2NTY5NDg="", ""html_url"": ""https://github.com/crossbario"", ""gists_url"": ""https://api.github.com/users/crossbario/gists{/gist_id}"", ""repos_url"": ""https://ap"&amp;"i.github.com/users/crossbario/repos"", ""avatar_url"": ""https://avatars2.githubusercontent.com/u/5656948?v=4"", ""events_url"": ""https://api.github.com/users/crossbario/events{/privacy}"", ""site_admin"": false, ""gravatar_id"": """", ""starred_url"": "&amp;"""https://api.github.com/users/crossbario/starred{/owner}{/repo}"", ""followers_url"": ""https://api.github.com/users/crossbario/followers"", ""following_url"": ""https://api.github.com/users/crossbario/following{/other_user}"", ""organizations_url"": ""h"&amp;"ttps://api.github.com/users/crossbario/orgs"", ""subscriptions_url"": ""https://api.github.com/users/crossbario/subscriptions"", ""received_events_url"": ""https://api.github.com/users/crossbario/received_events""}, ""score"": 1.0, ""topics"": [""autobahn"&amp;""", ""pubsub"", ""python"", ""real-time"", ""rpc"", ""wamp"", ""websocket""], ""git_url"": ""git://github.com/crossbario/autobahn-python.git"", ""license"": {""key"": ""mit"", ""url"": ""https://api.github.com/licenses/mit"", ""name"": ""MIT License"", """&amp;"node_id"": ""MDc6TGljZW5zZTEz"", ""spdx_id"": ""MIT""}, ""node_id"": ""MDEwOlJlcG9zaXRvcnkyMTEzNTEw"", ""private"": false, ""ssh_url"": ""git@github.com:crossbario/autobahn-python.git"", ""svn_url"": ""https://github.com/crossbario/autobahn-python"", ""ar"&amp;"chived"": false, ""has_wiki"": true, ""homepage"": ""http://crossbar.io/autobahn"", ""html_url"": ""https://github.com/crossbario/autobahn-python"", ""keys_url"": ""https://api.github.com/repos/crossbario/autobahn-python/keys{/key_id}"", ""language"": ""P"&amp;"ython"", ""tags_url"": ""https://api.github.com/repos/crossbario/autobahn-python/tags"", ""watchers"": 1933, ""blobs_url"": ""https://api.github.com/repos/crossbario/autobahn-python/git/blobs{/sha}"", ""clone_url"": ""https://github.com/crossbario/autobah"&amp;"n-python.git"", ""forks_url"": ""https://api.github.com/repos/crossbario/autobahn-python/forks"", ""full_name"": ""crossbario/autobahn-python"", ""has_pages"": false, ""hooks_url"": ""https://api.github.com/repos/crossbario/autobahn-python/hooks"", ""pull"&amp;"s_url"": ""https://api.github.com/repos/crossbario/autobahn-python/pulls{/number}"", ""pushed_at"": ""2018-12-17T17:22:30Z"", ""teams_url"": ""https://api.github.com/repos/crossbario/autobahn-python/teams"", ""trees_url"": ""https://api.github.com/repos/c"&amp;"rossbario/autobahn-python/git/trees{/sha}"", ""created_at"": ""2011-07-27T15:22:13Z"", ""events_url"": ""https://api.github.com/repos/crossbario/autobahn-python/events"", ""has_issues"": true, ""issues_url"": ""https://api.github.com/repos/crossbario/auto"&amp;"bahn-python/issues{/number}"", ""labels_url"": ""https://api.github.com/repos/crossbario/autobahn-python/labels{/name}"", ""merges_url"": ""https://api.github.com/repos/crossbario/autobahn-python/merges"", ""mirror_url"": null, ""updated_at"": ""2018-12-2"&amp;"1T15:11:57Z"", ""archive_url"": ""https://api.github.com/repos/crossbario/autobahn-python/{archive_format}{/ref}"", ""commits_url"": ""https://api.github.com/repos/crossbario/autobahn-python/commits{/sha}"", ""compare_url"": ""https://api.github.com/repos"&amp;"/crossbario/autobahn-python/compare/{base}...{head}"", ""description"": ""WebSocket and WAMP in Python for Twisted and asyncio"", ""forks_count"": 550, ""open_issues"": 103, ""permissions"": {""pull"": true, ""push"": false, ""admin"": false}, ""branches_"&amp;"url"": ""https://api.github.com/repos/crossbario/autobahn-python/branches{/branch}"", ""comments_url"": ""https://api.github.com/repos/crossbario/autobahn-python/comments{/number}"", ""contents_url"": ""https://api.github.com/repos/crossbario/autobahn-pyt"&amp;"hon/contents/{+path}"", ""git_refs_url"": ""https://api.github.com/repos/crossbario/autobahn-python/git/refs{/sha}"", ""git_tags_url"": ""https://api.github.com/repos/crossbario/autobahn-python/git/tags{/sha}"", ""has_projects"": true, ""releases_url"": "&amp;"""https://api.github.com/repos/crossbario/autobahn-python/releases{/id}"", ""statuses_url"": ""https://api.github.com/repos/crossbario/autobahn-python/statuses/{sha}"", ""assignees_url"": ""https://api.github.com/repos/crossbario/autobahn-python/assignees"&amp;"{/user}"", ""downloads_url"": ""https://api.github.com/repos/crossbario/autobahn-python/downloads"", ""has_downloads"": true, ""languages_url"": ""https://api.github.com/repos/crossbario/autobahn-python/languages"", ""default_branch"": ""master"", ""miles"&amp;"tones_url"": ""https://api.github.com/repos/crossbario/autobahn-python/milestones{/number}"", ""stargazers_url"": ""https://api.github.com/repos/crossbario/autobahn-python/stargazers"", ""watchers_count"": 1933, ""deployments_url"": ""https://api.github.c"&amp;"om/repos/crossbario/autobahn-python/deployments"", ""git_commits_url"": ""https://api.github.com/repos/crossbario/autobahn-python/git/commits{/sha}"", ""subscribers_url"": ""https://api.github.com/repos/crossbario/autobahn-python/subscribers"", ""contribu"&amp;"tors_url"": ""https://api.github.com/repos/crossbario/autobahn-python/contributors"", ""issue_events_url"": ""https://api.github.com/repos/crossbario/autobahn-python/issues/events{/number}"", ""stargazers_count"": 1933, ""subscription_url"": ""https://api"&amp;".github.com/repos/crossbario/autobahn-python/subscription"", ""collaborators_url"": ""https://api.github.com/repos/crossbario/autobahn-python/collaborators{/collaborator}"", ""issue_comment_url"": ""https://api.github.com/repos/crossbario/autobahn-python/"&amp;"issues/comments{/number}"", ""notifications_url"": ""https://api.github.com/repos/crossbario/autobahn-python/notifications{?since,all,participating}"", ""open_issues_count"": 103}")</f>
        <v>{"id": 2113510, "url": "https://api.github.com/repos/crossbario/autobahn-python", "fork": false, "name": "autobahn-python", "size": 12528, "forks": 550, "owner": {"id": 5656948, "url": "https://api.github.com/users/crossbario", "type": "Organization", "login": "crossbario", "node_id": "MDEyOk9yZ2FuaXphdGlvbjU2NTY5NDg=", "html_url": "https://github.com/crossbario", "gists_url": "https://api.github.com/users/crossbario/gists{/gist_id}", "repos_url": "https://api.github.com/users/crossbario/repos", "avatar_url": "https://avatars2.githubusercontent.com/u/5656948?v=4", "events_url": "https://api.github.com/users/crossbario/events{/privacy}", "site_admin": false, "gravatar_id": "", "starred_url": "https://api.github.com/users/crossbario/starred{/owner}{/repo}", "followers_url": "https://api.github.com/users/crossbario/followers", "following_url": "https://api.github.com/users/crossbario/following{/other_user}", "organizations_url": "https://api.github.com/users/crossbario/orgs", "subscriptions_url": "https://api.github.com/users/crossbario/subscriptions", "received_events_url": "https://api.github.com/users/crossbario/received_events"}, "score": 1.0, "topics": ["autobahn", "pubsub", "python", "real-time", "rpc", "wamp", "websocket"], "git_url": "git://github.com/crossbario/autobahn-python.git", "license": {"key": "mit", "url": "https://api.github.com/licenses/mit", "name": "MIT License", "node_id": "MDc6TGljZW5zZTEz", "spdx_id": "MIT"}, "node_id": "MDEwOlJlcG9zaXRvcnkyMTEzNTEw", "private": false, "ssh_url": "git@github.com:crossbario/autobahn-python.git", "svn_url": "https://github.com/crossbario/autobahn-python", "archived": false, "has_wiki": true, "homepage": "http://crossbar.io/autobahn", "html_url": "https://github.com/crossbario/autobahn-python", "keys_url": "https://api.github.com/repos/crossbario/autobahn-python/keys{/key_id}", "language": "Python", "tags_url": "https://api.github.com/repos/crossbario/autobahn-python/tags", "watchers": 1933, "blobs_url": "https://api.github.com/repos/crossbario/autobahn-python/git/blobs{/sha}", "clone_url": "https://github.com/crossbario/autobahn-python.git", "forks_url": "https://api.github.com/repos/crossbario/autobahn-python/forks", "full_name": "crossbario/autobahn-python", "has_pages": false, "hooks_url": "https://api.github.com/repos/crossbario/autobahn-python/hooks", "pulls_url": "https://api.github.com/repos/crossbario/autobahn-python/pulls{/number}", "pushed_at": "2018-12-17T17:22:30Z", "teams_url": "https://api.github.com/repos/crossbario/autobahn-python/teams", "trees_url": "https://api.github.com/repos/crossbario/autobahn-python/git/trees{/sha}", "created_at": "2011-07-27T15:22:13Z", "events_url": "https://api.github.com/repos/crossbario/autobahn-python/events", "has_issues": true, "issues_url": "https://api.github.com/repos/crossbario/autobahn-python/issues{/number}", "labels_url": "https://api.github.com/repos/crossbario/autobahn-python/labels{/name}", "merges_url": "https://api.github.com/repos/crossbario/autobahn-python/merges", "mirror_url": null, "updated_at": "2018-12-21T15:11:57Z", "archive_url": "https://api.github.com/repos/crossbario/autobahn-python/{archive_format}{/ref}", "commits_url": "https://api.github.com/repos/crossbario/autobahn-python/commits{/sha}", "compare_url": "https://api.github.com/repos/crossbario/autobahn-python/compare/{base}...{head}", "description": "WebSocket and WAMP in Python for Twisted and asyncio", "forks_count": 550, "open_issues": 103, "permissions": {"pull": true, "push": false, "admin": false}, "branches_url": "https://api.github.com/repos/crossbario/autobahn-python/branches{/branch}", "comments_url": "https://api.github.com/repos/crossbario/autobahn-python/comments{/number}", "contents_url": "https://api.github.com/repos/crossbario/autobahn-python/contents/{+path}", "git_refs_url": "https://api.github.com/repos/crossbario/autobahn-python/git/refs{/sha}", "git_tags_url": "https://api.github.com/repos/crossbario/autobahn-python/git/tags{/sha}", "has_projects": true, "releases_url": "https://api.github.com/repos/crossbario/autobahn-python/releases{/id}", "statuses_url": "https://api.github.com/repos/crossbario/autobahn-python/statuses/{sha}", "assignees_url": "https://api.github.com/repos/crossbario/autobahn-python/assignees{/user}", "downloads_url": "https://api.github.com/repos/crossbario/autobahn-python/downloads", "has_downloads": true, "languages_url": "https://api.github.com/repos/crossbario/autobahn-python/languages", "default_branch": "master", "milestones_url": "https://api.github.com/repos/crossbario/autobahn-python/milestones{/number}", "stargazers_url": "https://api.github.com/repos/crossbario/autobahn-python/stargazers", "watchers_count": 1933, "deployments_url": "https://api.github.com/repos/crossbario/autobahn-python/deployments", "git_commits_url": "https://api.github.com/repos/crossbario/autobahn-python/git/commits{/sha}", "subscribers_url": "https://api.github.com/repos/crossbario/autobahn-python/subscribers", "contributors_url": "https://api.github.com/repos/crossbario/autobahn-python/contributors", "issue_events_url": "https://api.github.com/repos/crossbario/autobahn-python/issues/events{/number}", "stargazers_count": 1933, "subscription_url": "https://api.github.com/repos/crossbario/autobahn-python/subscription", "collaborators_url": "https://api.github.com/repos/crossbario/autobahn-python/collaborators{/collaborator}", "issue_comment_url": "https://api.github.com/repos/crossbario/autobahn-python/issues/comments{/number}", "notifications_url": "https://api.github.com/repos/crossbario/autobahn-python/notifications{?since,all,participating}", "open_issues_count": 103}</v>
      </c>
      <c r="T4" s="12">
        <f>IFERROR(__xludf.DUMMYFUNCTION("""COMPUTED_VALUE"""),0.958900267)</f>
        <v>0.958900267</v>
      </c>
      <c r="U4" s="12">
        <f>IFERROR(__xludf.DUMMYFUNCTION("""COMPUTED_VALUE"""),1391161.0)</f>
        <v>1391161</v>
      </c>
      <c r="V4" s="14">
        <f>IFERROR(__xludf.DUMMYFUNCTION("""COMPUTED_VALUE"""),88.0)</f>
        <v>88</v>
      </c>
      <c r="W4" s="15" t="str">
        <f>IFERROR(__xludf.DUMMYFUNCTION("IFERROR(REGEXEXTRACT(J4,""""""ratio"""": (\d+.\d+), """"language"""": """"Python""""""),"""")"),"0.95890026661373")</f>
        <v>0.95890026661373</v>
      </c>
      <c r="X4" s="15" t="str">
        <f t="shared" si="1"/>
        <v>autobahn, pubsub, python, real-time, rpc, wamp, websocket</v>
      </c>
    </row>
    <row r="5">
      <c r="A5" s="10" t="str">
        <f>IFERROR(__xludf.DUMMYFUNCTION("""COMPUTED_VALUE"""),"aws/aws-cli")</f>
        <v>aws/aws-cli</v>
      </c>
      <c r="B5" s="10" t="str">
        <f>IFERROR(__xludf.DUMMYFUNCTION("""COMPUTED_VALUE"""),"Universal Command Line Interface for Amazon Web Services")</f>
        <v>Universal Command Line Interface for Amazon Web Services</v>
      </c>
      <c r="C5" s="11" t="str">
        <f>IFERROR(__xludf.DUMMYFUNCTION("""COMPUTED_VALUE"""),"https://github.com/aws/aws-cli")</f>
        <v>https://github.com/aws/aws-cli</v>
      </c>
      <c r="D5" s="10">
        <f>IFERROR(__xludf.DUMMYFUNCTION("""COMPUTED_VALUE"""),7340.0)</f>
        <v>7340</v>
      </c>
      <c r="E5" s="10">
        <f>IFERROR(__xludf.DUMMYFUNCTION("""COMPUTED_VALUE"""),576.0)</f>
        <v>576</v>
      </c>
      <c r="F5" s="10">
        <f>IFERROR(__xludf.DUMMYFUNCTION("""COMPUTED_VALUE"""),17717.0)</f>
        <v>17717</v>
      </c>
      <c r="G5" s="10" t="str">
        <f>IFERROR(__xludf.DUMMYFUNCTION("""COMPUTED_VALUE"""),"""[\""aws\"", \""aws-cli\"", \""cloud\"", \""cloud-management\""]""")</f>
        <v>"[\"aws\", \"aws-cli\", \"cloud\", \"cloud-management\"]"</v>
      </c>
      <c r="H5" s="12">
        <f>IFERROR(__xludf.DUMMYFUNCTION("""COMPUTED_VALUE"""),6512.0)</f>
        <v>6512</v>
      </c>
      <c r="I5" s="12">
        <f>IFERROR(__xludf.DUMMYFUNCTION("""COMPUTED_VALUE"""),183.0)</f>
        <v>183</v>
      </c>
      <c r="J5" s="10" t="str">
        <f>IFERROR(__xludf.DUMMYFUNCTION("""COMPUTED_VALUE"""),"[{""loc"": 3548203, ""ratio"": 0.9990879760953438, ""language"": ""Python""}, {""loc"": 1807, ""ratio"": 0.0005088074083710222, ""language"": ""Shell""}, {""loc"": 1432, ""ratio"": 0.0004032164962851709, ""language"": ""Batchfile""}]")</f>
        <v>[{"loc": 3548203, "ratio": 0.9990879760953438, "language": "Python"}, {"loc": 1807, "ratio": 0.0005088074083710222, "language": "Shell"}, {"loc": 1432, "ratio": 0.0004032164962851709, "language": "Batchfile"}]</v>
      </c>
      <c r="K5" s="13">
        <f>IFERROR(__xludf.DUMMYFUNCTION("""COMPUTED_VALUE"""),41233.0)</f>
        <v>41233</v>
      </c>
      <c r="L5" s="13">
        <f>IFERROR(__xludf.DUMMYFUNCTION("""COMPUTED_VALUE"""),43455.0)</f>
        <v>43455</v>
      </c>
      <c r="M5" s="10">
        <f>IFERROR(__xludf.DUMMYFUNCTION("""COMPUTED_VALUE"""),480.0)</f>
        <v>480</v>
      </c>
      <c r="N5" s="12">
        <f>IFERROR(__xludf.DUMMYFUNCTION("""COMPUTED_VALUE"""),686.0)</f>
        <v>686</v>
      </c>
      <c r="O5" s="12" t="str">
        <f>IFERROR(__xludf.DUMMYFUNCTION("""COMPUTED_VALUE"""),"1.16.96")</f>
        <v>1.16.96</v>
      </c>
      <c r="P5" s="12" t="str">
        <f>IFERROR(__xludf.DUMMYFUNCTION("""COMPUTED_VALUE"""),"8bae3a2a1a20c56e2f7fbd72a2593b5252b323d9")</f>
        <v>8bae3a2a1a20c56e2f7fbd72a2593b5252b323d9</v>
      </c>
      <c r="Q5" s="12" t="str">
        <f>IFERROR(__xludf.DUMMYFUNCTION("""COMPUTED_VALUE"""),"{""key"": ""other"", ""url"": null, ""name"": ""Other"", ""node_id"": ""MDc6TGljZW5zZTA="", ""spdx_id"": ""NOASSERTION""}")</f>
        <v>{"key": "other", "url": null, "name": "Other", "node_id": "MDc6TGljZW5zZTA=", "spdx_id": "NOASSERTION"}</v>
      </c>
      <c r="R5" s="12" t="str">
        <f>IFERROR(__xludf.DUMMYFUNCTION("""COMPUTED_VALUE"""),"aws-cli")</f>
        <v>aws-cli</v>
      </c>
      <c r="S5" s="12" t="str">
        <f>IFERROR(__xludf.DUMMYFUNCTION("""COMPUTED_VALUE"""),"{""id"": 6780767, ""url"": ""https://api.github.com/repos/aws/aws-cli"", ""fork"": false, ""name"": ""aws-cli"", ""size"": 17717, ""forks"": 1529, ""owner"": {""id"": 2232217, ""url"": ""https://api.github.com/users/aws"", ""type"": ""Organization"", ""lo"&amp;"gin"": ""aws"", ""node_id"": ""MDEyOk9yZ2FuaXphdGlvbjIyMzIyMTc="", ""html_url"": ""https://github.com/aws"", ""gists_url"": ""https://api.github.com/users/aws/gists{/gist_id}"", ""repos_url"": ""https://api.github.com/users/aws/repos"", ""avatar_url"": """&amp;"https://avatars3.githubusercontent.com/u/2232217?v=4"", ""events_url"": ""https://api.github.com/users/aws/events{/privacy}"", ""site_admin"": false, ""gravatar_id"": """", ""starred_url"": ""https://api.github.com/users/aws/starred{/owner}{/repo}"", ""fo"&amp;"llowers_url"": ""https://api.github.com/users/aws/followers"", ""following_url"": ""https://api.github.com/users/aws/following{/other_user}"", ""organizations_url"": ""https://api.github.com/users/aws/orgs"", ""subscriptions_url"": ""https://api.github.co"&amp;"m/users/aws/subscriptions"", ""received_events_url"": ""https://api.github.com/users/aws/received_events""}, ""score"": 1.0, ""topics"": [""aws"", ""aws-cli"", ""cloud"", ""cloud-management""], ""git_url"": ""git://github.com/aws/aws-cli.git"", ""license"&amp;""": {""key"": ""other"", ""url"": null, ""name"": ""Other"", ""node_id"": ""MDc6TGljZW5zZTA="", ""spdx_id"": ""NOASSERTION""}, ""node_id"": ""MDEwOlJlcG9zaXRvcnk2NzgwNzY3"", ""private"": false, ""ssh_url"": ""git@github.com:aws/aws-cli.git"", ""svn_url"":"&amp;" ""https://github.com/aws/aws-cli"", ""archived"": false, ""has_wiki"": false, ""homepage"": null, ""html_url"": ""https://github.com/aws/aws-cli"", ""keys_url"": ""https://api.github.com/repos/aws/aws-cli/keys{/key_id}"", ""language"": ""Python"", ""tags"&amp;"_url"": ""https://api.github.com/repos/aws/aws-cli/tags"", ""watchers"": 7340, ""blobs_url"": ""https://api.github.com/repos/aws/aws-cli/git/blobs{/sha}"", ""clone_url"": ""https://github.com/aws/aws-cli.git"", ""forks_url"": ""https://api.github.com/repo"&amp;"s/aws/aws-cli/forks"", ""full_name"": ""aws/aws-cli"", ""has_pages"": false, ""hooks_url"": ""https://api.github.com/repos/aws/aws-cli/hooks"", ""pulls_url"": ""https://api.github.com/repos/aws/aws-cli/pulls{/number}"", ""pushed_at"": ""2018-12-21T23:06:0"&amp;"5Z"", ""teams_url"": ""https://api.github.com/repos/aws/aws-cli/teams"", ""trees_url"": ""https://api.github.com/repos/aws/aws-cli/git/trees{/sha}"", ""created_at"": ""2012-11-20T16:07:36Z"", ""events_url"": ""https://api.github.com/repos/aws/aws-cli/even"&amp;"ts"", ""has_issues"": true, ""issues_url"": ""https://api.github.com/repos/aws/aws-cli/issues{/number}"", ""labels_url"": ""https://api.github.com/repos/aws/aws-cli/labels{/name}"", ""merges_url"": ""https://api.github.com/repos/aws/aws-cli/merges"", ""mi"&amp;"rror_url"": null, ""updated_at"": ""2018-12-24T17:08:06Z"", ""archive_url"": ""https://api.github.com/repos/aws/aws-cli/{archive_format}{/ref}"", ""commits_url"": ""https://api.github.com/repos/aws/aws-cli/commits{/sha}"", ""compare_url"": ""https://api.g"&amp;"ithub.com/repos/aws/aws-cli/compare/{base}...{head}"", ""description"": ""Universal Command Line Interface for Amazon Web Services"", ""forks_count"": 1529, ""open_issues"": 480, ""permissions"": {""pull"": true, ""push"": false, ""admin"": false}, ""bran"&amp;"ches_url"": ""https://api.github.com/repos/aws/aws-cli/branches{/branch}"", ""comments_url"": ""https://api.github.com/repos/aws/aws-cli/comments{/number}"", ""contents_url"": ""https://api.github.com/repos/aws/aws-cli/contents/{+path}"", ""git_refs_url"""&amp;": ""https://api.github.com/repos/aws/aws-cli/git/refs{/sha}"", ""git_tags_url"": ""https://api.github.com/repos/aws/aws-cli/git/tags{/sha}"", ""has_projects"": true, ""releases_url"": ""https://api.github.com/repos/aws/aws-cli/releases{/id}"", ""statuses_"&amp;"url"": ""https://api.github.com/repos/aws/aws-cli/statuses/{sha}"", ""assignees_url"": ""https://api.github.com/repos/aws/aws-cli/assignees{/user}"", ""downloads_url"": ""https://api.github.com/repos/aws/aws-cli/downloads"", ""has_downloads"": true, ""lan"&amp;"guages_url"": ""https://api.github.com/repos/aws/aws-cli/languages"", ""default_branch"": ""develop"", ""milestones_url"": ""https://api.github.com/repos/aws/aws-cli/milestones{/number}"", ""stargazers_url"": ""https://api.github.com/repos/aws/aws-cli/sta"&amp;"rgazers"", ""watchers_count"": 7340, ""deployments_url"": ""https://api.github.com/repos/aws/aws-cli/deployments"", ""git_commits_url"": ""https://api.github.com/repos/aws/aws-cli/git/commits{/sha}"", ""subscribers_url"": ""https://api.github.com/repos/aw"&amp;"s/aws-cli/subscribers"", ""contributors_url"": ""https://api.github.com/repos/aws/aws-cli/contributors"", ""issue_events_url"": ""https://api.github.com/repos/aws/aws-cli/issues/events{/number}"", ""stargazers_count"": 7340, ""subscription_url"": ""https:"&amp;"//api.github.com/repos/aws/aws-cli/subscription"", ""collaborators_url"": ""https://api.github.com/repos/aws/aws-cli/collaborators{/collaborator}"", ""issue_comment_url"": ""https://api.github.com/repos/aws/aws-cli/issues/comments{/number}"", ""notificati"&amp;"ons_url"": ""https://api.github.com/repos/aws/aws-cli/notifications{?since,all,participating}"", ""open_issues_count"": 480}")</f>
        <v>{"id": 6780767, "url": "https://api.github.com/repos/aws/aws-cli", "fork": false, "name": "aws-cli", "size": 17717, "forks": 1529, "owner": {"id": 2232217, "url": "https://api.github.com/users/aws", "type": "Organization", "login": "aws", "node_id": "MDEyOk9yZ2FuaXphdGlvbjIyMzIyMTc=", "html_url": "https://github.com/aws", "gists_url": "https://api.github.com/users/aws/gists{/gist_id}", "repos_url": "https://api.github.com/users/aws/repos", "avatar_url": "https://avatars3.githubusercontent.com/u/2232217?v=4", "events_url": "https://api.github.com/users/aws/events{/privacy}", "site_admin": false, "gravatar_id": "", "starred_url": "https://api.github.com/users/aws/starred{/owner}{/repo}", "followers_url": "https://api.github.com/users/aws/followers", "following_url": "https://api.github.com/users/aws/following{/other_user}", "organizations_url": "https://api.github.com/users/aws/orgs", "subscriptions_url": "https://api.github.com/users/aws/subscriptions", "received_events_url": "https://api.github.com/users/aws/received_events"}, "score": 1.0, "topics": ["aws", "aws-cli", "cloud", "cloud-management"], "git_url": "git://github.com/aws/aws-cli.git", "license": {"key": "other", "url": null, "name": "Other", "node_id": "MDc6TGljZW5zZTA=", "spdx_id": "NOASSERTION"}, "node_id": "MDEwOlJlcG9zaXRvcnk2NzgwNzY3", "private": false, "ssh_url": "git@github.com:aws/aws-cli.git", "svn_url": "https://github.com/aws/aws-cli", "archived": false, "has_wiki": false, "homepage": null, "html_url": "https://github.com/aws/aws-cli", "keys_url": "https://api.github.com/repos/aws/aws-cli/keys{/key_id}", "language": "Python", "tags_url": "https://api.github.com/repos/aws/aws-cli/tags", "watchers": 7340, "blobs_url": "https://api.github.com/repos/aws/aws-cli/git/blobs{/sha}", "clone_url": "https://github.com/aws/aws-cli.git", "forks_url": "https://api.github.com/repos/aws/aws-cli/forks", "full_name": "aws/aws-cli", "has_pages": false, "hooks_url": "https://api.github.com/repos/aws/aws-cli/hooks", "pulls_url": "https://api.github.com/repos/aws/aws-cli/pulls{/number}", "pushed_at": "2018-12-21T23:06:05Z", "teams_url": "https://api.github.com/repos/aws/aws-cli/teams", "trees_url": "https://api.github.com/repos/aws/aws-cli/git/trees{/sha}", "created_at": "2012-11-20T16:07:36Z", "events_url": "https://api.github.com/repos/aws/aws-cli/events", "has_issues": true, "issues_url": "https://api.github.com/repos/aws/aws-cli/issues{/number}", "labels_url": "https://api.github.com/repos/aws/aws-cli/labels{/name}", "merges_url": "https://api.github.com/repos/aws/aws-cli/merges", "mirror_url": null, "updated_at": "2018-12-24T17:08:06Z", "archive_url": "https://api.github.com/repos/aws/aws-cli/{archive_format}{/ref}", "commits_url": "https://api.github.com/repos/aws/aws-cli/commits{/sha}", "compare_url": "https://api.github.com/repos/aws/aws-cli/compare/{base}...{head}", "description": "Universal Command Line Interface for Amazon Web Services", "forks_count": 1529, "open_issues": 480, "permissions": {"pull": true, "push": false, "admin": false}, "branches_url": "https://api.github.com/repos/aws/aws-cli/branches{/branch}", "comments_url": "https://api.github.com/repos/aws/aws-cli/comments{/number}", "contents_url": "https://api.github.com/repos/aws/aws-cli/contents/{+path}", "git_refs_url": "https://api.github.com/repos/aws/aws-cli/git/refs{/sha}", "git_tags_url": "https://api.github.com/repos/aws/aws-cli/git/tags{/sha}", "has_projects": true, "releases_url": "https://api.github.com/repos/aws/aws-cli/releases{/id}", "statuses_url": "https://api.github.com/repos/aws/aws-cli/statuses/{sha}", "assignees_url": "https://api.github.com/repos/aws/aws-cli/assignees{/user}", "downloads_url": "https://api.github.com/repos/aws/aws-cli/downloads", "has_downloads": true, "languages_url": "https://api.github.com/repos/aws/aws-cli/languages", "default_branch": "develop", "milestones_url": "https://api.github.com/repos/aws/aws-cli/milestones{/number}", "stargazers_url": "https://api.github.com/repos/aws/aws-cli/stargazers", "watchers_count": 7340, "deployments_url": "https://api.github.com/repos/aws/aws-cli/deployments", "git_commits_url": "https://api.github.com/repos/aws/aws-cli/git/commits{/sha}", "subscribers_url": "https://api.github.com/repos/aws/aws-cli/subscribers", "contributors_url": "https://api.github.com/repos/aws/aws-cli/contributors", "issue_events_url": "https://api.github.com/repos/aws/aws-cli/issues/events{/number}", "stargazers_count": 7340, "subscription_url": "https://api.github.com/repos/aws/aws-cli/subscription", "collaborators_url": "https://api.github.com/repos/aws/aws-cli/collaborators{/collaborator}", "issue_comment_url": "https://api.github.com/repos/aws/aws-cli/issues/comments{/number}", "notifications_url": "https://api.github.com/repos/aws/aws-cli/notifications{?since,all,participating}", "open_issues_count": 480}</v>
      </c>
      <c r="T5" s="12">
        <f>IFERROR(__xludf.DUMMYFUNCTION("""COMPUTED_VALUE"""),0.999087976)</f>
        <v>0.999087976</v>
      </c>
      <c r="U5" s="12">
        <f>IFERROR(__xludf.DUMMYFUNCTION("""COMPUTED_VALUE"""),3548203.0)</f>
        <v>3548203</v>
      </c>
      <c r="V5" s="14">
        <f>IFERROR(__xludf.DUMMYFUNCTION("""COMPUTED_VALUE"""),73.0)</f>
        <v>73</v>
      </c>
      <c r="W5" s="15" t="str">
        <f>IFERROR(__xludf.DUMMYFUNCTION("IFERROR(REGEXEXTRACT(J5,""""""ratio"""": (\d+.\d+), """"language"""": """"Python""""""),"""")"),"0.9990879760953438")</f>
        <v>0.9990879760953438</v>
      </c>
      <c r="X5" s="15" t="str">
        <f t="shared" si="1"/>
        <v>aws, aws-cli, cloud, cloud-management</v>
      </c>
    </row>
    <row r="6">
      <c r="A6" s="10" t="str">
        <f>IFERROR(__xludf.DUMMYFUNCTION("""COMPUTED_VALUE"""),"beetbox/beets")</f>
        <v>beetbox/beets</v>
      </c>
      <c r="B6" s="10" t="str">
        <f>IFERROR(__xludf.DUMMYFUNCTION("""COMPUTED_VALUE"""),"music library manager and MusicBrainz tagger")</f>
        <v>music library manager and MusicBrainz tagger</v>
      </c>
      <c r="C6" s="11" t="str">
        <f>IFERROR(__xludf.DUMMYFUNCTION("""COMPUTED_VALUE"""),"https://github.com/beetbox/beets")</f>
        <v>https://github.com/beetbox/beets</v>
      </c>
      <c r="D6" s="10">
        <f>IFERROR(__xludf.DUMMYFUNCTION("""COMPUTED_VALUE"""),8410.0)</f>
        <v>8410</v>
      </c>
      <c r="E6" s="10">
        <f>IFERROR(__xludf.DUMMYFUNCTION("""COMPUTED_VALUE"""),471.0)</f>
        <v>471</v>
      </c>
      <c r="F6" s="10">
        <f>IFERROR(__xludf.DUMMYFUNCTION("""COMPUTED_VALUE"""),17991.0)</f>
        <v>17991</v>
      </c>
      <c r="G6" s="10" t="str">
        <f>IFERROR(__xludf.DUMMYFUNCTION("""COMPUTED_VALUE"""),"""[\""cli\"", \""music\"", \""music-library\"", \""musicbrainz\"", \""python\""]""")</f>
        <v>"[\"cli\", \"music\", \"music-library\", \"musicbrainz\", \"python\"]"</v>
      </c>
      <c r="H6" s="12">
        <f>IFERROR(__xludf.DUMMYFUNCTION("""COMPUTED_VALUE"""),8359.0)</f>
        <v>8359</v>
      </c>
      <c r="I6" s="12">
        <f>IFERROR(__xludf.DUMMYFUNCTION("""COMPUTED_VALUE"""),298.0)</f>
        <v>298</v>
      </c>
      <c r="J6" s="10" t="str">
        <f>IFERROR(__xludf.DUMMYFUNCTION("""COMPUTED_VALUE"""),"[{""loc"": 1942780, ""ratio"": 0.9512091467427067, ""language"": ""Python""}, {""loc"": 85947, ""ratio"": 0.04208071553912199, ""language"": ""JavaScript""}, {""loc"": 7448, ""ratio"": 0.0036466330335599914, ""language"": ""Shell""}, {""loc"": 3306, ""rat"&amp;"io"": 0.001618658540406731, ""language"": ""HTML""}, {""loc"": 2951, ""ratio"": 0.0014448461442045561, ""language"": ""CSS""}]")</f>
        <v>[{"loc": 1942780, "ratio": 0.9512091467427067, "language": "Python"}, {"loc": 85947, "ratio": 0.04208071553912199, "language": "JavaScript"}, {"loc": 7448, "ratio": 0.0036466330335599914, "language": "Shell"}, {"loc": 3306, "ratio": 0.001618658540406731, "language": "HTML"}, {"loc": 2951, "ratio": 0.0014448461442045561, "language": "CSS"}]</v>
      </c>
      <c r="K6" s="13">
        <f>IFERROR(__xludf.DUMMYFUNCTION("""COMPUTED_VALUE"""),40399.0)</f>
        <v>40399</v>
      </c>
      <c r="L6" s="13">
        <f>IFERROR(__xludf.DUMMYFUNCTION("""COMPUTED_VALUE"""),43455.0)</f>
        <v>43455</v>
      </c>
      <c r="M6" s="10">
        <f>IFERROR(__xludf.DUMMYFUNCTION("""COMPUTED_VALUE"""),631.0)</f>
        <v>631</v>
      </c>
      <c r="N6" s="12">
        <f>IFERROR(__xludf.DUMMYFUNCTION("""COMPUTED_VALUE"""),52.0)</f>
        <v>52</v>
      </c>
      <c r="O6" s="12" t="str">
        <f>IFERROR(__xludf.DUMMYFUNCTION("""COMPUTED_VALUE"""),"v1.4.7")</f>
        <v>v1.4.7</v>
      </c>
      <c r="P6" s="12" t="str">
        <f>IFERROR(__xludf.DUMMYFUNCTION("""COMPUTED_VALUE"""),"a469b3284ef09d5d4be8610dd9cd34cf0283a91a")</f>
        <v>a469b3284ef09d5d4be8610dd9cd34cf0283a91a</v>
      </c>
      <c r="Q6" s="12" t="str">
        <f>IFERROR(__xludf.DUMMYFUNCTION("""COMPUTED_VALUE"""),"{""key"": ""mit"", ""url"": ""https://api.github.com/licenses/mit"", ""name"": ""MIT License"", ""node_id"": ""MDc6TGljZW5zZTEz"", ""spdx_id"": ""MIT""}")</f>
        <v>{"key": "mit", "url": "https://api.github.com/licenses/mit", "name": "MIT License", "node_id": "MDc6TGljZW5zZTEz", "spdx_id": "MIT"}</v>
      </c>
      <c r="R6" s="12" t="str">
        <f>IFERROR(__xludf.DUMMYFUNCTION("""COMPUTED_VALUE"""),"beets")</f>
        <v>beets</v>
      </c>
      <c r="S6" s="12" t="str">
        <f>IFERROR(__xludf.DUMMYFUNCTION("""COMPUTED_VALUE"""),"{""id"": 827590, ""url"": ""https://api.github.com/repos/beetbox/beets"", ""fork"": false, ""name"": ""beets"", ""size"": 17991, ""forks"": 1492, ""owner"": {""id"": 15920313, ""url"": ""https://api.github.com/users/beetbox"", ""type"": ""Organization"", "&amp;"""login"": ""beetbox"", ""node_id"": ""MDEyOk9yZ2FuaXphdGlvbjE1OTIwMzEz"", ""html_url"": ""https://github.com/beetbox"", ""gists_url"": ""https://api.github.com/users/beetbox/gists{/gist_id}"", ""repos_url"": ""https://api.github.com/users/beetbox/repos"""&amp;", ""avatar_url"": ""https://avatars1.githubusercontent.com/u/15920313?v=4"", ""events_url"": ""https://api.github.com/users/beetbox/events{/privacy}"", ""site_admin"": false, ""gravatar_id"": """", ""starred_url"": ""https://api.github.com/users/beetbox/s"&amp;"tarred{/owner}{/repo}"", ""followers_url"": ""https://api.github.com/users/beetbox/followers"", ""following_url"": ""https://api.github.com/users/beetbox/following{/other_user}"", ""organizations_url"": ""https://api.github.com/users/beetbox/orgs"", ""sub"&amp;"scriptions_url"": ""https://api.github.com/users/beetbox/subscriptions"", ""received_events_url"": ""https://api.github.com/users/beetbox/received_events""}, ""score"": 1.0, ""topics"": [""cli"", ""music"", ""music-library"", ""musicbrainz"", ""python""],"&amp;" ""git_url"": ""git://github.com/beetbox/beets.git"", ""license"": {""key"": ""mit"", ""url"": ""https://api.github.com/licenses/mit"", ""name"": ""MIT License"", ""node_id"": ""MDc6TGljZW5zZTEz"", ""spdx_id"": ""MIT""}, ""node_id"": ""MDEwOlJlcG9zaXRvcnk"&amp;"4Mjc1OTA="", ""private"": false, ""ssh_url"": ""git@github.com:beetbox/beets.git"", ""svn_url"": ""https://github.com/beetbox/beets"", ""archived"": false, ""has_wiki"": true, ""homepage"": ""http://beets.io/"", ""html_url"": ""https://github.com/beetbox/"&amp;"beets"", ""keys_url"": ""https://api.github.com/repos/beetbox/beets/keys{/key_id}"", ""language"": ""Python"", ""tags_url"": ""https://api.github.com/repos/beetbox/beets/tags"", ""watchers"": 8410, ""blobs_url"": ""https://api.github.com/repos/beetbox/bee"&amp;"ts/git/blobs{/sha}"", ""clone_url"": ""https://github.com/beetbox/beets.git"", ""forks_url"": ""https://api.github.com/repos/beetbox/beets/forks"", ""full_name"": ""beetbox/beets"", ""has_pages"": true, ""hooks_url"": ""https://api.github.com/repos/beetbo"&amp;"x/beets/hooks"", ""pulls_url"": ""https://api.github.com/repos/beetbox/beets/pulls{/number}"", ""pushed_at"": ""2018-12-21T16:45:41Z"", ""teams_url"": ""https://api.github.com/repos/beetbox/beets/teams"", ""trees_url"": ""https://api.github.com/repos/beet"&amp;"box/beets/git/trees{/sha}"", ""created_at"": ""2010-08-09T23:17:20Z"", ""events_url"": ""https://api.github.com/repos/beetbox/beets/events"", ""has_issues"": true, ""issues_url"": ""https://api.github.com/repos/beetbox/beets/issues{/number}"", ""labels_ur"&amp;"l"": ""https://api.github.com/repos/beetbox/beets/labels{/name}"", ""merges_url"": ""https://api.github.com/repos/beetbox/beets/merges"", ""mirror_url"": null, ""updated_at"": ""2018-12-24T18:23:56Z"", ""archive_url"": ""https://api.github.com/repos/beetb"&amp;"ox/beets/{archive_format}{/ref}"", ""commits_url"": ""https://api.github.com/repos/beetbox/beets/commits{/sha}"", ""compare_url"": ""https://api.github.com/repos/beetbox/beets/compare/{base}...{head}"", ""description"": ""music library manager and MusicBr"&amp;"ainz tagger"", ""forks_count"": 1492, ""open_issues"": 631, ""permissions"": {""pull"": true, ""push"": false, ""admin"": false}, ""branches_url"": ""https://api.github.com/repos/beetbox/beets/branches{/branch}"", ""comments_url"": ""https://api.github.co"&amp;"m/repos/beetbox/beets/comments{/number}"", ""contents_url"": ""https://api.github.com/repos/beetbox/beets/contents/{+path}"", ""git_refs_url"": ""https://api.github.com/repos/beetbox/beets/git/refs{/sha}"", ""git_tags_url"": ""https://api.github.com/repos"&amp;"/beetbox/beets/git/tags{/sha}"", ""has_projects"": true, ""releases_url"": ""https://api.github.com/repos/beetbox/beets/releases{/id}"", ""statuses_url"": ""https://api.github.com/repos/beetbox/beets/statuses/{sha}"", ""assignees_url"": ""https://api.gith"&amp;"ub.com/repos/beetbox/beets/assignees{/user}"", ""downloads_url"": ""https://api.github.com/repos/beetbox/beets/downloads"", ""has_downloads"": false, ""languages_url"": ""https://api.github.com/repos/beetbox/beets/languages"", ""default_branch"": ""master"&amp;""", ""milestones_url"": ""https://api.github.com/repos/beetbox/beets/milestones{/number}"", ""stargazers_url"": ""https://api.github.com/repos/beetbox/beets/stargazers"", ""watchers_count"": 8410, ""deployments_url"": ""https://api.github.com/repos/beetbo"&amp;"x/beets/deployments"", ""git_commits_url"": ""https://api.github.com/repos/beetbox/beets/git/commits{/sha}"", ""subscribers_url"": ""https://api.github.com/repos/beetbox/beets/subscribers"", ""contributors_url"": ""https://api.github.com/repos/beetbox/bee"&amp;"ts/contributors"", ""issue_events_url"": ""https://api.github.com/repos/beetbox/beets/issues/events{/number}"", ""stargazers_count"": 8410, ""subscription_url"": ""https://api.github.com/repos/beetbox/beets/subscription"", ""collaborators_url"": ""https:/"&amp;"/api.github.com/repos/beetbox/beets/collaborators{/collaborator}"", ""issue_comment_url"": ""https://api.github.com/repos/beetbox/beets/issues/comments{/number}"", ""notifications_url"": ""https://api.github.com/repos/beetbox/beets/notifications{?since,al"&amp;"l,participating}"", ""open_issues_count"": 631}")</f>
        <v>{"id": 827590, "url": "https://api.github.com/repos/beetbox/beets", "fork": false, "name": "beets", "size": 17991, "forks": 1492, "owner": {"id": 15920313, "url": "https://api.github.com/users/beetbox", "type": "Organization", "login": "beetbox", "node_id": "MDEyOk9yZ2FuaXphdGlvbjE1OTIwMzEz", "html_url": "https://github.com/beetbox", "gists_url": "https://api.github.com/users/beetbox/gists{/gist_id}", "repos_url": "https://api.github.com/users/beetbox/repos", "avatar_url": "https://avatars1.githubusercontent.com/u/15920313?v=4", "events_url": "https://api.github.com/users/beetbox/events{/privacy}", "site_admin": false, "gravatar_id": "", "starred_url": "https://api.github.com/users/beetbox/starred{/owner}{/repo}", "followers_url": "https://api.github.com/users/beetbox/followers", "following_url": "https://api.github.com/users/beetbox/following{/other_user}", "organizations_url": "https://api.github.com/users/beetbox/orgs", "subscriptions_url": "https://api.github.com/users/beetbox/subscriptions", "received_events_url": "https://api.github.com/users/beetbox/received_events"}, "score": 1.0, "topics": ["cli", "music", "music-library", "musicbrainz", "python"], "git_url": "git://github.com/beetbox/beets.git", "license": {"key": "mit", "url": "https://api.github.com/licenses/mit", "name": "MIT License", "node_id": "MDc6TGljZW5zZTEz", "spdx_id": "MIT"}, "node_id": "MDEwOlJlcG9zaXRvcnk4Mjc1OTA=", "private": false, "ssh_url": "git@github.com:beetbox/beets.git", "svn_url": "https://github.com/beetbox/beets", "archived": false, "has_wiki": true, "homepage": "http://beets.io/", "html_url": "https://github.com/beetbox/beets", "keys_url": "https://api.github.com/repos/beetbox/beets/keys{/key_id}", "language": "Python", "tags_url": "https://api.github.com/repos/beetbox/beets/tags", "watchers": 8410, "blobs_url": "https://api.github.com/repos/beetbox/beets/git/blobs{/sha}", "clone_url": "https://github.com/beetbox/beets.git", "forks_url": "https://api.github.com/repos/beetbox/beets/forks", "full_name": "beetbox/beets", "has_pages": true, "hooks_url": "https://api.github.com/repos/beetbox/beets/hooks", "pulls_url": "https://api.github.com/repos/beetbox/beets/pulls{/number}", "pushed_at": "2018-12-21T16:45:41Z", "teams_url": "https://api.github.com/repos/beetbox/beets/teams", "trees_url": "https://api.github.com/repos/beetbox/beets/git/trees{/sha}", "created_at": "2010-08-09T23:17:20Z", "events_url": "https://api.github.com/repos/beetbox/beets/events", "has_issues": true, "issues_url": "https://api.github.com/repos/beetbox/beets/issues{/number}", "labels_url": "https://api.github.com/repos/beetbox/beets/labels{/name}", "merges_url": "https://api.github.com/repos/beetbox/beets/merges", "mirror_url": null, "updated_at": "2018-12-24T18:23:56Z", "archive_url": "https://api.github.com/repos/beetbox/beets/{archive_format}{/ref}", "commits_url": "https://api.github.com/repos/beetbox/beets/commits{/sha}", "compare_url": "https://api.github.com/repos/beetbox/beets/compare/{base}...{head}", "description": "music library manager and MusicBrainz tagger", "forks_count": 1492, "open_issues": 631, "permissions": {"pull": true, "push": false, "admin": false}, "branches_url": "https://api.github.com/repos/beetbox/beets/branches{/branch}", "comments_url": "https://api.github.com/repos/beetbox/beets/comments{/number}", "contents_url": "https://api.github.com/repos/beetbox/beets/contents/{+path}", "git_refs_url": "https://api.github.com/repos/beetbox/beets/git/refs{/sha}", "git_tags_url": "https://api.github.com/repos/beetbox/beets/git/tags{/sha}", "has_projects": true, "releases_url": "https://api.github.com/repos/beetbox/beets/releases{/id}", "statuses_url": "https://api.github.com/repos/beetbox/beets/statuses/{sha}", "assignees_url": "https://api.github.com/repos/beetbox/beets/assignees{/user}", "downloads_url": "https://api.github.com/repos/beetbox/beets/downloads", "has_downloads": false, "languages_url": "https://api.github.com/repos/beetbox/beets/languages", "default_branch": "master", "milestones_url": "https://api.github.com/repos/beetbox/beets/milestones{/number}", "stargazers_url": "https://api.github.com/repos/beetbox/beets/stargazers", "watchers_count": 8410, "deployments_url": "https://api.github.com/repos/beetbox/beets/deployments", "git_commits_url": "https://api.github.com/repos/beetbox/beets/git/commits{/sha}", "subscribers_url": "https://api.github.com/repos/beetbox/beets/subscribers", "contributors_url": "https://api.github.com/repos/beetbox/beets/contributors", "issue_events_url": "https://api.github.com/repos/beetbox/beets/issues/events{/number}", "stargazers_count": 8410, "subscription_url": "https://api.github.com/repos/beetbox/beets/subscription", "collaborators_url": "https://api.github.com/repos/beetbox/beets/collaborators{/collaborator}", "issue_comment_url": "https://api.github.com/repos/beetbox/beets/issues/comments{/number}", "notifications_url": "https://api.github.com/repos/beetbox/beets/notifications{?since,all,participating}", "open_issues_count": 631}</v>
      </c>
      <c r="T6" s="12">
        <f>IFERROR(__xludf.DUMMYFUNCTION("""COMPUTED_VALUE"""),0.951209147)</f>
        <v>0.951209147</v>
      </c>
      <c r="U6" s="12">
        <f>IFERROR(__xludf.DUMMYFUNCTION("""COMPUTED_VALUE"""),1942780.0)</f>
        <v>1942780</v>
      </c>
      <c r="V6" s="14">
        <f>IFERROR(__xludf.DUMMYFUNCTION("""COMPUTED_VALUE"""),100.0)</f>
        <v>100</v>
      </c>
      <c r="W6" s="15" t="str">
        <f>IFERROR(__xludf.DUMMYFUNCTION("IFERROR(REGEXEXTRACT(J6,""""""ratio"""": (\d+.\d+), """"language"""": """"Python""""""),"""")"),"0.9512091467427067")</f>
        <v>0.9512091467427067</v>
      </c>
      <c r="X6" s="15" t="str">
        <f t="shared" si="1"/>
        <v>cli, music, music-library, musicbrainz, python</v>
      </c>
    </row>
    <row r="7">
      <c r="A7" s="10" t="str">
        <f>IFERROR(__xludf.DUMMYFUNCTION("""COMPUTED_VALUE"""),"biopython/biopython")</f>
        <v>biopython/biopython</v>
      </c>
      <c r="B7" s="10" t="str">
        <f>IFERROR(__xludf.DUMMYFUNCTION("""COMPUTED_VALUE"""),"Official git repository for Biopython (converted from CVS)")</f>
        <v>Official git repository for Biopython (converted from CVS)</v>
      </c>
      <c r="C7" s="11" t="str">
        <f>IFERROR(__xludf.DUMMYFUNCTION("""COMPUTED_VALUE"""),"https://github.com/biopython/biopython")</f>
        <v>https://github.com/biopython/biopython</v>
      </c>
      <c r="D7" s="10">
        <f>IFERROR(__xludf.DUMMYFUNCTION("""COMPUTED_VALUE"""),1581.0)</f>
        <v>1581</v>
      </c>
      <c r="E7" s="10">
        <f>IFERROR(__xludf.DUMMYFUNCTION("""COMPUTED_VALUE"""),149.0)</f>
        <v>149</v>
      </c>
      <c r="F7" s="10">
        <f>IFERROR(__xludf.DUMMYFUNCTION("""COMPUTED_VALUE"""),47835.0)</f>
        <v>47835</v>
      </c>
      <c r="G7" s="10" t="str">
        <f>IFERROR(__xludf.DUMMYFUNCTION("""COMPUTED_VALUE"""),"""[]""")</f>
        <v>"[]"</v>
      </c>
      <c r="H7" s="12">
        <f>IFERROR(__xludf.DUMMYFUNCTION("""COMPUTED_VALUE"""),12670.0)</f>
        <v>12670</v>
      </c>
      <c r="I7" s="12">
        <f>IFERROR(__xludf.DUMMYFUNCTION("""COMPUTED_VALUE"""),211.0)</f>
        <v>211</v>
      </c>
      <c r="J7" s="10" t="str">
        <f>IFERROR(__xludf.DUMMYFUNCTION("""COMPUTED_VALUE"""),"[{""loc"": 11778623, ""ratio"": 0.9081052704943539, ""language"": ""Python""}, {""loc"": 601577, ""ratio"": 0.04638023004116711, ""language"": ""C""}, {""loc"": 454926, ""ratio"": 0.035073768664207555, ""language"": ""Parrot""}, {""loc"": 75122, ""ratio"""&amp;": 0.0057917367870655885, ""language"": ""HTML""}, {""loc"": 43350, ""ratio"": 0.0033421872383495284, ""language"": ""PLpgSQL""}, {""loc"": 8928, ""ratio"": 0.0006883286658358614, ""language"": ""Nu""}, {""loc"": 5568, ""ratio"": 0.00042928024320946194, """&amp;"language"": ""Gnuplot""}, {""loc"": 1927, ""ratio"": 0.00014856735428603324, ""language"": ""Prolog""}, {""loc"": 527, ""ratio"": 0.00004063051152503348, ""language"": ""Roff""}]")</f>
        <v>[{"loc": 11778623, "ratio": 0.9081052704943539, "language": "Python"}, {"loc": 601577, "ratio": 0.04638023004116711, "language": "C"}, {"loc": 454926, "ratio": 0.035073768664207555, "language": "Parrot"}, {"loc": 75122, "ratio": 0.0057917367870655885, "language": "HTML"}, {"loc": 43350, "ratio": 0.0033421872383495284, "language": "PLpgSQL"}, {"loc": 8928, "ratio": 0.0006883286658358614, "language": "Nu"}, {"loc": 5568, "ratio": 0.00042928024320946194, "language": "Gnuplot"}, {"loc": 1927, "ratio": 0.00014856735428603324, "language": "Prolog"}, {"loc": 527, "ratio": 0.00004063051152503348, "language": "Roff"}]</v>
      </c>
      <c r="K7" s="13">
        <f>IFERROR(__xludf.DUMMYFUNCTION("""COMPUTED_VALUE"""),39887.0)</f>
        <v>39887</v>
      </c>
      <c r="L7" s="13">
        <f>IFERROR(__xludf.DUMMYFUNCTION("""COMPUTED_VALUE"""),43458.0)</f>
        <v>43458</v>
      </c>
      <c r="M7" s="10">
        <f>IFERROR(__xludf.DUMMYFUNCTION("""COMPUTED_VALUE"""),334.0)</f>
        <v>334</v>
      </c>
      <c r="N7" s="12">
        <f>IFERROR(__xludf.DUMMYFUNCTION("""COMPUTED_VALUE"""),56.0)</f>
        <v>56</v>
      </c>
      <c r="O7" s="12" t="str">
        <f>IFERROR(__xludf.DUMMYFUNCTION("""COMPUTED_VALUE"""),"biopython-173")</f>
        <v>biopython-173</v>
      </c>
      <c r="P7" s="12" t="str">
        <f>IFERROR(__xludf.DUMMYFUNCTION("""COMPUTED_VALUE"""),"9c4785fc9eaf8a3bc436c6c0b16e7a05019cade1")</f>
        <v>9c4785fc9eaf8a3bc436c6c0b16e7a05019cade1</v>
      </c>
      <c r="Q7" s="12" t="str">
        <f>IFERROR(__xludf.DUMMYFUNCTION("""COMPUTED_VALUE"""),"{""key"": ""other"", ""url"": null, ""name"": ""Other"", ""node_id"": ""MDc6TGljZW5zZTA="", ""spdx_id"": ""NOASSERTION""}")</f>
        <v>{"key": "other", "url": null, "name": "Other", "node_id": "MDc6TGljZW5zZTA=", "spdx_id": "NOASSERTION"}</v>
      </c>
      <c r="R7" s="12" t="str">
        <f>IFERROR(__xludf.DUMMYFUNCTION("""COMPUTED_VALUE"""),"biopython")</f>
        <v>biopython</v>
      </c>
      <c r="S7" s="12" t="str">
        <f>IFERROR(__xludf.DUMMYFUNCTION("""COMPUTED_VALUE"""),"{""id"": 151541, ""url"": ""https://api.github.com/repos/biopython/biopython"", ""fork"": false, ""name"": ""biopython"", ""size"": 47835, ""forks"": 829, ""owner"": {""id"": 54555, ""url"": ""https://api.github.com/users/biopython"", ""type"": ""Organiza"&amp;"tion"", ""login"": ""biopython"", ""node_id"": ""MDEyOk9yZ2FuaXphdGlvbjU0NTU1"", ""html_url"": ""https://github.com/biopython"", ""gists_url"": ""https://api.github.com/users/biopython/gists{/gist_id}"", ""repos_url"": ""https://api.github.com/users/biopy"&amp;"thon/repos"", ""avatar_url"": ""https://avatars3.githubusercontent.com/u/54555?v=4"", ""events_url"": ""https://api.github.com/users/biopython/events{/privacy}"", ""site_admin"": false, ""gravatar_id"": """", ""starred_url"": ""https://api.github.com/user"&amp;"s/biopython/starred{/owner}{/repo}"", ""followers_url"": ""https://api.github.com/users/biopython/followers"", ""following_url"": ""https://api.github.com/users/biopython/following{/other_user}"", ""organizations_url"": ""https://api.github.com/users/biop"&amp;"ython/orgs"", ""subscriptions_url"": ""https://api.github.com/users/biopython/subscriptions"", ""received_events_url"": ""https://api.github.com/users/biopython/received_events""}, ""score"": 1.0, ""topics"": [], ""git_url"": ""git://github.com/biopython/"&amp;"biopython.git"", ""license"": {""key"": ""other"", ""url"": null, ""name"": ""Other"", ""node_id"": ""MDc6TGljZW5zZTA="", ""spdx_id"": ""NOASSERTION""}, ""node_id"": ""MDEwOlJlcG9zaXRvcnkxNTE1NDE="", ""private"": false, ""ssh_url"": ""git@github.com:biopy"&amp;"thon/biopython.git"", ""svn_url"": ""https://github.com/biopython/biopython"", ""archived"": false, ""has_wiki"": false, ""homepage"": ""http://biopython.org/"", ""html_url"": ""https://github.com/biopython/biopython"", ""keys_url"": ""https://api.github."&amp;"com/repos/biopython/biopython/keys{/key_id}"", ""language"": ""Python"", ""tags_url"": ""https://api.github.com/repos/biopython/biopython/tags"", ""watchers"": 1581, ""blobs_url"": ""https://api.github.com/repos/biopython/biopython/git/blobs{/sha}"", ""cl"&amp;"one_url"": ""https://github.com/biopython/biopython.git"", ""forks_url"": ""https://api.github.com/repos/biopython/biopython/forks"", ""full_name"": ""biopython/biopython"", ""has_pages"": false, ""hooks_url"": ""https://api.github.com/repos/biopython/bio"&amp;"python/hooks"", ""pulls_url"": ""https://api.github.com/repos/biopython/biopython/pulls{/number}"", ""pushed_at"": ""2018-12-24T14:27:13Z"", ""teams_url"": ""https://api.github.com/repos/biopython/biopython/teams"", ""trees_url"": ""https://api.github.com"&amp;"/repos/biopython/biopython/git/trees{/sha}"", ""created_at"": ""2009-03-15T21:09:53Z"", ""events_url"": ""https://api.github.com/repos/biopython/biopython/events"", ""has_issues"": true, ""issues_url"": ""https://api.github.com/repos/biopython/biopython/i"&amp;"ssues{/number}"", ""labels_url"": ""https://api.github.com/repos/biopython/biopython/labels{/name}"", ""merges_url"": ""https://api.github.com/repos/biopython/biopython/merges"", ""mirror_url"": null, ""updated_at"": ""2018-12-24T11:29:50Z"", ""archive_ur"&amp;"l"": ""https://api.github.com/repos/biopython/biopython/{archive_format}{/ref}"", ""commits_url"": ""https://api.github.com/repos/biopython/biopython/commits{/sha}"", ""compare_url"": ""https://api.github.com/repos/biopython/biopython/compare/{base}...{he"&amp;"ad}"", ""description"": ""Official git repository for Biopython (converted from CVS)"", ""forks_count"": 829, ""open_issues"": 334, ""permissions"": {""pull"": true, ""push"": false, ""admin"": false}, ""branches_url"": ""https://api.github.com/repos/biop"&amp;"ython/biopython/branches{/branch}"", ""comments_url"": ""https://api.github.com/repos/biopython/biopython/comments{/number}"", ""contents_url"": ""https://api.github.com/repos/biopython/biopython/contents/{+path}"", ""git_refs_url"": ""https://api.github."&amp;"com/repos/biopython/biopython/git/refs{/sha}"", ""git_tags_url"": ""https://api.github.com/repos/biopython/biopython/git/tags{/sha}"", ""has_projects"": false, ""releases_url"": ""https://api.github.com/repos/biopython/biopython/releases{/id}"", ""statuse"&amp;"s_url"": ""https://api.github.com/repos/biopython/biopython/statuses/{sha}"", ""assignees_url"": ""https://api.github.com/repos/biopython/biopython/assignees{/user}"", ""downloads_url"": ""https://api.github.com/repos/biopython/biopython/downloads"", ""ha"&amp;"s_downloads"": false, ""languages_url"": ""https://api.github.com/repos/biopython/biopython/languages"", ""default_branch"": ""master"", ""milestones_url"": ""https://api.github.com/repos/biopython/biopython/milestones{/number}"", ""stargazers_url"": ""ht"&amp;"tps://api.github.com/repos/biopython/biopython/stargazers"", ""watchers_count"": 1581, ""deployments_url"": ""https://api.github.com/repos/biopython/biopython/deployments"", ""git_commits_url"": ""https://api.github.com/repos/biopython/biopython/git/commi"&amp;"ts{/sha}"", ""subscribers_url"": ""https://api.github.com/repos/biopython/biopython/subscribers"", ""contributors_url"": ""https://api.github.com/repos/biopython/biopython/contributors"", ""issue_events_url"": ""https://api.github.com/repos/biopython/biop"&amp;"ython/issues/events{/number}"", ""stargazers_count"": 1581, ""subscription_url"": ""https://api.github.com/repos/biopython/biopython/subscription"", ""collaborators_url"": ""https://api.github.com/repos/biopython/biopython/collaborators{/collaborator}"", "&amp;"""issue_comment_url"": ""https://api.github.com/repos/biopython/biopython/issues/comments{/number}"", ""notifications_url"": ""https://api.github.com/repos/biopython/biopython/notifications{?since,all,participating}"", ""open_issues_count"": 334}")</f>
        <v>{"id": 151541, "url": "https://api.github.com/repos/biopython/biopython", "fork": false, "name": "biopython", "size": 47835, "forks": 829, "owner": {"id": 54555, "url": "https://api.github.com/users/biopython", "type": "Organization", "login": "biopython", "node_id": "MDEyOk9yZ2FuaXphdGlvbjU0NTU1", "html_url": "https://github.com/biopython", "gists_url": "https://api.github.com/users/biopython/gists{/gist_id}", "repos_url": "https://api.github.com/users/biopython/repos", "avatar_url": "https://avatars3.githubusercontent.com/u/54555?v=4", "events_url": "https://api.github.com/users/biopython/events{/privacy}", "site_admin": false, "gravatar_id": "", "starred_url": "https://api.github.com/users/biopython/starred{/owner}{/repo}", "followers_url": "https://api.github.com/users/biopython/followers", "following_url": "https://api.github.com/users/biopython/following{/other_user}", "organizations_url": "https://api.github.com/users/biopython/orgs", "subscriptions_url": "https://api.github.com/users/biopython/subscriptions", "received_events_url": "https://api.github.com/users/biopython/received_events"}, "score": 1.0, "topics": [], "git_url": "git://github.com/biopython/biopython.git", "license": {"key": "other", "url": null, "name": "Other", "node_id": "MDc6TGljZW5zZTA=", "spdx_id": "NOASSERTION"}, "node_id": "MDEwOlJlcG9zaXRvcnkxNTE1NDE=", "private": false, "ssh_url": "git@github.com:biopython/biopython.git", "svn_url": "https://github.com/biopython/biopython", "archived": false, "has_wiki": false, "homepage": "http://biopython.org/", "html_url": "https://github.com/biopython/biopython", "keys_url": "https://api.github.com/repos/biopython/biopython/keys{/key_id}", "language": "Python", "tags_url": "https://api.github.com/repos/biopython/biopython/tags", "watchers": 1581, "blobs_url": "https://api.github.com/repos/biopython/biopython/git/blobs{/sha}", "clone_url": "https://github.com/biopython/biopython.git", "forks_url": "https://api.github.com/repos/biopython/biopython/forks", "full_name": "biopython/biopython", "has_pages": false, "hooks_url": "https://api.github.com/repos/biopython/biopython/hooks", "pulls_url": "https://api.github.com/repos/biopython/biopython/pulls{/number}", "pushed_at": "2018-12-24T14:27:13Z", "teams_url": "https://api.github.com/repos/biopython/biopython/teams", "trees_url": "https://api.github.com/repos/biopython/biopython/git/trees{/sha}", "created_at": "2009-03-15T21:09:53Z", "events_url": "https://api.github.com/repos/biopython/biopython/events", "has_issues": true, "issues_url": "https://api.github.com/repos/biopython/biopython/issues{/number}", "labels_url": "https://api.github.com/repos/biopython/biopython/labels{/name}", "merges_url": "https://api.github.com/repos/biopython/biopython/merges", "mirror_url": null, "updated_at": "2018-12-24T11:29:50Z", "archive_url": "https://api.github.com/repos/biopython/biopython/{archive_format}{/ref}", "commits_url": "https://api.github.com/repos/biopython/biopython/commits{/sha}", "compare_url": "https://api.github.com/repos/biopython/biopython/compare/{base}...{head}", "description": "Official git repository for Biopython (converted from CVS)", "forks_count": 829, "open_issues": 334, "permissions": {"pull": true, "push": false, "admin": false}, "branches_url": "https://api.github.com/repos/biopython/biopython/branches{/branch}", "comments_url": "https://api.github.com/repos/biopython/biopython/comments{/number}", "contents_url": "https://api.github.com/repos/biopython/biopython/contents/{+path}", "git_refs_url": "https://api.github.com/repos/biopython/biopython/git/refs{/sha}", "git_tags_url": "https://api.github.com/repos/biopython/biopython/git/tags{/sha}", "has_projects": false, "releases_url": "https://api.github.com/repos/biopython/biopython/releases{/id}", "statuses_url": "https://api.github.com/repos/biopython/biopython/statuses/{sha}", "assignees_url": "https://api.github.com/repos/biopython/biopython/assignees{/user}", "downloads_url": "https://api.github.com/repos/biopython/biopython/downloads", "has_downloads": false, "languages_url": "https://api.github.com/repos/biopython/biopython/languages", "default_branch": "master", "milestones_url": "https://api.github.com/repos/biopython/biopython/milestones{/number}", "stargazers_url": "https://api.github.com/repos/biopython/biopython/stargazers", "watchers_count": 1581, "deployments_url": "https://api.github.com/repos/biopython/biopython/deployments", "git_commits_url": "https://api.github.com/repos/biopython/biopython/git/commits{/sha}", "subscribers_url": "https://api.github.com/repos/biopython/biopython/subscribers", "contributors_url": "https://api.github.com/repos/biopython/biopython/contributors", "issue_events_url": "https://api.github.com/repos/biopython/biopython/issues/events{/number}", "stargazers_count": 1581, "subscription_url": "https://api.github.com/repos/biopython/biopython/subscription", "collaborators_url": "https://api.github.com/repos/biopython/biopython/collaborators{/collaborator}", "issue_comment_url": "https://api.github.com/repos/biopython/biopython/issues/comments{/number}", "notifications_url": "https://api.github.com/repos/biopython/biopython/notifications{?since,all,participating}", "open_issues_count": 334}</v>
      </c>
      <c r="T7" s="12">
        <f>IFERROR(__xludf.DUMMYFUNCTION("""COMPUTED_VALUE"""),0.90810527)</f>
        <v>0.90810527</v>
      </c>
      <c r="U7" s="12">
        <f>IFERROR(__xludf.DUMMYFUNCTION("""COMPUTED_VALUE"""),1.1778623E7)</f>
        <v>11778623</v>
      </c>
      <c r="V7" s="14">
        <f>IFERROR(__xludf.DUMMYFUNCTION("""COMPUTED_VALUE"""),117.0)</f>
        <v>117</v>
      </c>
      <c r="W7" s="15" t="str">
        <f>IFERROR(__xludf.DUMMYFUNCTION("IFERROR(REGEXEXTRACT(J7,""""""ratio"""": (\d+.\d+), """"language"""": """"Python""""""),"""")"),"0.9081052704943539")</f>
        <v>0.9081052704943539</v>
      </c>
      <c r="X7" s="15" t="str">
        <f t="shared" si="1"/>
        <v/>
      </c>
    </row>
    <row r="8">
      <c r="A8" s="10" t="str">
        <f>IFERROR(__xludf.DUMMYFUNCTION("""COMPUTED_VALUE"""),"boto/boto")</f>
        <v>boto/boto</v>
      </c>
      <c r="B8" s="10" t="str">
        <f>IFERROR(__xludf.DUMMYFUNCTION("""COMPUTED_VALUE"""),"For the latest version of boto, see https://github.com/boto/boto3 -- Python interface to Amazon Web Services")</f>
        <v>For the latest version of boto, see https://github.com/boto/boto3 -- Python interface to Amazon Web Services</v>
      </c>
      <c r="C8" s="11" t="str">
        <f>IFERROR(__xludf.DUMMYFUNCTION("""COMPUTED_VALUE"""),"https://github.com/boto/boto")</f>
        <v>https://github.com/boto/boto</v>
      </c>
      <c r="D8" s="10">
        <f>IFERROR(__xludf.DUMMYFUNCTION("""COMPUTED_VALUE"""),6258.0)</f>
        <v>6258</v>
      </c>
      <c r="E8" s="10">
        <f>IFERROR(__xludf.DUMMYFUNCTION("""COMPUTED_VALUE"""),309.0)</f>
        <v>309</v>
      </c>
      <c r="F8" s="10">
        <f>IFERROR(__xludf.DUMMYFUNCTION("""COMPUTED_VALUE"""),15822.0)</f>
        <v>15822</v>
      </c>
      <c r="G8" s="10" t="str">
        <f>IFERROR(__xludf.DUMMYFUNCTION("""COMPUTED_VALUE"""),"""[]""")</f>
        <v>"[]"</v>
      </c>
      <c r="H8" s="12">
        <f>IFERROR(__xludf.DUMMYFUNCTION("""COMPUTED_VALUE"""),7144.0)</f>
        <v>7144</v>
      </c>
      <c r="I8" s="12">
        <f>IFERROR(__xludf.DUMMYFUNCTION("""COMPUTED_VALUE"""),347.0)</f>
        <v>347</v>
      </c>
      <c r="J8" s="10" t="str">
        <f>IFERROR(__xludf.DUMMYFUNCTION("""COMPUTED_VALUE"""),"[{""loc"": 6684894, ""ratio"": 1.0, ""language"": ""Python""}]")</f>
        <v>[{"loc": 6684894, "ratio": 1.0, "language": "Python"}]</v>
      </c>
      <c r="K8" s="13">
        <f>IFERROR(__xludf.DUMMYFUNCTION("""COMPUTED_VALUE"""),40371.0)</f>
        <v>40371</v>
      </c>
      <c r="L8" s="13">
        <f>IFERROR(__xludf.DUMMYFUNCTION("""COMPUTED_VALUE"""),43408.0)</f>
        <v>43408</v>
      </c>
      <c r="M8" s="10">
        <f>IFERROR(__xludf.DUMMYFUNCTION("""COMPUTED_VALUE"""),1161.0)</f>
        <v>1161</v>
      </c>
      <c r="N8" s="12">
        <f>IFERROR(__xludf.DUMMYFUNCTION("""COMPUTED_VALUE"""),89.0)</f>
        <v>89</v>
      </c>
      <c r="O8" s="12" t="str">
        <f>IFERROR(__xludf.DUMMYFUNCTION("""COMPUTED_VALUE"""),"v2.13.2")</f>
        <v>v2.13.2</v>
      </c>
      <c r="P8" s="12" t="str">
        <f>IFERROR(__xludf.DUMMYFUNCTION("""COMPUTED_VALUE"""),"1ab0270cceca3ff30f5abb23951a6fb991ed3da4")</f>
        <v>1ab0270cceca3ff30f5abb23951a6fb991ed3da4</v>
      </c>
      <c r="Q8" s="12" t="str">
        <f>IFERROR(__xludf.DUMMYFUNCTION("""COMPUTED_VALUE"""),"{""key"": ""other"", ""url"": null, ""name"": ""Other"", ""node_id"": ""MDc6TGljZW5zZTA="", ""spdx_id"": ""NOASSERTION""}")</f>
        <v>{"key": "other", "url": null, "name": "Other", "node_id": "MDc6TGljZW5zZTA=", "spdx_id": "NOASSERTION"}</v>
      </c>
      <c r="R8" s="12" t="str">
        <f>IFERROR(__xludf.DUMMYFUNCTION("""COMPUTED_VALUE"""),"boto")</f>
        <v>boto</v>
      </c>
      <c r="S8" s="12" t="str">
        <f>IFERROR(__xludf.DUMMYFUNCTION("""COMPUTED_VALUE"""),"{""id"": 771016, ""url"": ""https://api.github.com/repos/boto/boto"", ""fork"": false, ""name"": ""boto"", ""size"": 15822, ""forks"": 2264, ""owner"": {""id"": 327752, ""url"": ""https://api.github.com/users/boto"", ""type"": ""Organization"", ""login"":"&amp;" ""boto"", ""node_id"": ""MDEyOk9yZ2FuaXphdGlvbjMyNzc1Mg=="", ""html_url"": ""https://github.com/boto"", ""gists_url"": ""https://api.github.com/users/boto/gists{/gist_id}"", ""repos_url"": ""https://api.github.com/users/boto/repos"", ""avatar_url"": ""ht"&amp;"tps://avatars2.githubusercontent.com/u/327752?v=4"", ""events_url"": ""https://api.github.com/users/boto/events{/privacy}"", ""site_admin"": false, ""gravatar_id"": """", ""starred_url"": ""https://api.github.com/users/boto/starred{/owner}{/repo}"", ""fol"&amp;"lowers_url"": ""https://api.github.com/users/boto/followers"", ""following_url"": ""https://api.github.com/users/boto/following{/other_user}"", ""organizations_url"": ""https://api.github.com/users/boto/orgs"", ""subscriptions_url"": ""https://api.github."&amp;"com/users/boto/subscriptions"", ""received_events_url"": ""https://api.github.com/users/boto/received_events""}, ""score"": 1.0, ""topics"": [], ""git_url"": ""git://github.com/boto/boto.git"", ""license"": {""key"": ""other"", ""url"": null, ""name"": """&amp;"Other"", ""node_id"": ""MDc6TGljZW5zZTA="", ""spdx_id"": ""NOASSERTION""}, ""node_id"": ""MDEwOlJlcG9zaXRvcnk3NzEwMTY="", ""private"": false, ""ssh_url"": ""git@github.com:boto/boto.git"", ""svn_url"": ""https://github.com/boto/boto"", ""archived"": false"&amp;", ""has_wiki"": false, ""homepage"": ""http://docs.pythonboto.org/"", ""html_url"": ""https://github.com/boto/boto"", ""keys_url"": ""https://api.github.com/repos/boto/boto/keys{/key_id}"", ""language"": ""Python"", ""tags_url"": ""https://api.github.com/"&amp;"repos/boto/boto/tags"", ""watchers"": 6258, ""blobs_url"": ""https://api.github.com/repos/boto/boto/git/blobs{/sha}"", ""clone_url"": ""https://github.com/boto/boto.git"", ""forks_url"": ""https://api.github.com/repos/boto/boto/forks"", ""full_name"": ""b"&amp;"oto/boto"", ""has_pages"": false, ""hooks_url"": ""https://api.github.com/repos/boto/boto/hooks"", ""pulls_url"": ""https://api.github.com/repos/boto/boto/pulls{/number}"", ""pushed_at"": ""2018-11-04T22:09:07Z"", ""teams_url"": ""https://api.github.com/r"&amp;"epos/boto/boto/teams"", ""trees_url"": ""https://api.github.com/repos/boto/boto/git/trees{/sha}"", ""created_at"": ""2010-07-12T19:15:33Z"", ""events_url"": ""https://api.github.com/repos/boto/boto/events"", ""has_issues"": true, ""issues_url"": ""https:/"&amp;"/api.github.com/repos/boto/boto/issues{/number}"", ""labels_url"": ""https://api.github.com/repos/boto/boto/labels{/name}"", ""merges_url"": ""https://api.github.com/repos/boto/boto/merges"", ""mirror_url"": null, ""updated_at"": ""2018-12-22T20:23:36Z"","&amp;" ""archive_url"": ""https://api.github.com/repos/boto/boto/{archive_format}{/ref}"", ""commits_url"": ""https://api.github.com/repos/boto/boto/commits{/sha}"", ""compare_url"": ""https://api.github.com/repos/boto/boto/compare/{base}...{head}"", ""descript"&amp;"ion"": ""For the latest version of boto, see https://github.com/boto/boto3 -- Python interface to Amazon Web Services"", ""forks_count"": 2264, ""open_issues"": 1161, ""permissions"": {""pull"": true, ""push"": false, ""admin"": false}, ""branches_url"": "&amp;"""https://api.github.com/repos/boto/boto/branches{/branch}"", ""comments_url"": ""https://api.github.com/repos/boto/boto/comments{/number}"", ""contents_url"": ""https://api.github.com/repos/boto/boto/contents/{+path}"", ""git_refs_url"": ""https://api.gi"&amp;"thub.com/repos/boto/boto/git/refs{/sha}"", ""git_tags_url"": ""https://api.github.com/repos/boto/boto/git/tags{/sha}"", ""has_projects"": true, ""releases_url"": ""https://api.github.com/repos/boto/boto/releases{/id}"", ""statuses_url"": ""https://api.git"&amp;"hub.com/repos/boto/boto/statuses/{sha}"", ""assignees_url"": ""https://api.github.com/repos/boto/boto/assignees{/user}"", ""downloads_url"": ""https://api.github.com/repos/boto/boto/downloads"", ""has_downloads"": true, ""languages_url"": ""https://api.gi"&amp;"thub.com/repos/boto/boto/languages"", ""default_branch"": ""develop"", ""milestones_url"": ""https://api.github.com/repos/boto/boto/milestones{/number}"", ""stargazers_url"": ""https://api.github.com/repos/boto/boto/stargazers"", ""watchers_count"": 6258,"&amp;" ""deployments_url"": ""https://api.github.com/repos/boto/boto/deployments"", ""git_commits_url"": ""https://api.github.com/repos/boto/boto/git/commits{/sha}"", ""subscribers_url"": ""https://api.github.com/repos/boto/boto/subscribers"", ""contributors_ur"&amp;"l"": ""https://api.github.com/repos/boto/boto/contributors"", ""issue_events_url"": ""https://api.github.com/repos/boto/boto/issues/events{/number}"", ""stargazers_count"": 6258, ""subscription_url"": ""https://api.github.com/repos/boto/boto/subscription"&amp;""", ""collaborators_url"": ""https://api.github.com/repos/boto/boto/collaborators{/collaborator}"", ""issue_comment_url"": ""https://api.github.com/repos/boto/boto/issues/comments{/number}"", ""notifications_url"": ""https://api.github.com/repos/boto/boto"&amp;"/notifications{?since,all,participating}"", ""open_issues_count"": 1161}")</f>
        <v>{"id": 771016, "url": "https://api.github.com/repos/boto/boto", "fork": false, "name": "boto", "size": 15822, "forks": 2264, "owner": {"id": 327752, "url": "https://api.github.com/users/boto", "type": "Organization", "login": "boto", "node_id": "MDEyOk9yZ2FuaXphdGlvbjMyNzc1Mg==", "html_url": "https://github.com/boto", "gists_url": "https://api.github.com/users/boto/gists{/gist_id}", "repos_url": "https://api.github.com/users/boto/repos", "avatar_url": "https://avatars2.githubusercontent.com/u/327752?v=4", "events_url": "https://api.github.com/users/boto/events{/privacy}", "site_admin": false, "gravatar_id": "", "starred_url": "https://api.github.com/users/boto/starred{/owner}{/repo}", "followers_url": "https://api.github.com/users/boto/followers", "following_url": "https://api.github.com/users/boto/following{/other_user}", "organizations_url": "https://api.github.com/users/boto/orgs", "subscriptions_url": "https://api.github.com/users/boto/subscriptions", "received_events_url": "https://api.github.com/users/boto/received_events"}, "score": 1.0, "topics": [], "git_url": "git://github.com/boto/boto.git", "license": {"key": "other", "url": null, "name": "Other", "node_id": "MDc6TGljZW5zZTA=", "spdx_id": "NOASSERTION"}, "node_id": "MDEwOlJlcG9zaXRvcnk3NzEwMTY=", "private": false, "ssh_url": "git@github.com:boto/boto.git", "svn_url": "https://github.com/boto/boto", "archived": false, "has_wiki": false, "homepage": "http://docs.pythonboto.org/", "html_url": "https://github.com/boto/boto", "keys_url": "https://api.github.com/repos/boto/boto/keys{/key_id}", "language": "Python", "tags_url": "https://api.github.com/repos/boto/boto/tags", "watchers": 6258, "blobs_url": "https://api.github.com/repos/boto/boto/git/blobs{/sha}", "clone_url": "https://github.com/boto/boto.git", "forks_url": "https://api.github.com/repos/boto/boto/forks", "full_name": "boto/boto", "has_pages": false, "hooks_url": "https://api.github.com/repos/boto/boto/hooks", "pulls_url": "https://api.github.com/repos/boto/boto/pulls{/number}", "pushed_at": "2018-11-04T22:09:07Z", "teams_url": "https://api.github.com/repos/boto/boto/teams", "trees_url": "https://api.github.com/repos/boto/boto/git/trees{/sha}", "created_at": "2010-07-12T19:15:33Z", "events_url": "https://api.github.com/repos/boto/boto/events", "has_issues": true, "issues_url": "https://api.github.com/repos/boto/boto/issues{/number}", "labels_url": "https://api.github.com/repos/boto/boto/labels{/name}", "merges_url": "https://api.github.com/repos/boto/boto/merges", "mirror_url": null, "updated_at": "2018-12-22T20:23:36Z", "archive_url": "https://api.github.com/repos/boto/boto/{archive_format}{/ref}", "commits_url": "https://api.github.com/repos/boto/boto/commits{/sha}", "compare_url": "https://api.github.com/repos/boto/boto/compare/{base}...{head}", "description": "For the latest version of boto, see https://github.com/boto/boto3 -- Python interface to Amazon Web Services", "forks_count": 2264, "open_issues": 1161, "permissions": {"pull": true, "push": false, "admin": false}, "branches_url": "https://api.github.com/repos/boto/boto/branches{/branch}", "comments_url": "https://api.github.com/repos/boto/boto/comments{/number}", "contents_url": "https://api.github.com/repos/boto/boto/contents/{+path}", "git_refs_url": "https://api.github.com/repos/boto/boto/git/refs{/sha}", "git_tags_url": "https://api.github.com/repos/boto/boto/git/tags{/sha}", "has_projects": true, "releases_url": "https://api.github.com/repos/boto/boto/releases{/id}", "statuses_url": "https://api.github.com/repos/boto/boto/statuses/{sha}", "assignees_url": "https://api.github.com/repos/boto/boto/assignees{/user}", "downloads_url": "https://api.github.com/repos/boto/boto/downloads", "has_downloads": true, "languages_url": "https://api.github.com/repos/boto/boto/languages", "default_branch": "develop", "milestones_url": "https://api.github.com/repos/boto/boto/milestones{/number}", "stargazers_url": "https://api.github.com/repos/boto/boto/stargazers", "watchers_count": 6258, "deployments_url": "https://api.github.com/repos/boto/boto/deployments", "git_commits_url": "https://api.github.com/repos/boto/boto/git/commits{/sha}", "subscribers_url": "https://api.github.com/repos/boto/boto/subscribers", "contributors_url": "https://api.github.com/repos/boto/boto/contributors", "issue_events_url": "https://api.github.com/repos/boto/boto/issues/events{/number}", "stargazers_count": 6258, "subscription_url": "https://api.github.com/repos/boto/boto/subscription", "collaborators_url": "https://api.github.com/repos/boto/boto/collaborators{/collaborator}", "issue_comment_url": "https://api.github.com/repos/boto/boto/issues/comments{/number}", "notifications_url": "https://api.github.com/repos/boto/boto/notifications{?since,all,participating}", "open_issues_count": 1161}</v>
      </c>
      <c r="T8" s="12">
        <f>IFERROR(__xludf.DUMMYFUNCTION("""COMPUTED_VALUE"""),1.0)</f>
        <v>1</v>
      </c>
      <c r="U8" s="12">
        <f>IFERROR(__xludf.DUMMYFUNCTION("""COMPUTED_VALUE"""),6684894.0)</f>
        <v>6684894</v>
      </c>
      <c r="V8" s="14">
        <f>IFERROR(__xludf.DUMMYFUNCTION("""COMPUTED_VALUE"""),99.0)</f>
        <v>99</v>
      </c>
      <c r="W8" s="15" t="str">
        <f>IFERROR(__xludf.DUMMYFUNCTION("IFERROR(REGEXEXTRACT(J8,""""""ratio"""": (\d+.\d+), """"language"""": """"Python""""""),"""")"),"1.0")</f>
        <v>1.0</v>
      </c>
      <c r="X8" s="15" t="str">
        <f t="shared" si="1"/>
        <v/>
      </c>
    </row>
    <row r="9">
      <c r="A9" s="10" t="str">
        <f>IFERROR(__xludf.DUMMYFUNCTION("""COMPUTED_VALUE"""),"buildbot/buildbot")</f>
        <v>buildbot/buildbot</v>
      </c>
      <c r="B9" s="10" t="str">
        <f>IFERROR(__xludf.DUMMYFUNCTION("""COMPUTED_VALUE"""),"Python-based continuous integration testing framework; your pull requests are more than welcome!")</f>
        <v>Python-based continuous integration testing framework; your pull requests are more than welcome!</v>
      </c>
      <c r="C9" s="11" t="str">
        <f>IFERROR(__xludf.DUMMYFUNCTION("""COMPUTED_VALUE"""),"https://github.com/buildbot/buildbot")</f>
        <v>https://github.com/buildbot/buildbot</v>
      </c>
      <c r="D9" s="10">
        <f>IFERROR(__xludf.DUMMYFUNCTION("""COMPUTED_VALUE"""),3705.0)</f>
        <v>3705</v>
      </c>
      <c r="E9" s="10">
        <f>IFERROR(__xludf.DUMMYFUNCTION("""COMPUTED_VALUE"""),205.0)</f>
        <v>205</v>
      </c>
      <c r="F9" s="10">
        <f>IFERROR(__xludf.DUMMYFUNCTION("""COMPUTED_VALUE"""),48804.0)</f>
        <v>48804</v>
      </c>
      <c r="G9" s="10" t="str">
        <f>IFERROR(__xludf.DUMMYFUNCTION("""COMPUTED_VALUE"""),"""[\""ci\"", \""ci-framework\"", \""continuous-integration\"", \""python\""]""")</f>
        <v>"[\"ci\", \"ci-framework\", \"continuous-integration\", \"python\"]"</v>
      </c>
      <c r="H9" s="12">
        <f>IFERROR(__xludf.DUMMYFUNCTION("""COMPUTED_VALUE"""),18139.0)</f>
        <v>18139</v>
      </c>
      <c r="I9" s="12">
        <f>IFERROR(__xludf.DUMMYFUNCTION("""COMPUTED_VALUE"""),337.0)</f>
        <v>337</v>
      </c>
      <c r="J9" s="10" t="str">
        <f>IFERROR(__xludf.DUMMYFUNCTION("""COMPUTED_VALUE"""),"[{""loc"": 6760895, ""ratio"": 0.9256063013944685, ""language"": ""Python""}, {""loc"": 319909, ""ratio"": 0.043797424197950574, ""language"": ""CoffeeScript""}, {""loc"": 64787, ""ratio"": 0.008869721456766217, ""language"": ""RAML""}, {""loc"": 52025, "&amp;"""ratio"": 0.007122528574995948, ""language"": ""HTML""}, {""loc"": 38942, ""ratio"": 0.005331388904709124, ""language"": ""TypeScript""}, {""loc"": 19710, ""ratio"": 0.0026984149584463263, ""language"": ""CSS""}, {""loc"": 15095, ""ratio"": 0.00206659430"&amp;"73438506, ""language"": ""Shell""}, {""loc"": 12185, ""ratio"": 0.0016681981871470566, ""language"": ""Makefile""}, {""loc"": 12137, ""ratio"": 0.001661626704752058, ""language"": ""Roff""}, {""loc"": 4991, ""ratio"": 0.0006832972631966319, ""language"": "&amp;"""Dockerfile""}, {""loc"": 3612, ""ratio"": 0.0004945040502236495, ""language"": ""JavaScript""}]")</f>
        <v>[{"loc": 6760895, "ratio": 0.9256063013944685, "language": "Python"}, {"loc": 319909, "ratio": 0.043797424197950574, "language": "CoffeeScript"}, {"loc": 64787, "ratio": 0.008869721456766217, "language": "RAML"}, {"loc": 52025, "ratio": 0.007122528574995948, "language": "HTML"}, {"loc": 38942, "ratio": 0.005331388904709124, "language": "TypeScript"}, {"loc": 19710, "ratio": 0.0026984149584463263, "language": "CSS"}, {"loc": 15095, "ratio": 0.0020665943073438506, "language": "Shell"}, {"loc": 12185, "ratio": 0.0016681981871470566, "language": "Makefile"}, {"loc": 12137, "ratio": 0.001661626704752058, "language": "Roff"}, {"loc": 4991, "ratio": 0.0006832972631966319, "language": "Dockerfile"}, {"loc": 3612, "ratio": 0.0004945040502236495, "language": "JavaScript"}]</v>
      </c>
      <c r="K9" s="13">
        <f>IFERROR(__xludf.DUMMYFUNCTION("""COMPUTED_VALUE"""),40365.0)</f>
        <v>40365</v>
      </c>
      <c r="L9" s="13">
        <f>IFERROR(__xludf.DUMMYFUNCTION("""COMPUTED_VALUE"""),43458.0)</f>
        <v>43458</v>
      </c>
      <c r="M9" s="10">
        <f>IFERROR(__xludf.DUMMYFUNCTION("""COMPUTED_VALUE"""),481.0)</f>
        <v>481</v>
      </c>
      <c r="N9" s="12">
        <f>IFERROR(__xludf.DUMMYFUNCTION("""COMPUTED_VALUE"""),118.0)</f>
        <v>118</v>
      </c>
      <c r="O9" s="12" t="str">
        <f>IFERROR(__xludf.DUMMYFUNCTION("""COMPUTED_VALUE"""),"v1.7.0")</f>
        <v>v1.7.0</v>
      </c>
      <c r="P9" s="12" t="str">
        <f>IFERROR(__xludf.DUMMYFUNCTION("""COMPUTED_VALUE"""),"8f5fb0a3e18b526dc289975b8c157b8e7196a095")</f>
        <v>8f5fb0a3e18b526dc289975b8c157b8e7196a095</v>
      </c>
      <c r="Q9" s="12" t="str">
        <f>IFERROR(__xludf.DUMMYFUNCTION("""COMPUTED_VALUE"""),"{""key"": ""gpl-2.0"", ""url"": ""https://api.github.com/licenses/gpl-2.0"", ""name"": ""GNU General Public License v2.0"", ""node_id"": ""MDc6TGljZW5zZTg="", ""spdx_id"": ""GPL-2.0""}")</f>
        <v>{"key": "gpl-2.0", "url": "https://api.github.com/licenses/gpl-2.0", "name": "GNU General Public License v2.0", "node_id": "MDc6TGljZW5zZTg=", "spdx_id": "GPL-2.0"}</v>
      </c>
      <c r="R9" s="12" t="str">
        <f>IFERROR(__xludf.DUMMYFUNCTION("""COMPUTED_VALUE"""),"buildbot")</f>
        <v>buildbot</v>
      </c>
      <c r="S9" s="12" t="str">
        <f>IFERROR(__xludf.DUMMYFUNCTION("""COMPUTED_VALUE"""),"{""id"": 760165, ""url"": ""https://api.github.com/repos/buildbot/buildbot"", ""fork"": false, ""name"": ""buildbot"", ""size"": 48804, ""forks"": 1308, ""owner"": {""id"": 324515, ""url"": ""https://api.github.com/users/buildbot"", ""type"": ""Organizati"&amp;"on"", ""login"": ""buildbot"", ""node_id"": ""MDEyOk9yZ2FuaXphdGlvbjMyNDUxNQ=="", ""html_url"": ""https://github.com/buildbot"", ""gists_url"": ""https://api.github.com/users/buildbot/gists{/gist_id}"", ""repos_url"": ""https://api.github.com/users/buildb"&amp;"ot/repos"", ""avatar_url"": ""https://avatars2.githubusercontent.com/u/324515?v=4"", ""events_url"": ""https://api.github.com/users/buildbot/events{/privacy}"", ""site_admin"": false, ""gravatar_id"": """", ""starred_url"": ""https://api.github.com/users/"&amp;"buildbot/starred{/owner}{/repo}"", ""followers_url"": ""https://api.github.com/users/buildbot/followers"", ""following_url"": ""https://api.github.com/users/buildbot/following{/other_user}"", ""organizations_url"": ""https://api.github.com/users/buildbot/"&amp;"orgs"", ""subscriptions_url"": ""https://api.github.com/users/buildbot/subscriptions"", ""received_events_url"": ""https://api.github.com/users/buildbot/received_events""}, ""score"": 1.0, ""topics"": [""ci"", ""ci-framework"", ""continuous-integration"","&amp;" ""python""], ""git_url"": ""git://github.com/buildbot/buildbot.git"", ""license"": {""key"": ""gpl-2.0"", ""url"": ""https://api.github.com/licenses/gpl-2.0"", ""name"": ""GNU General Public License v2.0"", ""node_id"": ""MDc6TGljZW5zZTg="", ""spdx_id"":"&amp;" ""GPL-2.0""}, ""node_id"": ""MDEwOlJlcG9zaXRvcnk3NjAxNjU="", ""private"": false, ""ssh_url"": ""git@github.com:buildbot/buildbot.git"", ""svn_url"": ""https://github.com/buildbot/buildbot"", ""archived"": false, ""has_wiki"": true, ""homepage"": ""https:"&amp;"//www.buildbot.net"", ""html_url"": ""https://github.com/buildbot/buildbot"", ""keys_url"": ""https://api.github.com/repos/buildbot/buildbot/keys{/key_id}"", ""language"": ""Python"", ""tags_url"": ""https://api.github.com/repos/buildbot/buildbot/tags"", "&amp;"""watchers"": 3705, ""blobs_url"": ""https://api.github.com/repos/buildbot/buildbot/git/blobs{/sha}"", ""clone_url"": ""https://github.com/buildbot/buildbot.git"", ""forks_url"": ""https://api.github.com/repos/buildbot/buildbot/forks"", ""full_name"": ""b"&amp;"uildbot/buildbot"", ""has_pages"": false, ""hooks_url"": ""https://api.github.com/repos/buildbot/buildbot/hooks"", ""pulls_url"": ""https://api.github.com/repos/buildbot/buildbot/pulls{/number}"", ""pushed_at"": ""2018-12-24T13:58:20Z"", ""teams_url"": """&amp;"https://api.github.com/repos/buildbot/buildbot/teams"", ""trees_url"": ""https://api.github.com/repos/buildbot/buildbot/git/trees{/sha}"", ""created_at"": ""2010-07-06T17:56:53Z"", ""events_url"": ""https://api.github.com/repos/buildbot/buildbot/events"","&amp;" ""has_issues"": true, ""issues_url"": ""https://api.github.com/repos/buildbot/buildbot/issues{/number}"", ""labels_url"": ""https://api.github.com/repos/buildbot/buildbot/labels{/name}"", ""merges_url"": ""https://api.github.com/repos/buildbot/buildbot/m"&amp;"erges"", ""mirror_url"": null, ""updated_at"": ""2018-12-24T17:17:30Z"", ""archive_url"": ""https://api.github.com/repos/buildbot/buildbot/{archive_format}{/ref}"", ""commits_url"": ""https://api.github.com/repos/buildbot/buildbot/commits{/sha}"", ""compa"&amp;"re_url"": ""https://api.github.com/repos/buildbot/buildbot/compare/{base}...{head}"", ""description"": ""Python-based continuous integration testing framework; your pull requests are more than welcome!"", ""forks_count"": 1308, ""open_issues"": 481, ""per"&amp;"missions"": {""pull"": true, ""push"": false, ""admin"": false}, ""branches_url"": ""https://api.github.com/repos/buildbot/buildbot/branches{/branch}"", ""comments_url"": ""https://api.github.com/repos/buildbot/buildbot/comments{/number}"", ""contents_url"&amp;""": ""https://api.github.com/repos/buildbot/buildbot/contents/{+path}"", ""git_refs_url"": ""https://api.github.com/repos/buildbot/buildbot/git/refs{/sha}"", ""git_tags_url"": ""https://api.github.com/repos/buildbot/buildbot/git/tags{/sha}"", ""has_projec"&amp;"ts"": true, ""releases_url"": ""https://api.github.com/repos/buildbot/buildbot/releases{/id}"", ""statuses_url"": ""https://api.github.com/repos/buildbot/buildbot/statuses/{sha}"", ""assignees_url"": ""https://api.github.com/repos/buildbot/buildbot/assign"&amp;"ees{/user}"", ""downloads_url"": ""https://api.github.com/repos/buildbot/buildbot/downloads"", ""has_downloads"": true, ""languages_url"": ""https://api.github.com/repos/buildbot/buildbot/languages"", ""default_branch"": ""master"", ""milestones_url"": """&amp;"https://api.github.com/repos/buildbot/buildbot/milestones{/number}"", ""stargazers_url"": ""https://api.github.com/repos/buildbot/buildbot/stargazers"", ""watchers_count"": 3705, ""deployments_url"": ""https://api.github.com/repos/buildbot/buildbot/deploy"&amp;"ments"", ""git_commits_url"": ""https://api.github.com/repos/buildbot/buildbot/git/commits{/sha}"", ""subscribers_url"": ""https://api.github.com/repos/buildbot/buildbot/subscribers"", ""contributors_url"": ""https://api.github.com/repos/buildbot/buildbot"&amp;"/contributors"", ""issue_events_url"": ""https://api.github.com/repos/buildbot/buildbot/issues/events{/number}"", ""stargazers_count"": 3705, ""subscription_url"": ""https://api.github.com/repos/buildbot/buildbot/subscription"", ""collaborators_url"": ""h"&amp;"ttps://api.github.com/repos/buildbot/buildbot/collaborators{/collaborator}"", ""issue_comment_url"": ""https://api.github.com/repos/buildbot/buildbot/issues/comments{/number}"", ""notifications_url"": ""https://api.github.com/repos/buildbot/buildbot/notif"&amp;"ications{?since,all,participating}"", ""open_issues_count"": 481}")</f>
        <v>{"id": 760165, "url": "https://api.github.com/repos/buildbot/buildbot", "fork": false, "name": "buildbot", "size": 48804, "forks": 1308, "owner": {"id": 324515, "url": "https://api.github.com/users/buildbot", "type": "Organization", "login": "buildbot", "node_id": "MDEyOk9yZ2FuaXphdGlvbjMyNDUxNQ==", "html_url": "https://github.com/buildbot", "gists_url": "https://api.github.com/users/buildbot/gists{/gist_id}", "repos_url": "https://api.github.com/users/buildbot/repos", "avatar_url": "https://avatars2.githubusercontent.com/u/324515?v=4", "events_url": "https://api.github.com/users/buildbot/events{/privacy}", "site_admin": false, "gravatar_id": "", "starred_url": "https://api.github.com/users/buildbot/starred{/owner}{/repo}", "followers_url": "https://api.github.com/users/buildbot/followers", "following_url": "https://api.github.com/users/buildbot/following{/other_user}", "organizations_url": "https://api.github.com/users/buildbot/orgs", "subscriptions_url": "https://api.github.com/users/buildbot/subscriptions", "received_events_url": "https://api.github.com/users/buildbot/received_events"}, "score": 1.0, "topics": ["ci", "ci-framework", "continuous-integration", "python"], "git_url": "git://github.com/buildbot/buildbot.git", "license": {"key": "gpl-2.0", "url": "https://api.github.com/licenses/gpl-2.0", "name": "GNU General Public License v2.0", "node_id": "MDc6TGljZW5zZTg=", "spdx_id": "GPL-2.0"}, "node_id": "MDEwOlJlcG9zaXRvcnk3NjAxNjU=", "private": false, "ssh_url": "git@github.com:buildbot/buildbot.git", "svn_url": "https://github.com/buildbot/buildbot", "archived": false, "has_wiki": true, "homepage": "https://www.buildbot.net", "html_url": "https://github.com/buildbot/buildbot", "keys_url": "https://api.github.com/repos/buildbot/buildbot/keys{/key_id}", "language": "Python", "tags_url": "https://api.github.com/repos/buildbot/buildbot/tags", "watchers": 3705, "blobs_url": "https://api.github.com/repos/buildbot/buildbot/git/blobs{/sha}", "clone_url": "https://github.com/buildbot/buildbot.git", "forks_url": "https://api.github.com/repos/buildbot/buildbot/forks", "full_name": "buildbot/buildbot", "has_pages": false, "hooks_url": "https://api.github.com/repos/buildbot/buildbot/hooks", "pulls_url": "https://api.github.com/repos/buildbot/buildbot/pulls{/number}", "pushed_at": "2018-12-24T13:58:20Z", "teams_url": "https://api.github.com/repos/buildbot/buildbot/teams", "trees_url": "https://api.github.com/repos/buildbot/buildbot/git/trees{/sha}", "created_at": "2010-07-06T17:56:53Z", "events_url": "https://api.github.com/repos/buildbot/buildbot/events", "has_issues": true, "issues_url": "https://api.github.com/repos/buildbot/buildbot/issues{/number}", "labels_url": "https://api.github.com/repos/buildbot/buildbot/labels{/name}", "merges_url": "https://api.github.com/repos/buildbot/buildbot/merges", "mirror_url": null, "updated_at": "2018-12-24T17:17:30Z", "archive_url": "https://api.github.com/repos/buildbot/buildbot/{archive_format}{/ref}", "commits_url": "https://api.github.com/repos/buildbot/buildbot/commits{/sha}", "compare_url": "https://api.github.com/repos/buildbot/buildbot/compare/{base}...{head}", "description": "Python-based continuous integration testing framework; your pull requests are more than welcome!", "forks_count": 1308, "open_issues": 481, "permissions": {"pull": true, "push": false, "admin": false}, "branches_url": "https://api.github.com/repos/buildbot/buildbot/branches{/branch}", "comments_url": "https://api.github.com/repos/buildbot/buildbot/comments{/number}", "contents_url": "https://api.github.com/repos/buildbot/buildbot/contents/{+path}", "git_refs_url": "https://api.github.com/repos/buildbot/buildbot/git/refs{/sha}", "git_tags_url": "https://api.github.com/repos/buildbot/buildbot/git/tags{/sha}", "has_projects": true, "releases_url": "https://api.github.com/repos/buildbot/buildbot/releases{/id}", "statuses_url": "https://api.github.com/repos/buildbot/buildbot/statuses/{sha}", "assignees_url": "https://api.github.com/repos/buildbot/buildbot/assignees{/user}", "downloads_url": "https://api.github.com/repos/buildbot/buildbot/downloads", "has_downloads": true, "languages_url": "https://api.github.com/repos/buildbot/buildbot/languages", "default_branch": "master", "milestones_url": "https://api.github.com/repos/buildbot/buildbot/milestones{/number}", "stargazers_url": "https://api.github.com/repos/buildbot/buildbot/stargazers", "watchers_count": 3705, "deployments_url": "https://api.github.com/repos/buildbot/buildbot/deployments", "git_commits_url": "https://api.github.com/repos/buildbot/buildbot/git/commits{/sha}", "subscribers_url": "https://api.github.com/repos/buildbot/buildbot/subscribers", "contributors_url": "https://api.github.com/repos/buildbot/buildbot/contributors", "issue_events_url": "https://api.github.com/repos/buildbot/buildbot/issues/events{/number}", "stargazers_count": 3705, "subscription_url": "https://api.github.com/repos/buildbot/buildbot/subscription", "collaborators_url": "https://api.github.com/repos/buildbot/buildbot/collaborators{/collaborator}", "issue_comment_url": "https://api.github.com/repos/buildbot/buildbot/issues/comments{/number}", "notifications_url": "https://api.github.com/repos/buildbot/buildbot/notifications{?since,all,participating}", "open_issues_count": 481}</v>
      </c>
      <c r="T9" s="12">
        <f>IFERROR(__xludf.DUMMYFUNCTION("""COMPUTED_VALUE"""),0.925606301)</f>
        <v>0.925606301</v>
      </c>
      <c r="U9" s="12">
        <f>IFERROR(__xludf.DUMMYFUNCTION("""COMPUTED_VALUE"""),6760895.0)</f>
        <v>6760895</v>
      </c>
      <c r="V9" s="14">
        <f>IFERROR(__xludf.DUMMYFUNCTION("""COMPUTED_VALUE"""),101.0)</f>
        <v>101</v>
      </c>
      <c r="W9" s="15" t="str">
        <f>IFERROR(__xludf.DUMMYFUNCTION("IFERROR(REGEXEXTRACT(J9,""""""ratio"""": (\d+.\d+), """"language"""": """"Python""""""),"""")"),"0.9256063013944685")</f>
        <v>0.9256063013944685</v>
      </c>
      <c r="X9" s="15" t="str">
        <f t="shared" si="1"/>
        <v>ci, ci-framework, continuous-integration, python</v>
      </c>
    </row>
    <row r="10">
      <c r="A10" s="10" t="str">
        <f>IFERROR(__xludf.DUMMYFUNCTION("""COMPUTED_VALUE"""),"celery/celery")</f>
        <v>celery/celery</v>
      </c>
      <c r="B10" s="10" t="str">
        <f>IFERROR(__xludf.DUMMYFUNCTION("""COMPUTED_VALUE"""),"Distributed Task Queue (development branch)")</f>
        <v>Distributed Task Queue (development branch)</v>
      </c>
      <c r="C10" s="11" t="str">
        <f>IFERROR(__xludf.DUMMYFUNCTION("""COMPUTED_VALUE"""),"https://github.com/celery/celery")</f>
        <v>https://github.com/celery/celery</v>
      </c>
      <c r="D10" s="10">
        <f>IFERROR(__xludf.DUMMYFUNCTION("""COMPUTED_VALUE"""),11242.0)</f>
        <v>11242</v>
      </c>
      <c r="E10" s="10">
        <f>IFERROR(__xludf.DUMMYFUNCTION("""COMPUTED_VALUE"""),473.0)</f>
        <v>473</v>
      </c>
      <c r="F10" s="10">
        <f>IFERROR(__xludf.DUMMYFUNCTION("""COMPUTED_VALUE"""),28195.0)</f>
        <v>28195</v>
      </c>
      <c r="G10" s="10" t="str">
        <f>IFERROR(__xludf.DUMMYFUNCTION("""COMPUTED_VALUE"""),"""[\""amqp\"", \""python\"", \""python-library\"", \""python2\"", \""python3\"", \""queue-tasks\"", \""queue-workers\"", \""queued-jobs\"", \""redis\"", \""sqs\"", \""sqs-queue\"", \""task-manager\"", \""task-runner\"", \""task-scheduler\""]""")</f>
        <v>"[\"amqp\", \"python\", \"python-library\", \"python2\", \"python3\", \"queue-tasks\", \"queue-workers\", \"queued-jobs\", \"redis\", \"sqs\", \"sqs-queue\", \"task-manager\", \"task-runner\", \"task-scheduler\"]"</v>
      </c>
      <c r="H10" s="12">
        <f>IFERROR(__xludf.DUMMYFUNCTION("""COMPUTED_VALUE"""),10717.0)</f>
        <v>10717</v>
      </c>
      <c r="I10" s="12">
        <f>IFERROR(__xludf.DUMMYFUNCTION("""COMPUTED_VALUE"""),403.0)</f>
        <v>403</v>
      </c>
      <c r="J10" s="10" t="str">
        <f>IFERROR(__xludf.DUMMYFUNCTION("""COMPUTED_VALUE"""),"[{""loc"": 2221569, ""ratio"": 0.9795705368091464, ""language"": ""Python""}, {""loc"": 31933, ""ratio"": 0.014080420618007575, ""language"": ""Shell""}, {""loc"": 4247, ""ratio"": 0.0018726566988594298, ""language"": ""Makefile""}, {""loc"": 4227, ""rati"&amp;"o"": 0.0018638379717633177, ""language"": ""Batchfile""}, {""loc"": 3138, ""ratio"": 0.0013836582813800073, ""language"": ""Dockerfile""}, {""loc"": 2787, ""ratio"": 0.0012288896208432379, ""language"": ""PowerShell""}]")</f>
        <v>[{"loc": 2221569, "ratio": 0.9795705368091464, "language": "Python"}, {"loc": 31933, "ratio": 0.014080420618007575, "language": "Shell"}, {"loc": 4247, "ratio": 0.0018726566988594298, "language": "Makefile"}, {"loc": 4227, "ratio": 0.0018638379717633177, "language": "Batchfile"}, {"loc": 3138, "ratio": 0.0013836582813800073, "language": "Dockerfile"}, {"loc": 2787, "ratio": 0.0012288896208432379, "language": "PowerShell"}]</v>
      </c>
      <c r="K10" s="13">
        <f>IFERROR(__xludf.DUMMYFUNCTION("""COMPUTED_VALUE"""),39927.0)</f>
        <v>39927</v>
      </c>
      <c r="L10" s="13">
        <f>IFERROR(__xludf.DUMMYFUNCTION("""COMPUTED_VALUE"""),43456.0)</f>
        <v>43456</v>
      </c>
      <c r="M10" s="10">
        <f>IFERROR(__xludf.DUMMYFUNCTION("""COMPUTED_VALUE"""),431.0)</f>
        <v>431</v>
      </c>
      <c r="N10" s="12">
        <f>IFERROR(__xludf.DUMMYFUNCTION("""COMPUTED_VALUE"""),176.0)</f>
        <v>176</v>
      </c>
      <c r="O10" s="12" t="str">
        <f>IFERROR(__xludf.DUMMYFUNCTION("""COMPUTED_VALUE"""),"v4.2.1")</f>
        <v>v4.2.1</v>
      </c>
      <c r="P10" s="12" t="str">
        <f>IFERROR(__xludf.DUMMYFUNCTION("""COMPUTED_VALUE"""),"16d424877d8766395f3f6a5b2eba1b489127994a")</f>
        <v>16d424877d8766395f3f6a5b2eba1b489127994a</v>
      </c>
      <c r="Q10" s="12" t="str">
        <f>IFERROR(__xludf.DUMMYFUNCTION("""COMPUTED_VALUE"""),"{""key"": ""other"", ""url"": null, ""name"": ""Other"", ""node_id"": ""MDc6TGljZW5zZTA="", ""spdx_id"": ""NOASSERTION""}")</f>
        <v>{"key": "other", "url": null, "name": "Other", "node_id": "MDc6TGljZW5zZTA=", "spdx_id": "NOASSERTION"}</v>
      </c>
      <c r="R10" s="12" t="str">
        <f>IFERROR(__xludf.DUMMYFUNCTION("""COMPUTED_VALUE"""),"celery")</f>
        <v>celery</v>
      </c>
      <c r="S10" s="12" t="str">
        <f>IFERROR(__xludf.DUMMYFUNCTION("""COMPUTED_VALUE"""),"{""id"": 184460, ""url"": ""https://api.github.com/repos/celery/celery"", ""fork"": false, ""name"": ""celery"", ""size"": 28195, ""forks"": 3037, ""owner"": {""id"": 319983, ""url"": ""https://api.github.com/users/celery"", ""type"": ""Organization"", """&amp;"login"": ""celery"", ""node_id"": ""MDEyOk9yZ2FuaXphdGlvbjMxOTk4Mw=="", ""html_url"": ""https://github.com/celery"", ""gists_url"": ""https://api.github.com/users/celery/gists{/gist_id}"", ""repos_url"": ""https://api.github.com/users/celery/repos"", ""av"&amp;"atar_url"": ""https://avatars2.githubusercontent.com/u/319983?v=4"", ""events_url"": ""https://api.github.com/users/celery/events{/privacy}"", ""site_admin"": false, ""gravatar_id"": """", ""starred_url"": ""https://api.github.com/users/celery/starred{/ow"&amp;"ner}{/repo}"", ""followers_url"": ""https://api.github.com/users/celery/followers"", ""following_url"": ""https://api.github.com/users/celery/following{/other_user}"", ""organizations_url"": ""https://api.github.com/users/celery/orgs"", ""subscriptions_ur"&amp;"l"": ""https://api.github.com/users/celery/subscriptions"", ""received_events_url"": ""https://api.github.com/users/celery/received_events""}, ""score"": 1.0, ""topics"": [""amqp"", ""python"", ""python-library"", ""python2"", ""python3"", ""queue-tasks"""&amp;", ""queue-workers"", ""queued-jobs"", ""redis"", ""sqs"", ""sqs-queue"", ""task-manager"", ""task-runner"", ""task-scheduler""], ""git_url"": ""git://github.com/celery/celery.git"", ""license"": {""key"": ""other"", ""url"": null, ""name"": ""Other"", ""n"&amp;"ode_id"": ""MDc6TGljZW5zZTA="", ""spdx_id"": ""NOASSERTION""}, ""node_id"": ""MDEwOlJlcG9zaXRvcnkxODQ0NjA="", ""private"": false, ""ssh_url"": ""git@github.com:celery/celery.git"", ""svn_url"": ""https://github.com/celery/celery"", ""archived"": false, """&amp;"has_wiki"": true, ""homepage"": ""http://celeryproject.org"", ""html_url"": ""https://github.com/celery/celery"", ""keys_url"": ""https://api.github.com/repos/celery/celery/keys{/key_id}"", ""language"": ""Python"", ""tags_url"": ""https://api.github.com/"&amp;"repos/celery/celery/tags"", ""watchers"": 11242, ""blobs_url"": ""https://api.github.com/repos/celery/celery/git/blobs{/sha}"", ""clone_url"": ""https://github.com/celery/celery.git"", ""forks_url"": ""https://api.github.com/repos/celery/celery/forks"", "&amp;"""full_name"": ""celery/celery"", ""has_pages"": false, ""hooks_url"": ""https://api.github.com/repos/celery/celery/hooks"", ""pulls_url"": ""https://api.github.com/repos/celery/celery/pulls{/number}"", ""pushed_at"": ""2018-12-22T09:55:31Z"", ""teams_url"&amp;""": ""https://api.github.com/repos/celery/celery/teams"", ""trees_url"": ""https://api.github.com/repos/celery/celery/git/trees{/sha}"", ""created_at"": ""2009-04-24T11:31:24Z"", ""events_url"": ""https://api.github.com/repos/celery/celery/events"", ""has"&amp;"_issues"": true, ""issues_url"": ""https://api.github.com/repos/celery/celery/issues{/number}"", ""labels_url"": ""https://api.github.com/repos/celery/celery/labels{/name}"", ""merges_url"": ""https://api.github.com/repos/celery/celery/merges"", ""mirror_"&amp;"url"": null, ""updated_at"": ""2018-12-24T20:47:29Z"", ""archive_url"": ""https://api.github.com/repos/celery/celery/{archive_format}{/ref}"", ""commits_url"": ""https://api.github.com/repos/celery/celery/commits{/sha}"", ""compare_url"": ""https://api.gi"&amp;"thub.com/repos/celery/celery/compare/{base}...{head}"", ""description"": ""Distributed Task Queue (development branch)"", ""forks_count"": 3037, ""open_issues"": 431, ""permissions"": {""pull"": true, ""push"": false, ""admin"": false}, ""branches_url"": "&amp;"""https://api.github.com/repos/celery/celery/branches{/branch}"", ""comments_url"": ""https://api.github.com/repos/celery/celery/comments{/number}"", ""contents_url"": ""https://api.github.com/repos/celery/celery/contents/{+path}"", ""git_refs_url"": ""ht"&amp;"tps://api.github.com/repos/celery/celery/git/refs{/sha}"", ""git_tags_url"": ""https://api.github.com/repos/celery/celery/git/tags{/sha}"", ""has_projects"": true, ""releases_url"": ""https://api.github.com/repos/celery/celery/releases{/id}"", ""statuses_"&amp;"url"": ""https://api.github.com/repos/celery/celery/statuses/{sha}"", ""assignees_url"": ""https://api.github.com/repos/celery/celery/assignees{/user}"", ""downloads_url"": ""https://api.github.com/repos/celery/celery/downloads"", ""has_downloads"": true,"&amp;" ""languages_url"": ""https://api.github.com/repos/celery/celery/languages"", ""default_branch"": ""master"", ""milestones_url"": ""https://api.github.com/repos/celery/celery/milestones{/number}"", ""stargazers_url"": ""https://api.github.com/repos/celery"&amp;"/celery/stargazers"", ""watchers_count"": 11242, ""deployments_url"": ""https://api.github.com/repos/celery/celery/deployments"", ""git_commits_url"": ""https://api.github.com/repos/celery/celery/git/commits{/sha}"", ""subscribers_url"": ""https://api.git"&amp;"hub.com/repos/celery/celery/subscribers"", ""contributors_url"": ""https://api.github.com/repos/celery/celery/contributors"", ""issue_events_url"": ""https://api.github.com/repos/celery/celery/issues/events{/number}"", ""stargazers_count"": 11242, ""subsc"&amp;"ription_url"": ""https://api.github.com/repos/celery/celery/subscription"", ""collaborators_url"": ""https://api.github.com/repos/celery/celery/collaborators{/collaborator}"", ""issue_comment_url"": ""https://api.github.com/repos/celery/celery/issues/comm"&amp;"ents{/number}"", ""notifications_url"": ""https://api.github.com/repos/celery/celery/notifications{?since,all,participating}"", ""open_issues_count"": 431}")</f>
        <v>{"id": 184460, "url": "https://api.github.com/repos/celery/celery", "fork": false, "name": "celery", "size": 28195, "forks": 3037, "owner": {"id": 319983, "url": "https://api.github.com/users/celery", "type": "Organization", "login": "celery", "node_id": "MDEyOk9yZ2FuaXphdGlvbjMxOTk4Mw==", "html_url": "https://github.com/celery", "gists_url": "https://api.github.com/users/celery/gists{/gist_id}", "repos_url": "https://api.github.com/users/celery/repos", "avatar_url": "https://avatars2.githubusercontent.com/u/319983?v=4", "events_url": "https://api.github.com/users/celery/events{/privacy}", "site_admin": false, "gravatar_id": "", "starred_url": "https://api.github.com/users/celery/starred{/owner}{/repo}", "followers_url": "https://api.github.com/users/celery/followers", "following_url": "https://api.github.com/users/celery/following{/other_user}", "organizations_url": "https://api.github.com/users/celery/orgs", "subscriptions_url": "https://api.github.com/users/celery/subscriptions", "received_events_url": "https://api.github.com/users/celery/received_events"}, "score": 1.0, "topics": ["amqp", "python", "python-library", "python2", "python3", "queue-tasks", "queue-workers", "queued-jobs", "redis", "sqs", "sqs-queue", "task-manager", "task-runner", "task-scheduler"], "git_url": "git://github.com/celery/celery.git", "license": {"key": "other", "url": null, "name": "Other", "node_id": "MDc6TGljZW5zZTA=", "spdx_id": "NOASSERTION"}, "node_id": "MDEwOlJlcG9zaXRvcnkxODQ0NjA=", "private": false, "ssh_url": "git@github.com:celery/celery.git", "svn_url": "https://github.com/celery/celery", "archived": false, "has_wiki": true, "homepage": "http://celeryproject.org", "html_url": "https://github.com/celery/celery", "keys_url": "https://api.github.com/repos/celery/celery/keys{/key_id}", "language": "Python", "tags_url": "https://api.github.com/repos/celery/celery/tags", "watchers": 11242, "blobs_url": "https://api.github.com/repos/celery/celery/git/blobs{/sha}", "clone_url": "https://github.com/celery/celery.git", "forks_url": "https://api.github.com/repos/celery/celery/forks", "full_name": "celery/celery", "has_pages": false, "hooks_url": "https://api.github.com/repos/celery/celery/hooks", "pulls_url": "https://api.github.com/repos/celery/celery/pulls{/number}", "pushed_at": "2018-12-22T09:55:31Z", "teams_url": "https://api.github.com/repos/celery/celery/teams", "trees_url": "https://api.github.com/repos/celery/celery/git/trees{/sha}", "created_at": "2009-04-24T11:31:24Z", "events_url": "https://api.github.com/repos/celery/celery/events", "has_issues": true, "issues_url": "https://api.github.com/repos/celery/celery/issues{/number}", "labels_url": "https://api.github.com/repos/celery/celery/labels{/name}", "merges_url": "https://api.github.com/repos/celery/celery/merges", "mirror_url": null, "updated_at": "2018-12-24T20:47:29Z", "archive_url": "https://api.github.com/repos/celery/celery/{archive_format}{/ref}", "commits_url": "https://api.github.com/repos/celery/celery/commits{/sha}", "compare_url": "https://api.github.com/repos/celery/celery/compare/{base}...{head}", "description": "Distributed Task Queue (development branch)", "forks_count": 3037, "open_issues": 431, "permissions": {"pull": true, "push": false, "admin": false}, "branches_url": "https://api.github.com/repos/celery/celery/branches{/branch}", "comments_url": "https://api.github.com/repos/celery/celery/comments{/number}", "contents_url": "https://api.github.com/repos/celery/celery/contents/{+path}", "git_refs_url": "https://api.github.com/repos/celery/celery/git/refs{/sha}", "git_tags_url": "https://api.github.com/repos/celery/celery/git/tags{/sha}", "has_projects": true, "releases_url": "https://api.github.com/repos/celery/celery/releases{/id}", "statuses_url": "https://api.github.com/repos/celery/celery/statuses/{sha}", "assignees_url": "https://api.github.com/repos/celery/celery/assignees{/user}", "downloads_url": "https://api.github.com/repos/celery/celery/downloads", "has_downloads": true, "languages_url": "https://api.github.com/repos/celery/celery/languages", "default_branch": "master", "milestones_url": "https://api.github.com/repos/celery/celery/milestones{/number}", "stargazers_url": "https://api.github.com/repos/celery/celery/stargazers", "watchers_count": 11242, "deployments_url": "https://api.github.com/repos/celery/celery/deployments", "git_commits_url": "https://api.github.com/repos/celery/celery/git/commits{/sha}", "subscribers_url": "https://api.github.com/repos/celery/celery/subscribers", "contributors_url": "https://api.github.com/repos/celery/celery/contributors", "issue_events_url": "https://api.github.com/repos/celery/celery/issues/events{/number}", "stargazers_count": 11242, "subscription_url": "https://api.github.com/repos/celery/celery/subscription", "collaborators_url": "https://api.github.com/repos/celery/celery/collaborators{/collaborator}", "issue_comment_url": "https://api.github.com/repos/celery/celery/issues/comments{/number}", "notifications_url": "https://api.github.com/repos/celery/celery/notifications{?since,all,participating}", "open_issues_count": 431}</v>
      </c>
      <c r="T10" s="12">
        <f>IFERROR(__xludf.DUMMYFUNCTION("""COMPUTED_VALUE"""),0.979570537)</f>
        <v>0.979570537</v>
      </c>
      <c r="U10" s="12">
        <f>IFERROR(__xludf.DUMMYFUNCTION("""COMPUTED_VALUE"""),2221569.0)</f>
        <v>2221569</v>
      </c>
      <c r="V10" s="14">
        <f>IFERROR(__xludf.DUMMYFUNCTION("""COMPUTED_VALUE"""),115.0)</f>
        <v>115</v>
      </c>
      <c r="W10" s="15" t="str">
        <f>IFERROR(__xludf.DUMMYFUNCTION("IFERROR(REGEXEXTRACT(J10,""""""ratio"""": (\d+.\d+), """"language"""": """"Python""""""),"""")"),"0.9795705368091464")</f>
        <v>0.9795705368091464</v>
      </c>
      <c r="X10" s="15" t="str">
        <f t="shared" si="1"/>
        <v>amqp, python, python-library, python2, python3, queue-tasks, queue-workers, queued-jobs, redis, sqs, sqs-queue, task-manager, task-runner, task-scheduler</v>
      </c>
    </row>
    <row r="11">
      <c r="A11" s="10" t="str">
        <f>IFERROR(__xludf.DUMMYFUNCTION("""COMPUTED_VALUE"""),"cobbler/cobbler")</f>
        <v>cobbler/cobbler</v>
      </c>
      <c r="B11" s="10" t="str">
        <f>IFERROR(__xludf.DUMMYFUNCTION("""COMPUTED_VALUE"""),"Cobbler is a versatile Linux deployment server")</f>
        <v>Cobbler is a versatile Linux deployment server</v>
      </c>
      <c r="C11" s="11" t="str">
        <f>IFERROR(__xludf.DUMMYFUNCTION("""COMPUTED_VALUE"""),"https://github.com/cobbler/cobbler")</f>
        <v>https://github.com/cobbler/cobbler</v>
      </c>
      <c r="D11" s="10">
        <f>IFERROR(__xludf.DUMMYFUNCTION("""COMPUTED_VALUE"""),1668.0)</f>
        <v>1668</v>
      </c>
      <c r="E11" s="10">
        <f>IFERROR(__xludf.DUMMYFUNCTION("""COMPUTED_VALUE"""),149.0)</f>
        <v>149</v>
      </c>
      <c r="F11" s="10">
        <f>IFERROR(__xludf.DUMMYFUNCTION("""COMPUTED_VALUE"""),17881.0)</f>
        <v>17881</v>
      </c>
      <c r="G11" s="10" t="str">
        <f>IFERROR(__xludf.DUMMYFUNCTION("""COMPUTED_VALUE"""),"""[\""cobbler\"", \""deployment\"", \""dhcp\"", \""pxe\"", \""python\"", \""tftp\""]""")</f>
        <v>"[\"cobbler\", \"deployment\", \"dhcp\", \"pxe\", \"python\", \"tftp\"]"</v>
      </c>
      <c r="H11" s="12">
        <f>IFERROR(__xludf.DUMMYFUNCTION("""COMPUTED_VALUE"""),6855.0)</f>
        <v>6855</v>
      </c>
      <c r="I11" s="12">
        <f>IFERROR(__xludf.DUMMYFUNCTION("""COMPUTED_VALUE"""),181.0)</f>
        <v>181</v>
      </c>
      <c r="J11" s="10" t="str">
        <f>IFERROR(__xludf.DUMMYFUNCTION("""COMPUTED_VALUE"""),"[{""loc"": 1052785, ""ratio"": 0.9554894230315439, ""language"": ""Python""}, {""loc"": 25522, ""ratio"": 0.023163324947269446, ""language"": ""Shell""}, {""loc"": 9598, ""ratio"": 0.00871097848303002, ""language"": ""JavaScript""}, {""loc"": 8915, ""rati"&amp;"o"": 0.008091099518255119, ""language"": ""CSS""}, {""loc"": 4735, ""ratio"": 0.004297403950525853, ""language"": ""Makefile""}, {""loc"": 273, ""ratio"": 0.0002477700693756194, ""language"": ""HTML""}]")</f>
        <v>[{"loc": 1052785, "ratio": 0.9554894230315439, "language": "Python"}, {"loc": 25522, "ratio": 0.023163324947269446, "language": "Shell"}, {"loc": 9598, "ratio": 0.00871097848303002, "language": "JavaScript"}, {"loc": 8915, "ratio": 0.008091099518255119, "language": "CSS"}, {"loc": 4735, "ratio": 0.004297403950525853, "language": "Makefile"}, {"loc": 273, "ratio": 0.0002477700693756194, "language": "HTML"}]</v>
      </c>
      <c r="K11" s="13">
        <f>IFERROR(__xludf.DUMMYFUNCTION("""COMPUTED_VALUE"""),40855.0)</f>
        <v>40855</v>
      </c>
      <c r="L11" s="13">
        <f>IFERROR(__xludf.DUMMYFUNCTION("""COMPUTED_VALUE"""),43457.0)</f>
        <v>43457</v>
      </c>
      <c r="M11" s="10">
        <f>IFERROR(__xludf.DUMMYFUNCTION("""COMPUTED_VALUE"""),215.0)</f>
        <v>215</v>
      </c>
      <c r="N11" s="12">
        <f>IFERROR(__xludf.DUMMYFUNCTION("""COMPUTED_VALUE"""),94.0)</f>
        <v>94</v>
      </c>
      <c r="O11" s="12" t="str">
        <f>IFERROR(__xludf.DUMMYFUNCTION("""COMPUTED_VALUE"""),"v2.8.4")</f>
        <v>v2.8.4</v>
      </c>
      <c r="P11" s="12" t="str">
        <f>IFERROR(__xludf.DUMMYFUNCTION("""COMPUTED_VALUE"""),"f88f4e35adc368316148b86169382914fcd6f480")</f>
        <v>f88f4e35adc368316148b86169382914fcd6f480</v>
      </c>
      <c r="Q11" s="12" t="str">
        <f>IFERROR(__xludf.DUMMYFUNCTION("""COMPUTED_VALUE"""),"{""key"": ""gpl-2.0"", ""url"": ""https://api.github.com/licenses/gpl-2.0"", ""name"": ""GNU General Public License v2.0"", ""node_id"": ""MDc6TGljZW5zZTg="", ""spdx_id"": ""GPL-2.0""}")</f>
        <v>{"key": "gpl-2.0", "url": "https://api.github.com/licenses/gpl-2.0", "name": "GNU General Public License v2.0", "node_id": "MDc6TGljZW5zZTg=", "spdx_id": "GPL-2.0"}</v>
      </c>
      <c r="R11" s="12" t="str">
        <f>IFERROR(__xludf.DUMMYFUNCTION("""COMPUTED_VALUE"""),"cobbler")</f>
        <v>cobbler</v>
      </c>
      <c r="S11" s="12" t="str">
        <f>IFERROR(__xludf.DUMMYFUNCTION("""COMPUTED_VALUE"""),"{""id"": 2734482, ""url"": ""https://api.github.com/repos/cobbler/cobbler"", ""fork"": false, ""name"": ""cobbler"", ""size"": 17881, ""forks"": 482, ""owner"": {""id"": 1179083, ""url"": ""https://api.github.com/users/cobbler"", ""type"": ""Organization"&amp;""", ""login"": ""cobbler"", ""node_id"": ""MDEyOk9yZ2FuaXphdGlvbjExNzkwODM="", ""html_url"": ""https://github.com/cobbler"", ""gists_url"": ""https://api.github.com/users/cobbler/gists{/gist_id}"", ""repos_url"": ""https://api.github.com/users/cobbler/rep"&amp;"os"", ""avatar_url"": ""https://avatars2.githubusercontent.com/u/1179083?v=4"", ""events_url"": ""https://api.github.com/users/cobbler/events{/privacy}"", ""site_admin"": false, ""gravatar_id"": """", ""starred_url"": ""https://api.github.com/users/cobble"&amp;"r/starred{/owner}{/repo}"", ""followers_url"": ""https://api.github.com/users/cobbler/followers"", ""following_url"": ""https://api.github.com/users/cobbler/following{/other_user}"", ""organizations_url"": ""https://api.github.com/users/cobbler/orgs"", """&amp;"subscriptions_url"": ""https://api.github.com/users/cobbler/subscriptions"", ""received_events_url"": ""https://api.github.com/users/cobbler/received_events""}, ""score"": 1.0, ""topics"": [""cobbler"", ""deployment"", ""dhcp"", ""pxe"", ""python"", ""tft"&amp;"p""], ""git_url"": ""git://github.com/cobbler/cobbler.git"", ""license"": {""key"": ""gpl-2.0"", ""url"": ""https://api.github.com/licenses/gpl-2.0"", ""name"": ""GNU General Public License v2.0"", ""node_id"": ""MDc6TGljZW5zZTg="", ""spdx_id"": ""GPL-2.0"&amp;"""}, ""node_id"": ""MDEwOlJlcG9zaXRvcnkyNzM0NDgy"", ""private"": false, ""ssh_url"": ""git@github.com:cobbler/cobbler.git"", ""svn_url"": ""https://github.com/cobbler/cobbler"", ""archived"": false, ""has_wiki"": true, ""homepage"": ""https://cobbler.gith"&amp;"ub.io"", ""html_url"": ""https://github.com/cobbler/cobbler"", ""keys_url"": ""https://api.github.com/repos/cobbler/cobbler/keys{/key_id}"", ""language"": ""Python"", ""tags_url"": ""https://api.github.com/repos/cobbler/cobbler/tags"", ""watchers"": 1668,"&amp;" ""blobs_url"": ""https://api.github.com/repos/cobbler/cobbler/git/blobs{/sha}"", ""clone_url"": ""https://github.com/cobbler/cobbler.git"", ""forks_url"": ""https://api.github.com/repos/cobbler/cobbler/forks"", ""full_name"": ""cobbler/cobbler"", ""has_p"&amp;"ages"": false, ""hooks_url"": ""https://api.github.com/repos/cobbler/cobbler/hooks"", ""pulls_url"": ""https://api.github.com/repos/cobbler/cobbler/pulls{/number}"", ""pushed_at"": ""2018-12-23T15:02:05Z"", ""teams_url"": ""https://api.github.com/repos/co"&amp;"bbler/cobbler/teams"", ""trees_url"": ""https://api.github.com/repos/cobbler/cobbler/git/trees{/sha}"", ""created_at"": ""2011-11-08T15:01:00Z"", ""events_url"": ""https://api.github.com/repos/cobbler/cobbler/events"", ""has_issues"": true, ""issues_url"""&amp;": ""https://api.github.com/repos/cobbler/cobbler/issues{/number}"", ""labels_url"": ""https://api.github.com/repos/cobbler/cobbler/labels{/name}"", ""merges_url"": ""https://api.github.com/repos/cobbler/cobbler/merges"", ""mirror_url"": null, ""updated_at"&amp;""": ""2018-12-24T15:00:11Z"", ""archive_url"": ""https://api.github.com/repos/cobbler/cobbler/{archive_format}{/ref}"", ""commits_url"": ""https://api.github.com/repos/cobbler/cobbler/commits{/sha}"", ""compare_url"": ""https://api.github.com/repos/cobble"&amp;"r/cobbler/compare/{base}...{head}"", ""description"": ""Cobbler is a versatile Linux deployment server"", ""forks_count"": 482, ""open_issues"": 215, ""permissions"": {""pull"": true, ""push"": false, ""admin"": false}, ""branches_url"": ""https://api.git"&amp;"hub.com/repos/cobbler/cobbler/branches{/branch}"", ""comments_url"": ""https://api.github.com/repos/cobbler/cobbler/comments{/number}"", ""contents_url"": ""https://api.github.com/repos/cobbler/cobbler/contents/{+path}"", ""git_refs_url"": ""https://api.g"&amp;"ithub.com/repos/cobbler/cobbler/git/refs{/sha}"", ""git_tags_url"": ""https://api.github.com/repos/cobbler/cobbler/git/tags{/sha}"", ""has_projects"": true, ""releases_url"": ""https://api.github.com/repos/cobbler/cobbler/releases{/id}"", ""statuses_url"""&amp;": ""https://api.github.com/repos/cobbler/cobbler/statuses/{sha}"", ""assignees_url"": ""https://api.github.com/repos/cobbler/cobbler/assignees{/user}"", ""downloads_url"": ""https://api.github.com/repos/cobbler/cobbler/downloads"", ""has_downloads"": true"&amp;", ""languages_url"": ""https://api.github.com/repos/cobbler/cobbler/languages"", ""default_branch"": ""master"", ""milestones_url"": ""https://api.github.com/repos/cobbler/cobbler/milestones{/number}"", ""stargazers_url"": ""https://api.github.com/repos/c"&amp;"obbler/cobbler/stargazers"", ""watchers_count"": 1668, ""deployments_url"": ""https://api.github.com/repos/cobbler/cobbler/deployments"", ""git_commits_url"": ""https://api.github.com/repos/cobbler/cobbler/git/commits{/sha}"", ""subscribers_url"": ""https"&amp;"://api.github.com/repos/cobbler/cobbler/subscribers"", ""contributors_url"": ""https://api.github.com/repos/cobbler/cobbler/contributors"", ""issue_events_url"": ""https://api.github.com/repos/cobbler/cobbler/issues/events{/number}"", ""stargazers_count"""&amp;": 1668, ""subscription_url"": ""https://api.github.com/repos/cobbler/cobbler/subscription"", ""collaborators_url"": ""https://api.github.com/repos/cobbler/cobbler/collaborators{/collaborator}"", ""issue_comment_url"": ""https://api.github.com/repos/cobble"&amp;"r/cobbler/issues/comments{/number}"", ""notifications_url"": ""https://api.github.com/repos/cobbler/cobbler/notifications{?since,all,participating}"", ""open_issues_count"": 215}")</f>
        <v>{"id": 2734482, "url": "https://api.github.com/repos/cobbler/cobbler", "fork": false, "name": "cobbler", "size": 17881, "forks": 482, "owner": {"id": 1179083, "url": "https://api.github.com/users/cobbler", "type": "Organization", "login": "cobbler", "node_id": "MDEyOk9yZ2FuaXphdGlvbjExNzkwODM=", "html_url": "https://github.com/cobbler", "gists_url": "https://api.github.com/users/cobbler/gists{/gist_id}", "repos_url": "https://api.github.com/users/cobbler/repos", "avatar_url": "https://avatars2.githubusercontent.com/u/1179083?v=4", "events_url": "https://api.github.com/users/cobbler/events{/privacy}", "site_admin": false, "gravatar_id": "", "starred_url": "https://api.github.com/users/cobbler/starred{/owner}{/repo}", "followers_url": "https://api.github.com/users/cobbler/followers", "following_url": "https://api.github.com/users/cobbler/following{/other_user}", "organizations_url": "https://api.github.com/users/cobbler/orgs", "subscriptions_url": "https://api.github.com/users/cobbler/subscriptions", "received_events_url": "https://api.github.com/users/cobbler/received_events"}, "score": 1.0, "topics": ["cobbler", "deployment", "dhcp", "pxe", "python", "tftp"], "git_url": "git://github.com/cobbler/cobbler.git", "license": {"key": "gpl-2.0", "url": "https://api.github.com/licenses/gpl-2.0", "name": "GNU General Public License v2.0", "node_id": "MDc6TGljZW5zZTg=", "spdx_id": "GPL-2.0"}, "node_id": "MDEwOlJlcG9zaXRvcnkyNzM0NDgy", "private": false, "ssh_url": "git@github.com:cobbler/cobbler.git", "svn_url": "https://github.com/cobbler/cobbler", "archived": false, "has_wiki": true, "homepage": "https://cobbler.github.io", "html_url": "https://github.com/cobbler/cobbler", "keys_url": "https://api.github.com/repos/cobbler/cobbler/keys{/key_id}", "language": "Python", "tags_url": "https://api.github.com/repos/cobbler/cobbler/tags", "watchers": 1668, "blobs_url": "https://api.github.com/repos/cobbler/cobbler/git/blobs{/sha}", "clone_url": "https://github.com/cobbler/cobbler.git", "forks_url": "https://api.github.com/repos/cobbler/cobbler/forks", "full_name": "cobbler/cobbler", "has_pages": false, "hooks_url": "https://api.github.com/repos/cobbler/cobbler/hooks", "pulls_url": "https://api.github.com/repos/cobbler/cobbler/pulls{/number}", "pushed_at": "2018-12-23T15:02:05Z", "teams_url": "https://api.github.com/repos/cobbler/cobbler/teams", "trees_url": "https://api.github.com/repos/cobbler/cobbler/git/trees{/sha}", "created_at": "2011-11-08T15:01:00Z", "events_url": "https://api.github.com/repos/cobbler/cobbler/events", "has_issues": true, "issues_url": "https://api.github.com/repos/cobbler/cobbler/issues{/number}", "labels_url": "https://api.github.com/repos/cobbler/cobbler/labels{/name}", "merges_url": "https://api.github.com/repos/cobbler/cobbler/merges", "mirror_url": null, "updated_at": "2018-12-24T15:00:11Z", "archive_url": "https://api.github.com/repos/cobbler/cobbler/{archive_format}{/ref}", "commits_url": "https://api.github.com/repos/cobbler/cobbler/commits{/sha}", "compare_url": "https://api.github.com/repos/cobbler/cobbler/compare/{base}...{head}", "description": "Cobbler is a versatile Linux deployment server", "forks_count": 482, "open_issues": 215, "permissions": {"pull": true, "push": false, "admin": false}, "branches_url": "https://api.github.com/repos/cobbler/cobbler/branches{/branch}", "comments_url": "https://api.github.com/repos/cobbler/cobbler/comments{/number}", "contents_url": "https://api.github.com/repos/cobbler/cobbler/contents/{+path}", "git_refs_url": "https://api.github.com/repos/cobbler/cobbler/git/refs{/sha}", "git_tags_url": "https://api.github.com/repos/cobbler/cobbler/git/tags{/sha}", "has_projects": true, "releases_url": "https://api.github.com/repos/cobbler/cobbler/releases{/id}", "statuses_url": "https://api.github.com/repos/cobbler/cobbler/statuses/{sha}", "assignees_url": "https://api.github.com/repos/cobbler/cobbler/assignees{/user}", "downloads_url": "https://api.github.com/repos/cobbler/cobbler/downloads", "has_downloads": true, "languages_url": "https://api.github.com/repos/cobbler/cobbler/languages", "default_branch": "master", "milestones_url": "https://api.github.com/repos/cobbler/cobbler/milestones{/number}", "stargazers_url": "https://api.github.com/repos/cobbler/cobbler/stargazers", "watchers_count": 1668, "deployments_url": "https://api.github.com/repos/cobbler/cobbler/deployments", "git_commits_url": "https://api.github.com/repos/cobbler/cobbler/git/commits{/sha}", "subscribers_url": "https://api.github.com/repos/cobbler/cobbler/subscribers", "contributors_url": "https://api.github.com/repos/cobbler/cobbler/contributors", "issue_events_url": "https://api.github.com/repos/cobbler/cobbler/issues/events{/number}", "stargazers_count": 1668, "subscription_url": "https://api.github.com/repos/cobbler/cobbler/subscription", "collaborators_url": "https://api.github.com/repos/cobbler/cobbler/collaborators{/collaborator}", "issue_comment_url": "https://api.github.com/repos/cobbler/cobbler/issues/comments{/number}", "notifications_url": "https://api.github.com/repos/cobbler/cobbler/notifications{?since,all,participating}", "open_issues_count": 215}</v>
      </c>
      <c r="T11" s="12">
        <f>IFERROR(__xludf.DUMMYFUNCTION("""COMPUTED_VALUE"""),0.955489423)</f>
        <v>0.955489423</v>
      </c>
      <c r="U11" s="12">
        <f>IFERROR(__xludf.DUMMYFUNCTION("""COMPUTED_VALUE"""),1052785.0)</f>
        <v>1052785</v>
      </c>
      <c r="V11" s="14">
        <f>IFERROR(__xludf.DUMMYFUNCTION("""COMPUTED_VALUE"""),85.0)</f>
        <v>85</v>
      </c>
      <c r="W11" s="15" t="str">
        <f>IFERROR(__xludf.DUMMYFUNCTION("IFERROR(REGEXEXTRACT(J11,""""""ratio"""": (\d+.\d+), """"language"""": """"Python""""""),"""")"),"0.9554894230315439")</f>
        <v>0.9554894230315439</v>
      </c>
      <c r="X11" s="15" t="str">
        <f t="shared" si="1"/>
        <v>cobbler, deployment, dhcp, pxe, python, tftp</v>
      </c>
    </row>
    <row r="12">
      <c r="A12" s="10" t="str">
        <f>IFERROR(__xludf.DUMMYFUNCTION("""COMPUTED_VALUE"""),"conda/conda")</f>
        <v>conda/conda</v>
      </c>
      <c r="B12" s="10" t="str">
        <f>IFERROR(__xludf.DUMMYFUNCTION("""COMPUTED_VALUE"""),"OS-agnostic, system-level binary package manager and ecosystem")</f>
        <v>OS-agnostic, system-level binary package manager and ecosystem</v>
      </c>
      <c r="C12" s="11" t="str">
        <f>IFERROR(__xludf.DUMMYFUNCTION("""COMPUTED_VALUE"""),"https://github.com/conda/conda")</f>
        <v>https://github.com/conda/conda</v>
      </c>
      <c r="D12" s="10">
        <f>IFERROR(__xludf.DUMMYFUNCTION("""COMPUTED_VALUE"""),2600.0)</f>
        <v>2600</v>
      </c>
      <c r="E12" s="10">
        <f>IFERROR(__xludf.DUMMYFUNCTION("""COMPUTED_VALUE"""),176.0)</f>
        <v>176</v>
      </c>
      <c r="F12" s="10">
        <f>IFERROR(__xludf.DUMMYFUNCTION("""COMPUTED_VALUE"""),46461.0)</f>
        <v>46461</v>
      </c>
      <c r="G12" s="10" t="str">
        <f>IFERROR(__xludf.DUMMYFUNCTION("""COMPUTED_VALUE"""),"""[\""conda\"", \""package-management\""]""")</f>
        <v>"[\"conda\", \"package-management\"]"</v>
      </c>
      <c r="H12" s="12">
        <f>IFERROR(__xludf.DUMMYFUNCTION("""COMPUTED_VALUE"""),13283.0)</f>
        <v>13283</v>
      </c>
      <c r="I12" s="12">
        <f>IFERROR(__xludf.DUMMYFUNCTION("""COMPUTED_VALUE"""),207.0)</f>
        <v>207</v>
      </c>
      <c r="J12" s="10" t="str">
        <f>IFERROR(__xludf.DUMMYFUNCTION("""COMPUTED_VALUE"""),"[{""loc"": 2254611, ""ratio"": 0.9808196020274059, ""language"": ""Python""}, {""loc"": 28529, ""ratio"": 0.012410922516673547, ""language"": ""Shell""}, {""loc"": 7280, ""ratio"": 0.0031670060612493754, ""language"": ""PowerShell""}, {""loc"": 5352, ""ra"&amp;"tio"": 0.002328271488984431, ""language"": ""Batchfile""}, {""loc"": 2640, ""ratio"": 0.0011484747255080152, ""language"": ""Makefile""}, {""loc"": 289, ""ratio"": 0.00012572318017871833, ""language"": ""Jupyter Notebook""}]")</f>
        <v>[{"loc": 2254611, "ratio": 0.9808196020274059, "language": "Python"}, {"loc": 28529, "ratio": 0.012410922516673547, "language": "Shell"}, {"loc": 7280, "ratio": 0.0031670060612493754, "language": "PowerShell"}, {"loc": 5352, "ratio": 0.002328271488984431, "language": "Batchfile"}, {"loc": 2640, "ratio": 0.0011484747255080152, "language": "Makefile"}, {"loc": 289, "ratio": 0.00012572318017871833, "language": "Jupyter Notebook"}]</v>
      </c>
      <c r="K12" s="13">
        <f>IFERROR(__xludf.DUMMYFUNCTION("""COMPUTED_VALUE"""),41197.0)</f>
        <v>41197</v>
      </c>
      <c r="L12" s="13">
        <f>IFERROR(__xludf.DUMMYFUNCTION("""COMPUTED_VALUE"""),43454.0)</f>
        <v>43454</v>
      </c>
      <c r="M12" s="10">
        <f>IFERROR(__xludf.DUMMYFUNCTION("""COMPUTED_VALUE"""),796.0)</f>
        <v>796</v>
      </c>
      <c r="N12" s="12">
        <f>IFERROR(__xludf.DUMMYFUNCTION("""COMPUTED_VALUE"""),223.0)</f>
        <v>223</v>
      </c>
      <c r="O12" s="12" t="str">
        <f>IFERROR(__xludf.DUMMYFUNCTION("""COMPUTED_VALUE"""),"4.6.0b1")</f>
        <v>4.6.0b1</v>
      </c>
      <c r="P12" s="12" t="str">
        <f>IFERROR(__xludf.DUMMYFUNCTION("""COMPUTED_VALUE"""),"1471f043eed980d62f46944e223f0add6a9a790b")</f>
        <v>1471f043eed980d62f46944e223f0add6a9a790b</v>
      </c>
      <c r="Q12" s="12" t="str">
        <f>IFERROR(__xludf.DUMMYFUNCTION("""COMPUTED_VALUE"""),"{""key"": ""other"", ""url"": null, ""name"": ""Other"", ""node_id"": ""MDc6TGljZW5zZTA="", ""spdx_id"": ""NOASSERTION""}")</f>
        <v>{"key": "other", "url": null, "name": "Other", "node_id": "MDc6TGljZW5zZTA=", "spdx_id": "NOASSERTION"}</v>
      </c>
      <c r="R12" s="12" t="str">
        <f>IFERROR(__xludf.DUMMYFUNCTION("""COMPUTED_VALUE"""),"conda")</f>
        <v>conda</v>
      </c>
      <c r="S12" s="12" t="str">
        <f>IFERROR(__xludf.DUMMYFUNCTION("""COMPUTED_VALUE"""),"{""id"": 6235174, ""url"": ""https://api.github.com/repos/conda/conda"", ""fork"": false, ""name"": ""conda"", ""size"": 46461, ""forks"": 643, ""owner"": {""id"": 6392739, ""url"": ""https://api.github.com/users/conda"", ""type"": ""Organization"", ""log"&amp;"in"": ""conda"", ""node_id"": ""MDEyOk9yZ2FuaXphdGlvbjYzOTI3Mzk="", ""html_url"": ""https://github.com/conda"", ""gists_url"": ""https://api.github.com/users/conda/gists{/gist_id}"", ""repos_url"": ""https://api.github.com/users/conda/repos"", ""avatar_ur"&amp;"l"": ""https://avatars0.githubusercontent.com/u/6392739?v=4"", ""events_url"": ""https://api.github.com/users/conda/events{/privacy}"", ""site_admin"": false, ""gravatar_id"": """", ""starred_url"": ""https://api.github.com/users/conda/starred{/owner}{/re"&amp;"po}"", ""followers_url"": ""https://api.github.com/users/conda/followers"", ""following_url"": ""https://api.github.com/users/conda/following{/other_user}"", ""organizations_url"": ""https://api.github.com/users/conda/orgs"", ""subscriptions_url"": ""http"&amp;"s://api.github.com/users/conda/subscriptions"", ""received_events_url"": ""https://api.github.com/users/conda/received_events""}, ""score"": 1.0, ""topics"": [""conda"", ""package-management""], ""git_url"": ""git://github.com/conda/conda.git"", ""license"&amp;""": {""key"": ""other"", ""url"": null, ""name"": ""Other"", ""node_id"": ""MDc6TGljZW5zZTA="", ""spdx_id"": ""NOASSERTION""}, ""node_id"": ""MDEwOlJlcG9zaXRvcnk2MjM1MTc0"", ""private"": false, ""ssh_url"": ""git@github.com:conda/conda.git"", ""svn_url"":"&amp;" ""https://github.com/conda/conda"", ""archived"": false, ""has_wiki"": true, ""homepage"": ""https://conda.io"", ""html_url"": ""https://github.com/conda/conda"", ""keys_url"": ""https://api.github.com/repos/conda/conda/keys{/key_id}"", ""language"": ""P"&amp;"ython"", ""tags_url"": ""https://api.github.com/repos/conda/conda/tags"", ""watchers"": 2600, ""blobs_url"": ""https://api.github.com/repos/conda/conda/git/blobs{/sha}"", ""clone_url"": ""https://github.com/conda/conda.git"", ""forks_url"": ""https://api."&amp;"github.com/repos/conda/conda/forks"", ""full_name"": ""conda/conda"", ""has_pages"": false, ""hooks_url"": ""https://api.github.com/repos/conda/conda/hooks"", ""pulls_url"": ""https://api.github.com/repos/conda/conda/pulls{/number}"", ""pushed_at"": ""201"&amp;"8-12-20T14:16:13Z"", ""teams_url"": ""https://api.github.com/repos/conda/conda/teams"", ""trees_url"": ""https://api.github.com/repos/conda/conda/git/trees{/sha}"", ""created_at"": ""2012-10-15T22:08:03Z"", ""events_url"": ""https://api.github.com/repos/c"&amp;"onda/conda/events"", ""has_issues"": true, ""issues_url"": ""https://api.github.com/repos/conda/conda/issues{/number}"", ""labels_url"": ""https://api.github.com/repos/conda/conda/labels{/name}"", ""merges_url"": ""https://api.github.com/repos/conda/conda"&amp;"/merges"", ""mirror_url"": null, ""updated_at"": ""2018-12-24T23:14:16Z"", ""archive_url"": ""https://api.github.com/repos/conda/conda/{archive_format}{/ref}"", ""commits_url"": ""https://api.github.com/repos/conda/conda/commits{/sha}"", ""compare_url"": "&amp;"""https://api.github.com/repos/conda/conda/compare/{base}...{head}"", ""description"": ""OS-agnostic, system-level binary package manager and ecosystem"", ""forks_count"": 643, ""open_issues"": 796, ""permissions"": {""pull"": true, ""push"": false, ""adm"&amp;"in"": false}, ""branches_url"": ""https://api.github.com/repos/conda/conda/branches{/branch}"", ""comments_url"": ""https://api.github.com/repos/conda/conda/comments{/number}"", ""contents_url"": ""https://api.github.com/repos/conda/conda/contents/{+path}"&amp;""", ""git_refs_url"": ""https://api.github.com/repos/conda/conda/git/refs{/sha}"", ""git_tags_url"": ""https://api.github.com/repos/conda/conda/git/tags{/sha}"", ""has_projects"": false, ""releases_url"": ""https://api.github.com/repos/conda/conda/release"&amp;"s{/id}"", ""statuses_url"": ""https://api.github.com/repos/conda/conda/statuses/{sha}"", ""assignees_url"": ""https://api.github.com/repos/conda/conda/assignees{/user}"", ""downloads_url"": ""https://api.github.com/repos/conda/conda/downloads"", ""has_dow"&amp;"nloads"": true, ""languages_url"": ""https://api.github.com/repos/conda/conda/languages"", ""default_branch"": ""master"", ""milestones_url"": ""https://api.github.com/repos/conda/conda/milestones{/number}"", ""stargazers_url"": ""https://api.github.com/r"&amp;"epos/conda/conda/stargazers"", ""watchers_count"": 2600, ""deployments_url"": ""https://api.github.com/repos/conda/conda/deployments"", ""git_commits_url"": ""https://api.github.com/repos/conda/conda/git/commits{/sha}"", ""subscribers_url"": ""https://api"&amp;".github.com/repos/conda/conda/subscribers"", ""contributors_url"": ""https://api.github.com/repos/conda/conda/contributors"", ""issue_events_url"": ""https://api.github.com/repos/conda/conda/issues/events{/number}"", ""stargazers_count"": 2600, ""subscrip"&amp;"tion_url"": ""https://api.github.com/repos/conda/conda/subscription"", ""collaborators_url"": ""https://api.github.com/repos/conda/conda/collaborators{/collaborator}"", ""issue_comment_url"": ""https://api.github.com/repos/conda/conda/issues/comments{/num"&amp;"ber}"", ""notifications_url"": ""https://api.github.com/repos/conda/conda/notifications{?since,all,participating}"", ""open_issues_count"": 796}")</f>
        <v>{"id": 6235174, "url": "https://api.github.com/repos/conda/conda", "fork": false, "name": "conda", "size": 46461, "forks": 643, "owner": {"id": 6392739, "url": "https://api.github.com/users/conda", "type": "Organization", "login": "conda", "node_id": "MDEyOk9yZ2FuaXphdGlvbjYzOTI3Mzk=", "html_url": "https://github.com/conda", "gists_url": "https://api.github.com/users/conda/gists{/gist_id}", "repos_url": "https://api.github.com/users/conda/repos", "avatar_url": "https://avatars0.githubusercontent.com/u/6392739?v=4", "events_url": "https://api.github.com/users/conda/events{/privacy}", "site_admin": false, "gravatar_id": "", "starred_url": "https://api.github.com/users/conda/starred{/owner}{/repo}", "followers_url": "https://api.github.com/users/conda/followers", "following_url": "https://api.github.com/users/conda/following{/other_user}", "organizations_url": "https://api.github.com/users/conda/orgs", "subscriptions_url": "https://api.github.com/users/conda/subscriptions", "received_events_url": "https://api.github.com/users/conda/received_events"}, "score": 1.0, "topics": ["conda", "package-management"], "git_url": "git://github.com/conda/conda.git", "license": {"key": "other", "url": null, "name": "Other", "node_id": "MDc6TGljZW5zZTA=", "spdx_id": "NOASSERTION"}, "node_id": "MDEwOlJlcG9zaXRvcnk2MjM1MTc0", "private": false, "ssh_url": "git@github.com:conda/conda.git", "svn_url": "https://github.com/conda/conda", "archived": false, "has_wiki": true, "homepage": "https://conda.io", "html_url": "https://github.com/conda/conda", "keys_url": "https://api.github.com/repos/conda/conda/keys{/key_id}", "language": "Python", "tags_url": "https://api.github.com/repos/conda/conda/tags", "watchers": 2600, "blobs_url": "https://api.github.com/repos/conda/conda/git/blobs{/sha}", "clone_url": "https://github.com/conda/conda.git", "forks_url": "https://api.github.com/repos/conda/conda/forks", "full_name": "conda/conda", "has_pages": false, "hooks_url": "https://api.github.com/repos/conda/conda/hooks", "pulls_url": "https://api.github.com/repos/conda/conda/pulls{/number}", "pushed_at": "2018-12-20T14:16:13Z", "teams_url": "https://api.github.com/repos/conda/conda/teams", "trees_url": "https://api.github.com/repos/conda/conda/git/trees{/sha}", "created_at": "2012-10-15T22:08:03Z", "events_url": "https://api.github.com/repos/conda/conda/events", "has_issues": true, "issues_url": "https://api.github.com/repos/conda/conda/issues{/number}", "labels_url": "https://api.github.com/repos/conda/conda/labels{/name}", "merges_url": "https://api.github.com/repos/conda/conda/merges", "mirror_url": null, "updated_at": "2018-12-24T23:14:16Z", "archive_url": "https://api.github.com/repos/conda/conda/{archive_format}{/ref}", "commits_url": "https://api.github.com/repos/conda/conda/commits{/sha}", "compare_url": "https://api.github.com/repos/conda/conda/compare/{base}...{head}", "description": "OS-agnostic, system-level binary package manager and ecosystem", "forks_count": 643, "open_issues": 796, "permissions": {"pull": true, "push": false, "admin": false}, "branches_url": "https://api.github.com/repos/conda/conda/branches{/branch}", "comments_url": "https://api.github.com/repos/conda/conda/comments{/number}", "contents_url": "https://api.github.com/repos/conda/conda/contents/{+path}", "git_refs_url": "https://api.github.com/repos/conda/conda/git/refs{/sha}", "git_tags_url": "https://api.github.com/repos/conda/conda/git/tags{/sha}", "has_projects": false, "releases_url": "https://api.github.com/repos/conda/conda/releases{/id}", "statuses_url": "https://api.github.com/repos/conda/conda/statuses/{sha}", "assignees_url": "https://api.github.com/repos/conda/conda/assignees{/user}", "downloads_url": "https://api.github.com/repos/conda/conda/downloads", "has_downloads": true, "languages_url": "https://api.github.com/repos/conda/conda/languages", "default_branch": "master", "milestones_url": "https://api.github.com/repos/conda/conda/milestones{/number}", "stargazers_url": "https://api.github.com/repos/conda/conda/stargazers", "watchers_count": 2600, "deployments_url": "https://api.github.com/repos/conda/conda/deployments", "git_commits_url": "https://api.github.com/repos/conda/conda/git/commits{/sha}", "subscribers_url": "https://api.github.com/repos/conda/conda/subscribers", "contributors_url": "https://api.github.com/repos/conda/conda/contributors", "issue_events_url": "https://api.github.com/repos/conda/conda/issues/events{/number}", "stargazers_count": 2600, "subscription_url": "https://api.github.com/repos/conda/conda/subscription", "collaborators_url": "https://api.github.com/repos/conda/conda/collaborators{/collaborator}", "issue_comment_url": "https://api.github.com/repos/conda/conda/issues/comments{/number}", "notifications_url": "https://api.github.com/repos/conda/conda/notifications{?since,all,participating}", "open_issues_count": 796}</v>
      </c>
      <c r="T12" s="12">
        <f>IFERROR(__xludf.DUMMYFUNCTION("""COMPUTED_VALUE"""),0.980819602)</f>
        <v>0.980819602</v>
      </c>
      <c r="U12" s="12">
        <f>IFERROR(__xludf.DUMMYFUNCTION("""COMPUTED_VALUE"""),2254611.0)</f>
        <v>2254611</v>
      </c>
      <c r="V12" s="14">
        <f>IFERROR(__xludf.DUMMYFUNCTION("""COMPUTED_VALUE"""),74.0)</f>
        <v>74</v>
      </c>
      <c r="W12" s="15" t="str">
        <f>IFERROR(__xludf.DUMMYFUNCTION("IFERROR(REGEXEXTRACT(J12,""""""ratio"""": (\d+.\d+), """"language"""": """"Python""""""),"""")"),"0.9808196020274059")</f>
        <v>0.9808196020274059</v>
      </c>
      <c r="X12" s="15" t="str">
        <f t="shared" si="1"/>
        <v>conda, package-management</v>
      </c>
    </row>
    <row r="13">
      <c r="A13" s="10" t="str">
        <f>IFERROR(__xludf.DUMMYFUNCTION("""COMPUTED_VALUE"""),"cython/cython")</f>
        <v>cython/cython</v>
      </c>
      <c r="B13" s="10" t="str">
        <f>IFERROR(__xludf.DUMMYFUNCTION("""COMPUTED_VALUE"""),"The most widely used Python to C compiler")</f>
        <v>The most widely used Python to C compiler</v>
      </c>
      <c r="C13" s="11" t="str">
        <f>IFERROR(__xludf.DUMMYFUNCTION("""COMPUTED_VALUE"""),"https://github.com/cython/cython")</f>
        <v>https://github.com/cython/cython</v>
      </c>
      <c r="D13" s="10">
        <f>IFERROR(__xludf.DUMMYFUNCTION("""COMPUTED_VALUE"""),3718.0)</f>
        <v>3718</v>
      </c>
      <c r="E13" s="10">
        <f>IFERROR(__xludf.DUMMYFUNCTION("""COMPUTED_VALUE"""),217.0)</f>
        <v>217</v>
      </c>
      <c r="F13" s="10">
        <f>IFERROR(__xludf.DUMMYFUNCTION("""COMPUTED_VALUE"""),53058.0)</f>
        <v>53058</v>
      </c>
      <c r="G13" s="10" t="str">
        <f>IFERROR(__xludf.DUMMYFUNCTION("""COMPUTED_VALUE"""),"""[\""big-data\"", \""c\"", \""cpp\"", \""cpython\"", \""cpython-extensions\"", \""cython\"", \""performance\"", \""python\""]""")</f>
        <v>"[\"big-data\", \"c\", \"cpp\", \"cpython\", \"cpython-extensions\", \"cython\", \"performance\", \"python\"]"</v>
      </c>
      <c r="H13" s="12">
        <f>IFERROR(__xludf.DUMMYFUNCTION("""COMPUTED_VALUE"""),14562.0)</f>
        <v>14562</v>
      </c>
      <c r="I13" s="12">
        <f>IFERROR(__xludf.DUMMYFUNCTION("""COMPUTED_VALUE"""),267.0)</f>
        <v>267</v>
      </c>
      <c r="J13" s="10" t="str">
        <f>IFERROR(__xludf.DUMMYFUNCTION("""COMPUTED_VALUE"""),"[{""loc"": 6136536, ""ratio"": 0.9003568394073012, ""language"": ""Python""}, {""loc"": 628974, ""ratio"": 0.0922835037078521, ""language"": ""C""}, {""loc"": 29617, ""ratio"": 0.004345426884601678, ""language"": ""C++""}, {""loc"": 11963, ""ratio"": 0.00"&amp;"17552196988381628, ""language"": ""Emacs Lisp""}, {""loc"": 3803, ""ratio"": 0.0005579788108903731, ""language"": ""PowerShell""}, {""loc"": 1924, ""ratio"": 0.0002822906211288661, ""language"": ""Makefile""}, {""loc"": 1429, ""ratio"": 0.0002096638760879"&amp;"1563, ""language"": ""Batchfile""}, {""loc"": 807, ""ratio"": 0.00011840360252130715, ""language"": ""sed""}, {""loc"": 618, ""ratio"": 0.00009067339077839878, ""language"": ""Smalltalk""}]")</f>
        <v>[{"loc": 6136536, "ratio": 0.9003568394073012, "language": "Python"}, {"loc": 628974, "ratio": 0.0922835037078521, "language": "C"}, {"loc": 29617, "ratio": 0.004345426884601678, "language": "C++"}, {"loc": 11963, "ratio": 0.0017552196988381628, "language": "Emacs Lisp"}, {"loc": 3803, "ratio": 0.0005579788108903731, "language": "PowerShell"}, {"loc": 1924, "ratio": 0.0002822906211288661, "language": "Makefile"}, {"loc": 1429, "ratio": 0.00020966387608791563, "language": "Batchfile"}, {"loc": 807, "ratio": 0.00011840360252130715, "language": "sed"}, {"loc": 618, "ratio": 0.00009067339077839878, "language": "Smalltalk"}]</v>
      </c>
      <c r="K13" s="13">
        <f>IFERROR(__xludf.DUMMYFUNCTION("""COMPUTED_VALUE"""),40503.0)</f>
        <v>40503</v>
      </c>
      <c r="L13" s="13">
        <f>IFERROR(__xludf.DUMMYFUNCTION("""COMPUTED_VALUE"""),43458.0)</f>
        <v>43458</v>
      </c>
      <c r="M13" s="10">
        <f>IFERROR(__xludf.DUMMYFUNCTION("""COMPUTED_VALUE"""),614.0)</f>
        <v>614</v>
      </c>
      <c r="N13" s="12">
        <f>IFERROR(__xludf.DUMMYFUNCTION("""COMPUTED_VALUE"""),141.0)</f>
        <v>141</v>
      </c>
      <c r="O13" s="12" t="str">
        <f>IFERROR(__xludf.DUMMYFUNCTION("""COMPUTED_VALUE"""),"0.29.2")</f>
        <v>0.29.2</v>
      </c>
      <c r="P13" s="12" t="str">
        <f>IFERROR(__xludf.DUMMYFUNCTION("""COMPUTED_VALUE"""),"433e6992ca89e0c7059b87cbae0e9536f11aa58f")</f>
        <v>433e6992ca89e0c7059b87cbae0e9536f11aa58f</v>
      </c>
      <c r="Q13" s="12" t="str">
        <f>IFERROR(__xludf.DUMMYFUNCTION("""COMPUTED_VALUE"""),"{""key"": ""other"", ""url"": null, ""name"": ""Other"", ""node_id"": ""MDc6TGljZW5zZTA="", ""spdx_id"": ""NOASSERTION""}")</f>
        <v>{"key": "other", "url": null, "name": "Other", "node_id": "MDc6TGljZW5zZTA=", "spdx_id": "NOASSERTION"}</v>
      </c>
      <c r="R13" s="12" t="str">
        <f>IFERROR(__xludf.DUMMYFUNCTION("""COMPUTED_VALUE"""),"cython")</f>
        <v>cython</v>
      </c>
      <c r="S13" s="12" t="str">
        <f>IFERROR(__xludf.DUMMYFUNCTION("""COMPUTED_VALUE"""),"{""id"": 1099265, ""url"": ""https://api.github.com/repos/cython/cython"", ""fork"": false, ""name"": ""cython"", ""size"": 53058, ""forks"": 783, ""owner"": {""id"": 486082, ""url"": ""https://api.github.com/users/cython"", ""type"": ""Organization"", """&amp;"login"": ""cython"", ""node_id"": ""MDEyOk9yZ2FuaXphdGlvbjQ4NjA4Mg=="", ""html_url"": ""https://github.com/cython"", ""gists_url"": ""https://api.github.com/users/cython/gists{/gist_id}"", ""repos_url"": ""https://api.github.com/users/cython/repos"", ""av"&amp;"atar_url"": ""https://avatars3.githubusercontent.com/u/486082?v=4"", ""events_url"": ""https://api.github.com/users/cython/events{/privacy}"", ""site_admin"": false, ""gravatar_id"": """", ""starred_url"": ""https://api.github.com/users/cython/starred{/ow"&amp;"ner}{/repo}"", ""followers_url"": ""https://api.github.com/users/cython/followers"", ""following_url"": ""https://api.github.com/users/cython/following{/other_user}"", ""organizations_url"": ""https://api.github.com/users/cython/orgs"", ""subscriptions_ur"&amp;"l"": ""https://api.github.com/users/cython/subscriptions"", ""received_events_url"": ""https://api.github.com/users/cython/received_events""}, ""score"": 1.0, ""topics"": [""big-data"", ""c"", ""cpp"", ""cpython"", ""cpython-extensions"", ""cython"", ""pe"&amp;"rformance"", ""python""], ""git_url"": ""git://github.com/cython/cython.git"", ""license"": {""key"": ""other"", ""url"": null, ""name"": ""Other"", ""node_id"": ""MDc6TGljZW5zZTA="", ""spdx_id"": ""NOASSERTION""}, ""node_id"": ""MDEwOlJlcG9zaXRvcnkxMDk5M"&amp;"jY1"", ""private"": false, ""ssh_url"": ""git@github.com:cython/cython.git"", ""svn_url"": ""https://github.com/cython/cython"", ""archived"": false, ""has_wiki"": true, ""homepage"": ""https://cython.org"", ""html_url"": ""https://github.com/cython/cytho"&amp;"n"", ""keys_url"": ""https://api.github.com/repos/cython/cython/keys{/key_id}"", ""language"": ""Python"", ""tags_url"": ""https://api.github.com/repos/cython/cython/tags"", ""watchers"": 3718, ""blobs_url"": ""https://api.github.com/repos/cython/cython/g"&amp;"it/blobs{/sha}"", ""clone_url"": ""https://github.com/cython/cython.git"", ""forks_url"": ""https://api.github.com/repos/cython/cython/forks"", ""full_name"": ""cython/cython"", ""has_pages"": false, ""hooks_url"": ""https://api.github.com/repos/cython/cy"&amp;"thon/hooks"", ""pulls_url"": ""https://api.github.com/repos/cython/cython/pulls{/number}"", ""pushed_at"": ""2018-12-24T23:53:33Z"", ""teams_url"": ""https://api.github.com/repos/cython/cython/teams"", ""trees_url"": ""https://api.github.com/repos/cython/"&amp;"cython/git/trees{/sha}"", ""created_at"": ""2010-11-21T07:44:20Z"", ""events_url"": ""https://api.github.com/repos/cython/cython/events"", ""has_issues"": true, ""issues_url"": ""https://api.github.com/repos/cython/cython/issues{/number}"", ""labels_url"""&amp;": ""https://api.github.com/repos/cython/cython/labels{/name}"", ""merges_url"": ""https://api.github.com/repos/cython/cython/merges"", ""mirror_url"": null, ""updated_at"": ""2018-12-24T01:01:21Z"", ""archive_url"": ""https://api.github.com/repos/cython/c"&amp;"ython/{archive_format}{/ref}"", ""commits_url"": ""https://api.github.com/repos/cython/cython/commits{/sha}"", ""compare_url"": ""https://api.github.com/repos/cython/cython/compare/{base}...{head}"", ""description"": ""The most widely used Python to C com"&amp;"piler"", ""forks_count"": 783, ""open_issues"": 614, ""permissions"": {""pull"": true, ""push"": false, ""admin"": false}, ""branches_url"": ""https://api.github.com/repos/cython/cython/branches{/branch}"", ""comments_url"": ""https://api.github.com/repos"&amp;"/cython/cython/comments{/number}"", ""contents_url"": ""https://api.github.com/repos/cython/cython/contents/{+path}"", ""git_refs_url"": ""https://api.github.com/repos/cython/cython/git/refs{/sha}"", ""git_tags_url"": ""https://api.github.com/repos/cython"&amp;"/cython/git/tags{/sha}"", ""has_projects"": true, ""releases_url"": ""https://api.github.com/repos/cython/cython/releases{/id}"", ""statuses_url"": ""https://api.github.com/repos/cython/cython/statuses/{sha}"", ""assignees_url"": ""https://api.github.com/"&amp;"repos/cython/cython/assignees{/user}"", ""downloads_url"": ""https://api.github.com/repos/cython/cython/downloads"", ""has_downloads"": true, ""languages_url"": ""https://api.github.com/repos/cython/cython/languages"", ""default_branch"": ""master"", ""mi"&amp;"lestones_url"": ""https://api.github.com/repos/cython/cython/milestones{/number}"", ""stargazers_url"": ""https://api.github.com/repos/cython/cython/stargazers"", ""watchers_count"": 3718, ""deployments_url"": ""https://api.github.com/repos/cython/cython/"&amp;"deployments"", ""git_commits_url"": ""https://api.github.com/repos/cython/cython/git/commits{/sha}"", ""subscribers_url"": ""https://api.github.com/repos/cython/cython/subscribers"", ""contributors_url"": ""https://api.github.com/repos/cython/cython/contr"&amp;"ibutors"", ""issue_events_url"": ""https://api.github.com/repos/cython/cython/issues/events{/number}"", ""stargazers_count"": 3718, ""subscription_url"": ""https://api.github.com/repos/cython/cython/subscription"", ""collaborators_url"": ""https://api.git"&amp;"hub.com/repos/cython/cython/collaborators{/collaborator}"", ""issue_comment_url"": ""https://api.github.com/repos/cython/cython/issues/comments{/number}"", ""notifications_url"": ""https://api.github.com/repos/cython/cython/notifications{?since,all,partic"&amp;"ipating}"", ""open_issues_count"": 614}")</f>
        <v>{"id": 1099265, "url": "https://api.github.com/repos/cython/cython", "fork": false, "name": "cython", "size": 53058, "forks": 783, "owner": {"id": 486082, "url": "https://api.github.com/users/cython", "type": "Organization", "login": "cython", "node_id": "MDEyOk9yZ2FuaXphdGlvbjQ4NjA4Mg==", "html_url": "https://github.com/cython", "gists_url": "https://api.github.com/users/cython/gists{/gist_id}", "repos_url": "https://api.github.com/users/cython/repos", "avatar_url": "https://avatars3.githubusercontent.com/u/486082?v=4", "events_url": "https://api.github.com/users/cython/events{/privacy}", "site_admin": false, "gravatar_id": "", "starred_url": "https://api.github.com/users/cython/starred{/owner}{/repo}", "followers_url": "https://api.github.com/users/cython/followers", "following_url": "https://api.github.com/users/cython/following{/other_user}", "organizations_url": "https://api.github.com/users/cython/orgs", "subscriptions_url": "https://api.github.com/users/cython/subscriptions", "received_events_url": "https://api.github.com/users/cython/received_events"}, "score": 1.0, "topics": ["big-data", "c", "cpp", "cpython", "cpython-extensions", "cython", "performance", "python"], "git_url": "git://github.com/cython/cython.git", "license": {"key": "other", "url": null, "name": "Other", "node_id": "MDc6TGljZW5zZTA=", "spdx_id": "NOASSERTION"}, "node_id": "MDEwOlJlcG9zaXRvcnkxMDk5MjY1", "private": false, "ssh_url": "git@github.com:cython/cython.git", "svn_url": "https://github.com/cython/cython", "archived": false, "has_wiki": true, "homepage": "https://cython.org", "html_url": "https://github.com/cython/cython", "keys_url": "https://api.github.com/repos/cython/cython/keys{/key_id}", "language": "Python", "tags_url": "https://api.github.com/repos/cython/cython/tags", "watchers": 3718, "blobs_url": "https://api.github.com/repos/cython/cython/git/blobs{/sha}", "clone_url": "https://github.com/cython/cython.git", "forks_url": "https://api.github.com/repos/cython/cython/forks", "full_name": "cython/cython", "has_pages": false, "hooks_url": "https://api.github.com/repos/cython/cython/hooks", "pulls_url": "https://api.github.com/repos/cython/cython/pulls{/number}", "pushed_at": "2018-12-24T23:53:33Z", "teams_url": "https://api.github.com/repos/cython/cython/teams", "trees_url": "https://api.github.com/repos/cython/cython/git/trees{/sha}", "created_at": "2010-11-21T07:44:20Z", "events_url": "https://api.github.com/repos/cython/cython/events", "has_issues": true, "issues_url": "https://api.github.com/repos/cython/cython/issues{/number}", "labels_url": "https://api.github.com/repos/cython/cython/labels{/name}", "merges_url": "https://api.github.com/repos/cython/cython/merges", "mirror_url": null, "updated_at": "2018-12-24T01:01:21Z", "archive_url": "https://api.github.com/repos/cython/cython/{archive_format}{/ref}", "commits_url": "https://api.github.com/repos/cython/cython/commits{/sha}", "compare_url": "https://api.github.com/repos/cython/cython/compare/{base}...{head}", "description": "The most widely used Python to C compiler", "forks_count": 783, "open_issues": 614, "permissions": {"pull": true, "push": false, "admin": false}, "branches_url": "https://api.github.com/repos/cython/cython/branches{/branch}", "comments_url": "https://api.github.com/repos/cython/cython/comments{/number}", "contents_url": "https://api.github.com/repos/cython/cython/contents/{+path}", "git_refs_url": "https://api.github.com/repos/cython/cython/git/refs{/sha}", "git_tags_url": "https://api.github.com/repos/cython/cython/git/tags{/sha}", "has_projects": true, "releases_url": "https://api.github.com/repos/cython/cython/releases{/id}", "statuses_url": "https://api.github.com/repos/cython/cython/statuses/{sha}", "assignees_url": "https://api.github.com/repos/cython/cython/assignees{/user}", "downloads_url": "https://api.github.com/repos/cython/cython/downloads", "has_downloads": true, "languages_url": "https://api.github.com/repos/cython/cython/languages", "default_branch": "master", "milestones_url": "https://api.github.com/repos/cython/cython/milestones{/number}", "stargazers_url": "https://api.github.com/repos/cython/cython/stargazers", "watchers_count": 3718, "deployments_url": "https://api.github.com/repos/cython/cython/deployments", "git_commits_url": "https://api.github.com/repos/cython/cython/git/commits{/sha}", "subscribers_url": "https://api.github.com/repos/cython/cython/subscribers", "contributors_url": "https://api.github.com/repos/cython/cython/contributors", "issue_events_url": "https://api.github.com/repos/cython/cython/issues/events{/number}", "stargazers_count": 3718, "subscription_url": "https://api.github.com/repos/cython/cython/subscription", "collaborators_url": "https://api.github.com/repos/cython/cython/collaborators{/collaborator}", "issue_comment_url": "https://api.github.com/repos/cython/cython/issues/comments{/number}", "notifications_url": "https://api.github.com/repos/cython/cython/notifications{?since,all,participating}", "open_issues_count": 614}</v>
      </c>
      <c r="T13" s="12">
        <f>IFERROR(__xludf.DUMMYFUNCTION("""COMPUTED_VALUE"""),0.900356839)</f>
        <v>0.900356839</v>
      </c>
      <c r="U13" s="12">
        <f>IFERROR(__xludf.DUMMYFUNCTION("""COMPUTED_VALUE"""),6136536.0)</f>
        <v>6136536</v>
      </c>
      <c r="V13" s="14">
        <f>IFERROR(__xludf.DUMMYFUNCTION("""COMPUTED_VALUE"""),97.0)</f>
        <v>97</v>
      </c>
      <c r="W13" s="15" t="str">
        <f>IFERROR(__xludf.DUMMYFUNCTION("IFERROR(REGEXEXTRACT(J13,""""""ratio"""": (\d+.\d+), """"language"""": """"Python""""""),"""")"),"0.9003568394073012")</f>
        <v>0.9003568394073012</v>
      </c>
      <c r="X13" s="15" t="str">
        <f t="shared" si="1"/>
        <v>big-data, c, cpp, cpython, cpython-extensions, cython, performance, python</v>
      </c>
    </row>
    <row r="14">
      <c r="A14" s="10" t="str">
        <f>IFERROR(__xludf.DUMMYFUNCTION("""COMPUTED_VALUE"""),"django/django")</f>
        <v>django/django</v>
      </c>
      <c r="B14" s="10" t="str">
        <f>IFERROR(__xludf.DUMMYFUNCTION("""COMPUTED_VALUE"""),"The Web framework for perfectionists with deadlines.")</f>
        <v>The Web framework for perfectionists with deadlines.</v>
      </c>
      <c r="C14" s="11" t="str">
        <f>IFERROR(__xludf.DUMMYFUNCTION("""COMPUTED_VALUE"""),"https://github.com/django/django")</f>
        <v>https://github.com/django/django</v>
      </c>
      <c r="D14" s="10">
        <f>IFERROR(__xludf.DUMMYFUNCTION("""COMPUTED_VALUE"""),38408.0)</f>
        <v>38408</v>
      </c>
      <c r="E14" s="10">
        <f>IFERROR(__xludf.DUMMYFUNCTION("""COMPUTED_VALUE"""),2138.0)</f>
        <v>2138</v>
      </c>
      <c r="F14" s="10">
        <f>IFERROR(__xludf.DUMMYFUNCTION("""COMPUTED_VALUE"""),184771.0)</f>
        <v>184771</v>
      </c>
      <c r="G14" s="10" t="str">
        <f>IFERROR(__xludf.DUMMYFUNCTION("""COMPUTED_VALUE"""),"""[\""apps\"", \""django\"", \""framework\"", \""models\"", \""orm\"", \""python\"", \""templates\"", \""views\"", \""web\""]""")</f>
        <v>"[\"apps\", \"django\", \"framework\", \"models\", \"orm\", \"python\", \"templates\", \"views\", \"web\"]"</v>
      </c>
      <c r="H14" s="12">
        <f>IFERROR(__xludf.DUMMYFUNCTION("""COMPUTED_VALUE"""),26430.0)</f>
        <v>26430</v>
      </c>
      <c r="I14" s="12">
        <f>IFERROR(__xludf.DUMMYFUNCTION("""COMPUTED_VALUE"""),402.0)</f>
        <v>402</v>
      </c>
      <c r="J14" s="10" t="str">
        <f>IFERROR(__xludf.DUMMYFUNCTION("""COMPUTED_VALUE"""),"[{""loc"": 12868737, ""ratio"": 0.9577669648564012, ""language"": ""Python""}, {""loc"": 257097, ""ratio"": 0.019134668255609402, ""language"": ""JavaScript""}, {""loc"": 224316, ""ratio"": 0.01669491376571986, ""language"": ""HTML""}, {""loc"": 84974, """&amp;"ratio"": 0.006324263995115281, ""language"": ""CSS""}, {""loc"": 809, ""ratio"": 0.00006021052995090572, ""language"": ""Shell""}, {""loc"": 130, ""ratio"": 0.00000967536328012082, ""language"": ""Smarty""}, {""loc"": 125, ""ratio"": 0.0000093032339231930"&amp;"96, ""language"": ""Makefile""}]")</f>
        <v>[{"loc": 12868737, "ratio": 0.9577669648564012, "language": "Python"}, {"loc": 257097, "ratio": 0.019134668255609402, "language": "JavaScript"}, {"loc": 224316, "ratio": 0.01669491376571986, "language": "HTML"}, {"loc": 84974, "ratio": 0.006324263995115281, "language": "CSS"}, {"loc": 809, "ratio": 0.00006021052995090572, "language": "Shell"}, {"loc": 130, "ratio": 0.00000967536328012082, "language": "Smarty"}, {"loc": 125, "ratio": 0.000009303233923193096, "language": "Makefile"}]</v>
      </c>
      <c r="K14" s="13">
        <f>IFERROR(__xludf.DUMMYFUNCTION("""COMPUTED_VALUE"""),41027.0)</f>
        <v>41027</v>
      </c>
      <c r="L14" s="13">
        <f>IFERROR(__xludf.DUMMYFUNCTION("""COMPUTED_VALUE"""),43458.0)</f>
        <v>43458</v>
      </c>
      <c r="M14" s="10">
        <f>IFERROR(__xludf.DUMMYFUNCTION("""COMPUTED_VALUE"""),187.0)</f>
        <v>187</v>
      </c>
      <c r="N14" s="12">
        <f>IFERROR(__xludf.DUMMYFUNCTION("""COMPUTED_VALUE"""),202.0)</f>
        <v>202</v>
      </c>
      <c r="O14" s="12" t="str">
        <f>IFERROR(__xludf.DUMMYFUNCTION("""COMPUTED_VALUE"""),"2.1.4")</f>
        <v>2.1.4</v>
      </c>
      <c r="P14" s="12" t="str">
        <f>IFERROR(__xludf.DUMMYFUNCTION("""COMPUTED_VALUE"""),"f1374f34da90e1d16e272c89ac07786e907e3778")</f>
        <v>f1374f34da90e1d16e272c89ac07786e907e3778</v>
      </c>
      <c r="Q14" s="12" t="str">
        <f>IFERROR(__xludf.DUMMYFUNCTION("""COMPUTED_VALUE"""),"{""key"": ""other"", ""url"": null, ""name"": ""Other"", ""node_id"": ""MDc6TGljZW5zZTA="", ""spdx_id"": ""NOASSERTION""}")</f>
        <v>{"key": "other", "url": null, "name": "Other", "node_id": "MDc6TGljZW5zZTA=", "spdx_id": "NOASSERTION"}</v>
      </c>
      <c r="R14" s="12" t="str">
        <f>IFERROR(__xludf.DUMMYFUNCTION("""COMPUTED_VALUE"""),"django")</f>
        <v>django</v>
      </c>
      <c r="S14" s="12" t="str">
        <f>IFERROR(__xludf.DUMMYFUNCTION("""COMPUTED_VALUE"""),"{""id"": 4164482, ""url"": ""https://api.github.com/repos/django/django"", ""fork"": false, ""name"": ""django"", ""size"": 184771, ""forks"": 16605, ""owner"": {""id"": 27804, ""url"": ""https://api.github.com/users/django"", ""type"": ""Organization"", "&amp;"""login"": ""django"", ""node_id"": ""MDEyOk9yZ2FuaXphdGlvbjI3ODA0"", ""html_url"": ""https://github.com/django"", ""gists_url"": ""https://api.github.com/users/django/gists{/gist_id}"", ""repos_url"": ""https://api.github.com/users/django/repos"", ""avat"&amp;"ar_url"": ""https://avatars2.githubusercontent.com/u/27804?v=4"", ""events_url"": ""https://api.github.com/users/django/events{/privacy}"", ""site_admin"": false, ""gravatar_id"": """", ""starred_url"": ""https://api.github.com/users/django/starred{/owner"&amp;"}{/repo}"", ""followers_url"": ""https://api.github.com/users/django/followers"", ""following_url"": ""https://api.github.com/users/django/following{/other_user}"", ""organizations_url"": ""https://api.github.com/users/django/orgs"", ""subscriptions_url"""&amp;": ""https://api.github.com/users/django/subscriptions"", ""received_events_url"": ""https://api.github.com/users/django/received_events""}, ""score"": 1.0, ""topics"": [""apps"", ""django"", ""framework"", ""models"", ""orm"", ""python"", ""templates"", "&amp;"""views"", ""web""], ""git_url"": ""git://github.com/django/django.git"", ""license"": {""key"": ""other"", ""url"": null, ""name"": ""Other"", ""node_id"": ""MDc6TGljZW5zZTA="", ""spdx_id"": ""NOASSERTION""}, ""node_id"": ""MDEwOlJlcG9zaXRvcnk0MTY0NDgy"""&amp;", ""private"": false, ""ssh_url"": ""git@github.com:django/django.git"", ""svn_url"": ""https://github.com/django/django"", ""archived"": false, ""has_wiki"": false, ""homepage"": ""https://www.djangoproject.com/"", ""html_url"": ""https://github.com/djan"&amp;"go/django"", ""keys_url"": ""https://api.github.com/repos/django/django/keys{/key_id}"", ""language"": ""Python"", ""tags_url"": ""https://api.github.com/repos/django/django/tags"", ""watchers"": 38408, ""blobs_url"": ""https://api.github.com/repos/django"&amp;"/django/git/blobs{/sha}"", ""clone_url"": ""https://github.com/django/django.git"", ""forks_url"": ""https://api.github.com/repos/django/django/forks"", ""full_name"": ""django/django"", ""has_pages"": false, ""hooks_url"": ""https://api.github.com/repos/"&amp;"django/django/hooks"", ""pulls_url"": ""https://api.github.com/repos/django/django/pulls{/number}"", ""pushed_at"": ""2018-12-24T21:36:18Z"", ""teams_url"": ""https://api.github.com/repos/django/django/teams"", ""trees_url"": ""https://api.github.com/repo"&amp;"s/django/django/git/trees{/sha}"", ""created_at"": ""2012-04-28T02:47:18Z"", ""events_url"": ""https://api.github.com/repos/django/django/events"", ""has_issues"": false, ""issues_url"": ""https://api.github.com/repos/django/django/issues{/number}"", ""la"&amp;"bels_url"": ""https://api.github.com/repos/django/django/labels{/name}"", ""merges_url"": ""https://api.github.com/repos/django/django/merges"", ""mirror_url"": null, ""updated_at"": ""2018-12-25T02:08:59Z"", ""archive_url"": ""https://api.github.com/repo"&amp;"s/django/django/{archive_format}{/ref}"", ""commits_url"": ""https://api.github.com/repos/django/django/commits{/sha}"", ""compare_url"": ""https://api.github.com/repos/django/django/compare/{base}...{head}"", ""description"": ""The Web framework for perf"&amp;"ectionists with deadlines."", ""forks_count"": 16605, ""open_issues"": 187, ""permissions"": {""pull"": true, ""push"": false, ""admin"": false}, ""branches_url"": ""https://api.github.com/repos/django/django/branches{/branch}"", ""comments_url"": ""https"&amp;"://api.github.com/repos/django/django/comments{/number}"", ""contents_url"": ""https://api.github.com/repos/django/django/contents/{+path}"", ""git_refs_url"": ""https://api.github.com/repos/django/django/git/refs{/sha}"", ""git_tags_url"": ""https://api."&amp;"github.com/repos/django/django/git/tags{/sha}"", ""has_projects"": false, ""releases_url"": ""https://api.github.com/repos/django/django/releases{/id}"", ""statuses_url"": ""https://api.github.com/repos/django/django/statuses/{sha}"", ""assignees_url"": "&amp;"""https://api.github.com/repos/django/django/assignees{/user}"", ""downloads_url"": ""https://api.github.com/repos/django/django/downloads"", ""has_downloads"": true, ""languages_url"": ""https://api.github.com/repos/django/django/languages"", ""default_b"&amp;"ranch"": ""master"", ""milestones_url"": ""https://api.github.com/repos/django/django/milestones{/number}"", ""stargazers_url"": ""https://api.github.com/repos/django/django/stargazers"", ""watchers_count"": 38408, ""deployments_url"": ""https://api.githu"&amp;"b.com/repos/django/django/deployments"", ""git_commits_url"": ""https://api.github.com/repos/django/django/git/commits{/sha}"", ""subscribers_url"": ""https://api.github.com/repos/django/django/subscribers"", ""contributors_url"": ""https://api.github.com"&amp;"/repos/django/django/contributors"", ""issue_events_url"": ""https://api.github.com/repos/django/django/issues/events{/number}"", ""stargazers_count"": 38408, ""subscription_url"": ""https://api.github.com/repos/django/django/subscription"", ""collaborato"&amp;"rs_url"": ""https://api.github.com/repos/django/django/collaborators{/collaborator}"", ""issue_comment_url"": ""https://api.github.com/repos/django/django/issues/comments{/number}"", ""notifications_url"": ""https://api.github.com/repos/django/django/noti"&amp;"fications{?since,all,participating}"", ""open_issues_count"": 187}")</f>
        <v>{"id": 4164482, "url": "https://api.github.com/repos/django/django", "fork": false, "name": "django", "size": 184771, "forks": 16605, "owner": {"id": 27804, "url": "https://api.github.com/users/django", "type": "Organization", "login": "django", "node_id": "MDEyOk9yZ2FuaXphdGlvbjI3ODA0", "html_url": "https://github.com/django", "gists_url": "https://api.github.com/users/django/gists{/gist_id}", "repos_url": "https://api.github.com/users/django/repos", "avatar_url": "https://avatars2.githubusercontent.com/u/27804?v=4", "events_url": "https://api.github.com/users/django/events{/privacy}", "site_admin": false, "gravatar_id": "", "starred_url": "https://api.github.com/users/django/starred{/owner}{/repo}", "followers_url": "https://api.github.com/users/django/followers", "following_url": "https://api.github.com/users/django/following{/other_user}", "organizations_url": "https://api.github.com/users/django/orgs", "subscriptions_url": "https://api.github.com/users/django/subscriptions", "received_events_url": "https://api.github.com/users/django/received_events"}, "score": 1.0, "topics": ["apps", "django", "framework", "models", "orm", "python", "templates", "views", "web"], "git_url": "git://github.com/django/django.git", "license": {"key": "other", "url": null, "name": "Other", "node_id": "MDc6TGljZW5zZTA=", "spdx_id": "NOASSERTION"}, "node_id": "MDEwOlJlcG9zaXRvcnk0MTY0NDgy", "private": false, "ssh_url": "git@github.com:django/django.git", "svn_url": "https://github.com/django/django", "archived": false, "has_wiki": false, "homepage": "https://www.djangoproject.com/", "html_url": "https://github.com/django/django", "keys_url": "https://api.github.com/repos/django/django/keys{/key_id}", "language": "Python", "tags_url": "https://api.github.com/repos/django/django/tags", "watchers": 38408, "blobs_url": "https://api.github.com/repos/django/django/git/blobs{/sha}", "clone_url": "https://github.com/django/django.git", "forks_url": "https://api.github.com/repos/django/django/forks", "full_name": "django/django", "has_pages": false, "hooks_url": "https://api.github.com/repos/django/django/hooks", "pulls_url": "https://api.github.com/repos/django/django/pulls{/number}", "pushed_at": "2018-12-24T21:36:18Z", "teams_url": "https://api.github.com/repos/django/django/teams", "trees_url": "https://api.github.com/repos/django/django/git/trees{/sha}", "created_at": "2012-04-28T02:47:18Z", "events_url": "https://api.github.com/repos/django/django/events", "has_issues": false, "issues_url": "https://api.github.com/repos/django/django/issues{/number}", "labels_url": "https://api.github.com/repos/django/django/labels{/name}", "merges_url": "https://api.github.com/repos/django/django/merges", "mirror_url": null, "updated_at": "2018-12-25T02:08:59Z", "archive_url": "https://api.github.com/repos/django/django/{archive_format}{/ref}", "commits_url": "https://api.github.com/repos/django/django/commits{/sha}", "compare_url": "https://api.github.com/repos/django/django/compare/{base}...{head}", "description": "The Web framework for perfectionists with deadlines.", "forks_count": 16605, "open_issues": 187, "permissions": {"pull": true, "push": false, "admin": false}, "branches_url": "https://api.github.com/repos/django/django/branches{/branch}", "comments_url": "https://api.github.com/repos/django/django/comments{/number}", "contents_url": "https://api.github.com/repos/django/django/contents/{+path}", "git_refs_url": "https://api.github.com/repos/django/django/git/refs{/sha}", "git_tags_url": "https://api.github.com/repos/django/django/git/tags{/sha}", "has_projects": false, "releases_url": "https://api.github.com/repos/django/django/releases{/id}", "statuses_url": "https://api.github.com/repos/django/django/statuses/{sha}", "assignees_url": "https://api.github.com/repos/django/django/assignees{/user}", "downloads_url": "https://api.github.com/repos/django/django/downloads", "has_downloads": true, "languages_url": "https://api.github.com/repos/django/django/languages", "default_branch": "master", "milestones_url": "https://api.github.com/repos/django/django/milestones{/number}", "stargazers_url": "https://api.github.com/repos/django/django/stargazers", "watchers_count": 38408, "deployments_url": "https://api.github.com/repos/django/django/deployments", "git_commits_url": "https://api.github.com/repos/django/django/git/commits{/sha}", "subscribers_url": "https://api.github.com/repos/django/django/subscribers", "contributors_url": "https://api.github.com/repos/django/django/contributors", "issue_events_url": "https://api.github.com/repos/django/django/issues/events{/number}", "stargazers_count": 38408, "subscription_url": "https://api.github.com/repos/django/django/subscription", "collaborators_url": "https://api.github.com/repos/django/django/collaborators{/collaborator}", "issue_comment_url": "https://api.github.com/repos/django/django/issues/comments{/number}", "notifications_url": "https://api.github.com/repos/django/django/notifications{?since,all,participating}", "open_issues_count": 187}</v>
      </c>
      <c r="T14" s="12">
        <f>IFERROR(__xludf.DUMMYFUNCTION("""COMPUTED_VALUE"""),0.957766965)</f>
        <v>0.957766965</v>
      </c>
      <c r="U14" s="12">
        <f>IFERROR(__xludf.DUMMYFUNCTION("""COMPUTED_VALUE"""),1.2868737E7)</f>
        <v>12868737</v>
      </c>
      <c r="V14" s="14">
        <f>IFERROR(__xludf.DUMMYFUNCTION("""COMPUTED_VALUE"""),79.0)</f>
        <v>79</v>
      </c>
      <c r="W14" s="15" t="str">
        <f>IFERROR(__xludf.DUMMYFUNCTION("IFERROR(REGEXEXTRACT(J14,""""""ratio"""": (\d+.\d+), """"language"""": """"Python""""""),"""")"),"0.9577669648564012")</f>
        <v>0.9577669648564012</v>
      </c>
      <c r="X14" s="15" t="str">
        <f t="shared" si="1"/>
        <v>apps, django, framework, models, orm, python, templates, views, web</v>
      </c>
    </row>
    <row r="15">
      <c r="A15" s="10" t="str">
        <f>IFERROR(__xludf.DUMMYFUNCTION("""COMPUTED_VALUE"""),"encode/django-rest-framework")</f>
        <v>encode/django-rest-framework</v>
      </c>
      <c r="B15" s="10" t="str">
        <f>IFERROR(__xludf.DUMMYFUNCTION("""COMPUTED_VALUE"""),"Web APIs for Django. ⚡️")</f>
        <v>Web APIs for Django. ⚡️</v>
      </c>
      <c r="C15" s="11" t="str">
        <f>IFERROR(__xludf.DUMMYFUNCTION("""COMPUTED_VALUE"""),"https://github.com/encode/django-rest-framework")</f>
        <v>https://github.com/encode/django-rest-framework</v>
      </c>
      <c r="D15" s="10">
        <f>IFERROR(__xludf.DUMMYFUNCTION("""COMPUTED_VALUE"""),12575.0)</f>
        <v>12575</v>
      </c>
      <c r="E15" s="10">
        <f>IFERROR(__xludf.DUMMYFUNCTION("""COMPUTED_VALUE"""),522.0)</f>
        <v>522</v>
      </c>
      <c r="F15" s="10">
        <f>IFERROR(__xludf.DUMMYFUNCTION("""COMPUTED_VALUE"""),41001.0)</f>
        <v>41001</v>
      </c>
      <c r="G15" s="10" t="str">
        <f>IFERROR(__xludf.DUMMYFUNCTION("""COMPUTED_VALUE"""),"""[\""api\"", \""django\"", \""python\"", \""rest\""]""")</f>
        <v>"[\"api\", \"django\", \"python\", \"rest\"]"</v>
      </c>
      <c r="H15" s="12">
        <f>IFERROR(__xludf.DUMMYFUNCTION("""COMPUTED_VALUE"""),7879.0)</f>
        <v>7879</v>
      </c>
      <c r="I15" s="12">
        <f>IFERROR(__xludf.DUMMYFUNCTION("""COMPUTED_VALUE"""),396.0)</f>
        <v>396</v>
      </c>
      <c r="J15" s="10" t="str">
        <f>IFERROR(__xludf.DUMMYFUNCTION("""COMPUTED_VALUE"""),"[{""loc"": 1294037, ""ratio"": 0.8998710036334556, ""language"": ""Python""}, {""loc"": 86061, ""ratio"": 0.05984666469637176, ""language"": ""HTML""}, {""loc"": 39720, ""ratio"": 0.02762121659915509, ""language"": ""CSS""}, {""loc"": 18207, ""ratio"": 0."&amp;"012661115071017541, ""language"": ""JavaScript""}]")</f>
        <v>[{"loc": 1294037, "ratio": 0.8998710036334556, "language": "Python"}, {"loc": 86061, "ratio": 0.05984666469637176, "language": "HTML"}, {"loc": 39720, "ratio": 0.02762121659915509, "language": "CSS"}, {"loc": 18207, "ratio": 0.012661115071017541, "language": "JavaScript"}]</v>
      </c>
      <c r="K15" s="13">
        <f>IFERROR(__xludf.DUMMYFUNCTION("""COMPUTED_VALUE"""),40604.0)</f>
        <v>40604</v>
      </c>
      <c r="L15" s="13">
        <f>IFERROR(__xludf.DUMMYFUNCTION("""COMPUTED_VALUE"""),43458.0)</f>
        <v>43458</v>
      </c>
      <c r="M15" s="10">
        <f>IFERROR(__xludf.DUMMYFUNCTION("""COMPUTED_VALUE"""),197.0)</f>
        <v>197</v>
      </c>
      <c r="N15" s="12">
        <f>IFERROR(__xludf.DUMMYFUNCTION("""COMPUTED_VALUE"""),110.0)</f>
        <v>110</v>
      </c>
      <c r="O15" s="12" t="str">
        <f>IFERROR(__xludf.DUMMYFUNCTION("""COMPUTED_VALUE"""),"3.9.0")</f>
        <v>3.9.0</v>
      </c>
      <c r="P15" s="12" t="str">
        <f>IFERROR(__xludf.DUMMYFUNCTION("""COMPUTED_VALUE"""),"75edc4f0ecbfc8a1d416ac1e1eb0ea1fe70f06a4")</f>
        <v>75edc4f0ecbfc8a1d416ac1e1eb0ea1fe70f06a4</v>
      </c>
      <c r="Q15" s="12" t="str">
        <f>IFERROR(__xludf.DUMMYFUNCTION("""COMPUTED_VALUE"""),"{""key"": ""other"", ""url"": null, ""name"": ""Other"", ""node_id"": ""MDc6TGljZW5zZTA="", ""spdx_id"": ""NOASSERTION""}")</f>
        <v>{"key": "other", "url": null, "name": "Other", "node_id": "MDc6TGljZW5zZTA=", "spdx_id": "NOASSERTION"}</v>
      </c>
      <c r="R15" s="12" t="str">
        <f>IFERROR(__xludf.DUMMYFUNCTION("""COMPUTED_VALUE"""),"django-rest-framework")</f>
        <v>django-rest-framework</v>
      </c>
      <c r="S15" s="12" t="str">
        <f>IFERROR(__xludf.DUMMYFUNCTION("""COMPUTED_VALUE"""),"{""id"": 1431547, ""url"": ""https://api.github.com/repos/encode/django-rest-framework"", ""fork"": false, ""name"": ""django-rest-framework"", ""size"": 41001, ""forks"": 3841, ""owner"": {""id"": 19159390, ""url"": ""https://api.github.com/users/encode"&amp;""", ""type"": ""Organization"", ""login"": ""encode"", ""node_id"": ""MDEyOk9yZ2FuaXphdGlvbjE5MTU5Mzkw"", ""html_url"": ""https://github.com/encode"", ""gists_url"": ""https://api.github.com/users/encode/gists{/gist_id}"", ""repos_url"": ""https://api.git"&amp;"hub.com/users/encode/repos"", ""avatar_url"": ""https://avatars1.githubusercontent.com/u/19159390?v=4"", ""events_url"": ""https://api.github.com/users/encode/events{/privacy}"", ""site_admin"": false, ""gravatar_id"": """", ""starred_url"": ""https://api"&amp;".github.com/users/encode/starred{/owner}{/repo}"", ""followers_url"": ""https://api.github.com/users/encode/followers"", ""following_url"": ""https://api.github.com/users/encode/following{/other_user}"", ""organizations_url"": ""https://api.github.com/use"&amp;"rs/encode/orgs"", ""subscriptions_url"": ""https://api.github.com/users/encode/subscriptions"", ""received_events_url"": ""https://api.github.com/users/encode/received_events""}, ""score"": 1.0, ""topics"": [""api"", ""django"", ""python"", ""rest""], ""g"&amp;"it_url"": ""git://github.com/encode/django-rest-framework.git"", ""license"": {""key"": ""other"", ""url"": null, ""name"": ""Other"", ""node_id"": ""MDc6TGljZW5zZTA="", ""spdx_id"": ""NOASSERTION""}, ""node_id"": ""MDEwOlJlcG9zaXRvcnkxNDMxNTQ3"", ""priva"&amp;"te"": false, ""ssh_url"": ""git@github.com:encode/django-rest-framework.git"", ""svn_url"": ""https://github.com/encode/django-rest-framework"", ""archived"": false, ""has_wiki"": false, ""homepage"": ""https://www.django-rest-framework.org"", ""html_url"&amp;""": ""https://github.com/encode/django-rest-framework"", ""keys_url"": ""https://api.github.com/repos/encode/django-rest-framework/keys{/key_id}"", ""language"": ""Python"", ""tags_url"": ""https://api.github.com/repos/encode/django-rest-framework/tags"","&amp;" ""watchers"": 12575, ""blobs_url"": ""https://api.github.com/repos/encode/django-rest-framework/git/blobs{/sha}"", ""clone_url"": ""https://github.com/encode/django-rest-framework.git"", ""forks_url"": ""https://api.github.com/repos/encode/django-rest-fr"&amp;"amework/forks"", ""full_name"": ""encode/django-rest-framework"", ""has_pages"": true, ""hooks_url"": ""https://api.github.com/repos/encode/django-rest-framework/hooks"", ""pulls_url"": ""https://api.github.com/repos/encode/django-rest-framework/pulls{/nu"&amp;"mber}"", ""pushed_at"": ""2018-12-24T15:54:28Z"", ""teams_url"": ""https://api.github.com/repos/encode/django-rest-framework/teams"", ""trees_url"": ""https://api.github.com/repos/encode/django-rest-framework/git/trees{/sha}"", ""created_at"": ""2011-03-0"&amp;"2T17:13:56Z"", ""events_url"": ""https://api.github.com/repos/encode/django-rest-framework/events"", ""has_issues"": true, ""issues_url"": ""https://api.github.com/repos/encode/django-rest-framework/issues{/number}"", ""labels_url"": ""https://api.github."&amp;"com/repos/encode/django-rest-framework/labels{/name}"", ""merges_url"": ""https://api.github.com/repos/encode/django-rest-framework/merges"", ""mirror_url"": null, ""updated_at"": ""2018-12-25T01:29:01Z"", ""archive_url"": ""https://api.github.com/repos/e"&amp;"ncode/django-rest-framework/{archive_format}{/ref}"", ""commits_url"": ""https://api.github.com/repos/encode/django-rest-framework/commits{/sha}"", ""compare_url"": ""https://api.github.com/repos/encode/django-rest-framework/compare/{base}...{head}"", ""d"&amp;"escription"": ""Web APIs for Django. ⚡️"", ""forks_count"": 3841, ""open_issues"": 197, ""permissions"": {""pull"": true, ""push"": false, ""admin"": false}, ""branches_url"": ""https://api.github.com/repos/encode/django-rest-framework/branches{/branch}"""&amp;", ""comments_url"": ""https://api.github.com/repos/encode/django-rest-framework/comments{/number}"", ""contents_url"": ""https://api.github.com/repos/encode/django-rest-framework/contents/{+path}"", ""git_refs_url"": ""https://api.github.com/repos/encode/"&amp;"django-rest-framework/git/refs{/sha}"", ""git_tags_url"": ""https://api.github.com/repos/encode/django-rest-framework/git/tags{/sha}"", ""has_projects"": true, ""releases_url"": ""https://api.github.com/repos/encode/django-rest-framework/releases{/id}"", "&amp;"""statuses_url"": ""https://api.github.com/repos/encode/django-rest-framework/statuses/{sha}"", ""assignees_url"": ""https://api.github.com/repos/encode/django-rest-framework/assignees{/user}"", ""downloads_url"": ""https://api.github.com/repos/encode/dja"&amp;"ngo-rest-framework/downloads"", ""has_downloads"": true, ""languages_url"": ""https://api.github.com/repos/encode/django-rest-framework/languages"", ""default_branch"": ""master"", ""milestones_url"": ""https://api.github.com/repos/encode/django-rest-fram"&amp;"ework/milestones{/number}"", ""stargazers_url"": ""https://api.github.com/repos/encode/django-rest-framework/stargazers"", ""watchers_count"": 12575, ""deployments_url"": ""https://api.github.com/repos/encode/django-rest-framework/deployments"", ""git_com"&amp;"mits_url"": ""https://api.github.com/repos/encode/django-rest-framework/git/commits{/sha}"", ""subscribers_url"": ""https://api.github.com/repos/encode/django-rest-framework/subscribers"", ""contributors_url"": ""https://api.github.com/repos/encode/django"&amp;"-rest-framework/contributors"", ""issue_events_url"": ""https://api.github.com/repos/encode/django-rest-framework/issues/events{/number}"", ""stargazers_count"": 12575, ""subscription_url"": ""https://api.github.com/repos/encode/django-rest-framework/subs"&amp;"cription"", ""collaborators_url"": ""https://api.github.com/repos/encode/django-rest-framework/collaborators{/collaborator}"", ""issue_comment_url"": ""https://api.github.com/repos/encode/django-rest-framework/issues/comments{/number}"", ""notifications_u"&amp;"rl"": ""https://api.github.com/repos/encode/django-rest-framework/notifications{?since,all,participating}"", ""open_issues_count"": 197}")</f>
        <v>{"id": 1431547, "url": "https://api.github.com/repos/encode/django-rest-framework", "fork": false, "name": "django-rest-framework", "size": 41001, "forks": 3841, "owner": {"id": 19159390, "url": "https://api.github.com/users/encode", "type": "Organization", "login": "encode", "node_id": "MDEyOk9yZ2FuaXphdGlvbjE5MTU5Mzkw", "html_url": "https://github.com/encode", "gists_url": "https://api.github.com/users/encode/gists{/gist_id}", "repos_url": "https://api.github.com/users/encode/repos", "avatar_url": "https://avatars1.githubusercontent.com/u/19159390?v=4", "events_url": "https://api.github.com/users/encode/events{/privacy}", "site_admin": false, "gravatar_id": "", "starred_url": "https://api.github.com/users/encode/starred{/owner}{/repo}", "followers_url": "https://api.github.com/users/encode/followers", "following_url": "https://api.github.com/users/encode/following{/other_user}", "organizations_url": "https://api.github.com/users/encode/orgs", "subscriptions_url": "https://api.github.com/users/encode/subscriptions", "received_events_url": "https://api.github.com/users/encode/received_events"}, "score": 1.0, "topics": ["api", "django", "python", "rest"], "git_url": "git://github.com/encode/django-rest-framework.git", "license": {"key": "other", "url": null, "name": "Other", "node_id": "MDc6TGljZW5zZTA=", "spdx_id": "NOASSERTION"}, "node_id": "MDEwOlJlcG9zaXRvcnkxNDMxNTQ3", "private": false, "ssh_url": "git@github.com:encode/django-rest-framework.git", "svn_url": "https://github.com/encode/django-rest-framework", "archived": false, "has_wiki": false, "homepage": "https://www.django-rest-framework.org", "html_url": "https://github.com/encode/django-rest-framework", "keys_url": "https://api.github.com/repos/encode/django-rest-framework/keys{/key_id}", "language": "Python", "tags_url": "https://api.github.com/repos/encode/django-rest-framework/tags", "watchers": 12575, "blobs_url": "https://api.github.com/repos/encode/django-rest-framework/git/blobs{/sha}", "clone_url": "https://github.com/encode/django-rest-framework.git", "forks_url": "https://api.github.com/repos/encode/django-rest-framework/forks", "full_name": "encode/django-rest-framework", "has_pages": true, "hooks_url": "https://api.github.com/repos/encode/django-rest-framework/hooks", "pulls_url": "https://api.github.com/repos/encode/django-rest-framework/pulls{/number}", "pushed_at": "2018-12-24T15:54:28Z", "teams_url": "https://api.github.com/repos/encode/django-rest-framework/teams", "trees_url": "https://api.github.com/repos/encode/django-rest-framework/git/trees{/sha}", "created_at": "2011-03-02T17:13:56Z", "events_url": "https://api.github.com/repos/encode/django-rest-framework/events", "has_issues": true, "issues_url": "https://api.github.com/repos/encode/django-rest-framework/issues{/number}", "labels_url": "https://api.github.com/repos/encode/django-rest-framework/labels{/name}", "merges_url": "https://api.github.com/repos/encode/django-rest-framework/merges", "mirror_url": null, "updated_at": "2018-12-25T01:29:01Z", "archive_url": "https://api.github.com/repos/encode/django-rest-framework/{archive_format}{/ref}", "commits_url": "https://api.github.com/repos/encode/django-rest-framework/commits{/sha}", "compare_url": "https://api.github.com/repos/encode/django-rest-framework/compare/{base}...{head}", "description": "Web APIs for Django. ⚡️", "forks_count": 3841, "open_issues": 197, "permissions": {"pull": true, "push": false, "admin": false}, "branches_url": "https://api.github.com/repos/encode/django-rest-framework/branches{/branch}", "comments_url": "https://api.github.com/repos/encode/django-rest-framework/comments{/number}", "contents_url": "https://api.github.com/repos/encode/django-rest-framework/contents/{+path}", "git_refs_url": "https://api.github.com/repos/encode/django-rest-framework/git/refs{/sha}", "git_tags_url": "https://api.github.com/repos/encode/django-rest-framework/git/tags{/sha}", "has_projects": true, "releases_url": "https://api.github.com/repos/encode/django-rest-framework/releases{/id}", "statuses_url": "https://api.github.com/repos/encode/django-rest-framework/statuses/{sha}", "assignees_url": "https://api.github.com/repos/encode/django-rest-framework/assignees{/user}", "downloads_url": "https://api.github.com/repos/encode/django-rest-framework/downloads", "has_downloads": true, "languages_url": "https://api.github.com/repos/encode/django-rest-framework/languages", "default_branch": "master", "milestones_url": "https://api.github.com/repos/encode/django-rest-framework/milestones{/number}", "stargazers_url": "https://api.github.com/repos/encode/django-rest-framework/stargazers", "watchers_count": 12575, "deployments_url": "https://api.github.com/repos/encode/django-rest-framework/deployments", "git_commits_url": "https://api.github.com/repos/encode/django-rest-framework/git/commits{/sha}", "subscribers_url": "https://api.github.com/repos/encode/django-rest-framework/subscribers", "contributors_url": "https://api.github.com/repos/encode/django-rest-framework/contributors", "issue_events_url": "https://api.github.com/repos/encode/django-rest-framework/issues/events{/number}", "stargazers_count": 12575, "subscription_url": "https://api.github.com/repos/encode/django-rest-framework/subscription", "collaborators_url": "https://api.github.com/repos/encode/django-rest-framework/collaborators{/collaborator}", "issue_comment_url": "https://api.github.com/repos/encode/django-rest-framework/issues/comments{/number}", "notifications_url": "https://api.github.com/repos/encode/django-rest-framework/notifications{?since,all,participating}", "open_issues_count": 197}</v>
      </c>
      <c r="T15" s="12">
        <f>IFERROR(__xludf.DUMMYFUNCTION("""COMPUTED_VALUE"""),0.899871004)</f>
        <v>0.899871004</v>
      </c>
      <c r="U15" s="12">
        <f>IFERROR(__xludf.DUMMYFUNCTION("""COMPUTED_VALUE"""),1294037.0)</f>
        <v>1294037</v>
      </c>
      <c r="V15" s="14">
        <f>IFERROR(__xludf.DUMMYFUNCTION("""COMPUTED_VALUE"""),93.0)</f>
        <v>93</v>
      </c>
      <c r="W15" s="15" t="str">
        <f>IFERROR(__xludf.DUMMYFUNCTION("IFERROR(REGEXEXTRACT(J15,""""""ratio"""": (\d+.\d+), """"language"""": """"Python""""""),"""")"),"0.8998710036334556")</f>
        <v>0.8998710036334556</v>
      </c>
      <c r="X15" s="15" t="str">
        <f t="shared" si="1"/>
        <v>api, django, python, rest</v>
      </c>
    </row>
    <row r="16">
      <c r="A16" s="10" t="str">
        <f>IFERROR(__xludf.DUMMYFUNCTION("""COMPUTED_VALUE"""),"spesmilo/electrum")</f>
        <v>spesmilo/electrum</v>
      </c>
      <c r="B16" s="10" t="str">
        <f>IFERROR(__xludf.DUMMYFUNCTION("""COMPUTED_VALUE"""),"Electrum; Bitcoin thin client")</f>
        <v>Electrum; Bitcoin thin client</v>
      </c>
      <c r="C16" s="11" t="str">
        <f>IFERROR(__xludf.DUMMYFUNCTION("""COMPUTED_VALUE"""),"https://github.com/spesmilo/electrum")</f>
        <v>https://github.com/spesmilo/electrum</v>
      </c>
      <c r="D16" s="10">
        <f>IFERROR(__xludf.DUMMYFUNCTION("""COMPUTED_VALUE"""),3142.0)</f>
        <v>3142</v>
      </c>
      <c r="E16" s="10">
        <f>IFERROR(__xludf.DUMMYFUNCTION("""COMPUTED_VALUE"""),261.0)</f>
        <v>261</v>
      </c>
      <c r="F16" s="10">
        <f>IFERROR(__xludf.DUMMYFUNCTION("""COMPUTED_VALUE"""),28418.0)</f>
        <v>28418</v>
      </c>
      <c r="G16" s="10" t="str">
        <f>IFERROR(__xludf.DUMMYFUNCTION("""COMPUTED_VALUE"""),"""[]""")</f>
        <v>"[]"</v>
      </c>
      <c r="H16" s="12">
        <f>IFERROR(__xludf.DUMMYFUNCTION("""COMPUTED_VALUE"""),9929.0)</f>
        <v>9929</v>
      </c>
      <c r="I16" s="12">
        <f>IFERROR(__xludf.DUMMYFUNCTION("""COMPUTED_VALUE"""),225.0)</f>
        <v>225</v>
      </c>
      <c r="J16" s="10" t="str">
        <f>IFERROR(__xludf.DUMMYFUNCTION("""COMPUTED_VALUE"""),"[{""loc"": 2298310, ""ratio"": 0.9823579822917312, ""language"": ""Python""}, {""loc"": 23485, ""ratio"": 0.010038105048544934, ""language"": ""Shell""}, {""loc"": 7316, ""ratio"": 0.0031270503102045874, ""language"": ""NSIS""}, {""loc"": 6379, ""ratio"":"&amp;" 0.002726551931218571, ""language"": ""Dockerfile""}, {""loc"": 2929, ""ratio"": 0.0012519314322839306, ""language"": ""Java""}, {""loc"": 877, ""ratio"": 0.0003748528050915013, ""language"": ""Makefile""}, {""loc"": 289, ""ratio"": 0.00012352618092524955"&amp;", ""language"": ""GLSL""}]")</f>
        <v>[{"loc": 2298310, "ratio": 0.9823579822917312, "language": "Python"}, {"loc": 23485, "ratio": 0.010038105048544934, "language": "Shell"}, {"loc": 7316, "ratio": 0.0031270503102045874, "language": "NSIS"}, {"loc": 6379, "ratio": 0.002726551931218571, "language": "Dockerfile"}, {"loc": 2929, "ratio": 0.0012519314322839306, "language": "Java"}, {"loc": 877, "ratio": 0.0003748528050915013, "language": "Makefile"}, {"loc": 289, "ratio": 0.00012352618092524955, "language": "GLSL"}]</v>
      </c>
      <c r="K16" s="13">
        <f>IFERROR(__xludf.DUMMYFUNCTION("""COMPUTED_VALUE"""),41123.0)</f>
        <v>41123</v>
      </c>
      <c r="L16" s="13">
        <f>IFERROR(__xludf.DUMMYFUNCTION("""COMPUTED_VALUE"""),43458.0)</f>
        <v>43458</v>
      </c>
      <c r="M16" s="10">
        <f>IFERROR(__xludf.DUMMYFUNCTION("""COMPUTED_VALUE"""),467.0)</f>
        <v>467</v>
      </c>
      <c r="N16" s="12">
        <f>IFERROR(__xludf.DUMMYFUNCTION("""COMPUTED_VALUE"""),125.0)</f>
        <v>125</v>
      </c>
      <c r="O16" s="12" t="str">
        <f>IFERROR(__xludf.DUMMYFUNCTION("""COMPUTED_VALUE"""),"3.3.3")</f>
        <v>3.3.3</v>
      </c>
      <c r="P16" s="12" t="str">
        <f>IFERROR(__xludf.DUMMYFUNCTION("""COMPUTED_VALUE"""),"084a2f60aedd2d1c9de5b36105bad641b7549f3d")</f>
        <v>084a2f60aedd2d1c9de5b36105bad641b7549f3d</v>
      </c>
      <c r="Q16" s="12" t="str">
        <f>IFERROR(__xludf.DUMMYFUNCTION("""COMPUTED_VALUE"""),"{""key"": ""mit"", ""url"": ""https://api.github.com/licenses/mit"", ""name"": ""MIT License"", ""node_id"": ""MDc6TGljZW5zZTEz"", ""spdx_id"": ""MIT""}")</f>
        <v>{"key": "mit", "url": "https://api.github.com/licenses/mit", "name": "MIT License", "node_id": "MDc6TGljZW5zZTEz", "spdx_id": "MIT"}</v>
      </c>
      <c r="R16" s="12" t="str">
        <f>IFERROR(__xludf.DUMMYFUNCTION("""COMPUTED_VALUE"""),"electrum")</f>
        <v>electrum</v>
      </c>
      <c r="S16" s="12" t="str">
        <f>IFERROR(__xludf.DUMMYFUNCTION("""COMPUTED_VALUE"""),"{""id"": 5274894, ""url"": ""https://api.github.com/repos/spesmilo/electrum"", ""fork"": false, ""name"": ""electrum"", ""size"": 28418, ""forks"": 1632, ""owner"": {""id"": 2084673, ""url"": ""https://api.github.com/users/spesmilo"", ""type"": ""Organiza"&amp;"tion"", ""login"": ""spesmilo"", ""node_id"": ""MDEyOk9yZ2FuaXphdGlvbjIwODQ2NzM="", ""html_url"": ""https://github.com/spesmilo"", ""gists_url"": ""https://api.github.com/users/spesmilo/gists{/gist_id}"", ""repos_url"": ""https://api.github.com/users/spes"&amp;"milo/repos"", ""avatar_url"": ""https://avatars2.githubusercontent.com/u/2084673?v=4"", ""events_url"": ""https://api.github.com/users/spesmilo/events{/privacy}"", ""site_admin"": false, ""gravatar_id"": """", ""starred_url"": ""https://api.github.com/use"&amp;"rs/spesmilo/starred{/owner}{/repo}"", ""followers_url"": ""https://api.github.com/users/spesmilo/followers"", ""following_url"": ""https://api.github.com/users/spesmilo/following{/other_user}"", ""organizations_url"": ""https://api.github.com/users/spesmi"&amp;"lo/orgs"", ""subscriptions_url"": ""https://api.github.com/users/spesmilo/subscriptions"", ""received_events_url"": ""https://api.github.com/users/spesmilo/received_events""}, ""score"": 1.0, ""topics"": [], ""git_url"": ""git://github.com/spesmilo/electr"&amp;"um.git"", ""license"": {""key"": ""mit"", ""url"": ""https://api.github.com/licenses/mit"", ""name"": ""MIT License"", ""node_id"": ""MDc6TGljZW5zZTEz"", ""spdx_id"": ""MIT""}, ""node_id"": ""MDEwOlJlcG9zaXRvcnk1Mjc0ODk0"", ""private"": false, ""ssh_url"""&amp;": ""git@github.com:spesmilo/electrum.git"", ""svn_url"": ""https://github.com/spesmilo/electrum"", ""archived"": false, ""has_wiki"": true, ""homepage"": null, ""html_url"": ""https://github.com/spesmilo/electrum"", ""keys_url"": ""https://api.github.com/"&amp;"repos/spesmilo/electrum/keys{/key_id}"", ""language"": ""Python"", ""tags_url"": ""https://api.github.com/repos/spesmilo/electrum/tags"", ""watchers"": 3142, ""blobs_url"": ""https://api.github.com/repos/spesmilo/electrum/git/blobs{/sha}"", ""clone_url"":"&amp;" ""https://github.com/spesmilo/electrum.git"", ""forks_url"": ""https://api.github.com/repos/spesmilo/electrum/forks"", ""full_name"": ""spesmilo/electrum"", ""has_pages"": false, ""hooks_url"": ""https://api.github.com/repos/spesmilo/electrum/hooks"", """&amp;"pulls_url"": ""https://api.github.com/repos/spesmilo/electrum/pulls{/number}"", ""pushed_at"": ""2018-12-24T18:03:20Z"", ""teams_url"": ""https://api.github.com/repos/spesmilo/electrum/teams"", ""trees_url"": ""https://api.github.com/repos/spesmilo/electr"&amp;"um/git/trees{/sha}"", ""created_at"": ""2012-08-02T16:24:30Z"", ""events_url"": ""https://api.github.com/repos/spesmilo/electrum/events"", ""has_issues"": true, ""issues_url"": ""https://api.github.com/repos/spesmilo/electrum/issues{/number}"", ""labels_u"&amp;"rl"": ""https://api.github.com/repos/spesmilo/electrum/labels{/name}"", ""merges_url"": ""https://api.github.com/repos/spesmilo/electrum/merges"", ""mirror_url"": null, ""updated_at"": ""2018-12-24T18:03:24Z"", ""archive_url"": ""https://api.github.com/re"&amp;"pos/spesmilo/electrum/{archive_format}{/ref}"", ""commits_url"": ""https://api.github.com/repos/spesmilo/electrum/commits{/sha}"", ""compare_url"": ""https://api.github.com/repos/spesmilo/electrum/compare/{base}...{head}"", ""description"": ""Electrum; Bi"&amp;"tcoin thin client"", ""forks_count"": 1632, ""open_issues"": 467, ""permissions"": {""pull"": true, ""push"": false, ""admin"": false}, ""branches_url"": ""https://api.github.com/repos/spesmilo/electrum/branches{/branch}"", ""comments_url"": ""https://api"&amp;".github.com/repos/spesmilo/electrum/comments{/number}"", ""contents_url"": ""https://api.github.com/repos/spesmilo/electrum/contents/{+path}"", ""git_refs_url"": ""https://api.github.com/repos/spesmilo/electrum/git/refs{/sha}"", ""git_tags_url"": ""https:"&amp;"//api.github.com/repos/spesmilo/electrum/git/tags{/sha}"", ""has_projects"": true, ""releases_url"": ""https://api.github.com/repos/spesmilo/electrum/releases{/id}"", ""statuses_url"": ""https://api.github.com/repos/spesmilo/electrum/statuses/{sha}"", ""a"&amp;"ssignees_url"": ""https://api.github.com/repos/spesmilo/electrum/assignees{/user}"", ""downloads_url"": ""https://api.github.com/repos/spesmilo/electrum/downloads"", ""has_downloads"": true, ""languages_url"": ""https://api.github.com/repos/spesmilo/elect"&amp;"rum/languages"", ""default_branch"": ""master"", ""milestones_url"": ""https://api.github.com/repos/spesmilo/electrum/milestones{/number}"", ""stargazers_url"": ""https://api.github.com/repos/spesmilo/electrum/stargazers"", ""watchers_count"": 3142, ""dep"&amp;"loyments_url"": ""https://api.github.com/repos/spesmilo/electrum/deployments"", ""git_commits_url"": ""https://api.github.com/repos/spesmilo/electrum/git/commits{/sha}"", ""subscribers_url"": ""https://api.github.com/repos/spesmilo/electrum/subscribers"","&amp;" ""contributors_url"": ""https://api.github.com/repos/spesmilo/electrum/contributors"", ""issue_events_url"": ""https://api.github.com/repos/spesmilo/electrum/issues/events{/number}"", ""stargazers_count"": 3142, ""subscription_url"": ""https://api.github"&amp;".com/repos/spesmilo/electrum/subscription"", ""collaborators_url"": ""https://api.github.com/repos/spesmilo/electrum/collaborators{/collaborator}"", ""issue_comment_url"": ""https://api.github.com/repos/spesmilo/electrum/issues/comments{/number}"", ""noti"&amp;"fications_url"": ""https://api.github.com/repos/spesmilo/electrum/notifications{?since,all,participating}"", ""open_issues_count"": 467}")</f>
        <v>{"id": 5274894, "url": "https://api.github.com/repos/spesmilo/electrum", "fork": false, "name": "electrum", "size": 28418, "forks": 1632, "owner": {"id": 2084673, "url": "https://api.github.com/users/spesmilo", "type": "Organization", "login": "spesmilo", "node_id": "MDEyOk9yZ2FuaXphdGlvbjIwODQ2NzM=", "html_url": "https://github.com/spesmilo", "gists_url": "https://api.github.com/users/spesmilo/gists{/gist_id}", "repos_url": "https://api.github.com/users/spesmilo/repos", "avatar_url": "https://avatars2.githubusercontent.com/u/2084673?v=4", "events_url": "https://api.github.com/users/spesmilo/events{/privacy}", "site_admin": false, "gravatar_id": "", "starred_url": "https://api.github.com/users/spesmilo/starred{/owner}{/repo}", "followers_url": "https://api.github.com/users/spesmilo/followers", "following_url": "https://api.github.com/users/spesmilo/following{/other_user}", "organizations_url": "https://api.github.com/users/spesmilo/orgs", "subscriptions_url": "https://api.github.com/users/spesmilo/subscriptions", "received_events_url": "https://api.github.com/users/spesmilo/received_events"}, "score": 1.0, "topics": [], "git_url": "git://github.com/spesmilo/electrum.git", "license": {"key": "mit", "url": "https://api.github.com/licenses/mit", "name": "MIT License", "node_id": "MDc6TGljZW5zZTEz", "spdx_id": "MIT"}, "node_id": "MDEwOlJlcG9zaXRvcnk1Mjc0ODk0", "private": false, "ssh_url": "git@github.com:spesmilo/electrum.git", "svn_url": "https://github.com/spesmilo/electrum", "archived": false, "has_wiki": true, "homepage": null, "html_url": "https://github.com/spesmilo/electrum", "keys_url": "https://api.github.com/repos/spesmilo/electrum/keys{/key_id}", "language": "Python", "tags_url": "https://api.github.com/repos/spesmilo/electrum/tags", "watchers": 3142, "blobs_url": "https://api.github.com/repos/spesmilo/electrum/git/blobs{/sha}", "clone_url": "https://github.com/spesmilo/electrum.git", "forks_url": "https://api.github.com/repos/spesmilo/electrum/forks", "full_name": "spesmilo/electrum", "has_pages": false, "hooks_url": "https://api.github.com/repos/spesmilo/electrum/hooks", "pulls_url": "https://api.github.com/repos/spesmilo/electrum/pulls{/number}", "pushed_at": "2018-12-24T18:03:20Z", "teams_url": "https://api.github.com/repos/spesmilo/electrum/teams", "trees_url": "https://api.github.com/repos/spesmilo/electrum/git/trees{/sha}", "created_at": "2012-08-02T16:24:30Z", "events_url": "https://api.github.com/repos/spesmilo/electrum/events", "has_issues": true, "issues_url": "https://api.github.com/repos/spesmilo/electrum/issues{/number}", "labels_url": "https://api.github.com/repos/spesmilo/electrum/labels{/name}", "merges_url": "https://api.github.com/repos/spesmilo/electrum/merges", "mirror_url": null, "updated_at": "2018-12-24T18:03:24Z", "archive_url": "https://api.github.com/repos/spesmilo/electrum/{archive_format}{/ref}", "commits_url": "https://api.github.com/repos/spesmilo/electrum/commits{/sha}", "compare_url": "https://api.github.com/repos/spesmilo/electrum/compare/{base}...{head}", "description": "Electrum; Bitcoin thin client", "forks_count": 1632, "open_issues": 467, "permissions": {"pull": true, "push": false, "admin": false}, "branches_url": "https://api.github.com/repos/spesmilo/electrum/branches{/branch}", "comments_url": "https://api.github.com/repos/spesmilo/electrum/comments{/number}", "contents_url": "https://api.github.com/repos/spesmilo/electrum/contents/{+path}", "git_refs_url": "https://api.github.com/repos/spesmilo/electrum/git/refs{/sha}", "git_tags_url": "https://api.github.com/repos/spesmilo/electrum/git/tags{/sha}", "has_projects": true, "releases_url": "https://api.github.com/repos/spesmilo/electrum/releases{/id}", "statuses_url": "https://api.github.com/repos/spesmilo/electrum/statuses/{sha}", "assignees_url": "https://api.github.com/repos/spesmilo/electrum/assignees{/user}", "downloads_url": "https://api.github.com/repos/spesmilo/electrum/downloads", "has_downloads": true, "languages_url": "https://api.github.com/repos/spesmilo/electrum/languages", "default_branch": "master", "milestones_url": "https://api.github.com/repos/spesmilo/electrum/milestones{/number}", "stargazers_url": "https://api.github.com/repos/spesmilo/electrum/stargazers", "watchers_count": 3142, "deployments_url": "https://api.github.com/repos/spesmilo/electrum/deployments", "git_commits_url": "https://api.github.com/repos/spesmilo/electrum/git/commits{/sha}", "subscribers_url": "https://api.github.com/repos/spesmilo/electrum/subscribers", "contributors_url": "https://api.github.com/repos/spesmilo/electrum/contributors", "issue_events_url": "https://api.github.com/repos/spesmilo/electrum/issues/events{/number}", "stargazers_count": 3142, "subscription_url": "https://api.github.com/repos/spesmilo/electrum/subscription", "collaborators_url": "https://api.github.com/repos/spesmilo/electrum/collaborators{/collaborator}", "issue_comment_url": "https://api.github.com/repos/spesmilo/electrum/issues/comments{/number}", "notifications_url": "https://api.github.com/repos/spesmilo/electrum/notifications{?since,all,participating}", "open_issues_count": 467}</v>
      </c>
      <c r="T16" s="12">
        <f>IFERROR(__xludf.DUMMYFUNCTION("""COMPUTED_VALUE"""),0.982357982)</f>
        <v>0.982357982</v>
      </c>
      <c r="U16" s="12">
        <f>IFERROR(__xludf.DUMMYFUNCTION("""COMPUTED_VALUE"""),2298310.0)</f>
        <v>2298310</v>
      </c>
      <c r="V16" s="14">
        <f>IFERROR(__xludf.DUMMYFUNCTION("""COMPUTED_VALUE"""),76.0)</f>
        <v>76</v>
      </c>
      <c r="W16" s="15" t="str">
        <f>IFERROR(__xludf.DUMMYFUNCTION("IFERROR(REGEXEXTRACT(J16,""""""ratio"""": (\d+.\d+), """"language"""": """"Python""""""),"""")"),"0.9823579822917312")</f>
        <v>0.9823579822917312</v>
      </c>
      <c r="X16" s="15" t="str">
        <f t="shared" si="1"/>
        <v/>
      </c>
    </row>
    <row r="17">
      <c r="A17" s="10" t="str">
        <f>IFERROR(__xludf.DUMMYFUNCTION("""COMPUTED_VALUE"""),"fail2ban/fail2ban")</f>
        <v>fail2ban/fail2ban</v>
      </c>
      <c r="B17" s="10" t="str">
        <f>IFERROR(__xludf.DUMMYFUNCTION("""COMPUTED_VALUE"""),"Daemon to ban hosts that cause multiple authentication errors")</f>
        <v>Daemon to ban hosts that cause multiple authentication errors</v>
      </c>
      <c r="C17" s="11" t="str">
        <f>IFERROR(__xludf.DUMMYFUNCTION("""COMPUTED_VALUE"""),"https://github.com/fail2ban/fail2ban")</f>
        <v>https://github.com/fail2ban/fail2ban</v>
      </c>
      <c r="D17" s="10">
        <f>IFERROR(__xludf.DUMMYFUNCTION("""COMPUTED_VALUE"""),3640.0)</f>
        <v>3640</v>
      </c>
      <c r="E17" s="10">
        <f>IFERROR(__xludf.DUMMYFUNCTION("""COMPUTED_VALUE"""),240.0)</f>
        <v>240</v>
      </c>
      <c r="F17" s="10">
        <f>IFERROR(__xludf.DUMMYFUNCTION("""COMPUTED_VALUE"""),10145.0)</f>
        <v>10145</v>
      </c>
      <c r="G17" s="10" t="str">
        <f>IFERROR(__xludf.DUMMYFUNCTION("""COMPUTED_VALUE"""),"""[\""anti-bot\"", \""attack-prevention\"", \""ban-hosts\"", \""bsd\"", \""fail2ban\"", \""gplv2\"", \""ids\"", \""intrusion-detection\"", \""intrusion-prevention\"", \""ips\"", \""linux\"", \""macos\"", \""python\"", \""security\""]""")</f>
        <v>"[\"anti-bot\", \"attack-prevention\", \"ban-hosts\", \"bsd\", \"fail2ban\", \"gplv2\", \"ids\", \"intrusion-detection\", \"intrusion-prevention\", \"ips\", \"linux\", \"macos\", \"python\", \"security\"]"</v>
      </c>
      <c r="H17" s="12">
        <f>IFERROR(__xludf.DUMMYFUNCTION("""COMPUTED_VALUE"""),4864.0)</f>
        <v>4864</v>
      </c>
      <c r="I17" s="12">
        <f>IFERROR(__xludf.DUMMYFUNCTION("""COMPUTED_VALUE"""),168.0)</f>
        <v>168</v>
      </c>
      <c r="J17" s="10" t="str">
        <f>IFERROR(__xludf.DUMMYFUNCTION("""COMPUTED_VALUE"""),"[{""loc"": 994060, ""ratio"": 0.9534616048648545, ""language"": ""Python""}, {""loc"": 28198, ""ratio"": 0.027046365746513458, ""language"": ""Shell""}, {""loc"": 20322, ""ratio"": 0.019492029388632048, ""language"": ""Perl""}]")</f>
        <v>[{"loc": 994060, "ratio": 0.9534616048648545, "language": "Python"}, {"loc": 28198, "ratio": 0.027046365746513458, "language": "Shell"}, {"loc": 20322, "ratio": 0.019492029388632048, "language": "Perl"}]</v>
      </c>
      <c r="K17" s="13">
        <f>IFERROR(__xludf.DUMMYFUNCTION("""COMPUTED_VALUE"""),40814.0)</f>
        <v>40814</v>
      </c>
      <c r="L17" s="13">
        <f>IFERROR(__xludf.DUMMYFUNCTION("""COMPUTED_VALUE"""),43453.0)</f>
        <v>43453</v>
      </c>
      <c r="M17" s="10">
        <f>IFERROR(__xludf.DUMMYFUNCTION("""COMPUTED_VALUE"""),132.0)</f>
        <v>132</v>
      </c>
      <c r="N17" s="12">
        <f>IFERROR(__xludf.DUMMYFUNCTION("""COMPUTED_VALUE"""),222.0)</f>
        <v>222</v>
      </c>
      <c r="O17" s="12" t="str">
        <f>IFERROR(__xludf.DUMMYFUNCTION("""COMPUTED_VALUE"""),"debian/0.10.2-2")</f>
        <v>debian/0.10.2-2</v>
      </c>
      <c r="P17" s="12" t="str">
        <f>IFERROR(__xludf.DUMMYFUNCTION("""COMPUTED_VALUE"""),"5273fd34a59a521a7d67d620d4194bf4ea58bc64")</f>
        <v>5273fd34a59a521a7d67d620d4194bf4ea58bc64</v>
      </c>
      <c r="Q17" s="12" t="str">
        <f>IFERROR(__xludf.DUMMYFUNCTION("""COMPUTED_VALUE"""),"{""key"": ""gpl-2.0"", ""url"": ""https://api.github.com/licenses/gpl-2.0"", ""name"": ""GNU General Public License v2.0"", ""node_id"": ""MDc6TGljZW5zZTg="", ""spdx_id"": ""GPL-2.0""}")</f>
        <v>{"key": "gpl-2.0", "url": "https://api.github.com/licenses/gpl-2.0", "name": "GNU General Public License v2.0", "node_id": "MDc6TGljZW5zZTg=", "spdx_id": "GPL-2.0"}</v>
      </c>
      <c r="R17" s="12" t="str">
        <f>IFERROR(__xludf.DUMMYFUNCTION("""COMPUTED_VALUE"""),"fail2ban")</f>
        <v>fail2ban</v>
      </c>
      <c r="S17" s="12" t="str">
        <f>IFERROR(__xludf.DUMMYFUNCTION("""COMPUTED_VALUE"""),"{""id"": 2476162, ""url"": ""https://api.github.com/repos/fail2ban/fail2ban"", ""fork"": false, ""name"": ""fail2ban"", ""size"": 10145, ""forks"": 692, ""owner"": {""id"": 1087378, ""url"": ""https://api.github.com/users/fail2ban"", ""type"": ""Organizat"&amp;"ion"", ""login"": ""fail2ban"", ""node_id"": ""MDEyOk9yZ2FuaXphdGlvbjEwODczNzg="", ""html_url"": ""https://github.com/fail2ban"", ""gists_url"": ""https://api.github.com/users/fail2ban/gists{/gist_id}"", ""repos_url"": ""https://api.github.com/users/fail2"&amp;"ban/repos"", ""avatar_url"": ""https://avatars2.githubusercontent.com/u/1087378?v=4"", ""events_url"": ""https://api.github.com/users/fail2ban/events{/privacy}"", ""site_admin"": false, ""gravatar_id"": """", ""starred_url"": ""https://api.github.com/user"&amp;"s/fail2ban/starred{/owner}{/repo}"", ""followers_url"": ""https://api.github.com/users/fail2ban/followers"", ""following_url"": ""https://api.github.com/users/fail2ban/following{/other_user}"", ""organizations_url"": ""https://api.github.com/users/fail2ba"&amp;"n/orgs"", ""subscriptions_url"": ""https://api.github.com/users/fail2ban/subscriptions"", ""received_events_url"": ""https://api.github.com/users/fail2ban/received_events""}, ""score"": 1.0, ""topics"": [""anti-bot"", ""attack-prevention"", ""ban-hosts"","&amp;" ""bsd"", ""fail2ban"", ""gplv2"", ""ids"", ""intrusion-detection"", ""intrusion-prevention"", ""ips"", ""linux"", ""macos"", ""python"", ""security""], ""git_url"": ""git://github.com/fail2ban/fail2ban.git"", ""license"": {""key"": ""gpl-2.0"", ""url"": "&amp;"""https://api.github.com/licenses/gpl-2.0"", ""name"": ""GNU General Public License v2.0"", ""node_id"": ""MDc6TGljZW5zZTg="", ""spdx_id"": ""GPL-2.0""}, ""node_id"": ""MDEwOlJlcG9zaXRvcnkyNDc2MTYy"", ""private"": false, ""ssh_url"": ""git@github.com:fail"&amp;"2ban/fail2ban.git"", ""svn_url"": ""https://github.com/fail2ban/fail2ban"", ""archived"": false, ""has_wiki"": true, ""homepage"": ""http://www.fail2ban.org"", ""html_url"": ""https://github.com/fail2ban/fail2ban"", ""keys_url"": ""https://api.github.com/"&amp;"repos/fail2ban/fail2ban/keys{/key_id}"", ""language"": ""Python"", ""tags_url"": ""https://api.github.com/repos/fail2ban/fail2ban/tags"", ""watchers"": 3640, ""blobs_url"": ""https://api.github.com/repos/fail2ban/fail2ban/git/blobs{/sha}"", ""clone_url"":"&amp;" ""https://github.com/fail2ban/fail2ban.git"", ""forks_url"": ""https://api.github.com/repos/fail2ban/fail2ban/forks"", ""full_name"": ""fail2ban/fail2ban"", ""has_pages"": false, ""hooks_url"": ""https://api.github.com/repos/fail2ban/fail2ban/hooks"", """&amp;"pulls_url"": ""https://api.github.com/repos/fail2ban/fail2ban/pulls{/number}"", ""pushed_at"": ""2018-12-19T11:20:30Z"", ""teams_url"": ""https://api.github.com/repos/fail2ban/fail2ban/teams"", ""trees_url"": ""https://api.github.com/repos/fail2ban/fail2b"&amp;"an/git/trees{/sha}"", ""created_at"": ""2011-09-28T16:24:20Z"", ""events_url"": ""https://api.github.com/repos/fail2ban/fail2ban/events"", ""has_issues"": true, ""issues_url"": ""https://api.github.com/repos/fail2ban/fail2ban/issues{/number}"", ""labels_u"&amp;"rl"": ""https://api.github.com/repos/fail2ban/fail2ban/labels{/name}"", ""merges_url"": ""https://api.github.com/repos/fail2ban/fail2ban/merges"", ""mirror_url"": null, ""updated_at"": ""2018-12-25T01:56:24Z"", ""archive_url"": ""https://api.github.com/re"&amp;"pos/fail2ban/fail2ban/{archive_format}{/ref}"", ""commits_url"": ""https://api.github.com/repos/fail2ban/fail2ban/commits{/sha}"", ""compare_url"": ""https://api.github.com/repos/fail2ban/fail2ban/compare/{base}...{head}"", ""description"": ""Daemon to ba"&amp;"n hosts that cause multiple authentication errors"", ""forks_count"": 692, ""open_issues"": 132, ""permissions"": {""pull"": true, ""push"": false, ""admin"": false}, ""branches_url"": ""https://api.github.com/repos/fail2ban/fail2ban/branches{/branch}"", "&amp;"""comments_url"": ""https://api.github.com/repos/fail2ban/fail2ban/comments{/number}"", ""contents_url"": ""https://api.github.com/repos/fail2ban/fail2ban/contents/{+path}"", ""git_refs_url"": ""https://api.github.com/repos/fail2ban/fail2ban/git/refs{/sha"&amp;"}"", ""git_tags_url"": ""https://api.github.com/repos/fail2ban/fail2ban/git/tags{/sha}"", ""has_projects"": true, ""releases_url"": ""https://api.github.com/repos/fail2ban/fail2ban/releases{/id}"", ""statuses_url"": ""https://api.github.com/repos/fail2ban"&amp;"/fail2ban/statuses/{sha}"", ""assignees_url"": ""https://api.github.com/repos/fail2ban/fail2ban/assignees{/user}"", ""downloads_url"": ""https://api.github.com/repos/fail2ban/fail2ban/downloads"", ""has_downloads"": true, ""languages_url"": ""https://api."&amp;"github.com/repos/fail2ban/fail2ban/languages"", ""default_branch"": ""0.11"", ""milestones_url"": ""https://api.github.com/repos/fail2ban/fail2ban/milestones{/number}"", ""stargazers_url"": ""https://api.github.com/repos/fail2ban/fail2ban/stargazers"", """&amp;"watchers_count"": 3640, ""deployments_url"": ""https://api.github.com/repos/fail2ban/fail2ban/deployments"", ""git_commits_url"": ""https://api.github.com/repos/fail2ban/fail2ban/git/commits{/sha}"", ""subscribers_url"": ""https://api.github.com/repos/fai"&amp;"l2ban/fail2ban/subscribers"", ""contributors_url"": ""https://api.github.com/repos/fail2ban/fail2ban/contributors"", ""issue_events_url"": ""https://api.github.com/repos/fail2ban/fail2ban/issues/events{/number}"", ""stargazers_count"": 3640, ""subscriptio"&amp;"n_url"": ""https://api.github.com/repos/fail2ban/fail2ban/subscription"", ""collaborators_url"": ""https://api.github.com/repos/fail2ban/fail2ban/collaborators{/collaborator}"", ""issue_comment_url"": ""https://api.github.com/repos/fail2ban/fail2ban/issue"&amp;"s/comments{/number}"", ""notifications_url"": ""https://api.github.com/repos/fail2ban/fail2ban/notifications{?since,all,participating}"", ""open_issues_count"": 132}")</f>
        <v>{"id": 2476162, "url": "https://api.github.com/repos/fail2ban/fail2ban", "fork": false, "name": "fail2ban", "size": 10145, "forks": 692, "owner": {"id": 1087378, "url": "https://api.github.com/users/fail2ban", "type": "Organization", "login": "fail2ban", "node_id": "MDEyOk9yZ2FuaXphdGlvbjEwODczNzg=", "html_url": "https://github.com/fail2ban", "gists_url": "https://api.github.com/users/fail2ban/gists{/gist_id}", "repos_url": "https://api.github.com/users/fail2ban/repos", "avatar_url": "https://avatars2.githubusercontent.com/u/1087378?v=4", "events_url": "https://api.github.com/users/fail2ban/events{/privacy}", "site_admin": false, "gravatar_id": "", "starred_url": "https://api.github.com/users/fail2ban/starred{/owner}{/repo}", "followers_url": "https://api.github.com/users/fail2ban/followers", "following_url": "https://api.github.com/users/fail2ban/following{/other_user}", "organizations_url": "https://api.github.com/users/fail2ban/orgs", "subscriptions_url": "https://api.github.com/users/fail2ban/subscriptions", "received_events_url": "https://api.github.com/users/fail2ban/received_events"}, "score": 1.0, "topics": ["anti-bot", "attack-prevention", "ban-hosts", "bsd", "fail2ban", "gplv2", "ids", "intrusion-detection", "intrusion-prevention", "ips", "linux", "macos", "python", "security"], "git_url": "git://github.com/fail2ban/fail2ban.git", "license": {"key": "gpl-2.0", "url": "https://api.github.com/licenses/gpl-2.0", "name": "GNU General Public License v2.0", "node_id": "MDc6TGljZW5zZTg=", "spdx_id": "GPL-2.0"}, "node_id": "MDEwOlJlcG9zaXRvcnkyNDc2MTYy", "private": false, "ssh_url": "git@github.com:fail2ban/fail2ban.git", "svn_url": "https://github.com/fail2ban/fail2ban", "archived": false, "has_wiki": true, "homepage": "http://www.fail2ban.org", "html_url": "https://github.com/fail2ban/fail2ban", "keys_url": "https://api.github.com/repos/fail2ban/fail2ban/keys{/key_id}", "language": "Python", "tags_url": "https://api.github.com/repos/fail2ban/fail2ban/tags", "watchers": 3640, "blobs_url": "https://api.github.com/repos/fail2ban/fail2ban/git/blobs{/sha}", "clone_url": "https://github.com/fail2ban/fail2ban.git", "forks_url": "https://api.github.com/repos/fail2ban/fail2ban/forks", "full_name": "fail2ban/fail2ban", "has_pages": false, "hooks_url": "https://api.github.com/repos/fail2ban/fail2ban/hooks", "pulls_url": "https://api.github.com/repos/fail2ban/fail2ban/pulls{/number}", "pushed_at": "2018-12-19T11:20:30Z", "teams_url": "https://api.github.com/repos/fail2ban/fail2ban/teams", "trees_url": "https://api.github.com/repos/fail2ban/fail2ban/git/trees{/sha}", "created_at": "2011-09-28T16:24:20Z", "events_url": "https://api.github.com/repos/fail2ban/fail2ban/events", "has_issues": true, "issues_url": "https://api.github.com/repos/fail2ban/fail2ban/issues{/number}", "labels_url": "https://api.github.com/repos/fail2ban/fail2ban/labels{/name}", "merges_url": "https://api.github.com/repos/fail2ban/fail2ban/merges", "mirror_url": null, "updated_at": "2018-12-25T01:56:24Z", "archive_url": "https://api.github.com/repos/fail2ban/fail2ban/{archive_format}{/ref}", "commits_url": "https://api.github.com/repos/fail2ban/fail2ban/commits{/sha}", "compare_url": "https://api.github.com/repos/fail2ban/fail2ban/compare/{base}...{head}", "description": "Daemon to ban hosts that cause multiple authentication errors", "forks_count": 692, "open_issues": 132, "permissions": {"pull": true, "push": false, "admin": false}, "branches_url": "https://api.github.com/repos/fail2ban/fail2ban/branches{/branch}", "comments_url": "https://api.github.com/repos/fail2ban/fail2ban/comments{/number}", "contents_url": "https://api.github.com/repos/fail2ban/fail2ban/contents/{+path}", "git_refs_url": "https://api.github.com/repos/fail2ban/fail2ban/git/refs{/sha}", "git_tags_url": "https://api.github.com/repos/fail2ban/fail2ban/git/tags{/sha}", "has_projects": true, "releases_url": "https://api.github.com/repos/fail2ban/fail2ban/releases{/id}", "statuses_url": "https://api.github.com/repos/fail2ban/fail2ban/statuses/{sha}", "assignees_url": "https://api.github.com/repos/fail2ban/fail2ban/assignees{/user}", "downloads_url": "https://api.github.com/repos/fail2ban/fail2ban/downloads", "has_downloads": true, "languages_url": "https://api.github.com/repos/fail2ban/fail2ban/languages", "default_branch": "0.11", "milestones_url": "https://api.github.com/repos/fail2ban/fail2ban/milestones{/number}", "stargazers_url": "https://api.github.com/repos/fail2ban/fail2ban/stargazers", "watchers_count": 3640, "deployments_url": "https://api.github.com/repos/fail2ban/fail2ban/deployments", "git_commits_url": "https://api.github.com/repos/fail2ban/fail2ban/git/commits{/sha}", "subscribers_url": "https://api.github.com/repos/fail2ban/fail2ban/subscribers", "contributors_url": "https://api.github.com/repos/fail2ban/fail2ban/contributors", "issue_events_url": "https://api.github.com/repos/fail2ban/fail2ban/issues/events{/number}", "stargazers_count": 3640, "subscription_url": "https://api.github.com/repos/fail2ban/fail2ban/subscription", "collaborators_url": "https://api.github.com/repos/fail2ban/fail2ban/collaborators{/collaborator}", "issue_comment_url": "https://api.github.com/repos/fail2ban/fail2ban/issues/comments{/number}", "notifications_url": "https://api.github.com/repos/fail2ban/fail2ban/notifications{?since,all,participating}", "open_issues_count": 132}</v>
      </c>
      <c r="T17" s="12">
        <f>IFERROR(__xludf.DUMMYFUNCTION("""COMPUTED_VALUE"""),0.953461605)</f>
        <v>0.953461605</v>
      </c>
      <c r="U17" s="12">
        <f>IFERROR(__xludf.DUMMYFUNCTION("""COMPUTED_VALUE"""),994060.0)</f>
        <v>994060</v>
      </c>
      <c r="V17" s="14">
        <f>IFERROR(__xludf.DUMMYFUNCTION("""COMPUTED_VALUE"""),86.0)</f>
        <v>86</v>
      </c>
      <c r="W17" s="15" t="str">
        <f>IFERROR(__xludf.DUMMYFUNCTION("IFERROR(REGEXEXTRACT(J17,""""""ratio"""": (\d+.\d+), """"language"""": """"Python""""""),"""")"),"0.9534616048648545")</f>
        <v>0.9534616048648545</v>
      </c>
      <c r="X17" s="15" t="str">
        <f t="shared" si="1"/>
        <v>anti-bot, attack-prevention, ban-hosts, bsd, fail2ban, gplv2, ids, intrusion-detection, intrusion-prevention, ips, linux, macos, python, security</v>
      </c>
    </row>
    <row r="18">
      <c r="A18" s="10" t="str">
        <f>IFERROR(__xludf.DUMMYFUNCTION("""COMPUTED_VALUE"""),"RaRe-Technologies/gensim")</f>
        <v>RaRe-Technologies/gensim</v>
      </c>
      <c r="B18" s="10" t="str">
        <f>IFERROR(__xludf.DUMMYFUNCTION("""COMPUTED_VALUE"""),"Topic Modelling for Humans")</f>
        <v>Topic Modelling for Humans</v>
      </c>
      <c r="C18" s="11" t="str">
        <f>IFERROR(__xludf.DUMMYFUNCTION("""COMPUTED_VALUE"""),"https://github.com/RaRe-Technologies/gensim")</f>
        <v>https://github.com/RaRe-Technologies/gensim</v>
      </c>
      <c r="D18" s="10">
        <f>IFERROR(__xludf.DUMMYFUNCTION("""COMPUTED_VALUE"""),8343.0)</f>
        <v>8343</v>
      </c>
      <c r="E18" s="10">
        <f>IFERROR(__xludf.DUMMYFUNCTION("""COMPUTED_VALUE"""),468.0)</f>
        <v>468</v>
      </c>
      <c r="F18" s="10">
        <f>IFERROR(__xludf.DUMMYFUNCTION("""COMPUTED_VALUE"""),63281.0)</f>
        <v>63281</v>
      </c>
      <c r="G18" s="10" t="str">
        <f>IFERROR(__xludf.DUMMYFUNCTION("""COMPUTED_VALUE"""),"""[\""data-mining\"", \""data-science\"", \""document-similarity\"", \""fasttext\"", \""gensim\"", \""information-retrieval\"", \""machine-learning\"", \""natural-language-processing\"", \""neural-network\"", \""nlp\"", \""python\"", \""text-summarization"&amp;"\"", \""topic-modeling\"", \""word-embeddings\"", \""word-similarity\"", \""word2vec\""]""")</f>
        <v>"[\"data-mining\", \"data-science\", \"document-similarity\", \"fasttext\", \"gensim\", \"information-retrieval\", \"machine-learning\", \"natural-language-processing\", \"neural-network\", \"nlp\", \"python\", \"text-summarization\", \"topic-modeling\", \"word-embeddings\", \"word-similarity\", \"word2vec\"]"</v>
      </c>
      <c r="H18" s="12">
        <f>IFERROR(__xludf.DUMMYFUNCTION("""COMPUTED_VALUE"""),3689.0)</f>
        <v>3689</v>
      </c>
      <c r="I18" s="12">
        <f>IFERROR(__xludf.DUMMYFUNCTION("""COMPUTED_VALUE"""),301.0)</f>
        <v>301</v>
      </c>
      <c r="J18" s="10" t="str">
        <f>IFERROR(__xludf.DUMMYFUNCTION("""COMPUTED_VALUE"""),"[{""loc"": 2815059, ""ratio"": 0.9866207912217474, ""language"": ""Python""}, {""loc"": 18813, ""ratio"": 0.006593572974937553, ""language"": ""Jupyter Notebook""}, {""loc"": 7195, ""ratio"": 0.002521700821489167, ""language"": ""PowerShell""}, {""loc"": "&amp;"5548, ""ratio"": 0.0019444608975152046, ""language"": ""Dockerfile""}, {""loc"": 3366, ""ratio"": 0.0011797143801435073, ""language"": ""Batchfile""}, {""loc"": 1742, ""ratio"": 0.0006105354872875787, ""language"": ""Shell""}, {""loc"": 1200, ""ratio"": 0"&amp;".00042057553659305077, ""language"": ""C++""}, {""loc"": 310, ""ratio"": 0.00010864868028653811, ""language"": ""C""}]")</f>
        <v>[{"loc": 2815059, "ratio": 0.9866207912217474, "language": "Python"}, {"loc": 18813, "ratio": 0.006593572974937553, "language": "Jupyter Notebook"}, {"loc": 7195, "ratio": 0.002521700821489167, "language": "PowerShell"}, {"loc": 5548, "ratio": 0.0019444608975152046, "language": "Dockerfile"}, {"loc": 3366, "ratio": 0.0011797143801435073, "language": "Batchfile"}, {"loc": 1742, "ratio": 0.0006105354872875787, "language": "Shell"}, {"loc": 1200, "ratio": 0.00042057553659305077, "language": "C++"}, {"loc": 310, "ratio": 0.00010864868028653811, "language": "C"}]</v>
      </c>
      <c r="K18" s="13">
        <f>IFERROR(__xludf.DUMMYFUNCTION("""COMPUTED_VALUE"""),40584.0)</f>
        <v>40584</v>
      </c>
      <c r="L18" s="13">
        <f>IFERROR(__xludf.DUMMYFUNCTION("""COMPUTED_VALUE"""),43458.0)</f>
        <v>43458</v>
      </c>
      <c r="M18" s="10">
        <f>IFERROR(__xludf.DUMMYFUNCTION("""COMPUTED_VALUE"""),232.0)</f>
        <v>232</v>
      </c>
      <c r="N18" s="12">
        <f>IFERROR(__xludf.DUMMYFUNCTION("""COMPUTED_VALUE"""),54.0)</f>
        <v>54</v>
      </c>
      <c r="O18" s="12">
        <f>IFERROR(__xludf.DUMMYFUNCTION("""COMPUTED_VALUE"""),8.6)</f>
        <v>8.6</v>
      </c>
      <c r="P18" s="12" t="str">
        <f>IFERROR(__xludf.DUMMYFUNCTION("""COMPUTED_VALUE"""),"21c0d4fe40c2eccdeda0b4258ee18fa6ac650041")</f>
        <v>21c0d4fe40c2eccdeda0b4258ee18fa6ac650041</v>
      </c>
      <c r="Q18" s="12" t="str">
        <f>IFERROR(__xludf.DUMMYFUNCTION("""COMPUTED_VALUE"""),"{""key"": ""lgpl-2.1"", ""url"": ""https://api.github.com/licenses/lgpl-2.1"", ""name"": ""GNU Lesser General Public License v2.1"", ""node_id"": ""MDc6TGljZW5zZTEx"", ""spdx_id"": ""LGPL-2.1""}")</f>
        <v>{"key": "lgpl-2.1", "url": "https://api.github.com/licenses/lgpl-2.1", "name": "GNU Lesser General Public License v2.1", "node_id": "MDc6TGljZW5zZTEx", "spdx_id": "LGPL-2.1"}</v>
      </c>
      <c r="R18" s="12" t="str">
        <f>IFERROR(__xludf.DUMMYFUNCTION("""COMPUTED_VALUE"""),"gensim")</f>
        <v>gensim</v>
      </c>
      <c r="S18" s="12" t="str">
        <f>IFERROR(__xludf.DUMMYFUNCTION("""COMPUTED_VALUE"""),"{""id"": 1349775, ""url"": ""https://api.github.com/repos/RaRe-Technologies/gensim"", ""fork"": false, ""name"": ""gensim"", ""size"": 63281, ""forks"": 3161, ""owner"": {""id"": 12515886, ""url"": ""https://api.github.com/users/RaRe-Technologies"", ""typ"&amp;"e"": ""Organization"", ""login"": ""RaRe-Technologies"", ""node_id"": ""MDEyOk9yZ2FuaXphdGlvbjEyNTE1ODg2"", ""html_url"": ""https://github.com/RaRe-Technologies"", ""gists_url"": ""https://api.github.com/users/RaRe-Technologies/gists{/gist_id}"", ""repos_"&amp;"url"": ""https://api.github.com/users/RaRe-Technologies/repos"", ""avatar_url"": ""https://avatars3.githubusercontent.com/u/12515886?v=4"", ""events_url"": ""https://api.github.com/users/RaRe-Technologies/events{/privacy}"", ""site_admin"": false, ""grava"&amp;"tar_id"": """", ""starred_url"": ""https://api.github.com/users/RaRe-Technologies/starred{/owner}{/repo}"", ""followers_url"": ""https://api.github.com/users/RaRe-Technologies/followers"", ""following_url"": ""https://api.github.com/users/RaRe-Technologie"&amp;"s/following{/other_user}"", ""organizations_url"": ""https://api.github.com/users/RaRe-Technologies/orgs"", ""subscriptions_url"": ""https://api.github.com/users/RaRe-Technologies/subscriptions"", ""received_events_url"": ""https://api.github.com/users/Ra"&amp;"Re-Technologies/received_events""}, ""score"": 1.0, ""topics"": [""data-mining"", ""data-science"", ""document-similarity"", ""fasttext"", ""gensim"", ""information-retrieval"", ""machine-learning"", ""natural-language-processing"", ""neural-network"", """&amp;"nlp"", ""python"", ""text-summarization"", ""topic-modeling"", ""word-embeddings"", ""word-similarity"", ""word2vec""], ""git_url"": ""git://github.com/RaRe-Technologies/gensim.git"", ""license"": {""key"": ""lgpl-2.1"", ""url"": ""https://api.github.com/"&amp;"licenses/lgpl-2.1"", ""name"": ""GNU Lesser General Public License v2.1"", ""node_id"": ""MDc6TGljZW5zZTEx"", ""spdx_id"": ""LGPL-2.1""}, ""node_id"": ""MDEwOlJlcG9zaXRvcnkxMzQ5Nzc1"", ""private"": false, ""ssh_url"": ""git@github.com:RaRe-Technologies/ge"&amp;"nsim.git"", ""svn_url"": ""https://github.com/RaRe-Technologies/gensim"", ""archived"": false, ""has_wiki"": true, ""homepage"": """", ""html_url"": ""https://github.com/RaRe-Technologies/gensim"", ""keys_url"": ""https://api.github.com/repos/RaRe-Technol"&amp;"ogies/gensim/keys{/key_id}"", ""language"": ""Python"", ""tags_url"": ""https://api.github.com/repos/RaRe-Technologies/gensim/tags"", ""watchers"": 8343, ""blobs_url"": ""https://api.github.com/repos/RaRe-Technologies/gensim/git/blobs{/sha}"", ""clone_url"&amp;""": ""https://github.com/RaRe-Technologies/gensim.git"", ""forks_url"": ""https://api.github.com/repos/RaRe-Technologies/gensim/forks"", ""full_name"": ""RaRe-Technologies/gensim"", ""has_pages"": false, ""hooks_url"": ""https://api.github.com/repos/RaRe-"&amp;"Technologies/gensim/hooks"", ""pulls_url"": ""https://api.github.com/repos/RaRe-Technologies/gensim/pulls{/number}"", ""pushed_at"": ""2018-12-24T08:11:30Z"", ""teams_url"": ""https://api.github.com/repos/RaRe-Technologies/gensim/teams"", ""trees_url"": "&amp;"""https://api.github.com/repos/RaRe-Technologies/gensim/git/trees{/sha}"", ""created_at"": ""2011-02-10T07:43:04Z"", ""events_url"": ""https://api.github.com/repos/RaRe-Technologies/gensim/events"", ""has_issues"": true, ""issues_url"": ""https://api.gith"&amp;"ub.com/repos/RaRe-Technologies/gensim/issues{/number}"", ""labels_url"": ""https://api.github.com/repos/RaRe-Technologies/gensim/labels{/name}"", ""merges_url"": ""https://api.github.com/repos/RaRe-Technologies/gensim/merges"", ""mirror_url"": null, ""upd"&amp;"ated_at"": ""2018-12-25T01:58:23Z"", ""archive_url"": ""https://api.github.com/repos/RaRe-Technologies/gensim/{archive_format}{/ref}"", ""commits_url"": ""https://api.github.com/repos/RaRe-Technologies/gensim/commits{/sha}"", ""compare_url"": ""https://ap"&amp;"i.github.com/repos/RaRe-Technologies/gensim/compare/{base}...{head}"", ""description"": ""Topic Modelling for Humans"", ""forks_count"": 3161, ""open_issues"": 232, ""permissions"": {""pull"": true, ""push"": false, ""admin"": false}, ""branches_url"": """&amp;"https://api.github.com/repos/RaRe-Technologies/gensim/branches{/branch}"", ""comments_url"": ""https://api.github.com/repos/RaRe-Technologies/gensim/comments{/number}"", ""contents_url"": ""https://api.github.com/repos/RaRe-Technologies/gensim/contents/{+"&amp;"path}"", ""git_refs_url"": ""https://api.github.com/repos/RaRe-Technologies/gensim/git/refs{/sha}"", ""git_tags_url"": ""https://api.github.com/repos/RaRe-Technologies/gensim/git/tags{/sha}"", ""has_projects"": true, ""releases_url"": ""https://api.github"&amp;".com/repos/RaRe-Technologies/gensim/releases{/id}"", ""statuses_url"": ""https://api.github.com/repos/RaRe-Technologies/gensim/statuses/{sha}"", ""assignees_url"": ""https://api.github.com/repos/RaRe-Technologies/gensim/assignees{/user}"", ""downloads_url"&amp;""": ""https://api.github.com/repos/RaRe-Technologies/gensim/downloads"", ""has_downloads"": true, ""languages_url"": ""https://api.github.com/repos/RaRe-Technologies/gensim/languages"", ""default_branch"": ""develop"", ""milestones_url"": ""https://api.gi"&amp;"thub.com/repos/RaRe-Technologies/gensim/milestones{/number}"", ""stargazers_url"": ""https://api.github.com/repos/RaRe-Technologies/gensim/stargazers"", ""watchers_count"": 8343, ""deployments_url"": ""https://api.github.com/repos/RaRe-Technologies/gensim"&amp;"/deployments"", ""git_commits_url"": ""https://api.github.com/repos/RaRe-Technologies/gensim/git/commits{/sha}"", ""subscribers_url"": ""https://api.github.com/repos/RaRe-Technologies/gensim/subscribers"", ""contributors_url"": ""https://api.github.com/re"&amp;"pos/RaRe-Technologies/gensim/contributors"", ""issue_events_url"": ""https://api.github.com/repos/RaRe-Technologies/gensim/issues/events{/number}"", ""stargazers_count"": 8343, ""subscription_url"": ""https://api.github.com/repos/RaRe-Technologies/gensim/"&amp;"subscription"", ""collaborators_url"": ""https://api.github.com/repos/RaRe-Technologies/gensim/collaborators{/collaborator}"", ""issue_comment_url"": ""https://api.github.com/repos/RaRe-Technologies/gensim/issues/comments{/number}"", ""notifications_url"""&amp;": ""https://api.github.com/repos/RaRe-Technologies/gensim/notifications{?since,all,participating}"", ""open_issues_count"": 232}")</f>
        <v>{"id": 1349775, "url": "https://api.github.com/repos/RaRe-Technologies/gensim", "fork": false, "name": "gensim", "size": 63281, "forks": 3161, "owner": {"id": 12515886, "url": "https://api.github.com/users/RaRe-Technologies", "type": "Organization", "login": "RaRe-Technologies", "node_id": "MDEyOk9yZ2FuaXphdGlvbjEyNTE1ODg2", "html_url": "https://github.com/RaRe-Technologies", "gists_url": "https://api.github.com/users/RaRe-Technologies/gists{/gist_id}", "repos_url": "https://api.github.com/users/RaRe-Technologies/repos", "avatar_url": "https://avatars3.githubusercontent.com/u/12515886?v=4", "events_url": "https://api.github.com/users/RaRe-Technologies/events{/privacy}", "site_admin": false, "gravatar_id": "", "starred_url": "https://api.github.com/users/RaRe-Technologies/starred{/owner}{/repo}", "followers_url": "https://api.github.com/users/RaRe-Technologies/followers", "following_url": "https://api.github.com/users/RaRe-Technologies/following{/other_user}", "organizations_url": "https://api.github.com/users/RaRe-Technologies/orgs", "subscriptions_url": "https://api.github.com/users/RaRe-Technologies/subscriptions", "received_events_url": "https://api.github.com/users/RaRe-Technologies/received_events"}, "score": 1.0, "topics": ["data-mining", "data-science", "document-similarity", "fasttext", "gensim", "information-retrieval", "machine-learning", "natural-language-processing", "neural-network", "nlp", "python", "text-summarization", "topic-modeling", "word-embeddings", "word-similarity", "word2vec"], "git_url": "git://github.com/RaRe-Technologies/gensim.git", "license": {"key": "lgpl-2.1", "url": "https://api.github.com/licenses/lgpl-2.1", "name": "GNU Lesser General Public License v2.1", "node_id": "MDc6TGljZW5zZTEx", "spdx_id": "LGPL-2.1"}, "node_id": "MDEwOlJlcG9zaXRvcnkxMzQ5Nzc1", "private": false, "ssh_url": "git@github.com:RaRe-Technologies/gensim.git", "svn_url": "https://github.com/RaRe-Technologies/gensim", "archived": false, "has_wiki": true, "homepage": "", "html_url": "https://github.com/RaRe-Technologies/gensim", "keys_url": "https://api.github.com/repos/RaRe-Technologies/gensim/keys{/key_id}", "language": "Python", "tags_url": "https://api.github.com/repos/RaRe-Technologies/gensim/tags", "watchers": 8343, "blobs_url": "https://api.github.com/repos/RaRe-Technologies/gensim/git/blobs{/sha}", "clone_url": "https://github.com/RaRe-Technologies/gensim.git", "forks_url": "https://api.github.com/repos/RaRe-Technologies/gensim/forks", "full_name": "RaRe-Technologies/gensim", "has_pages": false, "hooks_url": "https://api.github.com/repos/RaRe-Technologies/gensim/hooks", "pulls_url": "https://api.github.com/repos/RaRe-Technologies/gensim/pulls{/number}", "pushed_at": "2018-12-24T08:11:30Z", "teams_url": "https://api.github.com/repos/RaRe-Technologies/gensim/teams", "trees_url": "https://api.github.com/repos/RaRe-Technologies/gensim/git/trees{/sha}", "created_at": "2011-02-10T07:43:04Z", "events_url": "https://api.github.com/repos/RaRe-Technologies/gensim/events", "has_issues": true, "issues_url": "https://api.github.com/repos/RaRe-Technologies/gensim/issues{/number}", "labels_url": "https://api.github.com/repos/RaRe-Technologies/gensim/labels{/name}", "merges_url": "https://api.github.com/repos/RaRe-Technologies/gensim/merges", "mirror_url": null, "updated_at": "2018-12-25T01:58:23Z", "archive_url": "https://api.github.com/repos/RaRe-Technologies/gensim/{archive_format}{/ref}", "commits_url": "https://api.github.com/repos/RaRe-Technologies/gensim/commits{/sha}", "compare_url": "https://api.github.com/repos/RaRe-Technologies/gensim/compare/{base}...{head}", "description": "Topic Modelling for Humans", "forks_count": 3161, "open_issues": 232, "permissions": {"pull": true, "push": false, "admin": false}, "branches_url": "https://api.github.com/repos/RaRe-Technologies/gensim/branches{/branch}", "comments_url": "https://api.github.com/repos/RaRe-Technologies/gensim/comments{/number}", "contents_url": "https://api.github.com/repos/RaRe-Technologies/gensim/contents/{+path}", "git_refs_url": "https://api.github.com/repos/RaRe-Technologies/gensim/git/refs{/sha}", "git_tags_url": "https://api.github.com/repos/RaRe-Technologies/gensim/git/tags{/sha}", "has_projects": true, "releases_url": "https://api.github.com/repos/RaRe-Technologies/gensim/releases{/id}", "statuses_url": "https://api.github.com/repos/RaRe-Technologies/gensim/statuses/{sha}", "assignees_url": "https://api.github.com/repos/RaRe-Technologies/gensim/assignees{/user}", "downloads_url": "https://api.github.com/repos/RaRe-Technologies/gensim/downloads", "has_downloads": true, "languages_url": "https://api.github.com/repos/RaRe-Technologies/gensim/languages", "default_branch": "develop", "milestones_url": "https://api.github.com/repos/RaRe-Technologies/gensim/milestones{/number}", "stargazers_url": "https://api.github.com/repos/RaRe-Technologies/gensim/stargazers", "watchers_count": 8343, "deployments_url": "https://api.github.com/repos/RaRe-Technologies/gensim/deployments", "git_commits_url": "https://api.github.com/repos/RaRe-Technologies/gensim/git/commits{/sha}", "subscribers_url": "https://api.github.com/repos/RaRe-Technologies/gensim/subscribers", "contributors_url": "https://api.github.com/repos/RaRe-Technologies/gensim/contributors", "issue_events_url": "https://api.github.com/repos/RaRe-Technologies/gensim/issues/events{/number}", "stargazers_count": 8343, "subscription_url": "https://api.github.com/repos/RaRe-Technologies/gensim/subscription", "collaborators_url": "https://api.github.com/repos/RaRe-Technologies/gensim/collaborators{/collaborator}", "issue_comment_url": "https://api.github.com/repos/RaRe-Technologies/gensim/issues/comments{/number}", "notifications_url": "https://api.github.com/repos/RaRe-Technologies/gensim/notifications{?since,all,participating}", "open_issues_count": 232}</v>
      </c>
      <c r="T18" s="12">
        <f>IFERROR(__xludf.DUMMYFUNCTION("""COMPUTED_VALUE"""),0.986620791)</f>
        <v>0.986620791</v>
      </c>
      <c r="U18" s="12">
        <f>IFERROR(__xludf.DUMMYFUNCTION("""COMPUTED_VALUE"""),2815059.0)</f>
        <v>2815059</v>
      </c>
      <c r="V18" s="14">
        <f>IFERROR(__xludf.DUMMYFUNCTION("""COMPUTED_VALUE"""),94.0)</f>
        <v>94</v>
      </c>
      <c r="W18" s="15" t="str">
        <f>IFERROR(__xludf.DUMMYFUNCTION("IFERROR(REGEXEXTRACT(J18,""""""ratio"""": (\d+.\d+), """"language"""": """"Python""""""),"""")"),"0.9866207912217474")</f>
        <v>0.9866207912217474</v>
      </c>
      <c r="X18" s="15" t="str">
        <f t="shared" si="1"/>
        <v>data-mining, data-science, document-similarity, fasttext, gensim, information-retrieval, machine-learning, natural-language-processing, neural-network, nlp, python, text-summarization, topic-modeling, word-embeddings, word-similarity, word2vec</v>
      </c>
    </row>
    <row r="19">
      <c r="A19" s="10" t="str">
        <f>IFERROR(__xludf.DUMMYFUNCTION("""COMPUTED_VALUE"""),"spotify/luigi")</f>
        <v>spotify/luigi</v>
      </c>
      <c r="B19" s="10" t="str">
        <f>IFERROR(__xludf.DUMMYFUNCTION("""COMPUTED_VALUE"""),"Luigi is a Python module that helps you build complex pipelines of batch jobs. It handles dependency resolution, workflow management, visualization etc. It also comes with Hadoop support built in. ")</f>
        <v>Luigi is a Python module that helps you build complex pipelines of batch jobs. It handles dependency resolution, workflow management, visualization etc. It also comes with Hadoop support built in. </v>
      </c>
      <c r="C19" s="11" t="str">
        <f>IFERROR(__xludf.DUMMYFUNCTION("""COMPUTED_VALUE"""),"https://github.com/spotify/luigi")</f>
        <v>https://github.com/spotify/luigi</v>
      </c>
      <c r="D19" s="10">
        <f>IFERROR(__xludf.DUMMYFUNCTION("""COMPUTED_VALUE"""),10661.0)</f>
        <v>10661</v>
      </c>
      <c r="E19" s="10">
        <f>IFERROR(__xludf.DUMMYFUNCTION("""COMPUTED_VALUE"""),511.0)</f>
        <v>511</v>
      </c>
      <c r="F19" s="10">
        <f>IFERROR(__xludf.DUMMYFUNCTION("""COMPUTED_VALUE"""),9772.0)</f>
        <v>9772</v>
      </c>
      <c r="G19" s="10" t="str">
        <f>IFERROR(__xludf.DUMMYFUNCTION("""COMPUTED_VALUE"""),"""[\""hadoop\"", \""luigi\"", \""orchestration-framework\"", \""python\"", \""scheduling\""]""")</f>
        <v>"[\"hadoop\", \"luigi\", \"orchestration-framework\", \"python\", \"scheduling\"]"</v>
      </c>
      <c r="H19" s="12">
        <f>IFERROR(__xludf.DUMMYFUNCTION("""COMPUTED_VALUE"""),3722.0)</f>
        <v>3722</v>
      </c>
      <c r="I19" s="12">
        <f>IFERROR(__xludf.DUMMYFUNCTION("""COMPUTED_VALUE"""),364.0)</f>
        <v>364</v>
      </c>
      <c r="J19" s="10" t="str">
        <f>IFERROR(__xludf.DUMMYFUNCTION("""COMPUTED_VALUE"""),"[{""loc"": 2012803, ""ratio"": 0.9013847664051962, ""language"": ""Python""}, {""loc"": 170555, ""ratio"": 0.07637889988947663, ""language"": ""JavaScript""}, {""loc"": 41976, ""ratio"": 0.018797928537777675, ""language"": ""HTML""}, {""loc"": 5051, ""rat"&amp;"io"": 0.0022619672442423058, ""language"": ""CSS""}, {""loc"": 2627, ""ratio"": 0.0011764379233071744, ""language"": ""Shell""}]")</f>
        <v>[{"loc": 2012803, "ratio": 0.9013847664051962, "language": "Python"}, {"loc": 170555, "ratio": 0.07637889988947663, "language": "JavaScript"}, {"loc": 41976, "ratio": 0.018797928537777675, "language": "HTML"}, {"loc": 5051, "ratio": 0.0022619672442423058, "language": "CSS"}, {"loc": 2627, "ratio": 0.0011764379233071744, "language": "Shell"}]</v>
      </c>
      <c r="K19" s="13">
        <f>IFERROR(__xludf.DUMMYFUNCTION("""COMPUTED_VALUE"""),41172.0)</f>
        <v>41172</v>
      </c>
      <c r="L19" s="13">
        <f>IFERROR(__xludf.DUMMYFUNCTION("""COMPUTED_VALUE"""),43454.0)</f>
        <v>43454</v>
      </c>
      <c r="M19" s="10">
        <f>IFERROR(__xludf.DUMMYFUNCTION("""COMPUTED_VALUE"""),68.0)</f>
        <v>68</v>
      </c>
      <c r="N19" s="12">
        <f>IFERROR(__xludf.DUMMYFUNCTION("""COMPUTED_VALUE"""),44.0)</f>
        <v>44</v>
      </c>
      <c r="O19" s="12" t="str">
        <f>IFERROR(__xludf.DUMMYFUNCTION("""COMPUTED_VALUE"""),"v1.2.1")</f>
        <v>v1.2.1</v>
      </c>
      <c r="P19" s="12" t="str">
        <f>IFERROR(__xludf.DUMMYFUNCTION("""COMPUTED_VALUE"""),"a6e5eb1a9b0b1ea74ebc574026dfa5e168f5195f")</f>
        <v>a6e5eb1a9b0b1ea74ebc574026dfa5e168f5195f</v>
      </c>
      <c r="Q19"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19" s="12" t="str">
        <f>IFERROR(__xludf.DUMMYFUNCTION("""COMPUTED_VALUE"""),"luigi")</f>
        <v>luigi</v>
      </c>
      <c r="S19" s="12" t="str">
        <f>IFERROR(__xludf.DUMMYFUNCTION("""COMPUTED_VALUE"""),"{""id"": 5888353, ""url"": ""https://api.github.com/repos/spotify/luigi"", ""fork"": false, ""name"": ""luigi"", ""size"": 9772, ""forks"": 1808, ""owner"": {""id"": 251374, ""url"": ""https://api.github.com/users/spotify"", ""type"": ""Organization"", """&amp;"login"": ""spotify"", ""node_id"": ""MDEyOk9yZ2FuaXphdGlvbjI1MTM3NA=="", ""html_url"": ""https://github.com/spotify"", ""gists_url"": ""https://api.github.com/users/spotify/gists{/gist_id}"", ""repos_url"": ""https://api.github.com/users/spotify/repos"", "&amp;"""avatar_url"": ""https://avatars2.githubusercontent.com/u/251374?v=4"", ""events_url"": ""https://api.github.com/users/spotify/events{/privacy}"", ""site_admin"": false, ""gravatar_id"": """", ""starred_url"": ""https://api.github.com/users/spotify/starr"&amp;"ed{/owner}{/repo}"", ""followers_url"": ""https://api.github.com/users/spotify/followers"", ""following_url"": ""https://api.github.com/users/spotify/following{/other_user}"", ""organizations_url"": ""https://api.github.com/users/spotify/orgs"", ""subscri"&amp;"ptions_url"": ""https://api.github.com/users/spotify/subscriptions"", ""received_events_url"": ""https://api.github.com/users/spotify/received_events""}, ""score"": 1.0, ""topics"": [""hadoop"", ""luigi"", ""orchestration-framework"", ""python"", ""schedu"&amp;"ling""], ""git_url"": ""git://github.com/spotify/luigi.git"", ""license"": {""key"": ""apache-2.0"", ""url"": ""https://api.github.com/licenses/apache-2.0"", ""name"": ""Apache License 2.0"", ""node_id"": ""MDc6TGljZW5zZTI="", ""spdx_id"": ""Apache-2.0""}"&amp;", ""node_id"": ""MDEwOlJlcG9zaXRvcnk1ODg4MzUz"", ""private"": false, ""ssh_url"": ""git@github.com:spotify/luigi.git"", ""svn_url"": ""https://github.com/spotify/luigi"", ""archived"": false, ""has_wiki"": false, ""homepage"": null, ""html_url"": ""https:"&amp;"//github.com/spotify/luigi"", ""keys_url"": ""https://api.github.com/repos/spotify/luigi/keys{/key_id}"", ""language"": ""Python"", ""tags_url"": ""https://api.github.com/repos/spotify/luigi/tags"", ""watchers"": 10661, ""blobs_url"": ""https://api.github"&amp;".com/repos/spotify/luigi/git/blobs{/sha}"", ""clone_url"": ""https://github.com/spotify/luigi.git"", ""forks_url"": ""https://api.github.com/repos/spotify/luigi/forks"", ""full_name"": ""spotify/luigi"", ""has_pages"": false, ""hooks_url"": ""https://api."&amp;"github.com/repos/spotify/luigi/hooks"", ""pulls_url"": ""https://api.github.com/repos/spotify/luigi/pulls{/number}"", ""pushed_at"": ""2018-12-20T15:41:02Z"", ""teams_url"": ""https://api.github.com/repos/spotify/luigi/teams"", ""trees_url"": ""https://ap"&amp;"i.github.com/repos/spotify/luigi/git/trees{/sha}"", ""created_at"": ""2012-09-20T15:06:38Z"", ""events_url"": ""https://api.github.com/repos/spotify/luigi/events"", ""has_issues"": true, ""issues_url"": ""https://api.github.com/repos/spotify/luigi/issues{"&amp;"/number}"", ""labels_url"": ""https://api.github.com/repos/spotify/luigi/labels{/name}"", ""merges_url"": ""https://api.github.com/repos/spotify/luigi/merges"", ""mirror_url"": null, ""updated_at"": ""2018-12-24T18:12:58Z"", ""archive_url"": ""https://api"&amp;".github.com/repos/spotify/luigi/{archive_format}{/ref}"", ""commits_url"": ""https://api.github.com/repos/spotify/luigi/commits{/sha}"", ""compare_url"": ""https://api.github.com/repos/spotify/luigi/compare/{base}...{head}"", ""description"": ""Luigi is a"&amp;" Python module that helps you build complex pipelines of batch jobs. It handles dependency resolution, workflow management, visualization etc. It also comes with Hadoop support built in. "", ""forks_count"": 1808, ""open_issues"": 68, ""permissions"": {"""&amp;"pull"": true, ""push"": false, ""admin"": false}, ""branches_url"": ""https://api.github.com/repos/spotify/luigi/branches{/branch}"", ""comments_url"": ""https://api.github.com/repos/spotify/luigi/comments{/number}"", ""contents_url"": ""https://api.githu"&amp;"b.com/repos/spotify/luigi/contents/{+path}"", ""git_refs_url"": ""https://api.github.com/repos/spotify/luigi/git/refs{/sha}"", ""git_tags_url"": ""https://api.github.com/repos/spotify/luigi/git/tags{/sha}"", ""has_projects"": true, ""releases_url"": ""htt"&amp;"ps://api.github.com/repos/spotify/luigi/releases{/id}"", ""statuses_url"": ""https://api.github.com/repos/spotify/luigi/statuses/{sha}"", ""assignees_url"": ""https://api.github.com/repos/spotify/luigi/assignees{/user}"", ""downloads_url"": ""https://api."&amp;"github.com/repos/spotify/luigi/downloads"", ""has_downloads"": true, ""languages_url"": ""https://api.github.com/repos/spotify/luigi/languages"", ""default_branch"": ""master"", ""milestones_url"": ""https://api.github.com/repos/spotify/luigi/milestones{/"&amp;"number}"", ""stargazers_url"": ""https://api.github.com/repos/spotify/luigi/stargazers"", ""watchers_count"": 10661, ""deployments_url"": ""https://api.github.com/repos/spotify/luigi/deployments"", ""git_commits_url"": ""https://api.github.com/repos/spoti"&amp;"fy/luigi/git/commits{/sha}"", ""subscribers_url"": ""https://api.github.com/repos/spotify/luigi/subscribers"", ""contributors_url"": ""https://api.github.com/repos/spotify/luigi/contributors"", ""issue_events_url"": ""https://api.github.com/repos/spotify/"&amp;"luigi/issues/events{/number}"", ""stargazers_count"": 10661, ""subscription_url"": ""https://api.github.com/repos/spotify/luigi/subscription"", ""collaborators_url"": ""https://api.github.com/repos/spotify/luigi/collaborators{/collaborator}"", ""issue_com"&amp;"ment_url"": ""https://api.github.com/repos/spotify/luigi/issues/comments{/number}"", ""notifications_url"": ""https://api.github.com/repos/spotify/luigi/notifications{?since,all,participating}"", ""open_issues_count"": 68}")</f>
        <v>{"id": 5888353, "url": "https://api.github.com/repos/spotify/luigi", "fork": false, "name": "luigi", "size": 9772, "forks": 1808, "owner": {"id": 251374, "url": "https://api.github.com/users/spotify", "type": "Organization", "login": "spotify", "node_id": "MDEyOk9yZ2FuaXphdGlvbjI1MTM3NA==", "html_url": "https://github.com/spotify", "gists_url": "https://api.github.com/users/spotify/gists{/gist_id}", "repos_url": "https://api.github.com/users/spotify/repos", "avatar_url": "https://avatars2.githubusercontent.com/u/251374?v=4", "events_url": "https://api.github.com/users/spotify/events{/privacy}", "site_admin": false, "gravatar_id": "", "starred_url": "https://api.github.com/users/spotify/starred{/owner}{/repo}", "followers_url": "https://api.github.com/users/spotify/followers", "following_url": "https://api.github.com/users/spotify/following{/other_user}", "organizations_url": "https://api.github.com/users/spotify/orgs", "subscriptions_url": "https://api.github.com/users/spotify/subscriptions", "received_events_url": "https://api.github.com/users/spotify/received_events"}, "score": 1.0, "topics": ["hadoop", "luigi", "orchestration-framework", "python", "scheduling"], "git_url": "git://github.com/spotify/luigi.git", "license": {"key": "apache-2.0", "url": "https://api.github.com/licenses/apache-2.0", "name": "Apache License 2.0", "node_id": "MDc6TGljZW5zZTI=", "spdx_id": "Apache-2.0"}, "node_id": "MDEwOlJlcG9zaXRvcnk1ODg4MzUz", "private": false, "ssh_url": "git@github.com:spotify/luigi.git", "svn_url": "https://github.com/spotify/luigi", "archived": false, "has_wiki": false, "homepage": null, "html_url": "https://github.com/spotify/luigi", "keys_url": "https://api.github.com/repos/spotify/luigi/keys{/key_id}", "language": "Python", "tags_url": "https://api.github.com/repos/spotify/luigi/tags", "watchers": 10661, "blobs_url": "https://api.github.com/repos/spotify/luigi/git/blobs{/sha}", "clone_url": "https://github.com/spotify/luigi.git", "forks_url": "https://api.github.com/repos/spotify/luigi/forks", "full_name": "spotify/luigi", "has_pages": false, "hooks_url": "https://api.github.com/repos/spotify/luigi/hooks", "pulls_url": "https://api.github.com/repos/spotify/luigi/pulls{/number}", "pushed_at": "2018-12-20T15:41:02Z", "teams_url": "https://api.github.com/repos/spotify/luigi/teams", "trees_url": "https://api.github.com/repos/spotify/luigi/git/trees{/sha}", "created_at": "2012-09-20T15:06:38Z", "events_url": "https://api.github.com/repos/spotify/luigi/events", "has_issues": true, "issues_url": "https://api.github.com/repos/spotify/luigi/issues{/number}", "labels_url": "https://api.github.com/repos/spotify/luigi/labels{/name}", "merges_url": "https://api.github.com/repos/spotify/luigi/merges", "mirror_url": null, "updated_at": "2018-12-24T18:12:58Z", "archive_url": "https://api.github.com/repos/spotify/luigi/{archive_format}{/ref}", "commits_url": "https://api.github.com/repos/spotify/luigi/commits{/sha}", "compare_url": "https://api.github.com/repos/spotify/luigi/compare/{base}...{head}", "description": "Luigi is a Python module that helps you build complex pipelines of batch jobs. It handles dependency resolution, workflow management, visualization etc. It also comes with Hadoop support built in. ", "forks_count": 1808, "open_issues": 68, "permissions": {"pull": true, "push": false, "admin": false}, "branches_url": "https://api.github.com/repos/spotify/luigi/branches{/branch}", "comments_url": "https://api.github.com/repos/spotify/luigi/comments{/number}", "contents_url": "https://api.github.com/repos/spotify/luigi/contents/{+path}", "git_refs_url": "https://api.github.com/repos/spotify/luigi/git/refs{/sha}", "git_tags_url": "https://api.github.com/repos/spotify/luigi/git/tags{/sha}", "has_projects": true, "releases_url": "https://api.github.com/repos/spotify/luigi/releases{/id}", "statuses_url": "https://api.github.com/repos/spotify/luigi/statuses/{sha}", "assignees_url": "https://api.github.com/repos/spotify/luigi/assignees{/user}", "downloads_url": "https://api.github.com/repos/spotify/luigi/downloads", "has_downloads": true, "languages_url": "https://api.github.com/repos/spotify/luigi/languages", "default_branch": "master", "milestones_url": "https://api.github.com/repos/spotify/luigi/milestones{/number}", "stargazers_url": "https://api.github.com/repos/spotify/luigi/stargazers", "watchers_count": 10661, "deployments_url": "https://api.github.com/repos/spotify/luigi/deployments", "git_commits_url": "https://api.github.com/repos/spotify/luigi/git/commits{/sha}", "subscribers_url": "https://api.github.com/repos/spotify/luigi/subscribers", "contributors_url": "https://api.github.com/repos/spotify/luigi/contributors", "issue_events_url": "https://api.github.com/repos/spotify/luigi/issues/events{/number}", "stargazers_count": 10661, "subscription_url": "https://api.github.com/repos/spotify/luigi/subscription", "collaborators_url": "https://api.github.com/repos/spotify/luigi/collaborators{/collaborator}", "issue_comment_url": "https://api.github.com/repos/spotify/luigi/issues/comments{/number}", "notifications_url": "https://api.github.com/repos/spotify/luigi/notifications{?since,all,participating}", "open_issues_count": 68}</v>
      </c>
      <c r="T19" s="12">
        <f>IFERROR(__xludf.DUMMYFUNCTION("""COMPUTED_VALUE"""),0.901384766)</f>
        <v>0.901384766</v>
      </c>
      <c r="U19" s="12">
        <f>IFERROR(__xludf.DUMMYFUNCTION("""COMPUTED_VALUE"""),2012803.0)</f>
        <v>2012803</v>
      </c>
      <c r="V19" s="14">
        <f>IFERROR(__xludf.DUMMYFUNCTION("""COMPUTED_VALUE"""),75.0)</f>
        <v>75</v>
      </c>
      <c r="W19" s="15" t="str">
        <f>IFERROR(__xludf.DUMMYFUNCTION("IFERROR(REGEXEXTRACT(J19,""""""ratio"""": (\d+.\d+), """"language"""": """"Python""""""),"""")"),"0.9013847664051962")</f>
        <v>0.9013847664051962</v>
      </c>
      <c r="X19" s="15" t="str">
        <f t="shared" si="1"/>
        <v>hadoop, luigi, orchestration-framework, python, scheduling</v>
      </c>
    </row>
    <row r="20">
      <c r="A20" s="10" t="str">
        <f>IFERROR(__xludf.DUMMYFUNCTION("""COMPUTED_VALUE"""),"matplotlib/matplotlib")</f>
        <v>matplotlib/matplotlib</v>
      </c>
      <c r="B20" s="10" t="str">
        <f>IFERROR(__xludf.DUMMYFUNCTION("""COMPUTED_VALUE"""),"matplotlib: plotting with Python")</f>
        <v>matplotlib: plotting with Python</v>
      </c>
      <c r="C20" s="11" t="str">
        <f>IFERROR(__xludf.DUMMYFUNCTION("""COMPUTED_VALUE"""),"https://github.com/matplotlib/matplotlib")</f>
        <v>https://github.com/matplotlib/matplotlib</v>
      </c>
      <c r="D20" s="10">
        <f>IFERROR(__xludf.DUMMYFUNCTION("""COMPUTED_VALUE"""),8404.0)</f>
        <v>8404</v>
      </c>
      <c r="E20" s="10">
        <f>IFERROR(__xludf.DUMMYFUNCTION("""COMPUTED_VALUE"""),532.0)</f>
        <v>532</v>
      </c>
      <c r="F20" s="10">
        <f>IFERROR(__xludf.DUMMYFUNCTION("""COMPUTED_VALUE"""),340073.0)</f>
        <v>340073</v>
      </c>
      <c r="G20" s="10" t="str">
        <f>IFERROR(__xludf.DUMMYFUNCTION("""COMPUTED_VALUE"""),"""[]""")</f>
        <v>"[]"</v>
      </c>
      <c r="H20" s="12">
        <f>IFERROR(__xludf.DUMMYFUNCTION("""COMPUTED_VALUE"""),28144.0)</f>
        <v>28144</v>
      </c>
      <c r="I20" s="12">
        <f>IFERROR(__xludf.DUMMYFUNCTION("""COMPUTED_VALUE"""),433.0)</f>
        <v>433</v>
      </c>
      <c r="J20" s="10" t="str">
        <f>IFERROR(__xludf.DUMMYFUNCTION("""COMPUTED_VALUE"""),"[{""loc"": 6329067, ""ratio"": 0.8792036435791447, ""language"": ""Python""}, {""loc"": 634112, ""ratio"": 0.08808779885522758, ""language"": ""C++""}, {""loc"": 94988, ""ratio"": 0.01319527754980249, ""language"": ""Jupyter Notebook""}, {""loc"": 81707, "&amp;"""ratio"": 0.011350344704191183, ""language"": ""Objective-C""}, {""loc"": 24707, ""ratio"": 0.003432177984829348, ""language"": ""JavaScript""}, {""loc"": 21119, ""ratio"": 0.0029337502271263613, ""language"": ""C""}, {""loc"": 5382, ""ratio"": 0.0007476"&amp;"416365544806, ""language"": ""CSS""}, {""loc"": 4006, ""ratio"": 0.0005564943136449739, ""language"": ""HTML""}, {""loc"": 2072, ""ratio"": 0.00028783230600908284, ""language"": ""Shell""}, {""loc"": 1150, ""ratio"": 0.00015975248644326507, ""language"": "&amp;"""Batchfile""}, {""loc"": 326, ""ratio"": 0.00004528635702652558, ""language"": ""TeX""}]")</f>
        <v>[{"loc": 6329067, "ratio": 0.8792036435791447, "language": "Python"}, {"loc": 634112, "ratio": 0.08808779885522758, "language": "C++"}, {"loc": 94988, "ratio": 0.01319527754980249, "language": "Jupyter Notebook"}, {"loc": 81707, "ratio": 0.011350344704191183, "language": "Objective-C"}, {"loc": 24707, "ratio": 0.003432177984829348, "language": "JavaScript"}, {"loc": 21119, "ratio": 0.0029337502271263613, "language": "C"}, {"loc": 5382, "ratio": 0.0007476416365544806, "language": "CSS"}, {"loc": 4006, "ratio": 0.0005564943136449739, "language": "HTML"}, {"loc": 2072, "ratio": 0.00028783230600908284, "language": "Shell"}, {"loc": 1150, "ratio": 0.00015975248644326507, "language": "Batchfile"}, {"loc": 326, "ratio": 0.00004528635702652558, "language": "TeX"}]</v>
      </c>
      <c r="K20" s="13">
        <f>IFERROR(__xludf.DUMMYFUNCTION("""COMPUTED_VALUE"""),40593.0)</f>
        <v>40593</v>
      </c>
      <c r="L20" s="13">
        <f>IFERROR(__xludf.DUMMYFUNCTION("""COMPUTED_VALUE"""),43458.0)</f>
        <v>43458</v>
      </c>
      <c r="M20" s="10">
        <f>IFERROR(__xludf.DUMMYFUNCTION("""COMPUTED_VALUE"""),1493.0)</f>
        <v>1493</v>
      </c>
      <c r="N20" s="12">
        <f>IFERROR(__xludf.DUMMYFUNCTION("""COMPUTED_VALUE"""),76.0)</f>
        <v>76</v>
      </c>
      <c r="O20" s="12" t="str">
        <f>IFERROR(__xludf.DUMMYFUNCTION("""COMPUTED_VALUE"""),"v3.0.2")</f>
        <v>v3.0.2</v>
      </c>
      <c r="P20" s="12" t="str">
        <f>IFERROR(__xludf.DUMMYFUNCTION("""COMPUTED_VALUE"""),"8858a0d1bdd149a0897789e8503ac586be14676d")</f>
        <v>8858a0d1bdd149a0897789e8503ac586be14676d</v>
      </c>
      <c r="Q20" s="12" t="str">
        <f>IFERROR(__xludf.DUMMYFUNCTION("""COMPUTED_VALUE"""),"null")</f>
        <v>null</v>
      </c>
      <c r="R20" s="12" t="str">
        <f>IFERROR(__xludf.DUMMYFUNCTION("""COMPUTED_VALUE"""),"matplotlib")</f>
        <v>matplotlib</v>
      </c>
      <c r="S20" s="12" t="str">
        <f>IFERROR(__xludf.DUMMYFUNCTION("""COMPUTED_VALUE"""),"{""id"": 1385122, ""url"": ""https://api.github.com/repos/matplotlib/matplotlib"", ""fork"": false, ""name"": ""matplotlib"", ""size"": 340073, ""forks"": 3863, ""owner"": {""id"": 215947, ""url"": ""https://api.github.com/users/matplotlib"", ""type"": """&amp;"Organization"", ""login"": ""matplotlib"", ""node_id"": ""MDEyOk9yZ2FuaXphdGlvbjIxNTk0Nw=="", ""html_url"": ""https://github.com/matplotlib"", ""gists_url"": ""https://api.github.com/users/matplotlib/gists{/gist_id}"", ""repos_url"": ""https://api.github."&amp;"com/users/matplotlib/repos"", ""avatar_url"": ""https://avatars0.githubusercontent.com/u/215947?v=4"", ""events_url"": ""https://api.github.com/users/matplotlib/events{/privacy}"", ""site_admin"": false, ""gravatar_id"": """", ""starred_url"": ""https://a"&amp;"pi.github.com/users/matplotlib/starred{/owner}{/repo}"", ""followers_url"": ""https://api.github.com/users/matplotlib/followers"", ""following_url"": ""https://api.github.com/users/matplotlib/following{/other_user}"", ""organizations_url"": ""https://api."&amp;"github.com/users/matplotlib/orgs"", ""subscriptions_url"": ""https://api.github.com/users/matplotlib/subscriptions"", ""received_events_url"": ""https://api.github.com/users/matplotlib/received_events""}, ""score"": 1.0, ""topics"": [], ""git_url"": ""git"&amp;"://github.com/matplotlib/matplotlib.git"", ""license"": null, ""node_id"": ""MDEwOlJlcG9zaXRvcnkxMzg1MTIy"", ""private"": false, ""ssh_url"": ""git@github.com:matplotlib/matplotlib.git"", ""svn_url"": ""https://github.com/matplotlib/matplotlib"", ""archiv"&amp;"ed"": false, ""has_wiki"": true, ""homepage"": ""http://matplotlib.org/"", ""html_url"": ""https://github.com/matplotlib/matplotlib"", ""keys_url"": ""https://api.github.com/repos/matplotlib/matplotlib/keys{/key_id}"", ""language"": ""Python"", ""tags_url"&amp;""": ""https://api.github.com/repos/matplotlib/matplotlib/tags"", ""watchers"": 8404, ""blobs_url"": ""https://api.github.com/repos/matplotlib/matplotlib/git/blobs{/sha}"", ""clone_url"": ""https://github.com/matplotlib/matplotlib.git"", ""forks_url"": ""h"&amp;"ttps://api.github.com/repos/matplotlib/matplotlib/forks"", ""full_name"": ""matplotlib/matplotlib"", ""has_pages"": false, ""hooks_url"": ""https://api.github.com/repos/matplotlib/matplotlib/hooks"", ""pulls_url"": ""https://api.github.com/repos/matplotli"&amp;"b/matplotlib/pulls{/number}"", ""pushed_at"": ""2018-12-24T18:07:41Z"", ""teams_url"": ""https://api.github.com/repos/matplotlib/matplotlib/teams"", ""trees_url"": ""https://api.github.com/repos/matplotlib/matplotlib/git/trees{/sha}"", ""created_at"": ""2"&amp;"011-02-19T03:17:12Z"", ""events_url"": ""https://api.github.com/repos/matplotlib/matplotlib/events"", ""has_issues"": true, ""issues_url"": ""https://api.github.com/repos/matplotlib/matplotlib/issues{/number}"", ""labels_url"": ""https://api.github.com/re"&amp;"pos/matplotlib/matplotlib/labels{/name}"", ""merges_url"": ""https://api.github.com/repos/matplotlib/matplotlib/merges"", ""mirror_url"": null, ""updated_at"": ""2018-12-24T23:29:02Z"", ""archive_url"": ""https://api.github.com/repos/matplotlib/matplotlib"&amp;"/{archive_format}{/ref}"", ""commits_url"": ""https://api.github.com/repos/matplotlib/matplotlib/commits{/sha}"", ""compare_url"": ""https://api.github.com/repos/matplotlib/matplotlib/compare/{base}...{head}"", ""description"": ""matplotlib: plotting with"&amp;" Python"", ""forks_count"": 3863, ""open_issues"": 1493, ""permissions"": {""pull"": true, ""push"": false, ""admin"": false}, ""branches_url"": ""https://api.github.com/repos/matplotlib/matplotlib/branches{/branch}"", ""comments_url"": ""https://api.gith"&amp;"ub.com/repos/matplotlib/matplotlib/comments{/number}"", ""contents_url"": ""https://api.github.com/repos/matplotlib/matplotlib/contents/{+path}"", ""git_refs_url"": ""https://api.github.com/repos/matplotlib/matplotlib/git/refs{/sha}"", ""git_tags_url"": "&amp;"""https://api.github.com/repos/matplotlib/matplotlib/git/tags{/sha}"", ""has_projects"": true, ""releases_url"": ""https://api.github.com/repos/matplotlib/matplotlib/releases{/id}"", ""statuses_url"": ""https://api.github.com/repos/matplotlib/matplotlib/s"&amp;"tatuses/{sha}"", ""assignees_url"": ""https://api.github.com/repos/matplotlib/matplotlib/assignees{/user}"", ""downloads_url"": ""https://api.github.com/repos/matplotlib/matplotlib/downloads"", ""has_downloads"": true, ""languages_url"": ""https://api.git"&amp;"hub.com/repos/matplotlib/matplotlib/languages"", ""default_branch"": ""master"", ""milestones_url"": ""https://api.github.com/repos/matplotlib/matplotlib/milestones{/number}"", ""stargazers_url"": ""https://api.github.com/repos/matplotlib/matplotlib/starg"&amp;"azers"", ""watchers_count"": 8404, ""deployments_url"": ""https://api.github.com/repos/matplotlib/matplotlib/deployments"", ""git_commits_url"": ""https://api.github.com/repos/matplotlib/matplotlib/git/commits{/sha}"", ""subscribers_url"": ""https://api.g"&amp;"ithub.com/repos/matplotlib/matplotlib/subscribers"", ""contributors_url"": ""https://api.github.com/repos/matplotlib/matplotlib/contributors"", ""issue_events_url"": ""https://api.github.com/repos/matplotlib/matplotlib/issues/events{/number}"", ""stargaze"&amp;"rs_count"": 8404, ""subscription_url"": ""https://api.github.com/repos/matplotlib/matplotlib/subscription"", ""collaborators_url"": ""https://api.github.com/repos/matplotlib/matplotlib/collaborators{/collaborator}"", ""issue_comment_url"": ""https://api.g"&amp;"ithub.com/repos/matplotlib/matplotlib/issues/comments{/number}"", ""notifications_url"": ""https://api.github.com/repos/matplotlib/matplotlib/notifications{?since,all,participating}"", ""open_issues_count"": 1493}")</f>
        <v>{"id": 1385122, "url": "https://api.github.com/repos/matplotlib/matplotlib", "fork": false, "name": "matplotlib", "size": 340073, "forks": 3863, "owner": {"id": 215947, "url": "https://api.github.com/users/matplotlib", "type": "Organization", "login": "matplotlib", "node_id": "MDEyOk9yZ2FuaXphdGlvbjIxNTk0Nw==", "html_url": "https://github.com/matplotlib", "gists_url": "https://api.github.com/users/matplotlib/gists{/gist_id}", "repos_url": "https://api.github.com/users/matplotlib/repos", "avatar_url": "https://avatars0.githubusercontent.com/u/215947?v=4", "events_url": "https://api.github.com/users/matplotlib/events{/privacy}", "site_admin": false, "gravatar_id": "", "starred_url": "https://api.github.com/users/matplotlib/starred{/owner}{/repo}", "followers_url": "https://api.github.com/users/matplotlib/followers", "following_url": "https://api.github.com/users/matplotlib/following{/other_user}", "organizations_url": "https://api.github.com/users/matplotlib/orgs", "subscriptions_url": "https://api.github.com/users/matplotlib/subscriptions", "received_events_url": "https://api.github.com/users/matplotlib/received_events"}, "score": 1.0, "topics": [], "git_url": "git://github.com/matplotlib/matplotlib.git", "license": null, "node_id": "MDEwOlJlcG9zaXRvcnkxMzg1MTIy", "private": false, "ssh_url": "git@github.com:matplotlib/matplotlib.git", "svn_url": "https://github.com/matplotlib/matplotlib", "archived": false, "has_wiki": true, "homepage": "http://matplotlib.org/", "html_url": "https://github.com/matplotlib/matplotlib", "keys_url": "https://api.github.com/repos/matplotlib/matplotlib/keys{/key_id}", "language": "Python", "tags_url": "https://api.github.com/repos/matplotlib/matplotlib/tags", "watchers": 8404, "blobs_url": "https://api.github.com/repos/matplotlib/matplotlib/git/blobs{/sha}", "clone_url": "https://github.com/matplotlib/matplotlib.git", "forks_url": "https://api.github.com/repos/matplotlib/matplotlib/forks", "full_name": "matplotlib/matplotlib", "has_pages": false, "hooks_url": "https://api.github.com/repos/matplotlib/matplotlib/hooks", "pulls_url": "https://api.github.com/repos/matplotlib/matplotlib/pulls{/number}", "pushed_at": "2018-12-24T18:07:41Z", "teams_url": "https://api.github.com/repos/matplotlib/matplotlib/teams", "trees_url": "https://api.github.com/repos/matplotlib/matplotlib/git/trees{/sha}", "created_at": "2011-02-19T03:17:12Z", "events_url": "https://api.github.com/repos/matplotlib/matplotlib/events", "has_issues": true, "issues_url": "https://api.github.com/repos/matplotlib/matplotlib/issues{/number}", "labels_url": "https://api.github.com/repos/matplotlib/matplotlib/labels{/name}", "merges_url": "https://api.github.com/repos/matplotlib/matplotlib/merges", "mirror_url": null, "updated_at": "2018-12-24T23:29:02Z", "archive_url": "https://api.github.com/repos/matplotlib/matplotlib/{archive_format}{/ref}", "commits_url": "https://api.github.com/repos/matplotlib/matplotlib/commits{/sha}", "compare_url": "https://api.github.com/repos/matplotlib/matplotlib/compare/{base}...{head}", "description": "matplotlib: plotting with Python", "forks_count": 3863, "open_issues": 1493, "permissions": {"pull": true, "push": false, "admin": false}, "branches_url": "https://api.github.com/repos/matplotlib/matplotlib/branches{/branch}", "comments_url": "https://api.github.com/repos/matplotlib/matplotlib/comments{/number}", "contents_url": "https://api.github.com/repos/matplotlib/matplotlib/contents/{+path}", "git_refs_url": "https://api.github.com/repos/matplotlib/matplotlib/git/refs{/sha}", "git_tags_url": "https://api.github.com/repos/matplotlib/matplotlib/git/tags{/sha}", "has_projects": true, "releases_url": "https://api.github.com/repos/matplotlib/matplotlib/releases{/id}", "statuses_url": "https://api.github.com/repos/matplotlib/matplotlib/statuses/{sha}", "assignees_url": "https://api.github.com/repos/matplotlib/matplotlib/assignees{/user}", "downloads_url": "https://api.github.com/repos/matplotlib/matplotlib/downloads", "has_downloads": true, "languages_url": "https://api.github.com/repos/matplotlib/matplotlib/languages", "default_branch": "master", "milestones_url": "https://api.github.com/repos/matplotlib/matplotlib/milestones{/number}", "stargazers_url": "https://api.github.com/repos/matplotlib/matplotlib/stargazers", "watchers_count": 8404, "deployments_url": "https://api.github.com/repos/matplotlib/matplotlib/deployments", "git_commits_url": "https://api.github.com/repos/matplotlib/matplotlib/git/commits{/sha}", "subscribers_url": "https://api.github.com/repos/matplotlib/matplotlib/subscribers", "contributors_url": "https://api.github.com/repos/matplotlib/matplotlib/contributors", "issue_events_url": "https://api.github.com/repos/matplotlib/matplotlib/issues/events{/number}", "stargazers_count": 8404, "subscription_url": "https://api.github.com/repos/matplotlib/matplotlib/subscription", "collaborators_url": "https://api.github.com/repos/matplotlib/matplotlib/collaborators{/collaborator}", "issue_comment_url": "https://api.github.com/repos/matplotlib/matplotlib/issues/comments{/number}", "notifications_url": "https://api.github.com/repos/matplotlib/matplotlib/notifications{?since,all,participating}", "open_issues_count": 1493}</v>
      </c>
      <c r="T20" s="12">
        <f>IFERROR(__xludf.DUMMYFUNCTION("""COMPUTED_VALUE"""),0.879203644)</f>
        <v>0.879203644</v>
      </c>
      <c r="U20" s="12">
        <f>IFERROR(__xludf.DUMMYFUNCTION("""COMPUTED_VALUE"""),6329067.0)</f>
        <v>6329067</v>
      </c>
      <c r="V20" s="14">
        <f>IFERROR(__xludf.DUMMYFUNCTION("""COMPUTED_VALUE"""),94.0)</f>
        <v>94</v>
      </c>
      <c r="W20" s="15" t="str">
        <f>IFERROR(__xludf.DUMMYFUNCTION("IFERROR(REGEXEXTRACT(J20,""""""ratio"""": (\d+.\d+), """"language"""": """"Python""""""),"""")"),"0.8792036435791447")</f>
        <v>0.8792036435791447</v>
      </c>
      <c r="X20" s="15" t="str">
        <f t="shared" si="1"/>
        <v/>
      </c>
    </row>
    <row r="21">
      <c r="A21" s="10" t="str">
        <f>IFERROR(__xludf.DUMMYFUNCTION("""COMPUTED_VALUE"""),"MongoEngine/mongoengine")</f>
        <v>MongoEngine/mongoengine</v>
      </c>
      <c r="B21" s="10" t="str">
        <f>IFERROR(__xludf.DUMMYFUNCTION("""COMPUTED_VALUE"""),"A Python Object-Document-Mapper for working with MongoDB")</f>
        <v>A Python Object-Document-Mapper for working with MongoDB</v>
      </c>
      <c r="C21" s="11" t="str">
        <f>IFERROR(__xludf.DUMMYFUNCTION("""COMPUTED_VALUE"""),"https://github.com/MongoEngine/mongoengine")</f>
        <v>https://github.com/MongoEngine/mongoengine</v>
      </c>
      <c r="D21" s="10">
        <f>IFERROR(__xludf.DUMMYFUNCTION("""COMPUTED_VALUE"""),2553.0)</f>
        <v>2553</v>
      </c>
      <c r="E21" s="10">
        <f>IFERROR(__xludf.DUMMYFUNCTION("""COMPUTED_VALUE"""),142.0)</f>
        <v>142</v>
      </c>
      <c r="F21" s="10">
        <f>IFERROR(__xludf.DUMMYFUNCTION("""COMPUTED_VALUE"""),6430.0)</f>
        <v>6430</v>
      </c>
      <c r="G21" s="10" t="str">
        <f>IFERROR(__xludf.DUMMYFUNCTION("""COMPUTED_VALUE"""),"""[\""mongo\"", \""mongodb\"", \""mongodb-orm\"", \""odm\"", \""orm\"", \""pymongo\"", \""python\""]""")</f>
        <v>"[\"mongo\", \"mongodb\", \"mongodb-orm\", \"odm\", \"orm\", \"pymongo\", \"python\"]"</v>
      </c>
      <c r="H21" s="12">
        <f>IFERROR(__xludf.DUMMYFUNCTION("""COMPUTED_VALUE"""),3199.0)</f>
        <v>3199</v>
      </c>
      <c r="I21" s="12">
        <f>IFERROR(__xludf.DUMMYFUNCTION("""COMPUTED_VALUE"""),257.0)</f>
        <v>257</v>
      </c>
      <c r="J21" s="10" t="str">
        <f>IFERROR(__xludf.DUMMYFUNCTION("""COMPUTED_VALUE"""),"[{""loc"": 1201995, ""ratio"": 0.9990142796470356, ""language"": ""Python""}, {""loc"": 1186, ""ratio"": 0.0009857203529643503, ""language"": ""Shell""}]")</f>
        <v>[{"loc": 1201995, "ratio": 0.9990142796470356, "language": "Python"}, {"loc": 1186, "ratio": 0.0009857203529643503, "language": "Shell"}]</v>
      </c>
      <c r="K21" s="13">
        <f>IFERROR(__xludf.DUMMYFUNCTION("""COMPUTED_VALUE"""),40973.0)</f>
        <v>40973</v>
      </c>
      <c r="L21" s="13">
        <f>IFERROR(__xludf.DUMMYFUNCTION("""COMPUTED_VALUE"""),43458.0)</f>
        <v>43458</v>
      </c>
      <c r="M21" s="10">
        <f>IFERROR(__xludf.DUMMYFUNCTION("""COMPUTED_VALUE"""),320.0)</f>
        <v>320</v>
      </c>
      <c r="N21" s="12">
        <f>IFERROR(__xludf.DUMMYFUNCTION("""COMPUTED_VALUE"""),74.0)</f>
        <v>74</v>
      </c>
      <c r="O21" s="12" t="str">
        <f>IFERROR(__xludf.DUMMYFUNCTION("""COMPUTED_VALUE"""),"v0.16.3")</f>
        <v>v0.16.3</v>
      </c>
      <c r="P21" s="12" t="str">
        <f>IFERROR(__xludf.DUMMYFUNCTION("""COMPUTED_VALUE"""),"cf54d6d6f8633678bbf8e65eb3fe998d3902d138")</f>
        <v>cf54d6d6f8633678bbf8e65eb3fe998d3902d138</v>
      </c>
      <c r="Q21" s="12" t="str">
        <f>IFERROR(__xludf.DUMMYFUNCTION("""COMPUTED_VALUE"""),"{""key"": ""mit"", ""url"": ""https://api.github.com/licenses/mit"", ""name"": ""MIT License"", ""node_id"": ""MDc6TGljZW5zZTEz"", ""spdx_id"": ""MIT""}")</f>
        <v>{"key": "mit", "url": "https://api.github.com/licenses/mit", "name": "MIT License", "node_id": "MDc6TGljZW5zZTEz", "spdx_id": "MIT"}</v>
      </c>
      <c r="R21" s="12" t="str">
        <f>IFERROR(__xludf.DUMMYFUNCTION("""COMPUTED_VALUE"""),"mongoengine")</f>
        <v>mongoengine</v>
      </c>
      <c r="S21" s="12" t="str">
        <f>IFERROR(__xludf.DUMMYFUNCTION("""COMPUTED_VALUE"""),"{""id"": 3626679, ""url"": ""https://api.github.com/repos/MongoEngine/mongoengine"", ""fork"": false, ""name"": ""mongoengine"", ""size"": 6430, ""forks"": 993, ""owner"": {""id"": 1502485, ""url"": ""https://api.github.com/users/MongoEngine"", ""type"": "&amp;"""Organization"", ""login"": ""MongoEngine"", ""node_id"": ""MDEyOk9yZ2FuaXphdGlvbjE1MDI0ODU="", ""html_url"": ""https://github.com/MongoEngine"", ""gists_url"": ""https://api.github.com/users/MongoEngine/gists{/gist_id}"", ""repos_url"": ""https://api.gi"&amp;"thub.com/users/MongoEngine/repos"", ""avatar_url"": ""https://avatars0.githubusercontent.com/u/1502485?v=4"", ""events_url"": ""https://api.github.com/users/MongoEngine/events{/privacy}"", ""site_admin"": false, ""gravatar_id"": """", ""starred_url"": ""h"&amp;"ttps://api.github.com/users/MongoEngine/starred{/owner}{/repo}"", ""followers_url"": ""https://api.github.com/users/MongoEngine/followers"", ""following_url"": ""https://api.github.com/users/MongoEngine/following{/other_user}"", ""organizations_url"": ""h"&amp;"ttps://api.github.com/users/MongoEngine/orgs"", ""subscriptions_url"": ""https://api.github.com/users/MongoEngine/subscriptions"", ""received_events_url"": ""https://api.github.com/users/MongoEngine/received_events""}, ""score"": 1.0, ""topics"": [""mongo"&amp;""", ""mongodb"", ""mongodb-orm"", ""odm"", ""orm"", ""pymongo"", ""python""], ""git_url"": ""git://github.com/MongoEngine/mongoengine.git"", ""license"": {""key"": ""mit"", ""url"": ""https://api.github.com/licenses/mit"", ""name"": ""MIT License"", ""nod"&amp;"e_id"": ""MDc6TGljZW5zZTEz"", ""spdx_id"": ""MIT""}, ""node_id"": ""MDEwOlJlcG9zaXRvcnkzNjI2Njc5"", ""private"": false, ""ssh_url"": ""git@github.com:MongoEngine/mongoengine.git"", ""svn_url"": ""https://github.com/MongoEngine/mongoengine"", ""archived"":"&amp;" false, ""has_wiki"": true, ""homepage"": ""http://mongoengine.org"", ""html_url"": ""https://github.com/MongoEngine/mongoengine"", ""keys_url"": ""https://api.github.com/repos/MongoEngine/mongoengine/keys{/key_id}"", ""language"": ""Python"", ""tags_url"&amp;""": ""https://api.github.com/repos/MongoEngine/mongoengine/tags"", ""watchers"": 2553, ""blobs_url"": ""https://api.github.com/repos/MongoEngine/mongoengine/git/blobs{/sha}"", ""clone_url"": ""https://github.com/MongoEngine/mongoengine.git"", ""forks_url"&amp;""": ""https://api.github.com/repos/MongoEngine/mongoengine/forks"", ""full_name"": ""MongoEngine/mongoengine"", ""has_pages"": false, ""hooks_url"": ""https://api.github.com/repos/MongoEngine/mongoengine/hooks"", ""pulls_url"": ""https://api.github.com/re"&amp;"pos/MongoEngine/mongoengine/pulls{/number}"", ""pushed_at"": ""2018-12-24T22:52:47Z"", ""teams_url"": ""https://api.github.com/repos/MongoEngine/mongoengine/teams"", ""trees_url"": ""https://api.github.com/repos/MongoEngine/mongoengine/git/trees{/sha}"", "&amp;"""created_at"": ""2012-03-05T12:10:20Z"", ""events_url"": ""https://api.github.com/repos/MongoEngine/mongoengine/events"", ""has_issues"": true, ""issues_url"": ""https://api.github.com/repos/MongoEngine/mongoengine/issues{/number}"", ""labels_url"": ""ht"&amp;"tps://api.github.com/repos/MongoEngine/mongoengine/labels{/name}"", ""merges_url"": ""https://api.github.com/repos/MongoEngine/mongoengine/merges"", ""mirror_url"": null, ""updated_at"": ""2018-12-24T10:12:47Z"", ""archive_url"": ""https://api.github.com/"&amp;"repos/MongoEngine/mongoengine/{archive_format}{/ref}"", ""commits_url"": ""https://api.github.com/repos/MongoEngine/mongoengine/commits{/sha}"", ""compare_url"": ""https://api.github.com/repos/MongoEngine/mongoengine/compare/{base}...{head}"", ""descripti"&amp;"on"": ""A Python Object-Document-Mapper for working with MongoDB"", ""forks_count"": 993, ""open_issues"": 320, ""permissions"": {""pull"": true, ""push"": false, ""admin"": false}, ""branches_url"": ""https://api.github.com/repos/MongoEngine/mongoengine/"&amp;"branches{/branch}"", ""comments_url"": ""https://api.github.com/repos/MongoEngine/mongoengine/comments{/number}"", ""contents_url"": ""https://api.github.com/repos/MongoEngine/mongoengine/contents/{+path}"", ""git_refs_url"": ""https://api.github.com/repo"&amp;"s/MongoEngine/mongoengine/git/refs{/sha}"", ""git_tags_url"": ""https://api.github.com/repos/MongoEngine/mongoengine/git/tags{/sha}"", ""has_projects"": true, ""releases_url"": ""https://api.github.com/repos/MongoEngine/mongoengine/releases{/id}"", ""stat"&amp;"uses_url"": ""https://api.github.com/repos/MongoEngine/mongoengine/statuses/{sha}"", ""assignees_url"": ""https://api.github.com/repos/MongoEngine/mongoengine/assignees{/user}"", ""downloads_url"": ""https://api.github.com/repos/MongoEngine/mongoengine/do"&amp;"wnloads"", ""has_downloads"": true, ""languages_url"": ""https://api.github.com/repos/MongoEngine/mongoengine/languages"", ""default_branch"": ""master"", ""milestones_url"": ""https://api.github.com/repos/MongoEngine/mongoengine/milestones{/number}"", """&amp;"stargazers_url"": ""https://api.github.com/repos/MongoEngine/mongoengine/stargazers"", ""watchers_count"": 2553, ""deployments_url"": ""https://api.github.com/repos/MongoEngine/mongoengine/deployments"", ""git_commits_url"": ""https://api.github.com/repos"&amp;"/MongoEngine/mongoengine/git/commits{/sha}"", ""subscribers_url"": ""https://api.github.com/repos/MongoEngine/mongoengine/subscribers"", ""contributors_url"": ""https://api.github.com/repos/MongoEngine/mongoengine/contributors"", ""issue_events_url"": ""h"&amp;"ttps://api.github.com/repos/MongoEngine/mongoengine/issues/events{/number}"", ""stargazers_count"": 2553, ""subscription_url"": ""https://api.github.com/repos/MongoEngine/mongoengine/subscription"", ""collaborators_url"": ""https://api.github.com/repos/Mo"&amp;"ngoEngine/mongoengine/collaborators{/collaborator}"", ""issue_comment_url"": ""https://api.github.com/repos/MongoEngine/mongoengine/issues/comments{/number}"", ""notifications_url"": ""https://api.github.com/repos/MongoEngine/mongoengine/notifications{?si"&amp;"nce,all,participating}"", ""open_issues_count"": 320}")</f>
        <v>{"id": 3626679, "url": "https://api.github.com/repos/MongoEngine/mongoengine", "fork": false, "name": "mongoengine", "size": 6430, "forks": 993, "owner": {"id": 1502485, "url": "https://api.github.com/users/MongoEngine", "type": "Organization", "login": "MongoEngine", "node_id": "MDEyOk9yZ2FuaXphdGlvbjE1MDI0ODU=", "html_url": "https://github.com/MongoEngine", "gists_url": "https://api.github.com/users/MongoEngine/gists{/gist_id}", "repos_url": "https://api.github.com/users/MongoEngine/repos", "avatar_url": "https://avatars0.githubusercontent.com/u/1502485?v=4", "events_url": "https://api.github.com/users/MongoEngine/events{/privacy}", "site_admin": false, "gravatar_id": "", "starred_url": "https://api.github.com/users/MongoEngine/starred{/owner}{/repo}", "followers_url": "https://api.github.com/users/MongoEngine/followers", "following_url": "https://api.github.com/users/MongoEngine/following{/other_user}", "organizations_url": "https://api.github.com/users/MongoEngine/orgs", "subscriptions_url": "https://api.github.com/users/MongoEngine/subscriptions", "received_events_url": "https://api.github.com/users/MongoEngine/received_events"}, "score": 1.0, "topics": ["mongo", "mongodb", "mongodb-orm", "odm", "orm", "pymongo", "python"], "git_url": "git://github.com/MongoEngine/mongoengine.git", "license": {"key": "mit", "url": "https://api.github.com/licenses/mit", "name": "MIT License", "node_id": "MDc6TGljZW5zZTEz", "spdx_id": "MIT"}, "node_id": "MDEwOlJlcG9zaXRvcnkzNjI2Njc5", "private": false, "ssh_url": "git@github.com:MongoEngine/mongoengine.git", "svn_url": "https://github.com/MongoEngine/mongoengine", "archived": false, "has_wiki": true, "homepage": "http://mongoengine.org", "html_url": "https://github.com/MongoEngine/mongoengine", "keys_url": "https://api.github.com/repos/MongoEngine/mongoengine/keys{/key_id}", "language": "Python", "tags_url": "https://api.github.com/repos/MongoEngine/mongoengine/tags", "watchers": 2553, "blobs_url": "https://api.github.com/repos/MongoEngine/mongoengine/git/blobs{/sha}", "clone_url": "https://github.com/MongoEngine/mongoengine.git", "forks_url": "https://api.github.com/repos/MongoEngine/mongoengine/forks", "full_name": "MongoEngine/mongoengine", "has_pages": false, "hooks_url": "https://api.github.com/repos/MongoEngine/mongoengine/hooks", "pulls_url": "https://api.github.com/repos/MongoEngine/mongoengine/pulls{/number}", "pushed_at": "2018-12-24T22:52:47Z", "teams_url": "https://api.github.com/repos/MongoEngine/mongoengine/teams", "trees_url": "https://api.github.com/repos/MongoEngine/mongoengine/git/trees{/sha}", "created_at": "2012-03-05T12:10:20Z", "events_url": "https://api.github.com/repos/MongoEngine/mongoengine/events", "has_issues": true, "issues_url": "https://api.github.com/repos/MongoEngine/mongoengine/issues{/number}", "labels_url": "https://api.github.com/repos/MongoEngine/mongoengine/labels{/name}", "merges_url": "https://api.github.com/repos/MongoEngine/mongoengine/merges", "mirror_url": null, "updated_at": "2018-12-24T10:12:47Z", "archive_url": "https://api.github.com/repos/MongoEngine/mongoengine/{archive_format}{/ref}", "commits_url": "https://api.github.com/repos/MongoEngine/mongoengine/commits{/sha}", "compare_url": "https://api.github.com/repos/MongoEngine/mongoengine/compare/{base}...{head}", "description": "A Python Object-Document-Mapper for working with MongoDB", "forks_count": 993, "open_issues": 320, "permissions": {"pull": true, "push": false, "admin": false}, "branches_url": "https://api.github.com/repos/MongoEngine/mongoengine/branches{/branch}", "comments_url": "https://api.github.com/repos/MongoEngine/mongoengine/comments{/number}", "contents_url": "https://api.github.com/repos/MongoEngine/mongoengine/contents/{+path}", "git_refs_url": "https://api.github.com/repos/MongoEngine/mongoengine/git/refs{/sha}", "git_tags_url": "https://api.github.com/repos/MongoEngine/mongoengine/git/tags{/sha}", "has_projects": true, "releases_url": "https://api.github.com/repos/MongoEngine/mongoengine/releases{/id}", "statuses_url": "https://api.github.com/repos/MongoEngine/mongoengine/statuses/{sha}", "assignees_url": "https://api.github.com/repos/MongoEngine/mongoengine/assignees{/user}", "downloads_url": "https://api.github.com/repos/MongoEngine/mongoengine/downloads", "has_downloads": true, "languages_url": "https://api.github.com/repos/MongoEngine/mongoengine/languages", "default_branch": "master", "milestones_url": "https://api.github.com/repos/MongoEngine/mongoengine/milestones{/number}", "stargazers_url": "https://api.github.com/repos/MongoEngine/mongoengine/stargazers", "watchers_count": 2553, "deployments_url": "https://api.github.com/repos/MongoEngine/mongoengine/deployments", "git_commits_url": "https://api.github.com/repos/MongoEngine/mongoengine/git/commits{/sha}", "subscribers_url": "https://api.github.com/repos/MongoEngine/mongoengine/subscribers", "contributors_url": "https://api.github.com/repos/MongoEngine/mongoengine/contributors", "issue_events_url": "https://api.github.com/repos/MongoEngine/mongoengine/issues/events{/number}", "stargazers_count": 2553, "subscription_url": "https://api.github.com/repos/MongoEngine/mongoengine/subscription", "collaborators_url": "https://api.github.com/repos/MongoEngine/mongoengine/collaborators{/collaborator}", "issue_comment_url": "https://api.github.com/repos/MongoEngine/mongoengine/issues/comments{/number}", "notifications_url": "https://api.github.com/repos/MongoEngine/mongoengine/notifications{?since,all,participating}", "open_issues_count": 320}</v>
      </c>
      <c r="T21" s="12">
        <f>IFERROR(__xludf.DUMMYFUNCTION("""COMPUTED_VALUE"""),0.99901428)</f>
        <v>0.99901428</v>
      </c>
      <c r="U21" s="12">
        <f>IFERROR(__xludf.DUMMYFUNCTION("""COMPUTED_VALUE"""),1201995.0)</f>
        <v>1201995</v>
      </c>
      <c r="V21" s="14">
        <f>IFERROR(__xludf.DUMMYFUNCTION("""COMPUTED_VALUE"""),81.0)</f>
        <v>81</v>
      </c>
      <c r="W21" s="15" t="str">
        <f>IFERROR(__xludf.DUMMYFUNCTION("IFERROR(REGEXEXTRACT(J21,""""""ratio"""": (\d+.\d+), """"language"""": """"Python""""""),"""")"),"0.9990142796470356")</f>
        <v>0.9990142796470356</v>
      </c>
      <c r="X21" s="15" t="str">
        <f t="shared" si="1"/>
        <v>mongo, mongodb, mongodb-orm, odm, orm, pymongo, python</v>
      </c>
    </row>
    <row r="22">
      <c r="A22" s="10" t="str">
        <f>IFERROR(__xludf.DUMMYFUNCTION("""COMPUTED_VALUE"""),"mitmproxy/mitmproxy")</f>
        <v>mitmproxy/mitmproxy</v>
      </c>
      <c r="B22" s="10" t="str">
        <f>IFERROR(__xludf.DUMMYFUNCTION("""COMPUTED_VALUE"""),"An interactive TLS-capable intercepting HTTP proxy for penetration testers and software developers.")</f>
        <v>An interactive TLS-capable intercepting HTTP proxy for penetration testers and software developers.</v>
      </c>
      <c r="C22" s="11" t="str">
        <f>IFERROR(__xludf.DUMMYFUNCTION("""COMPUTED_VALUE"""),"https://github.com/mitmproxy/mitmproxy")</f>
        <v>https://github.com/mitmproxy/mitmproxy</v>
      </c>
      <c r="D22" s="10">
        <f>IFERROR(__xludf.DUMMYFUNCTION("""COMPUTED_VALUE"""),13531.0)</f>
        <v>13531</v>
      </c>
      <c r="E22" s="10">
        <f>IFERROR(__xludf.DUMMYFUNCTION("""COMPUTED_VALUE"""),519.0)</f>
        <v>519</v>
      </c>
      <c r="F22" s="10">
        <f>IFERROR(__xludf.DUMMYFUNCTION("""COMPUTED_VALUE"""),45030.0)</f>
        <v>45030</v>
      </c>
      <c r="G22" s="10" t="str">
        <f>IFERROR(__xludf.DUMMYFUNCTION("""COMPUTED_VALUE"""),"""[\""http\"", \""http2\"", \""man-in-the-middle\"", \""proxy\"", \""python\"", \""security\"", \""ssl\"", \""tls\"", \""websocket\""]""")</f>
        <v>"[\"http\", \"http2\", \"man-in-the-middle\", \"proxy\", \"python\", \"security\", \"ssl\", \"tls\", \"websocket\"]"</v>
      </c>
      <c r="H22" s="12">
        <f>IFERROR(__xludf.DUMMYFUNCTION("""COMPUTED_VALUE"""),7984.0)</f>
        <v>7984</v>
      </c>
      <c r="I22" s="12">
        <f>IFERROR(__xludf.DUMMYFUNCTION("""COMPUTED_VALUE"""),249.0)</f>
        <v>249</v>
      </c>
      <c r="J22" s="10" t="str">
        <f>IFERROR(__xludf.DUMMYFUNCTION("""COMPUTED_VALUE"""),"[{""loc"": 1812002, ""ratio"": 0.8502903982517448, ""language"": ""Python""}, {""loc"": 277098, ""ratio"": 0.1300295301963033, ""language"": ""JavaScript""}, {""loc"": 20955, ""ratio"": 0.00983323158327933, ""language"": ""CSS""}, {""loc"": 14747, ""ratio"&amp;""": 0.006920098599790994, ""language"": ""HTML""}, {""loc"": 4711, ""ratio"": 0.0022106587443965126, ""language"": ""Shell""}, {""loc"": 1031, ""ratio"": 0.00048380156346270527, ""language"": ""Dockerfile""}, {""loc"": 495, ""ratio"": 0.000232281061022346"&amp;"36, ""language"": ""PowerShell""}]")</f>
        <v>[{"loc": 1812002, "ratio": 0.8502903982517448, "language": "Python"}, {"loc": 277098, "ratio": 0.1300295301963033, "language": "JavaScript"}, {"loc": 20955, "ratio": 0.00983323158327933, "language": "CSS"}, {"loc": 14747, "ratio": 0.006920098599790994, "language": "HTML"}, {"loc": 4711, "ratio": 0.0022106587443965126, "language": "Shell"}, {"loc": 1031, "ratio": 0.00048380156346270527, "language": "Dockerfile"}, {"loc": 495, "ratio": 0.00023228106102234636, "language": "PowerShell"}]</v>
      </c>
      <c r="K22" s="13">
        <f>IFERROR(__xludf.DUMMYFUNCTION("""COMPUTED_VALUE"""),40225.0)</f>
        <v>40225</v>
      </c>
      <c r="L22" s="13">
        <f>IFERROR(__xludf.DUMMYFUNCTION("""COMPUTED_VALUE"""),43453.0)</f>
        <v>43453</v>
      </c>
      <c r="M22" s="10">
        <f>IFERROR(__xludf.DUMMYFUNCTION("""COMPUTED_VALUE"""),190.0)</f>
        <v>190</v>
      </c>
      <c r="N22" s="12">
        <f>IFERROR(__xludf.DUMMYFUNCTION("""COMPUTED_VALUE"""),52.0)</f>
        <v>52</v>
      </c>
      <c r="O22" s="12" t="str">
        <f>IFERROR(__xludf.DUMMYFUNCTION("""COMPUTED_VALUE"""),"v4.0.4")</f>
        <v>v4.0.4</v>
      </c>
      <c r="P22" s="12" t="str">
        <f>IFERROR(__xludf.DUMMYFUNCTION("""COMPUTED_VALUE"""),"5c27805be7e5131b8717cd050197a237744f9c22")</f>
        <v>5c27805be7e5131b8717cd050197a237744f9c22</v>
      </c>
      <c r="Q22" s="12" t="str">
        <f>IFERROR(__xludf.DUMMYFUNCTION("""COMPUTED_VALUE"""),"{""key"": ""mit"", ""url"": ""https://api.github.com/licenses/mit"", ""name"": ""MIT License"", ""node_id"": ""MDc6TGljZW5zZTEz"", ""spdx_id"": ""MIT""}")</f>
        <v>{"key": "mit", "url": "https://api.github.com/licenses/mit", "name": "MIT License", "node_id": "MDc6TGljZW5zZTEz", "spdx_id": "MIT"}</v>
      </c>
      <c r="R22" s="12" t="str">
        <f>IFERROR(__xludf.DUMMYFUNCTION("""COMPUTED_VALUE"""),"mitmproxy")</f>
        <v>mitmproxy</v>
      </c>
      <c r="S22" s="12" t="str">
        <f>IFERROR(__xludf.DUMMYFUNCTION("""COMPUTED_VALUE"""),"{""id"": 519832, ""url"": ""https://api.github.com/repos/mitmproxy/mitmproxy"", ""fork"": false, ""name"": ""mitmproxy"", ""size"": 45030, ""forks"": 1762, ""owner"": {""id"": 4652787, ""url"": ""https://api.github.com/users/mitmproxy"", ""type"": ""Organ"&amp;"ization"", ""login"": ""mitmproxy"", ""node_id"": ""MDEyOk9yZ2FuaXphdGlvbjQ2NTI3ODc="", ""html_url"": ""https://github.com/mitmproxy"", ""gists_url"": ""https://api.github.com/users/mitmproxy/gists{/gist_id}"", ""repos_url"": ""https://api.github.com/user"&amp;"s/mitmproxy/repos"", ""avatar_url"": ""https://avatars3.githubusercontent.com/u/4652787?v=4"", ""events_url"": ""https://api.github.com/users/mitmproxy/events{/privacy}"", ""site_admin"": false, ""gravatar_id"": """", ""starred_url"": ""https://api.github"&amp;".com/users/mitmproxy/starred{/owner}{/repo}"", ""followers_url"": ""https://api.github.com/users/mitmproxy/followers"", ""following_url"": ""https://api.github.com/users/mitmproxy/following{/other_user}"", ""organizations_url"": ""https://api.github.com/u"&amp;"sers/mitmproxy/orgs"", ""subscriptions_url"": ""https://api.github.com/users/mitmproxy/subscriptions"", ""received_events_url"": ""https://api.github.com/users/mitmproxy/received_events""}, ""score"": 1.0, ""topics"": [""http"", ""http2"", ""man-in-the-mi"&amp;"ddle"", ""proxy"", ""python"", ""security"", ""ssl"", ""tls"", ""websocket""], ""git_url"": ""git://github.com/mitmproxy/mitmproxy.git"", ""license"": {""key"": ""mit"", ""url"": ""https://api.github.com/licenses/mit"", ""name"": ""MIT License"", ""node_i"&amp;"d"": ""MDc6TGljZW5zZTEz"", ""spdx_id"": ""MIT""}, ""node_id"": ""MDEwOlJlcG9zaXRvcnk1MTk4MzI="", ""private"": false, ""ssh_url"": ""git@github.com:mitmproxy/mitmproxy.git"", ""svn_url"": ""https://github.com/mitmproxy/mitmproxy"", ""archived"": false, ""h"&amp;"as_wiki"": false, ""homepage"": ""https://mitmproxy.org/"", ""html_url"": ""https://github.com/mitmproxy/mitmproxy"", ""keys_url"": ""https://api.github.com/repos/mitmproxy/mitmproxy/keys{/key_id}"", ""language"": ""Python"", ""tags_url"": ""https://api.g"&amp;"ithub.com/repos/mitmproxy/mitmproxy/tags"", ""watchers"": 13531, ""blobs_url"": ""https://api.github.com/repos/mitmproxy/mitmproxy/git/blobs{/sha}"", ""clone_url"": ""https://github.com/mitmproxy/mitmproxy.git"", ""forks_url"": ""https://api.github.com/re"&amp;"pos/mitmproxy/mitmproxy/forks"", ""full_name"": ""mitmproxy/mitmproxy"", ""has_pages"": false, ""hooks_url"": ""https://api.github.com/repos/mitmproxy/mitmproxy/hooks"", ""pulls_url"": ""https://api.github.com/repos/mitmproxy/mitmproxy/pulls{/number}"", "&amp;"""pushed_at"": ""2018-12-19T17:53:59Z"", ""teams_url"": ""https://api.github.com/repos/mitmproxy/mitmproxy/teams"", ""trees_url"": ""https://api.github.com/repos/mitmproxy/mitmproxy/git/trees{/sha}"", ""created_at"": ""2010-02-16T04:10:13Z"", ""events_url"&amp;""": ""https://api.github.com/repos/mitmproxy/mitmproxy/events"", ""has_issues"": true, ""issues_url"": ""https://api.github.com/repos/mitmproxy/mitmproxy/issues{/number}"", ""labels_url"": ""https://api.github.com/repos/mitmproxy/mitmproxy/labels{/name}"""&amp;", ""merges_url"": ""https://api.github.com/repos/mitmproxy/mitmproxy/merges"", ""mirror_url"": null, ""updated_at"": ""2018-12-25T01:25:19Z"", ""archive_url"": ""https://api.github.com/repos/mitmproxy/mitmproxy/{archive_format}{/ref}"", ""commits_url"": "&amp;"""https://api.github.com/repos/mitmproxy/mitmproxy/commits{/sha}"", ""compare_url"": ""https://api.github.com/repos/mitmproxy/mitmproxy/compare/{base}...{head}"", ""description"": ""An interactive TLS-capable intercepting HTTP proxy for penetration tester"&amp;"s and software developers."", ""forks_count"": 1762, ""open_issues"": 190, ""permissions"": {""pull"": true, ""push"": false, ""admin"": false}, ""branches_url"": ""https://api.github.com/repos/mitmproxy/mitmproxy/branches{/branch}"", ""comments_url"": """&amp;"https://api.github.com/repos/mitmproxy/mitmproxy/comments{/number}"", ""contents_url"": ""https://api.github.com/repos/mitmproxy/mitmproxy/contents/{+path}"", ""git_refs_url"": ""https://api.github.com/repos/mitmproxy/mitmproxy/git/refs{/sha}"", ""git_tag"&amp;"s_url"": ""https://api.github.com/repos/mitmproxy/mitmproxy/git/tags{/sha}"", ""has_projects"": true, ""releases_url"": ""https://api.github.com/repos/mitmproxy/mitmproxy/releases{/id}"", ""statuses_url"": ""https://api.github.com/repos/mitmproxy/mitmprox"&amp;"y/statuses/{sha}"", ""assignees_url"": ""https://api.github.com/repos/mitmproxy/mitmproxy/assignees{/user}"", ""downloads_url"": ""https://api.github.com/repos/mitmproxy/mitmproxy/downloads"", ""has_downloads"": true, ""languages_url"": ""https://api.gith"&amp;"ub.com/repos/mitmproxy/mitmproxy/languages"", ""default_branch"": ""master"", ""milestones_url"": ""https://api.github.com/repos/mitmproxy/mitmproxy/milestones{/number}"", ""stargazers_url"": ""https://api.github.com/repos/mitmproxy/mitmproxy/stargazers"""&amp;", ""watchers_count"": 13531, ""deployments_url"": ""https://api.github.com/repos/mitmproxy/mitmproxy/deployments"", ""git_commits_url"": ""https://api.github.com/repos/mitmproxy/mitmproxy/git/commits{/sha}"", ""subscribers_url"": ""https://api.github.com/"&amp;"repos/mitmproxy/mitmproxy/subscribers"", ""contributors_url"": ""https://api.github.com/repos/mitmproxy/mitmproxy/contributors"", ""issue_events_url"": ""https://api.github.com/repos/mitmproxy/mitmproxy/issues/events{/number}"", ""stargazers_count"": 1353"&amp;"1, ""subscription_url"": ""https://api.github.com/repos/mitmproxy/mitmproxy/subscription"", ""collaborators_url"": ""https://api.github.com/repos/mitmproxy/mitmproxy/collaborators{/collaborator}"", ""issue_comment_url"": ""https://api.github.com/repos/mit"&amp;"mproxy/mitmproxy/issues/comments{/number}"", ""notifications_url"": ""https://api.github.com/repos/mitmproxy/mitmproxy/notifications{?since,all,participating}"", ""open_issues_count"": 190}")</f>
        <v>{"id": 519832, "url": "https://api.github.com/repos/mitmproxy/mitmproxy", "fork": false, "name": "mitmproxy", "size": 45030, "forks": 1762, "owner": {"id": 4652787, "url": "https://api.github.com/users/mitmproxy", "type": "Organization", "login": "mitmproxy", "node_id": "MDEyOk9yZ2FuaXphdGlvbjQ2NTI3ODc=", "html_url": "https://github.com/mitmproxy", "gists_url": "https://api.github.com/users/mitmproxy/gists{/gist_id}", "repos_url": "https://api.github.com/users/mitmproxy/repos", "avatar_url": "https://avatars3.githubusercontent.com/u/4652787?v=4", "events_url": "https://api.github.com/users/mitmproxy/events{/privacy}", "site_admin": false, "gravatar_id": "", "starred_url": "https://api.github.com/users/mitmproxy/starred{/owner}{/repo}", "followers_url": "https://api.github.com/users/mitmproxy/followers", "following_url": "https://api.github.com/users/mitmproxy/following{/other_user}", "organizations_url": "https://api.github.com/users/mitmproxy/orgs", "subscriptions_url": "https://api.github.com/users/mitmproxy/subscriptions", "received_events_url": "https://api.github.com/users/mitmproxy/received_events"}, "score": 1.0, "topics": ["http", "http2", "man-in-the-middle", "proxy", "python", "security", "ssl", "tls", "websocket"], "git_url": "git://github.com/mitmproxy/mitmproxy.git", "license": {"key": "mit", "url": "https://api.github.com/licenses/mit", "name": "MIT License", "node_id": "MDc6TGljZW5zZTEz", "spdx_id": "MIT"}, "node_id": "MDEwOlJlcG9zaXRvcnk1MTk4MzI=", "private": false, "ssh_url": "git@github.com:mitmproxy/mitmproxy.git", "svn_url": "https://github.com/mitmproxy/mitmproxy", "archived": false, "has_wiki": false, "homepage": "https://mitmproxy.org/", "html_url": "https://github.com/mitmproxy/mitmproxy", "keys_url": "https://api.github.com/repos/mitmproxy/mitmproxy/keys{/key_id}", "language": "Python", "tags_url": "https://api.github.com/repos/mitmproxy/mitmproxy/tags", "watchers": 13531, "blobs_url": "https://api.github.com/repos/mitmproxy/mitmproxy/git/blobs{/sha}", "clone_url": "https://github.com/mitmproxy/mitmproxy.git", "forks_url": "https://api.github.com/repos/mitmproxy/mitmproxy/forks", "full_name": "mitmproxy/mitmproxy", "has_pages": false, "hooks_url": "https://api.github.com/repos/mitmproxy/mitmproxy/hooks", "pulls_url": "https://api.github.com/repos/mitmproxy/mitmproxy/pulls{/number}", "pushed_at": "2018-12-19T17:53:59Z", "teams_url": "https://api.github.com/repos/mitmproxy/mitmproxy/teams", "trees_url": "https://api.github.com/repos/mitmproxy/mitmproxy/git/trees{/sha}", "created_at": "2010-02-16T04:10:13Z", "events_url": "https://api.github.com/repos/mitmproxy/mitmproxy/events", "has_issues": true, "issues_url": "https://api.github.com/repos/mitmproxy/mitmproxy/issues{/number}", "labels_url": "https://api.github.com/repos/mitmproxy/mitmproxy/labels{/name}", "merges_url": "https://api.github.com/repos/mitmproxy/mitmproxy/merges", "mirror_url": null, "updated_at": "2018-12-25T01:25:19Z", "archive_url": "https://api.github.com/repos/mitmproxy/mitmproxy/{archive_format}{/ref}", "commits_url": "https://api.github.com/repos/mitmproxy/mitmproxy/commits{/sha}", "compare_url": "https://api.github.com/repos/mitmproxy/mitmproxy/compare/{base}...{head}", "description": "An interactive TLS-capable intercepting HTTP proxy for penetration testers and software developers.", "forks_count": 1762, "open_issues": 190, "permissions": {"pull": true, "push": false, "admin": false}, "branches_url": "https://api.github.com/repos/mitmproxy/mitmproxy/branches{/branch}", "comments_url": "https://api.github.com/repos/mitmproxy/mitmproxy/comments{/number}", "contents_url": "https://api.github.com/repos/mitmproxy/mitmproxy/contents/{+path}", "git_refs_url": "https://api.github.com/repos/mitmproxy/mitmproxy/git/refs{/sha}", "git_tags_url": "https://api.github.com/repos/mitmproxy/mitmproxy/git/tags{/sha}", "has_projects": true, "releases_url": "https://api.github.com/repos/mitmproxy/mitmproxy/releases{/id}", "statuses_url": "https://api.github.com/repos/mitmproxy/mitmproxy/statuses/{sha}", "assignees_url": "https://api.github.com/repos/mitmproxy/mitmproxy/assignees{/user}", "downloads_url": "https://api.github.com/repos/mitmproxy/mitmproxy/downloads", "has_downloads": true, "languages_url": "https://api.github.com/repos/mitmproxy/mitmproxy/languages", "default_branch": "master", "milestones_url": "https://api.github.com/repos/mitmproxy/mitmproxy/milestones{/number}", "stargazers_url": "https://api.github.com/repos/mitmproxy/mitmproxy/stargazers", "watchers_count": 13531, "deployments_url": "https://api.github.com/repos/mitmproxy/mitmproxy/deployments", "git_commits_url": "https://api.github.com/repos/mitmproxy/mitmproxy/git/commits{/sha}", "subscribers_url": "https://api.github.com/repos/mitmproxy/mitmproxy/subscribers", "contributors_url": "https://api.github.com/repos/mitmproxy/mitmproxy/contributors", "issue_events_url": "https://api.github.com/repos/mitmproxy/mitmproxy/issues/events{/number}", "stargazers_count": 13531, "subscription_url": "https://api.github.com/repos/mitmproxy/mitmproxy/subscription", "collaborators_url": "https://api.github.com/repos/mitmproxy/mitmproxy/collaborators{/collaborator}", "issue_comment_url": "https://api.github.com/repos/mitmproxy/mitmproxy/issues/comments{/number}", "notifications_url": "https://api.github.com/repos/mitmproxy/mitmproxy/notifications{?since,all,participating}", "open_issues_count": 190}</v>
      </c>
      <c r="T22" s="12">
        <f>IFERROR(__xludf.DUMMYFUNCTION("""COMPUTED_VALUE"""),0.850290398)</f>
        <v>0.850290398</v>
      </c>
      <c r="U22" s="12">
        <f>IFERROR(__xludf.DUMMYFUNCTION("""COMPUTED_VALUE"""),1812002.0)</f>
        <v>1812002</v>
      </c>
      <c r="V22" s="14">
        <f>IFERROR(__xludf.DUMMYFUNCTION("""COMPUTED_VALUE"""),106.0)</f>
        <v>106</v>
      </c>
      <c r="W22" s="15" t="str">
        <f>IFERROR(__xludf.DUMMYFUNCTION("IFERROR(REGEXEXTRACT(J22,""""""ratio"""": (\d+.\d+), """"language"""": """"Python""""""),"""")"),"0.8502903982517448")</f>
        <v>0.8502903982517448</v>
      </c>
      <c r="X22" s="15" t="str">
        <f t="shared" si="1"/>
        <v>http, http2, man-in-the-middle, proxy, python, security, ssl, tls, websocket</v>
      </c>
    </row>
    <row r="23">
      <c r="A23" s="10" t="str">
        <f>IFERROR(__xludf.DUMMYFUNCTION("""COMPUTED_VALUE"""),"mongodb/mongo-python-driver")</f>
        <v>mongodb/mongo-python-driver</v>
      </c>
      <c r="B23" s="10" t="str">
        <f>IFERROR(__xludf.DUMMYFUNCTION("""COMPUTED_VALUE"""),"PyMongo - the Python driver for MongoDB")</f>
        <v>PyMongo - the Python driver for MongoDB</v>
      </c>
      <c r="C23" s="11" t="str">
        <f>IFERROR(__xludf.DUMMYFUNCTION("""COMPUTED_VALUE"""),"https://github.com/mongodb/mongo-python-driver")</f>
        <v>https://github.com/mongodb/mongo-python-driver</v>
      </c>
      <c r="D23" s="10">
        <f>IFERROR(__xludf.DUMMYFUNCTION("""COMPUTED_VALUE"""),2605.0)</f>
        <v>2605</v>
      </c>
      <c r="E23" s="10">
        <f>IFERROR(__xludf.DUMMYFUNCTION("""COMPUTED_VALUE"""),257.0)</f>
        <v>257</v>
      </c>
      <c r="F23" s="10">
        <f>IFERROR(__xludf.DUMMYFUNCTION("""COMPUTED_VALUE"""),13354.0)</f>
        <v>13354</v>
      </c>
      <c r="G23" s="10" t="str">
        <f>IFERROR(__xludf.DUMMYFUNCTION("""COMPUTED_VALUE"""),"""[]""")</f>
        <v>"[]"</v>
      </c>
      <c r="H23" s="12">
        <f>IFERROR(__xludf.DUMMYFUNCTION("""COMPUTED_VALUE"""),4181.0)</f>
        <v>4181</v>
      </c>
      <c r="I23" s="12">
        <f>IFERROR(__xludf.DUMMYFUNCTION("""COMPUTED_VALUE"""),132.0)</f>
        <v>132</v>
      </c>
      <c r="J23" s="10" t="str">
        <f>IFERROR(__xludf.DUMMYFUNCTION("""COMPUTED_VALUE"""),"[{""loc"": 2259526, ""ratio"": 0.9085377033782175, ""language"": ""Python""}, {""loc"": 217749, ""ratio"": 0.08755516704516943, ""language"": ""C""}, {""loc"": 9717, ""ratio"": 0.003907129576613033, ""language"": ""Shell""}]")</f>
        <v>[{"loc": 2259526, "ratio": 0.9085377033782175, "language": "Python"}, {"loc": 217749, "ratio": 0.08755516704516943, "language": "C"}, {"loc": 9717, "ratio": 0.003907129576613033, "language": "Shell"}]</v>
      </c>
      <c r="K23" s="13">
        <f>IFERROR(__xludf.DUMMYFUNCTION("""COMPUTED_VALUE"""),39828.0)</f>
        <v>39828</v>
      </c>
      <c r="L23" s="13">
        <f>IFERROR(__xludf.DUMMYFUNCTION("""COMPUTED_VALUE"""),43458.0)</f>
        <v>43458</v>
      </c>
      <c r="M23" s="10">
        <f>IFERROR(__xludf.DUMMYFUNCTION("""COMPUTED_VALUE"""),7.0)</f>
        <v>7</v>
      </c>
      <c r="N23" s="12">
        <f>IFERROR(__xludf.DUMMYFUNCTION("""COMPUTED_VALUE"""),117.0)</f>
        <v>117</v>
      </c>
      <c r="O23" s="12" t="str">
        <f>IFERROR(__xludf.DUMMYFUNCTION("""COMPUTED_VALUE"""),"3.7.2")</f>
        <v>3.7.2</v>
      </c>
      <c r="P23" s="12" t="str">
        <f>IFERROR(__xludf.DUMMYFUNCTION("""COMPUTED_VALUE"""),"7ddd372ed051c57e4094e09430d2e5c22bc5f961")</f>
        <v>7ddd372ed051c57e4094e09430d2e5c22bc5f961</v>
      </c>
      <c r="Q23"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23" s="12" t="str">
        <f>IFERROR(__xludf.DUMMYFUNCTION("""COMPUTED_VALUE"""),"mongo-python-driver")</f>
        <v>mongo-python-driver</v>
      </c>
      <c r="S23" s="12" t="str">
        <f>IFERROR(__xludf.DUMMYFUNCTION("""COMPUTED_VALUE"""),"{""id"": 108051, ""url"": ""https://api.github.com/repos/mongodb/mongo-python-driver"", ""fork"": false, ""name"": ""mongo-python-driver"", ""size"": 13354, ""forks"": 852, ""owner"": {""id"": 45120, ""url"": ""https://api.github.com/users/mongodb"", ""ty"&amp;"pe"": ""Organization"", ""login"": ""mongodb"", ""node_id"": ""MDEyOk9yZ2FuaXphdGlvbjQ1MTIw"", ""html_url"": ""https://github.com/mongodb"", ""gists_url"": ""https://api.github.com/users/mongodb/gists{/gist_id}"", ""repos_url"": ""https://api.github.com/u"&amp;"sers/mongodb/repos"", ""avatar_url"": ""https://avatars1.githubusercontent.com/u/45120?v=4"", ""events_url"": ""https://api.github.com/users/mongodb/events{/privacy}"", ""site_admin"": false, ""gravatar_id"": """", ""starred_url"": ""https://api.github.co"&amp;"m/users/mongodb/starred{/owner}{/repo}"", ""followers_url"": ""https://api.github.com/users/mongodb/followers"", ""following_url"": ""https://api.github.com/users/mongodb/following{/other_user}"", ""organizations_url"": ""https://api.github.com/users/mong"&amp;"odb/orgs"", ""subscriptions_url"": ""https://api.github.com/users/mongodb/subscriptions"", ""received_events_url"": ""https://api.github.com/users/mongodb/received_events""}, ""score"": 1.0, ""topics"": [], ""git_url"": ""git://github.com/mongodb/mongo-py"&amp;"thon-driver.git"", ""license"": {""key"": ""apache-2.0"", ""url"": ""https://api.github.com/licenses/apache-2.0"", ""name"": ""Apache License 2.0"", ""node_id"": ""MDc6TGljZW5zZTI="", ""spdx_id"": ""Apache-2.0""}, ""node_id"": ""MDEwOlJlcG9zaXRvcnkxMDgwNT"&amp;"E="", ""private"": false, ""ssh_url"": ""git@github.com:mongodb/mongo-python-driver.git"", ""svn_url"": ""https://github.com/mongodb/mongo-python-driver"", ""archived"": false, ""has_wiki"": false, ""homepage"": ""http://api.mongodb.org/python"", ""html_u"&amp;"rl"": ""https://github.com/mongodb/mongo-python-driver"", ""keys_url"": ""https://api.github.com/repos/mongodb/mongo-python-driver/keys{/key_id}"", ""language"": ""Python"", ""tags_url"": ""https://api.github.com/repos/mongodb/mongo-python-driver/tags"", "&amp;"""watchers"": 2605, ""blobs_url"": ""https://api.github.com/repos/mongodb/mongo-python-driver/git/blobs{/sha}"", ""clone_url"": ""https://github.com/mongodb/mongo-python-driver.git"", ""forks_url"": ""https://api.github.com/repos/mongodb/mongo-python-driv"&amp;"er/forks"", ""full_name"": ""mongodb/mongo-python-driver"", ""has_pages"": false, ""hooks_url"": ""https://api.github.com/repos/mongodb/mongo-python-driver/hooks"", ""pulls_url"": ""https://api.github.com/repos/mongodb/mongo-python-driver/pulls{/number}"""&amp;", ""pushed_at"": ""2018-12-24T15:28:50Z"", ""teams_url"": ""https://api.github.com/repos/mongodb/mongo-python-driver/teams"", ""trees_url"": ""https://api.github.com/repos/mongodb/mongo-python-driver/git/trees{/sha}"", ""created_at"": ""2009-01-15T15:18:0"&amp;"6Z"", ""events_url"": ""https://api.github.com/repos/mongodb/mongo-python-driver/events"", ""has_issues"": false, ""issues_url"": ""https://api.github.com/repos/mongodb/mongo-python-driver/issues{/number}"", ""labels_url"": ""https://api.github.com/repos/"&amp;"mongodb/mongo-python-driver/labels{/name}"", ""merges_url"": ""https://api.github.com/repos/mongodb/mongo-python-driver/merges"", ""mirror_url"": null, ""updated_at"": ""2018-12-23T05:36:09Z"", ""archive_url"": ""https://api.github.com/repos/mongodb/mongo"&amp;"-python-driver/{archive_format}{/ref}"", ""commits_url"": ""https://api.github.com/repos/mongodb/mongo-python-driver/commits{/sha}"", ""compare_url"": ""https://api.github.com/repos/mongodb/mongo-python-driver/compare/{base}...{head}"", ""description"": "&amp;"""PyMongo - the Python driver for MongoDB"", ""forks_count"": 852, ""open_issues"": 7, ""permissions"": {""pull"": true, ""push"": false, ""admin"": false}, ""branches_url"": ""https://api.github.com/repos/mongodb/mongo-python-driver/branches{/branch}"", "&amp;"""comments_url"": ""https://api.github.com/repos/mongodb/mongo-python-driver/comments{/number}"", ""contents_url"": ""https://api.github.com/repos/mongodb/mongo-python-driver/contents/{+path}"", ""git_refs_url"": ""https://api.github.com/repos/mongodb/mon"&amp;"go-python-driver/git/refs{/sha}"", ""git_tags_url"": ""https://api.github.com/repos/mongodb/mongo-python-driver/git/tags{/sha}"", ""has_projects"": true, ""releases_url"": ""https://api.github.com/repos/mongodb/mongo-python-driver/releases{/id}"", ""statu"&amp;"ses_url"": ""https://api.github.com/repos/mongodb/mongo-python-driver/statuses/{sha}"", ""assignees_url"": ""https://api.github.com/repos/mongodb/mongo-python-driver/assignees{/user}"", ""downloads_url"": ""https://api.github.com/repos/mongodb/mongo-pytho"&amp;"n-driver/downloads"", ""has_downloads"": true, ""languages_url"": ""https://api.github.com/repos/mongodb/mongo-python-driver/languages"", ""default_branch"": ""master"", ""milestones_url"": ""https://api.github.com/repos/mongodb/mongo-python-driver/milest"&amp;"ones{/number}"", ""stargazers_url"": ""https://api.github.com/repos/mongodb/mongo-python-driver/stargazers"", ""watchers_count"": 2605, ""deployments_url"": ""https://api.github.com/repos/mongodb/mongo-python-driver/deployments"", ""git_commits_url"": ""h"&amp;"ttps://api.github.com/repos/mongodb/mongo-python-driver/git/commits{/sha}"", ""subscribers_url"": ""https://api.github.com/repos/mongodb/mongo-python-driver/subscribers"", ""contributors_url"": ""https://api.github.com/repos/mongodb/mongo-python-driver/co"&amp;"ntributors"", ""issue_events_url"": ""https://api.github.com/repos/mongodb/mongo-python-driver/issues/events{/number}"", ""stargazers_count"": 2605, ""subscription_url"": ""https://api.github.com/repos/mongodb/mongo-python-driver/subscription"", ""collabo"&amp;"rators_url"": ""https://api.github.com/repos/mongodb/mongo-python-driver/collaborators{/collaborator}"", ""issue_comment_url"": ""https://api.github.com/repos/mongodb/mongo-python-driver/issues/comments{/number}"", ""notifications_url"": ""https://api.git"&amp;"hub.com/repos/mongodb/mongo-python-driver/notifications{?since,all,participating}"", ""open_issues_count"": 7}")</f>
        <v>{"id": 108051, "url": "https://api.github.com/repos/mongodb/mongo-python-driver", "fork": false, "name": "mongo-python-driver", "size": 13354, "forks": 852, "owner": {"id": 45120, "url": "https://api.github.com/users/mongodb", "type": "Organization", "login": "mongodb", "node_id": "MDEyOk9yZ2FuaXphdGlvbjQ1MTIw", "html_url": "https://github.com/mongodb", "gists_url": "https://api.github.com/users/mongodb/gists{/gist_id}", "repos_url": "https://api.github.com/users/mongodb/repos", "avatar_url": "https://avatars1.githubusercontent.com/u/45120?v=4", "events_url": "https://api.github.com/users/mongodb/events{/privacy}", "site_admin": false, "gravatar_id": "", "starred_url": "https://api.github.com/users/mongodb/starred{/owner}{/repo}", "followers_url": "https://api.github.com/users/mongodb/followers", "following_url": "https://api.github.com/users/mongodb/following{/other_user}", "organizations_url": "https://api.github.com/users/mongodb/orgs", "subscriptions_url": "https://api.github.com/users/mongodb/subscriptions", "received_events_url": "https://api.github.com/users/mongodb/received_events"}, "score": 1.0, "topics": [], "git_url": "git://github.com/mongodb/mongo-python-driver.git", "license": {"key": "apache-2.0", "url": "https://api.github.com/licenses/apache-2.0", "name": "Apache License 2.0", "node_id": "MDc6TGljZW5zZTI=", "spdx_id": "Apache-2.0"}, "node_id": "MDEwOlJlcG9zaXRvcnkxMDgwNTE=", "private": false, "ssh_url": "git@github.com:mongodb/mongo-python-driver.git", "svn_url": "https://github.com/mongodb/mongo-python-driver", "archived": false, "has_wiki": false, "homepage": "http://api.mongodb.org/python", "html_url": "https://github.com/mongodb/mongo-python-driver", "keys_url": "https://api.github.com/repos/mongodb/mongo-python-driver/keys{/key_id}", "language": "Python", "tags_url": "https://api.github.com/repos/mongodb/mongo-python-driver/tags", "watchers": 2605, "blobs_url": "https://api.github.com/repos/mongodb/mongo-python-driver/git/blobs{/sha}", "clone_url": "https://github.com/mongodb/mongo-python-driver.git", "forks_url": "https://api.github.com/repos/mongodb/mongo-python-driver/forks", "full_name": "mongodb/mongo-python-driver", "has_pages": false, "hooks_url": "https://api.github.com/repos/mongodb/mongo-python-driver/hooks", "pulls_url": "https://api.github.com/repos/mongodb/mongo-python-driver/pulls{/number}", "pushed_at": "2018-12-24T15:28:50Z", "teams_url": "https://api.github.com/repos/mongodb/mongo-python-driver/teams", "trees_url": "https://api.github.com/repos/mongodb/mongo-python-driver/git/trees{/sha}", "created_at": "2009-01-15T15:18:06Z", "events_url": "https://api.github.com/repos/mongodb/mongo-python-driver/events", "has_issues": false, "issues_url": "https://api.github.com/repos/mongodb/mongo-python-driver/issues{/number}", "labels_url": "https://api.github.com/repos/mongodb/mongo-python-driver/labels{/name}", "merges_url": "https://api.github.com/repos/mongodb/mongo-python-driver/merges", "mirror_url": null, "updated_at": "2018-12-23T05:36:09Z", "archive_url": "https://api.github.com/repos/mongodb/mongo-python-driver/{archive_format}{/ref}", "commits_url": "https://api.github.com/repos/mongodb/mongo-python-driver/commits{/sha}", "compare_url": "https://api.github.com/repos/mongodb/mongo-python-driver/compare/{base}...{head}", "description": "PyMongo - the Python driver for MongoDB", "forks_count": 852, "open_issues": 7, "permissions": {"pull": true, "push": false, "admin": false}, "branches_url": "https://api.github.com/repos/mongodb/mongo-python-driver/branches{/branch}", "comments_url": "https://api.github.com/repos/mongodb/mongo-python-driver/comments{/number}", "contents_url": "https://api.github.com/repos/mongodb/mongo-python-driver/contents/{+path}", "git_refs_url": "https://api.github.com/repos/mongodb/mongo-python-driver/git/refs{/sha}", "git_tags_url": "https://api.github.com/repos/mongodb/mongo-python-driver/git/tags{/sha}", "has_projects": true, "releases_url": "https://api.github.com/repos/mongodb/mongo-python-driver/releases{/id}", "statuses_url": "https://api.github.com/repos/mongodb/mongo-python-driver/statuses/{sha}", "assignees_url": "https://api.github.com/repos/mongodb/mongo-python-driver/assignees{/user}", "downloads_url": "https://api.github.com/repos/mongodb/mongo-python-driver/downloads", "has_downloads": true, "languages_url": "https://api.github.com/repos/mongodb/mongo-python-driver/languages", "default_branch": "master", "milestones_url": "https://api.github.com/repos/mongodb/mongo-python-driver/milestones{/number}", "stargazers_url": "https://api.github.com/repos/mongodb/mongo-python-driver/stargazers", "watchers_count": 2605, "deployments_url": "https://api.github.com/repos/mongodb/mongo-python-driver/deployments", "git_commits_url": "https://api.github.com/repos/mongodb/mongo-python-driver/git/commits{/sha}", "subscribers_url": "https://api.github.com/repos/mongodb/mongo-python-driver/subscribers", "contributors_url": "https://api.github.com/repos/mongodb/mongo-python-driver/contributors", "issue_events_url": "https://api.github.com/repos/mongodb/mongo-python-driver/issues/events{/number}", "stargazers_count": 2605, "subscription_url": "https://api.github.com/repos/mongodb/mongo-python-driver/subscription", "collaborators_url": "https://api.github.com/repos/mongodb/mongo-python-driver/collaborators{/collaborator}", "issue_comment_url": "https://api.github.com/repos/mongodb/mongo-python-driver/issues/comments{/number}", "notifications_url": "https://api.github.com/repos/mongodb/mongo-python-driver/notifications{?since,all,participating}", "open_issues_count": 7}</v>
      </c>
      <c r="T23" s="12">
        <f>IFERROR(__xludf.DUMMYFUNCTION("""COMPUTED_VALUE"""),0.908537703)</f>
        <v>0.908537703</v>
      </c>
      <c r="U23" s="12">
        <f>IFERROR(__xludf.DUMMYFUNCTION("""COMPUTED_VALUE"""),2259526.0)</f>
        <v>2259526</v>
      </c>
      <c r="V23" s="14">
        <f>IFERROR(__xludf.DUMMYFUNCTION("""COMPUTED_VALUE"""),119.0)</f>
        <v>119</v>
      </c>
      <c r="W23" s="15" t="str">
        <f>IFERROR(__xludf.DUMMYFUNCTION("IFERROR(REGEXEXTRACT(J23,""""""ratio"""": (\d+.\d+), """"language"""": """"Python""""""),"""")"),"0.9085377033782175")</f>
        <v>0.9085377033782175</v>
      </c>
      <c r="X23" s="15" t="str">
        <f t="shared" si="1"/>
        <v/>
      </c>
    </row>
    <row r="24">
      <c r="A24" s="10" t="str">
        <f>IFERROR(__xludf.DUMMYFUNCTION("""COMPUTED_VALUE"""),"mopidy/mopidy")</f>
        <v>mopidy/mopidy</v>
      </c>
      <c r="B24" s="10" t="str">
        <f>IFERROR(__xludf.DUMMYFUNCTION("""COMPUTED_VALUE"""),"Mopidy is an extensible music server that plays music from local disk, Spotify, SoundCloud, Google Play Music, and more. You edit the playlist from any phone, tablet, or computer using a range of MPD and web clients.")</f>
        <v>Mopidy is an extensible music server that plays music from local disk, Spotify, SoundCloud, Google Play Music, and more. You edit the playlist from any phone, tablet, or computer using a range of MPD and web clients.</v>
      </c>
      <c r="C24" s="11" t="str">
        <f>IFERROR(__xludf.DUMMYFUNCTION("""COMPUTED_VALUE"""),"https://github.com/mopidy/mopidy")</f>
        <v>https://github.com/mopidy/mopidy</v>
      </c>
      <c r="D24" s="10">
        <f>IFERROR(__xludf.DUMMYFUNCTION("""COMPUTED_VALUE"""),5564.0)</f>
        <v>5564</v>
      </c>
      <c r="E24" s="10">
        <f>IFERROR(__xludf.DUMMYFUNCTION("""COMPUTED_VALUE"""),237.0)</f>
        <v>237</v>
      </c>
      <c r="F24" s="10">
        <f>IFERROR(__xludf.DUMMYFUNCTION("""COMPUTED_VALUE"""),21808.0)</f>
        <v>21808</v>
      </c>
      <c r="G24" s="10" t="str">
        <f>IFERROR(__xludf.DUMMYFUNCTION("""COMPUTED_VALUE"""),"""[\""mopidy\"", \""music-player\"", \""python\""]""")</f>
        <v>"[\"mopidy\", \"music-player\", \"python\"]"</v>
      </c>
      <c r="H24" s="12">
        <f>IFERROR(__xludf.DUMMYFUNCTION("""COMPUTED_VALUE"""),7715.0)</f>
        <v>7715</v>
      </c>
      <c r="I24" s="12">
        <f>IFERROR(__xludf.DUMMYFUNCTION("""COMPUTED_VALUE"""),104.0)</f>
        <v>104</v>
      </c>
      <c r="J24" s="10" t="str">
        <f>IFERROR(__xludf.DUMMYFUNCTION("""COMPUTED_VALUE"""),"[{""loc"": 1251620, ""ratio"": 0.9979715571488258, ""language"": ""Python""}, {""loc"": 805, ""ratio"": 0.0006418618298723292, ""language"": ""HTML""}, {""loc"": 610, ""ratio"": 0.000486379771704498, ""language"": ""CSS""}, {""loc"": 573, ""ratio"": 0.000"&amp;"456878047847012, ""language"": ""Roff""}, {""loc"": 556, ""ratio"": 0.0004433232017503293, ""language"": ""Shell""}]")</f>
        <v>[{"loc": 1251620, "ratio": 0.9979715571488258, "language": "Python"}, {"loc": 805, "ratio": 0.0006418618298723292, "language": "HTML"}, {"loc": 610, "ratio": 0.000486379771704498, "language": "CSS"}, {"loc": 573, "ratio": 0.000456878047847012, "language": "Roff"}, {"loc": 556, "ratio": 0.0004433232017503293, "language": "Shell"}]</v>
      </c>
      <c r="K24" s="13">
        <f>IFERROR(__xludf.DUMMYFUNCTION("""COMPUTED_VALUE"""),40170.0)</f>
        <v>40170</v>
      </c>
      <c r="L24" s="13">
        <f>IFERROR(__xludf.DUMMYFUNCTION("""COMPUTED_VALUE"""),43457.0)</f>
        <v>43457</v>
      </c>
      <c r="M24" s="10">
        <f>IFERROR(__xludf.DUMMYFUNCTION("""COMPUTED_VALUE"""),208.0)</f>
        <v>208</v>
      </c>
      <c r="N24" s="12">
        <f>IFERROR(__xludf.DUMMYFUNCTION("""COMPUTED_VALUE"""),60.0)</f>
        <v>60</v>
      </c>
      <c r="O24" s="12" t="str">
        <f>IFERROR(__xludf.DUMMYFUNCTION("""COMPUTED_VALUE"""),"v2.2.1")</f>
        <v>v2.2.1</v>
      </c>
      <c r="P24" s="12" t="str">
        <f>IFERROR(__xludf.DUMMYFUNCTION("""COMPUTED_VALUE"""),"9a7adc280fdddb66edf5af8179334664f4049f0d")</f>
        <v>9a7adc280fdddb66edf5af8179334664f4049f0d</v>
      </c>
      <c r="Q24"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24" s="12" t="str">
        <f>IFERROR(__xludf.DUMMYFUNCTION("""COMPUTED_VALUE"""),"mopidy")</f>
        <v>mopidy</v>
      </c>
      <c r="S24" s="12" t="str">
        <f>IFERROR(__xludf.DUMMYFUNCTION("""COMPUTED_VALUE"""),"{""id"": 447036, ""url"": ""https://api.github.com/repos/mopidy/mopidy"", ""fork"": false, ""name"": ""mopidy"", ""size"": 21808, ""forks"": 558, ""owner"": {""id"": 451998, ""url"": ""https://api.github.com/users/mopidy"", ""type"": ""Organization"", ""l"&amp;"ogin"": ""mopidy"", ""node_id"": ""MDEyOk9yZ2FuaXphdGlvbjQ1MTk5OA=="", ""html_url"": ""https://github.com/mopidy"", ""gists_url"": ""https://api.github.com/users/mopidy/gists{/gist_id}"", ""repos_url"": ""https://api.github.com/users/mopidy/repos"", ""ava"&amp;"tar_url"": ""https://avatars2.githubusercontent.com/u/451998?v=4"", ""events_url"": ""https://api.github.com/users/mopidy/events{/privacy}"", ""site_admin"": false, ""gravatar_id"": """", ""starred_url"": ""https://api.github.com/users/mopidy/starred{/own"&amp;"er}{/repo}"", ""followers_url"": ""https://api.github.com/users/mopidy/followers"", ""following_url"": ""https://api.github.com/users/mopidy/following{/other_user}"", ""organizations_url"": ""https://api.github.com/users/mopidy/orgs"", ""subscriptions_url"&amp;""": ""https://api.github.com/users/mopidy/subscriptions"", ""received_events_url"": ""https://api.github.com/users/mopidy/received_events""}, ""score"": 1.0, ""topics"": [""mopidy"", ""music-player"", ""python""], ""git_url"": ""git://github.com/mopidy/mo"&amp;"pidy.git"", ""license"": {""key"": ""apache-2.0"", ""url"": ""https://api.github.com/licenses/apache-2.0"", ""name"": ""Apache License 2.0"", ""node_id"": ""MDc6TGljZW5zZTI="", ""spdx_id"": ""Apache-2.0""}, ""node_id"": ""MDEwOlJlcG9zaXRvcnk0NDcwMzY="", "&amp;"""private"": false, ""ssh_url"": ""git@github.com:mopidy/mopidy.git"", ""svn_url"": ""https://github.com/mopidy/mopidy"", ""archived"": false, ""has_wiki"": false, ""homepage"": ""https://www.mopidy.com"", ""html_url"": ""https://github.com/mopidy/mopidy"&amp;""", ""keys_url"": ""https://api.github.com/repos/mopidy/mopidy/keys{/key_id}"", ""language"": ""Python"", ""tags_url"": ""https://api.github.com/repos/mopidy/mopidy/tags"", ""watchers"": 5564, ""blobs_url"": ""https://api.github.com/repos/mopidy/mopidy/gi"&amp;"t/blobs{/sha}"", ""clone_url"": ""https://github.com/mopidy/mopidy.git"", ""forks_url"": ""https://api.github.com/repos/mopidy/mopidy/forks"", ""full_name"": ""mopidy/mopidy"", ""has_pages"": false, ""hooks_url"": ""https://api.github.com/repos/mopidy/mop"&amp;"idy/hooks"", ""pulls_url"": ""https://api.github.com/repos/mopidy/mopidy/pulls{/number}"", ""pushed_at"": ""2018-12-23T00:20:03Z"", ""teams_url"": ""https://api.github.com/repos/mopidy/mopidy/teams"", ""trees_url"": ""https://api.github.com/repos/mopidy/m"&amp;"opidy/git/trees{/sha}"", ""created_at"": ""2009-12-23T14:25:36Z"", ""events_url"": ""https://api.github.com/repos/mopidy/mopidy/events"", ""has_issues"": true, ""issues_url"": ""https://api.github.com/repos/mopidy/mopidy/issues{/number}"", ""labels_url"":"&amp;" ""https://api.github.com/repos/mopidy/mopidy/labels{/name}"", ""merges_url"": ""https://api.github.com/repos/mopidy/mopidy/merges"", ""mirror_url"": null, ""updated_at"": ""2018-12-24T23:21:20Z"", ""archive_url"": ""https://api.github.com/repos/mopidy/mo"&amp;"pidy/{archive_format}{/ref}"", ""commits_url"": ""https://api.github.com/repos/mopidy/mopidy/commits{/sha}"", ""compare_url"": ""https://api.github.com/repos/mopidy/mopidy/compare/{base}...{head}"", ""description"": ""Mopidy is an extensible music server "&amp;"that plays music from local disk, Spotify, SoundCloud, Google Play Music, and more. You edit the playlist from any phone, tablet, or computer using a range of MPD and web clients."", ""forks_count"": 558, ""open_issues"": 208, ""permissions"": {""pull"": "&amp;"true, ""push"": false, ""admin"": false}, ""branches_url"": ""https://api.github.com/repos/mopidy/mopidy/branches{/branch}"", ""comments_url"": ""https://api.github.com/repos/mopidy/mopidy/comments{/number}"", ""contents_url"": ""https://api.github.com/re"&amp;"pos/mopidy/mopidy/contents/{+path}"", ""git_refs_url"": ""https://api.github.com/repos/mopidy/mopidy/git/refs{/sha}"", ""git_tags_url"": ""https://api.github.com/repos/mopidy/mopidy/git/tags{/sha}"", ""has_projects"": false, ""releases_url"": ""https://ap"&amp;"i.github.com/repos/mopidy/mopidy/releases{/id}"", ""statuses_url"": ""https://api.github.com/repos/mopidy/mopidy/statuses/{sha}"", ""assignees_url"": ""https://api.github.com/repos/mopidy/mopidy/assignees{/user}"", ""downloads_url"": ""https://api.github."&amp;"com/repos/mopidy/mopidy/downloads"", ""has_downloads"": true, ""languages_url"": ""https://api.github.com/repos/mopidy/mopidy/languages"", ""default_branch"": ""develop"", ""milestones_url"": ""https://api.github.com/repos/mopidy/mopidy/milestones{/number"&amp;"}"", ""stargazers_url"": ""https://api.github.com/repos/mopidy/mopidy/stargazers"", ""watchers_count"": 5564, ""deployments_url"": ""https://api.github.com/repos/mopidy/mopidy/deployments"", ""git_commits_url"": ""https://api.github.com/repos/mopidy/mopid"&amp;"y/git/commits{/sha}"", ""subscribers_url"": ""https://api.github.com/repos/mopidy/mopidy/subscribers"", ""contributors_url"": ""https://api.github.com/repos/mopidy/mopidy/contributors"", ""issue_events_url"": ""https://api.github.com/repos/mopidy/mopidy/i"&amp;"ssues/events{/number}"", ""stargazers_count"": 5564, ""subscription_url"": ""https://api.github.com/repos/mopidy/mopidy/subscription"", ""collaborators_url"": ""https://api.github.com/repos/mopidy/mopidy/collaborators{/collaborator}"", ""issue_comment_url"&amp;""": ""https://api.github.com/repos/mopidy/mopidy/issues/comments{/number}"", ""notifications_url"": ""https://api.github.com/repos/mopidy/mopidy/notifications{?since,all,participating}"", ""open_issues_count"": 208}")</f>
        <v>{"id": 447036, "url": "https://api.github.com/repos/mopidy/mopidy", "fork": false, "name": "mopidy", "size": 21808, "forks": 558, "owner": {"id": 451998, "url": "https://api.github.com/users/mopidy", "type": "Organization", "login": "mopidy", "node_id": "MDEyOk9yZ2FuaXphdGlvbjQ1MTk5OA==", "html_url": "https://github.com/mopidy", "gists_url": "https://api.github.com/users/mopidy/gists{/gist_id}", "repos_url": "https://api.github.com/users/mopidy/repos", "avatar_url": "https://avatars2.githubusercontent.com/u/451998?v=4", "events_url": "https://api.github.com/users/mopidy/events{/privacy}", "site_admin": false, "gravatar_id": "", "starred_url": "https://api.github.com/users/mopidy/starred{/owner}{/repo}", "followers_url": "https://api.github.com/users/mopidy/followers", "following_url": "https://api.github.com/users/mopidy/following{/other_user}", "organizations_url": "https://api.github.com/users/mopidy/orgs", "subscriptions_url": "https://api.github.com/users/mopidy/subscriptions", "received_events_url": "https://api.github.com/users/mopidy/received_events"}, "score": 1.0, "topics": ["mopidy", "music-player", "python"], "git_url": "git://github.com/mopidy/mopidy.git", "license": {"key": "apache-2.0", "url": "https://api.github.com/licenses/apache-2.0", "name": "Apache License 2.0", "node_id": "MDc6TGljZW5zZTI=", "spdx_id": "Apache-2.0"}, "node_id": "MDEwOlJlcG9zaXRvcnk0NDcwMzY=", "private": false, "ssh_url": "git@github.com:mopidy/mopidy.git", "svn_url": "https://github.com/mopidy/mopidy", "archived": false, "has_wiki": false, "homepage": "https://www.mopidy.com", "html_url": "https://github.com/mopidy/mopidy", "keys_url": "https://api.github.com/repos/mopidy/mopidy/keys{/key_id}", "language": "Python", "tags_url": "https://api.github.com/repos/mopidy/mopidy/tags", "watchers": 5564, "blobs_url": "https://api.github.com/repos/mopidy/mopidy/git/blobs{/sha}", "clone_url": "https://github.com/mopidy/mopidy.git", "forks_url": "https://api.github.com/repos/mopidy/mopidy/forks", "full_name": "mopidy/mopidy", "has_pages": false, "hooks_url": "https://api.github.com/repos/mopidy/mopidy/hooks", "pulls_url": "https://api.github.com/repos/mopidy/mopidy/pulls{/number}", "pushed_at": "2018-12-23T00:20:03Z", "teams_url": "https://api.github.com/repos/mopidy/mopidy/teams", "trees_url": "https://api.github.com/repos/mopidy/mopidy/git/trees{/sha}", "created_at": "2009-12-23T14:25:36Z", "events_url": "https://api.github.com/repos/mopidy/mopidy/events", "has_issues": true, "issues_url": "https://api.github.com/repos/mopidy/mopidy/issues{/number}", "labels_url": "https://api.github.com/repos/mopidy/mopidy/labels{/name}", "merges_url": "https://api.github.com/repos/mopidy/mopidy/merges", "mirror_url": null, "updated_at": "2018-12-24T23:21:20Z", "archive_url": "https://api.github.com/repos/mopidy/mopidy/{archive_format}{/ref}", "commits_url": "https://api.github.com/repos/mopidy/mopidy/commits{/sha}", "compare_url": "https://api.github.com/repos/mopidy/mopidy/compare/{base}...{head}", "description": "Mopidy is an extensible music server that plays music from local disk, Spotify, SoundCloud, Google Play Music, and more. You edit the playlist from any phone, tablet, or computer using a range of MPD and web clients.", "forks_count": 558, "open_issues": 208, "permissions": {"pull": true, "push": false, "admin": false}, "branches_url": "https://api.github.com/repos/mopidy/mopidy/branches{/branch}", "comments_url": "https://api.github.com/repos/mopidy/mopidy/comments{/number}", "contents_url": "https://api.github.com/repos/mopidy/mopidy/contents/{+path}", "git_refs_url": "https://api.github.com/repos/mopidy/mopidy/git/refs{/sha}", "git_tags_url": "https://api.github.com/repos/mopidy/mopidy/git/tags{/sha}", "has_projects": false, "releases_url": "https://api.github.com/repos/mopidy/mopidy/releases{/id}", "statuses_url": "https://api.github.com/repos/mopidy/mopidy/statuses/{sha}", "assignees_url": "https://api.github.com/repos/mopidy/mopidy/assignees{/user}", "downloads_url": "https://api.github.com/repos/mopidy/mopidy/downloads", "has_downloads": true, "languages_url": "https://api.github.com/repos/mopidy/mopidy/languages", "default_branch": "develop", "milestones_url": "https://api.github.com/repos/mopidy/mopidy/milestones{/number}", "stargazers_url": "https://api.github.com/repos/mopidy/mopidy/stargazers", "watchers_count": 5564, "deployments_url": "https://api.github.com/repos/mopidy/mopidy/deployments", "git_commits_url": "https://api.github.com/repos/mopidy/mopidy/git/commits{/sha}", "subscribers_url": "https://api.github.com/repos/mopidy/mopidy/subscribers", "contributors_url": "https://api.github.com/repos/mopidy/mopidy/contributors", "issue_events_url": "https://api.github.com/repos/mopidy/mopidy/issues/events{/number}", "stargazers_count": 5564, "subscription_url": "https://api.github.com/repos/mopidy/mopidy/subscription", "collaborators_url": "https://api.github.com/repos/mopidy/mopidy/collaborators{/collaborator}", "issue_comment_url": "https://api.github.com/repos/mopidy/mopidy/issues/comments{/number}", "notifications_url": "https://api.github.com/repos/mopidy/mopidy/notifications{?since,all,participating}", "open_issues_count": 208}</v>
      </c>
      <c r="T24" s="12">
        <f>IFERROR(__xludf.DUMMYFUNCTION("""COMPUTED_VALUE"""),0.997971557)</f>
        <v>0.997971557</v>
      </c>
      <c r="U24" s="12">
        <f>IFERROR(__xludf.DUMMYFUNCTION("""COMPUTED_VALUE"""),1251620.0)</f>
        <v>1251620</v>
      </c>
      <c r="V24" s="14">
        <f>IFERROR(__xludf.DUMMYFUNCTION("""COMPUTED_VALUE"""),108.0)</f>
        <v>108</v>
      </c>
      <c r="W24" s="15" t="str">
        <f>IFERROR(__xludf.DUMMYFUNCTION("IFERROR(REGEXEXTRACT(J24,""""""ratio"""": (\d+.\d+), """"language"""": """"Python""""""),"""")"),"0.9979715571488258")</f>
        <v>0.9979715571488258</v>
      </c>
      <c r="X24" s="15" t="str">
        <f t="shared" si="1"/>
        <v>mopidy, music-player, python</v>
      </c>
    </row>
    <row r="25">
      <c r="A25" s="10" t="str">
        <f>IFERROR(__xludf.DUMMYFUNCTION("""COMPUTED_VALUE"""),"networkx/networkx")</f>
        <v>networkx/networkx</v>
      </c>
      <c r="B25" s="10" t="str">
        <f>IFERROR(__xludf.DUMMYFUNCTION("""COMPUTED_VALUE"""),"Official NetworkX source code repository.")</f>
        <v>Official NetworkX source code repository.</v>
      </c>
      <c r="C25" s="11" t="str">
        <f>IFERROR(__xludf.DUMMYFUNCTION("""COMPUTED_VALUE"""),"https://github.com/networkx/networkx")</f>
        <v>https://github.com/networkx/networkx</v>
      </c>
      <c r="D25" s="10">
        <f>IFERROR(__xludf.DUMMYFUNCTION("""COMPUTED_VALUE"""),5014.0)</f>
        <v>5014</v>
      </c>
      <c r="E25" s="10">
        <f>IFERROR(__xludf.DUMMYFUNCTION("""COMPUTED_VALUE"""),259.0)</f>
        <v>259</v>
      </c>
      <c r="F25" s="10">
        <f>IFERROR(__xludf.DUMMYFUNCTION("""COMPUTED_VALUE"""),13168.0)</f>
        <v>13168</v>
      </c>
      <c r="G25" s="10" t="str">
        <f>IFERROR(__xludf.DUMMYFUNCTION("""COMPUTED_VALUE"""),"""[\""complex-networks\"", \""graph-algorithms\"", \""graph-analysis\"", \""graph-generation\"", \""graph-theory\"", \""graph-visualization\"", \""python\""]""")</f>
        <v>"[\"complex-networks\", \"graph-algorithms\", \"graph-analysis\", \"graph-generation\", \"graph-theory\", \"graph-visualization\", \"python\"]"</v>
      </c>
      <c r="H25" s="12">
        <f>IFERROR(__xludf.DUMMYFUNCTION("""COMPUTED_VALUE"""),5642.0)</f>
        <v>5642</v>
      </c>
      <c r="I25" s="12">
        <f>IFERROR(__xludf.DUMMYFUNCTION("""COMPUTED_VALUE"""),271.0)</f>
        <v>271</v>
      </c>
      <c r="J25" s="10" t="str">
        <f>IFERROR(__xludf.DUMMYFUNCTION("""COMPUTED_VALUE"""),"[{""loc"": 4129467, ""ratio"": 0.9974844687564691, ""language"": ""Python""}, {""loc"": 5317, ""ratio"": 0.0012843364338250302, ""language"": ""Shell""}, {""loc"": 3311, ""ratio"": 0.0007997814429931681, ""language"": ""PowerShell""}, {""loc"": 1786, ""ra"&amp;"tio"": 0.0004314133667127147, ""language"": ""Batchfile""}]")</f>
        <v>[{"loc": 4129467, "ratio": 0.9974844687564691, "language": "Python"}, {"loc": 5317, "ratio": 0.0012843364338250302, "language": "Shell"}, {"loc": 3311, "ratio": 0.0007997814429931681, "language": "PowerShell"}, {"loc": 1786, "ratio": 0.0004314133667127147, "language": "Batchfile"}]</v>
      </c>
      <c r="K25" s="13">
        <f>IFERROR(__xludf.DUMMYFUNCTION("""COMPUTED_VALUE"""),40427.0)</f>
        <v>40427</v>
      </c>
      <c r="L25" s="13">
        <f>IFERROR(__xludf.DUMMYFUNCTION("""COMPUTED_VALUE"""),43458.0)</f>
        <v>43458</v>
      </c>
      <c r="M25" s="10">
        <f>IFERROR(__xludf.DUMMYFUNCTION("""COMPUTED_VALUE"""),225.0)</f>
        <v>225</v>
      </c>
      <c r="N25" s="12">
        <f>IFERROR(__xludf.DUMMYFUNCTION("""COMPUTED_VALUE"""),52.0)</f>
        <v>52</v>
      </c>
      <c r="O25" s="12" t="str">
        <f>IFERROR(__xludf.DUMMYFUNCTION("""COMPUTED_VALUE"""),"networkx-2.2")</f>
        <v>networkx-2.2</v>
      </c>
      <c r="P25" s="12" t="str">
        <f>IFERROR(__xludf.DUMMYFUNCTION("""COMPUTED_VALUE"""),"626f18ea85ba047189d7ef1af72347dfede02f9f")</f>
        <v>626f18ea85ba047189d7ef1af72347dfede02f9f</v>
      </c>
      <c r="Q25" s="12" t="str">
        <f>IFERROR(__xludf.DUMMYFUNCTION("""COMPUTED_VALUE"""),"{""key"": ""other"", ""url"": null, ""name"": ""Other"", ""node_id"": ""MDc6TGljZW5zZTA="", ""spdx_id"": ""NOASSERTION""}")</f>
        <v>{"key": "other", "url": null, "name": "Other", "node_id": "MDc6TGljZW5zZTA=", "spdx_id": "NOASSERTION"}</v>
      </c>
      <c r="R25" s="12" t="str">
        <f>IFERROR(__xludf.DUMMYFUNCTION("""COMPUTED_VALUE"""),"networkx")</f>
        <v>networkx</v>
      </c>
      <c r="S25" s="12" t="str">
        <f>IFERROR(__xludf.DUMMYFUNCTION("""COMPUTED_VALUE"""),"{""id"": 890377, ""url"": ""https://api.github.com/repos/networkx/networkx"", ""fork"": false, ""name"": ""networkx"", ""size"": 13168, ""forks"": 1390, ""owner"": {""id"": 388785, ""url"": ""https://api.github.com/users/networkx"", ""type"": ""Organizati"&amp;"on"", ""login"": ""networkx"", ""node_id"": ""MDEyOk9yZ2FuaXphdGlvbjM4ODc4NQ=="", ""html_url"": ""https://github.com/networkx"", ""gists_url"": ""https://api.github.com/users/networkx/gists{/gist_id}"", ""repos_url"": ""https://api.github.com/users/networ"&amp;"kx/repos"", ""avatar_url"": ""https://avatars2.githubusercontent.com/u/388785?v=4"", ""events_url"": ""https://api.github.com/users/networkx/events{/privacy}"", ""site_admin"": false, ""gravatar_id"": """", ""starred_url"": ""https://api.github.com/users/"&amp;"networkx/starred{/owner}{/repo}"", ""followers_url"": ""https://api.github.com/users/networkx/followers"", ""following_url"": ""https://api.github.com/users/networkx/following{/other_user}"", ""organizations_url"": ""https://api.github.com/users/networkx/"&amp;"orgs"", ""subscriptions_url"": ""https://api.github.com/users/networkx/subscriptions"", ""received_events_url"": ""https://api.github.com/users/networkx/received_events""}, ""score"": 1.0, ""topics"": [""complex-networks"", ""graph-algorithms"", ""graph-a"&amp;"nalysis"", ""graph-generation"", ""graph-theory"", ""graph-visualization"", ""python""], ""git_url"": ""git://github.com/networkx/networkx.git"", ""license"": {""key"": ""other"", ""url"": null, ""name"": ""Other"", ""node_id"": ""MDc6TGljZW5zZTA="", ""sp"&amp;"dx_id"": ""NOASSERTION""}, ""node_id"": ""MDEwOlJlcG9zaXRvcnk4OTAzNzc="", ""private"": false, ""ssh_url"": ""git@github.com:networkx/networkx.git"", ""svn_url"": ""https://github.com/networkx/networkx"", ""archived"": false, ""has_wiki"": true, ""homepage"&amp;""": ""http://networkx.github.io"", ""html_url"": ""https://github.com/networkx/networkx"", ""keys_url"": ""https://api.github.com/repos/networkx/networkx/keys{/key_id}"", ""language"": ""Python"", ""tags_url"": ""https://api.github.com/repos/networkx/netw"&amp;"orkx/tags"", ""watchers"": 5014, ""blobs_url"": ""https://api.github.com/repos/networkx/networkx/git/blobs{/sha}"", ""clone_url"": ""https://github.com/networkx/networkx.git"", ""forks_url"": ""https://api.github.com/repos/networkx/networkx/forks"", ""ful"&amp;"l_name"": ""networkx/networkx"", ""has_pages"": false, ""hooks_url"": ""https://api.github.com/repos/networkx/networkx/hooks"", ""pulls_url"": ""https://api.github.com/repos/networkx/networkx/pulls{/number}"", ""pushed_at"": ""2018-12-24T23:26:55Z"", ""te"&amp;"ams_url"": ""https://api.github.com/repos/networkx/networkx/teams"", ""trees_url"": ""https://api.github.com/repos/networkx/networkx/git/trees{/sha}"", ""created_at"": ""2010-09-06T00:53:44Z"", ""events_url"": ""https://api.github.com/repos/networkx/netwo"&amp;"rkx/events"", ""has_issues"": true, ""issues_url"": ""https://api.github.com/repos/networkx/networkx/issues{/number}"", ""labels_url"": ""https://api.github.com/repos/networkx/networkx/labels{/name}"", ""merges_url"": ""https://api.github.com/repos/networ"&amp;"kx/networkx/merges"", ""mirror_url"": null, ""updated_at"": ""2018-12-24T17:22:59Z"", ""archive_url"": ""https://api.github.com/repos/networkx/networkx/{archive_format}{/ref}"", ""commits_url"": ""https://api.github.com/repos/networkx/networkx/commits{/sh"&amp;"a}"", ""compare_url"": ""https://api.github.com/repos/networkx/networkx/compare/{base}...{head}"", ""description"": ""Official NetworkX source code repository.  "", ""forks_count"": 1390, ""open_issues"": 225, ""permissions"": {""pull"": true, ""push"": f"&amp;"alse, ""admin"": false}, ""branches_url"": ""https://api.github.com/repos/networkx/networkx/branches{/branch}"", ""comments_url"": ""https://api.github.com/repos/networkx/networkx/comments{/number}"", ""contents_url"": ""https://api.github.com/repos/netwo"&amp;"rkx/networkx/contents/{+path}"", ""git_refs_url"": ""https://api.github.com/repos/networkx/networkx/git/refs{/sha}"", ""git_tags_url"": ""https://api.github.com/repos/networkx/networkx/git/tags{/sha}"", ""has_projects"": false, ""releases_url"": ""https:/"&amp;"/api.github.com/repos/networkx/networkx/releases{/id}"", ""statuses_url"": ""https://api.github.com/repos/networkx/networkx/statuses/{sha}"", ""assignees_url"": ""https://api.github.com/repos/networkx/networkx/assignees{/user}"", ""downloads_url"": ""http"&amp;"s://api.github.com/repos/networkx/networkx/downloads"", ""has_downloads"": true, ""languages_url"": ""https://api.github.com/repos/networkx/networkx/languages"", ""default_branch"": ""master"", ""milestones_url"": ""https://api.github.com/repos/networkx/n"&amp;"etworkx/milestones{/number}"", ""stargazers_url"": ""https://api.github.com/repos/networkx/networkx/stargazers"", ""watchers_count"": 5014, ""deployments_url"": ""https://api.github.com/repos/networkx/networkx/deployments"", ""git_commits_url"": ""https:/"&amp;"/api.github.com/repos/networkx/networkx/git/commits{/sha}"", ""subscribers_url"": ""https://api.github.com/repos/networkx/networkx/subscribers"", ""contributors_url"": ""https://api.github.com/repos/networkx/networkx/contributors"", ""issue_events_url"": "&amp;"""https://api.github.com/repos/networkx/networkx/issues/events{/number}"", ""stargazers_count"": 5014, ""subscription_url"": ""https://api.github.com/repos/networkx/networkx/subscription"", ""collaborators_url"": ""https://api.github.com/repos/networkx/ne"&amp;"tworkx/collaborators{/collaborator}"", ""issue_comment_url"": ""https://api.github.com/repos/networkx/networkx/issues/comments{/number}"", ""notifications_url"": ""https://api.github.com/repos/networkx/networkx/notifications{?since,all,participating}"", "&amp;"""open_issues_count"": 225}")</f>
        <v>{"id": 890377, "url": "https://api.github.com/repos/networkx/networkx", "fork": false, "name": "networkx", "size": 13168, "forks": 1390, "owner": {"id": 388785, "url": "https://api.github.com/users/networkx", "type": "Organization", "login": "networkx", "node_id": "MDEyOk9yZ2FuaXphdGlvbjM4ODc4NQ==", "html_url": "https://github.com/networkx", "gists_url": "https://api.github.com/users/networkx/gists{/gist_id}", "repos_url": "https://api.github.com/users/networkx/repos", "avatar_url": "https://avatars2.githubusercontent.com/u/388785?v=4", "events_url": "https://api.github.com/users/networkx/events{/privacy}", "site_admin": false, "gravatar_id": "", "starred_url": "https://api.github.com/users/networkx/starred{/owner}{/repo}", "followers_url": "https://api.github.com/users/networkx/followers", "following_url": "https://api.github.com/users/networkx/following{/other_user}", "organizations_url": "https://api.github.com/users/networkx/orgs", "subscriptions_url": "https://api.github.com/users/networkx/subscriptions", "received_events_url": "https://api.github.com/users/networkx/received_events"}, "score": 1.0, "topics": ["complex-networks", "graph-algorithms", "graph-analysis", "graph-generation", "graph-theory", "graph-visualization", "python"], "git_url": "git://github.com/networkx/networkx.git", "license": {"key": "other", "url": null, "name": "Other", "node_id": "MDc6TGljZW5zZTA=", "spdx_id": "NOASSERTION"}, "node_id": "MDEwOlJlcG9zaXRvcnk4OTAzNzc=", "private": false, "ssh_url": "git@github.com:networkx/networkx.git", "svn_url": "https://github.com/networkx/networkx", "archived": false, "has_wiki": true, "homepage": "http://networkx.github.io", "html_url": "https://github.com/networkx/networkx", "keys_url": "https://api.github.com/repos/networkx/networkx/keys{/key_id}", "language": "Python", "tags_url": "https://api.github.com/repos/networkx/networkx/tags", "watchers": 5014, "blobs_url": "https://api.github.com/repos/networkx/networkx/git/blobs{/sha}", "clone_url": "https://github.com/networkx/networkx.git", "forks_url": "https://api.github.com/repos/networkx/networkx/forks", "full_name": "networkx/networkx", "has_pages": false, "hooks_url": "https://api.github.com/repos/networkx/networkx/hooks", "pulls_url": "https://api.github.com/repos/networkx/networkx/pulls{/number}", "pushed_at": "2018-12-24T23:26:55Z", "teams_url": "https://api.github.com/repos/networkx/networkx/teams", "trees_url": "https://api.github.com/repos/networkx/networkx/git/trees{/sha}", "created_at": "2010-09-06T00:53:44Z", "events_url": "https://api.github.com/repos/networkx/networkx/events", "has_issues": true, "issues_url": "https://api.github.com/repos/networkx/networkx/issues{/number}", "labels_url": "https://api.github.com/repos/networkx/networkx/labels{/name}", "merges_url": "https://api.github.com/repos/networkx/networkx/merges", "mirror_url": null, "updated_at": "2018-12-24T17:22:59Z", "archive_url": "https://api.github.com/repos/networkx/networkx/{archive_format}{/ref}", "commits_url": "https://api.github.com/repos/networkx/networkx/commits{/sha}", "compare_url": "https://api.github.com/repos/networkx/networkx/compare/{base}...{head}", "description": "Official NetworkX source code repository.  ", "forks_count": 1390, "open_issues": 225, "permissions": {"pull": true, "push": false, "admin": false}, "branches_url": "https://api.github.com/repos/networkx/networkx/branches{/branch}", "comments_url": "https://api.github.com/repos/networkx/networkx/comments{/number}", "contents_url": "https://api.github.com/repos/networkx/networkx/contents/{+path}", "git_refs_url": "https://api.github.com/repos/networkx/networkx/git/refs{/sha}", "git_tags_url": "https://api.github.com/repos/networkx/networkx/git/tags{/sha}", "has_projects": false, "releases_url": "https://api.github.com/repos/networkx/networkx/releases{/id}", "statuses_url": "https://api.github.com/repos/networkx/networkx/statuses/{sha}", "assignees_url": "https://api.github.com/repos/networkx/networkx/assignees{/user}", "downloads_url": "https://api.github.com/repos/networkx/networkx/downloads", "has_downloads": true, "languages_url": "https://api.github.com/repos/networkx/networkx/languages", "default_branch": "master", "milestones_url": "https://api.github.com/repos/networkx/networkx/milestones{/number}", "stargazers_url": "https://api.github.com/repos/networkx/networkx/stargazers", "watchers_count": 5014, "deployments_url": "https://api.github.com/repos/networkx/networkx/deployments", "git_commits_url": "https://api.github.com/repos/networkx/networkx/git/commits{/sha}", "subscribers_url": "https://api.github.com/repos/networkx/networkx/subscribers", "contributors_url": "https://api.github.com/repos/networkx/networkx/contributors", "issue_events_url": "https://api.github.com/repos/networkx/networkx/issues/events{/number}", "stargazers_count": 5014, "subscription_url": "https://api.github.com/repos/networkx/networkx/subscription", "collaborators_url": "https://api.github.com/repos/networkx/networkx/collaborators{/collaborator}", "issue_comment_url": "https://api.github.com/repos/networkx/networkx/issues/comments{/number}", "notifications_url": "https://api.github.com/repos/networkx/networkx/notifications{?since,all,participating}", "open_issues_count": 225}</v>
      </c>
      <c r="T25" s="12">
        <f>IFERROR(__xludf.DUMMYFUNCTION("""COMPUTED_VALUE"""),0.997484469)</f>
        <v>0.997484469</v>
      </c>
      <c r="U25" s="12">
        <f>IFERROR(__xludf.DUMMYFUNCTION("""COMPUTED_VALUE"""),4129467.0)</f>
        <v>4129467</v>
      </c>
      <c r="V25" s="14">
        <f>IFERROR(__xludf.DUMMYFUNCTION("""COMPUTED_VALUE"""),99.0)</f>
        <v>99</v>
      </c>
      <c r="W25" s="15" t="str">
        <f>IFERROR(__xludf.DUMMYFUNCTION("IFERROR(REGEXEXTRACT(J25,""""""ratio"""": (\d+.\d+), """"language"""": """"Python""""""),"""")"),"0.9974844687564691")</f>
        <v>0.9974844687564691</v>
      </c>
      <c r="X25" s="15" t="str">
        <f t="shared" si="1"/>
        <v>complex-networks, graph-algorithms, graph-analysis, graph-generation, graph-theory, graph-visualization, python</v>
      </c>
    </row>
    <row r="26">
      <c r="A26" s="10" t="str">
        <f>IFERROR(__xludf.DUMMYFUNCTION("""COMPUTED_VALUE"""),"paramiko/paramiko")</f>
        <v>paramiko/paramiko</v>
      </c>
      <c r="B26" s="10" t="str">
        <f>IFERROR(__xludf.DUMMYFUNCTION("""COMPUTED_VALUE"""),"The leading native Python SSHv2 protocol library.")</f>
        <v>The leading native Python SSHv2 protocol library.</v>
      </c>
      <c r="C26" s="11" t="str">
        <f>IFERROR(__xludf.DUMMYFUNCTION("""COMPUTED_VALUE"""),"https://github.com/paramiko/paramiko")</f>
        <v>https://github.com/paramiko/paramiko</v>
      </c>
      <c r="D26" s="10">
        <f>IFERROR(__xludf.DUMMYFUNCTION("""COMPUTED_VALUE"""),4913.0)</f>
        <v>4913</v>
      </c>
      <c r="E26" s="10">
        <f>IFERROR(__xludf.DUMMYFUNCTION("""COMPUTED_VALUE"""),327.0)</f>
        <v>327</v>
      </c>
      <c r="F26" s="10">
        <f>IFERROR(__xludf.DUMMYFUNCTION("""COMPUTED_VALUE"""),7246.0)</f>
        <v>7246</v>
      </c>
      <c r="G26" s="10" t="str">
        <f>IFERROR(__xludf.DUMMYFUNCTION("""COMPUTED_VALUE"""),"""[]""")</f>
        <v>"[]"</v>
      </c>
      <c r="H26" s="12">
        <f>IFERROR(__xludf.DUMMYFUNCTION("""COMPUTED_VALUE"""),3230.0)</f>
        <v>3230</v>
      </c>
      <c r="I26" s="12">
        <f>IFERROR(__xludf.DUMMYFUNCTION("""COMPUTED_VALUE"""),106.0)</f>
        <v>106</v>
      </c>
      <c r="J26" s="10" t="str">
        <f>IFERROR(__xludf.DUMMYFUNCTION("""COMPUTED_VALUE"""),"[{""loc"": 905481, ""ratio"": 1.0, ""language"": ""Python""}]")</f>
        <v>[{"loc": 905481, "ratio": 1.0, "language": "Python"}]</v>
      </c>
      <c r="K26" s="13">
        <f>IFERROR(__xludf.DUMMYFUNCTION("""COMPUTED_VALUE"""),39846.0)</f>
        <v>39846</v>
      </c>
      <c r="L26" s="13">
        <f>IFERROR(__xludf.DUMMYFUNCTION("""COMPUTED_VALUE"""),43457.0)</f>
        <v>43457</v>
      </c>
      <c r="M26" s="10">
        <f>IFERROR(__xludf.DUMMYFUNCTION("""COMPUTED_VALUE"""),532.0)</f>
        <v>532</v>
      </c>
      <c r="N26" s="12">
        <f>IFERROR(__xludf.DUMMYFUNCTION("""COMPUTED_VALUE"""),155.0)</f>
        <v>155</v>
      </c>
      <c r="O26" s="12" t="str">
        <f>IFERROR(__xludf.DUMMYFUNCTION("""COMPUTED_VALUE"""),"v1.18.1")</f>
        <v>v1.18.1</v>
      </c>
      <c r="P26" s="12" t="str">
        <f>IFERROR(__xludf.DUMMYFUNCTION("""COMPUTED_VALUE"""),"4300732c8c392cb246fc7b2839e3700732846fff")</f>
        <v>4300732c8c392cb246fc7b2839e3700732846fff</v>
      </c>
      <c r="Q26" s="12" t="str">
        <f>IFERROR(__xludf.DUMMYFUNCTION("""COMPUTED_VALUE"""),"{""key"": ""lgpl-2.1"", ""url"": ""https://api.github.com/licenses/lgpl-2.1"", ""name"": ""GNU Lesser General Public License v2.1"", ""node_id"": ""MDc6TGljZW5zZTEx"", ""spdx_id"": ""LGPL-2.1""}")</f>
        <v>{"key": "lgpl-2.1", "url": "https://api.github.com/licenses/lgpl-2.1", "name": "GNU Lesser General Public License v2.1", "node_id": "MDc6TGljZW5zZTEx", "spdx_id": "LGPL-2.1"}</v>
      </c>
      <c r="R26" s="12" t="str">
        <f>IFERROR(__xludf.DUMMYFUNCTION("""COMPUTED_VALUE"""),"paramiko")</f>
        <v>paramiko</v>
      </c>
      <c r="S26" s="12" t="str">
        <f>IFERROR(__xludf.DUMMYFUNCTION("""COMPUTED_VALUE"""),"{""id"": 119609, ""url"": ""https://api.github.com/repos/paramiko/paramiko"", ""fork"": false, ""name"": ""paramiko"", ""size"": 7246, ""forks"": 1269, ""owner"": {""id"": 1108455, ""url"": ""https://api.github.com/users/paramiko"", ""type"": ""Organizati"&amp;"on"", ""login"": ""paramiko"", ""node_id"": ""MDEyOk9yZ2FuaXphdGlvbjExMDg0NTU="", ""html_url"": ""https://github.com/paramiko"", ""gists_url"": ""https://api.github.com/users/paramiko/gists{/gist_id}"", ""repos_url"": ""https://api.github.com/users/parami"&amp;"ko/repos"", ""avatar_url"": ""https://avatars0.githubusercontent.com/u/1108455?v=4"", ""events_url"": ""https://api.github.com/users/paramiko/events{/privacy}"", ""site_admin"": false, ""gravatar_id"": """", ""starred_url"": ""https://api.github.com/users"&amp;"/paramiko/starred{/owner}{/repo}"", ""followers_url"": ""https://api.github.com/users/paramiko/followers"", ""following_url"": ""https://api.github.com/users/paramiko/following{/other_user}"", ""organizations_url"": ""https://api.github.com/users/paramiko"&amp;"/orgs"", ""subscriptions_url"": ""https://api.github.com/users/paramiko/subscriptions"", ""received_events_url"": ""https://api.github.com/users/paramiko/received_events""}, ""score"": 1.0, ""topics"": [], ""git_url"": ""git://github.com/paramiko/paramiko"&amp;".git"", ""license"": {""key"": ""lgpl-2.1"", ""url"": ""https://api.github.com/licenses/lgpl-2.1"", ""name"": ""GNU Lesser General Public License v2.1"", ""node_id"": ""MDc6TGljZW5zZTEx"", ""spdx_id"": ""LGPL-2.1""}, ""node_id"": ""MDEwOlJlcG9zaXRvcnkxMTk"&amp;"2MDk="", ""private"": false, ""ssh_url"": ""git@github.com:paramiko/paramiko.git"", ""svn_url"": ""https://github.com/paramiko/paramiko"", ""archived"": false, ""has_wiki"": true, ""homepage"": ""http://paramiko.org"", ""html_url"": ""https://github.com/p"&amp;"aramiko/paramiko"", ""keys_url"": ""https://api.github.com/repos/paramiko/paramiko/keys{/key_id}"", ""language"": ""Python"", ""tags_url"": ""https://api.github.com/repos/paramiko/paramiko/tags"", ""watchers"": 4913, ""blobs_url"": ""https://api.github.co"&amp;"m/repos/paramiko/paramiko/git/blobs{/sha}"", ""clone_url"": ""https://github.com/paramiko/paramiko.git"", ""forks_url"": ""https://api.github.com/repos/paramiko/paramiko/forks"", ""full_name"": ""paramiko/paramiko"", ""has_pages"": false, ""hooks_url"": "&amp;"""https://api.github.com/repos/paramiko/paramiko/hooks"", ""pulls_url"": ""https://api.github.com/repos/paramiko/paramiko/pulls{/number}"", ""pushed_at"": ""2018-12-23T13:10:11Z"", ""teams_url"": ""https://api.github.com/repos/paramiko/paramiko/teams"", "&amp;"""trees_url"": ""https://api.github.com/repos/paramiko/paramiko/git/trees{/sha}"", ""created_at"": ""2009-02-02T03:41:08Z"", ""events_url"": ""https://api.github.com/repos/paramiko/paramiko/events"", ""has_issues"": true, ""issues_url"": ""https://api.git"&amp;"hub.com/repos/paramiko/paramiko/issues{/number}"", ""labels_url"": ""https://api.github.com/repos/paramiko/paramiko/labels{/name}"", ""merges_url"": ""https://api.github.com/repos/paramiko/paramiko/merges"", ""mirror_url"": null, ""updated_at"": ""2018-12"&amp;"-24T23:17:21Z"", ""archive_url"": ""https://api.github.com/repos/paramiko/paramiko/{archive_format}{/ref}"", ""commits_url"": ""https://api.github.com/repos/paramiko/paramiko/commits{/sha}"", ""compare_url"": ""https://api.github.com/repos/paramiko/parami"&amp;"ko/compare/{base}...{head}"", ""description"": ""The leading native Python SSHv2 protocol library."", ""forks_count"": 1269, ""open_issues"": 532, ""permissions"": {""pull"": true, ""push"": false, ""admin"": false}, ""branches_url"": ""https://api.github"&amp;".com/repos/paramiko/paramiko/branches{/branch}"", ""comments_url"": ""https://api.github.com/repos/paramiko/paramiko/comments{/number}"", ""contents_url"": ""https://api.github.com/repos/paramiko/paramiko/contents/{+path}"", ""git_refs_url"": ""https://ap"&amp;"i.github.com/repos/paramiko/paramiko/git/refs{/sha}"", ""git_tags_url"": ""https://api.github.com/repos/paramiko/paramiko/git/tags{/sha}"", ""has_projects"": false, ""releases_url"": ""https://api.github.com/repos/paramiko/paramiko/releases{/id}"", ""stat"&amp;"uses_url"": ""https://api.github.com/repos/paramiko/paramiko/statuses/{sha}"", ""assignees_url"": ""https://api.github.com/repos/paramiko/paramiko/assignees{/user}"", ""downloads_url"": ""https://api.github.com/repos/paramiko/paramiko/downloads"", ""has_d"&amp;"ownloads"": true, ""languages_url"": ""https://api.github.com/repos/paramiko/paramiko/languages"", ""default_branch"": ""master"", ""milestones_url"": ""https://api.github.com/repos/paramiko/paramiko/milestones{/number}"", ""stargazers_url"": ""https://ap"&amp;"i.github.com/repos/paramiko/paramiko/stargazers"", ""watchers_count"": 4913, ""deployments_url"": ""https://api.github.com/repos/paramiko/paramiko/deployments"", ""git_commits_url"": ""https://api.github.com/repos/paramiko/paramiko/git/commits{/sha}"", """&amp;"subscribers_url"": ""https://api.github.com/repos/paramiko/paramiko/subscribers"", ""contributors_url"": ""https://api.github.com/repos/paramiko/paramiko/contributors"", ""issue_events_url"": ""https://api.github.com/repos/paramiko/paramiko/issues/events{"&amp;"/number}"", ""stargazers_count"": 4913, ""subscription_url"": ""https://api.github.com/repos/paramiko/paramiko/subscription"", ""collaborators_url"": ""https://api.github.com/repos/paramiko/paramiko/collaborators{/collaborator}"", ""issue_comment_url"": "&amp;"""https://api.github.com/repos/paramiko/paramiko/issues/comments{/number}"", ""notifications_url"": ""https://api.github.com/repos/paramiko/paramiko/notifications{?since,all,participating}"", ""open_issues_count"": 532}")</f>
        <v>{"id": 119609, "url": "https://api.github.com/repos/paramiko/paramiko", "fork": false, "name": "paramiko", "size": 7246, "forks": 1269, "owner": {"id": 1108455, "url": "https://api.github.com/users/paramiko", "type": "Organization", "login": "paramiko", "node_id": "MDEyOk9yZ2FuaXphdGlvbjExMDg0NTU=", "html_url": "https://github.com/paramiko", "gists_url": "https://api.github.com/users/paramiko/gists{/gist_id}", "repos_url": "https://api.github.com/users/paramiko/repos", "avatar_url": "https://avatars0.githubusercontent.com/u/1108455?v=4", "events_url": "https://api.github.com/users/paramiko/events{/privacy}", "site_admin": false, "gravatar_id": "", "starred_url": "https://api.github.com/users/paramiko/starred{/owner}{/repo}", "followers_url": "https://api.github.com/users/paramiko/followers", "following_url": "https://api.github.com/users/paramiko/following{/other_user}", "organizations_url": "https://api.github.com/users/paramiko/orgs", "subscriptions_url": "https://api.github.com/users/paramiko/subscriptions", "received_events_url": "https://api.github.com/users/paramiko/received_events"}, "score": 1.0, "topics": [], "git_url": "git://github.com/paramiko/paramiko.git", "license": {"key": "lgpl-2.1", "url": "https://api.github.com/licenses/lgpl-2.1", "name": "GNU Lesser General Public License v2.1", "node_id": "MDc6TGljZW5zZTEx", "spdx_id": "LGPL-2.1"}, "node_id": "MDEwOlJlcG9zaXRvcnkxMTk2MDk=", "private": false, "ssh_url": "git@github.com:paramiko/paramiko.git", "svn_url": "https://github.com/paramiko/paramiko", "archived": false, "has_wiki": true, "homepage": "http://paramiko.org", "html_url": "https://github.com/paramiko/paramiko", "keys_url": "https://api.github.com/repos/paramiko/paramiko/keys{/key_id}", "language": "Python", "tags_url": "https://api.github.com/repos/paramiko/paramiko/tags", "watchers": 4913, "blobs_url": "https://api.github.com/repos/paramiko/paramiko/git/blobs{/sha}", "clone_url": "https://github.com/paramiko/paramiko.git", "forks_url": "https://api.github.com/repos/paramiko/paramiko/forks", "full_name": "paramiko/paramiko", "has_pages": false, "hooks_url": "https://api.github.com/repos/paramiko/paramiko/hooks", "pulls_url": "https://api.github.com/repos/paramiko/paramiko/pulls{/number}", "pushed_at": "2018-12-23T13:10:11Z", "teams_url": "https://api.github.com/repos/paramiko/paramiko/teams", "trees_url": "https://api.github.com/repos/paramiko/paramiko/git/trees{/sha}", "created_at": "2009-02-02T03:41:08Z", "events_url": "https://api.github.com/repos/paramiko/paramiko/events", "has_issues": true, "issues_url": "https://api.github.com/repos/paramiko/paramiko/issues{/number}", "labels_url": "https://api.github.com/repos/paramiko/paramiko/labels{/name}", "merges_url": "https://api.github.com/repos/paramiko/paramiko/merges", "mirror_url": null, "updated_at": "2018-12-24T23:17:21Z", "archive_url": "https://api.github.com/repos/paramiko/paramiko/{archive_format}{/ref}", "commits_url": "https://api.github.com/repos/paramiko/paramiko/commits{/sha}", "compare_url": "https://api.github.com/repos/paramiko/paramiko/compare/{base}...{head}", "description": "The leading native Python SSHv2 protocol library.", "forks_count": 1269, "open_issues": 532, "permissions": {"pull": true, "push": false, "admin": false}, "branches_url": "https://api.github.com/repos/paramiko/paramiko/branches{/branch}", "comments_url": "https://api.github.com/repos/paramiko/paramiko/comments{/number}", "contents_url": "https://api.github.com/repos/paramiko/paramiko/contents/{+path}", "git_refs_url": "https://api.github.com/repos/paramiko/paramiko/git/refs{/sha}", "git_tags_url": "https://api.github.com/repos/paramiko/paramiko/git/tags{/sha}", "has_projects": false, "releases_url": "https://api.github.com/repos/paramiko/paramiko/releases{/id}", "statuses_url": "https://api.github.com/repos/paramiko/paramiko/statuses/{sha}", "assignees_url": "https://api.github.com/repos/paramiko/paramiko/assignees{/user}", "downloads_url": "https://api.github.com/repos/paramiko/paramiko/downloads", "has_downloads": true, "languages_url": "https://api.github.com/repos/paramiko/paramiko/languages", "default_branch": "master", "milestones_url": "https://api.github.com/repos/paramiko/paramiko/milestones{/number}", "stargazers_url": "https://api.github.com/repos/paramiko/paramiko/stargazers", "watchers_count": 4913, "deployments_url": "https://api.github.com/repos/paramiko/paramiko/deployments", "git_commits_url": "https://api.github.com/repos/paramiko/paramiko/git/commits{/sha}", "subscribers_url": "https://api.github.com/repos/paramiko/paramiko/subscribers", "contributors_url": "https://api.github.com/repos/paramiko/paramiko/contributors", "issue_events_url": "https://api.github.com/repos/paramiko/paramiko/issues/events{/number}", "stargazers_count": 4913, "subscription_url": "https://api.github.com/repos/paramiko/paramiko/subscription", "collaborators_url": "https://api.github.com/repos/paramiko/paramiko/collaborators{/collaborator}", "issue_comment_url": "https://api.github.com/repos/paramiko/paramiko/issues/comments{/number}", "notifications_url": "https://api.github.com/repos/paramiko/paramiko/notifications{?since,all,participating}", "open_issues_count": 532}</v>
      </c>
      <c r="T26" s="12">
        <f>IFERROR(__xludf.DUMMYFUNCTION("""COMPUTED_VALUE"""),1.0)</f>
        <v>1</v>
      </c>
      <c r="U26" s="12">
        <f>IFERROR(__xludf.DUMMYFUNCTION("""COMPUTED_VALUE"""),905481.0)</f>
        <v>905481</v>
      </c>
      <c r="V26" s="14">
        <f>IFERROR(__xludf.DUMMYFUNCTION("""COMPUTED_VALUE"""),118.0)</f>
        <v>118</v>
      </c>
      <c r="W26" s="15" t="str">
        <f>IFERROR(__xludf.DUMMYFUNCTION("IFERROR(REGEXEXTRACT(J26,""""""ratio"""": (\d+.\d+), """"language"""": """"Python""""""),"""")"),"1.0")</f>
        <v>1.0</v>
      </c>
      <c r="X26" s="15" t="str">
        <f t="shared" si="1"/>
        <v/>
      </c>
    </row>
    <row r="27">
      <c r="A27" s="10" t="str">
        <f>IFERROR(__xludf.DUMMYFUNCTION("""COMPUTED_VALUE"""),"openstack/nova")</f>
        <v>openstack/nova</v>
      </c>
      <c r="B27" s="10" t="str">
        <f>IFERROR(__xludf.DUMMYFUNCTION("""COMPUTED_VALUE"""),"OpenStack Compute (Nova)")</f>
        <v>OpenStack Compute (Nova)</v>
      </c>
      <c r="C27" s="11" t="str">
        <f>IFERROR(__xludf.DUMMYFUNCTION("""COMPUTED_VALUE"""),"https://github.com/openstack/nova")</f>
        <v>https://github.com/openstack/nova</v>
      </c>
      <c r="D27" s="10">
        <f>IFERROR(__xludf.DUMMYFUNCTION("""COMPUTED_VALUE"""),2379.0)</f>
        <v>2379</v>
      </c>
      <c r="E27" s="10">
        <f>IFERROR(__xludf.DUMMYFUNCTION("""COMPUTED_VALUE"""),467.0)</f>
        <v>467</v>
      </c>
      <c r="F27" s="10">
        <f>IFERROR(__xludf.DUMMYFUNCTION("""COMPUTED_VALUE"""),930490.0)</f>
        <v>930490</v>
      </c>
      <c r="G27" s="10" t="str">
        <f>IFERROR(__xludf.DUMMYFUNCTION("""COMPUTED_VALUE"""),"""[\""api-server\"", \""compute-starter-kit\""]""")</f>
        <v>"[\"api-server\", \"compute-starter-kit\"]"</v>
      </c>
      <c r="H27" s="12">
        <f>IFERROR(__xludf.DUMMYFUNCTION("""COMPUTED_VALUE"""),53102.0)</f>
        <v>53102</v>
      </c>
      <c r="I27" s="12">
        <f>IFERROR(__xludf.DUMMYFUNCTION("""COMPUTED_VALUE"""),322.0)</f>
        <v>322</v>
      </c>
      <c r="J27" s="10" t="str">
        <f>IFERROR(__xludf.DUMMYFUNCTION("""COMPUTED_VALUE"""),"[{""loc"": 22771610, ""ratio"": 0.9798596494398693, ""language"": ""Python""}, {""loc"": 431761, ""ratio"": 0.018578624089460843, ""language"": ""Smarty""}, {""loc"": 32969, ""ratio"": 0.0014186521191247809, ""language"": ""Shell""}, {""loc"": 3325, ""rat"&amp;"io"": 0.00014307435154508466, ""language"": ""PHP""}]")</f>
        <v>[{"loc": 22771610, "ratio": 0.9798596494398693, "language": "Python"}, {"loc": 431761, "ratio": 0.018578624089460843, "language": "Smarty"}, {"loc": 32969, "ratio": 0.0014186521191247809, "language": "Shell"}, {"loc": 3325, "ratio": 0.00014307435154508466, "language": "PHP"}]</v>
      </c>
      <c r="K27" s="13">
        <f>IFERROR(__xludf.DUMMYFUNCTION("""COMPUTED_VALUE"""),40381.0)</f>
        <v>40381</v>
      </c>
      <c r="L27" s="13">
        <f>IFERROR(__xludf.DUMMYFUNCTION("""COMPUTED_VALUE"""),43459.0)</f>
        <v>43459</v>
      </c>
      <c r="M27" s="10">
        <f>IFERROR(__xludf.DUMMYFUNCTION("""COMPUTED_VALUE"""),0.0)</f>
        <v>0</v>
      </c>
      <c r="N27" s="12">
        <f>IFERROR(__xludf.DUMMYFUNCTION("""COMPUTED_VALUE"""),209.0)</f>
        <v>209</v>
      </c>
      <c r="O27" s="12" t="str">
        <f>IFERROR(__xludf.DUMMYFUNCTION("""COMPUTED_VALUE"""),"ocata-em")</f>
        <v>ocata-em</v>
      </c>
      <c r="P27" s="12" t="str">
        <f>IFERROR(__xludf.DUMMYFUNCTION("""COMPUTED_VALUE"""),"8c663dbd25a0dab1c2d903efc7cf7fc3d9d07b00")</f>
        <v>8c663dbd25a0dab1c2d903efc7cf7fc3d9d07b00</v>
      </c>
      <c r="Q27"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27" s="12" t="str">
        <f>IFERROR(__xludf.DUMMYFUNCTION("""COMPUTED_VALUE"""),"nova")</f>
        <v>nova</v>
      </c>
      <c r="S27" s="12" t="str">
        <f>IFERROR(__xludf.DUMMYFUNCTION("""COMPUTED_VALUE"""),"{""id"": 790031, ""url"": ""https://api.github.com/repos/openstack/nova"", ""fork"": false, ""name"": ""nova"", ""size"": 930490, ""forks"": 2196, ""owner"": {""id"": 324574, ""url"": ""https://api.github.com/users/openstack"", ""type"": ""Organization"","&amp;" ""login"": ""openstack"", ""node_id"": ""MDEyOk9yZ2FuaXphdGlvbjMyNDU3NA=="", ""html_url"": ""https://github.com/openstack"", ""gists_url"": ""https://api.github.com/users/openstack/gists{/gist_id}"", ""repos_url"": ""https://api.github.com/users/openstac"&amp;"k/repos"", ""avatar_url"": ""https://avatars3.githubusercontent.com/u/324574?v=4"", ""events_url"": ""https://api.github.com/users/openstack/events{/privacy}"", ""site_admin"": false, ""gravatar_id"": """", ""starred_url"": ""https://api.github.com/users/"&amp;"openstack/starred{/owner}{/repo}"", ""followers_url"": ""https://api.github.com/users/openstack/followers"", ""following_url"": ""https://api.github.com/users/openstack/following{/other_user}"", ""organizations_url"": ""https://api.github.com/users/openst"&amp;"ack/orgs"", ""subscriptions_url"": ""https://api.github.com/users/openstack/subscriptions"", ""received_events_url"": ""https://api.github.com/users/openstack/received_events""}, ""score"": 1.0, ""topics"": [""api-server"", ""compute-starter-kit""], ""git"&amp;"_url"": ""git://github.com/openstack/nova.git"", ""license"": {""key"": ""apache-2.0"", ""url"": ""https://api.github.com/licenses/apache-2.0"", ""name"": ""Apache License 2.0"", ""node_id"": ""MDc6TGljZW5zZTI="", ""spdx_id"": ""Apache-2.0""}, ""node_id"""&amp;": ""MDEwOlJlcG9zaXRvcnk3OTAwMzE="", ""private"": false, ""ssh_url"": ""git@github.com:openstack/nova.git"", ""svn_url"": ""https://github.com/openstack/nova"", ""archived"": false, ""has_wiki"": false, ""homepage"": ""http://openstack.org"", ""html_url"":"&amp;" ""https://github.com/openstack/nova"", ""keys_url"": ""https://api.github.com/repos/openstack/nova/keys{/key_id}"", ""language"": ""Python"", ""tags_url"": ""https://api.github.com/repos/openstack/nova/tags"", ""watchers"": 2379, ""blobs_url"": ""https:/"&amp;"/api.github.com/repos/openstack/nova/git/blobs{/sha}"", ""clone_url"": ""https://github.com/openstack/nova.git"", ""forks_url"": ""https://api.github.com/repos/openstack/nova/forks"", ""full_name"": ""openstack/nova"", ""has_pages"": false, ""hooks_url"":"&amp;" ""https://api.github.com/repos/openstack/nova/hooks"", ""pulls_url"": ""https://api.github.com/repos/openstack/nova/pulls{/number}"", ""pushed_at"": ""2018-12-25T02:42:10Z"", ""teams_url"": ""https://api.github.com/repos/openstack/nova/teams"", ""trees_u"&amp;"rl"": ""https://api.github.com/repos/openstack/nova/git/trees{/sha}"", ""created_at"": ""2010-07-22T02:04:27Z"", ""events_url"": ""https://api.github.com/repos/openstack/nova/events"", ""has_issues"": false, ""issues_url"": ""https://api.github.com/repos/"&amp;"openstack/nova/issues{/number}"", ""labels_url"": ""https://api.github.com/repos/openstack/nova/labels{/name}"", ""merges_url"": ""https://api.github.com/repos/openstack/nova/merges"", ""mirror_url"": null, ""updated_at"": ""2018-12-25T00:22:35Z"", ""arch"&amp;"ive_url"": ""https://api.github.com/repos/openstack/nova/{archive_format}{/ref}"", ""commits_url"": ""https://api.github.com/repos/openstack/nova/commits{/sha}"", ""compare_url"": ""https://api.github.com/repos/openstack/nova/compare/{base}...{head}"", """&amp;"description"": ""OpenStack Compute (Nova)"", ""forks_count"": 2196, ""open_issues"": 0, ""permissions"": {""pull"": true, ""push"": false, ""admin"": false}, ""branches_url"": ""https://api.github.com/repos/openstack/nova/branches{/branch}"", ""comments_u"&amp;"rl"": ""https://api.github.com/repos/openstack/nova/comments{/number}"", ""contents_url"": ""https://api.github.com/repos/openstack/nova/contents/{+path}"", ""git_refs_url"": ""https://api.github.com/repos/openstack/nova/git/refs{/sha}"", ""git_tags_url"""&amp;": ""https://api.github.com/repos/openstack/nova/git/tags{/sha}"", ""has_projects"": false, ""releases_url"": ""https://api.github.com/repos/openstack/nova/releases{/id}"", ""statuses_url"": ""https://api.github.com/repos/openstack/nova/statuses/{sha}"", "&amp;"""assignees_url"": ""https://api.github.com/repos/openstack/nova/assignees{/user}"", ""downloads_url"": ""https://api.github.com/repos/openstack/nova/downloads"", ""has_downloads"": false, ""languages_url"": ""https://api.github.com/repos/openstack/nova/l"&amp;"anguages"", ""default_branch"": ""master"", ""milestones_url"": ""https://api.github.com/repos/openstack/nova/milestones{/number}"", ""stargazers_url"": ""https://api.github.com/repos/openstack/nova/stargazers"", ""watchers_count"": 2379, ""deployments_ur"&amp;"l"": ""https://api.github.com/repos/openstack/nova/deployments"", ""git_commits_url"": ""https://api.github.com/repos/openstack/nova/git/commits{/sha}"", ""subscribers_url"": ""https://api.github.com/repos/openstack/nova/subscribers"", ""contributors_url"&amp;""": ""https://api.github.com/repos/openstack/nova/contributors"", ""issue_events_url"": ""https://api.github.com/repos/openstack/nova/issues/events{/number}"", ""stargazers_count"": 2379, ""subscription_url"": ""https://api.github.com/repos/openstack/nova"&amp;"/subscription"", ""collaborators_url"": ""https://api.github.com/repos/openstack/nova/collaborators{/collaborator}"", ""issue_comment_url"": ""https://api.github.com/repos/openstack/nova/issues/comments{/number}"", ""notifications_url"": ""https://api.git"&amp;"hub.com/repos/openstack/nova/notifications{?since,all,participating}"", ""open_issues_count"": 0}")</f>
        <v>{"id": 790031, "url": "https://api.github.com/repos/openstack/nova", "fork": false, "name": "nova", "size": 930490, "forks": 2196, "owner": {"id": 324574, "url": "https://api.github.com/users/openstack", "type": "Organization", "login": "openstack", "node_id": "MDEyOk9yZ2FuaXphdGlvbjMyNDU3NA==", "html_url": "https://github.com/openstack", "gists_url": "https://api.github.com/users/openstack/gists{/gist_id}", "repos_url": "https://api.github.com/users/openstack/repos", "avatar_url": "https://avatars3.githubusercontent.com/u/324574?v=4", "events_url": "https://api.github.com/users/openstack/events{/privacy}", "site_admin": false, "gravatar_id": "", "starred_url": "https://api.github.com/users/openstack/starred{/owner}{/repo}", "followers_url": "https://api.github.com/users/openstack/followers", "following_url": "https://api.github.com/users/openstack/following{/other_user}", "organizations_url": "https://api.github.com/users/openstack/orgs", "subscriptions_url": "https://api.github.com/users/openstack/subscriptions", "received_events_url": "https://api.github.com/users/openstack/received_events"}, "score": 1.0, "topics": ["api-server", "compute-starter-kit"], "git_url": "git://github.com/openstack/nova.git", "license": {"key": "apache-2.0", "url": "https://api.github.com/licenses/apache-2.0", "name": "Apache License 2.0", "node_id": "MDc6TGljZW5zZTI=", "spdx_id": "Apache-2.0"}, "node_id": "MDEwOlJlcG9zaXRvcnk3OTAwMzE=", "private": false, "ssh_url": "git@github.com:openstack/nova.git", "svn_url": "https://github.com/openstack/nova", "archived": false, "has_wiki": false, "homepage": "http://openstack.org", "html_url": "https://github.com/openstack/nova", "keys_url": "https://api.github.com/repos/openstack/nova/keys{/key_id}", "language": "Python", "tags_url": "https://api.github.com/repos/openstack/nova/tags", "watchers": 2379, "blobs_url": "https://api.github.com/repos/openstack/nova/git/blobs{/sha}", "clone_url": "https://github.com/openstack/nova.git", "forks_url": "https://api.github.com/repos/openstack/nova/forks", "full_name": "openstack/nova", "has_pages": false, "hooks_url": "https://api.github.com/repos/openstack/nova/hooks", "pulls_url": "https://api.github.com/repos/openstack/nova/pulls{/number}", "pushed_at": "2018-12-25T02:42:10Z", "teams_url": "https://api.github.com/repos/openstack/nova/teams", "trees_url": "https://api.github.com/repos/openstack/nova/git/trees{/sha}", "created_at": "2010-07-22T02:04:27Z", "events_url": "https://api.github.com/repos/openstack/nova/events", "has_issues": false, "issues_url": "https://api.github.com/repos/openstack/nova/issues{/number}", "labels_url": "https://api.github.com/repos/openstack/nova/labels{/name}", "merges_url": "https://api.github.com/repos/openstack/nova/merges", "mirror_url": null, "updated_at": "2018-12-25T00:22:35Z", "archive_url": "https://api.github.com/repos/openstack/nova/{archive_format}{/ref}", "commits_url": "https://api.github.com/repos/openstack/nova/commits{/sha}", "compare_url": "https://api.github.com/repos/openstack/nova/compare/{base}...{head}", "description": "OpenStack Compute (Nova)", "forks_count": 2196, "open_issues": 0, "permissions": {"pull": true, "push": false, "admin": false}, "branches_url": "https://api.github.com/repos/openstack/nova/branches{/branch}", "comments_url": "https://api.github.com/repos/openstack/nova/comments{/number}", "contents_url": "https://api.github.com/repos/openstack/nova/contents/{+path}", "git_refs_url": "https://api.github.com/repos/openstack/nova/git/refs{/sha}", "git_tags_url": "https://api.github.com/repos/openstack/nova/git/tags{/sha}", "has_projects": false, "releases_url": "https://api.github.com/repos/openstack/nova/releases{/id}", "statuses_url": "https://api.github.com/repos/openstack/nova/statuses/{sha}", "assignees_url": "https://api.github.com/repos/openstack/nova/assignees{/user}", "downloads_url": "https://api.github.com/repos/openstack/nova/downloads", "has_downloads": false, "languages_url": "https://api.github.com/repos/openstack/nova/languages", "default_branch": "master", "milestones_url": "https://api.github.com/repos/openstack/nova/milestones{/number}", "stargazers_url": "https://api.github.com/repos/openstack/nova/stargazers", "watchers_count": 2379, "deployments_url": "https://api.github.com/repos/openstack/nova/deployments", "git_commits_url": "https://api.github.com/repos/openstack/nova/git/commits{/sha}", "subscribers_url": "https://api.github.com/repos/openstack/nova/subscribers", "contributors_url": "https://api.github.com/repos/openstack/nova/contributors", "issue_events_url": "https://api.github.com/repos/openstack/nova/issues/events{/number}", "stargazers_count": 2379, "subscription_url": "https://api.github.com/repos/openstack/nova/subscription", "collaborators_url": "https://api.github.com/repos/openstack/nova/collaborators{/collaborator}", "issue_comment_url": "https://api.github.com/repos/openstack/nova/issues/comments{/number}", "notifications_url": "https://api.github.com/repos/openstack/nova/notifications{?since,all,participating}", "open_issues_count": 0}</v>
      </c>
      <c r="T27" s="12">
        <f>IFERROR(__xludf.DUMMYFUNCTION("""COMPUTED_VALUE"""),0.979859649)</f>
        <v>0.979859649</v>
      </c>
      <c r="U27" s="12">
        <f>IFERROR(__xludf.DUMMYFUNCTION("""COMPUTED_VALUE"""),2.277161E7)</f>
        <v>22771610</v>
      </c>
      <c r="V27" s="14">
        <f>IFERROR(__xludf.DUMMYFUNCTION("""COMPUTED_VALUE"""),101.0)</f>
        <v>101</v>
      </c>
      <c r="W27" s="15" t="str">
        <f>IFERROR(__xludf.DUMMYFUNCTION("IFERROR(REGEXEXTRACT(J27,""""""ratio"""": (\d+.\d+), """"language"""": """"Python""""""),"""")"),"0.9798596494398693")</f>
        <v>0.9798596494398693</v>
      </c>
      <c r="X27" s="15" t="str">
        <f t="shared" si="1"/>
        <v>api-server, compute-starter-kit</v>
      </c>
    </row>
    <row r="28">
      <c r="A28" s="10" t="str">
        <f>IFERROR(__xludf.DUMMYFUNCTION("""COMPUTED_VALUE"""),"numba/numba")</f>
        <v>numba/numba</v>
      </c>
      <c r="B28" s="10" t="str">
        <f>IFERROR(__xludf.DUMMYFUNCTION("""COMPUTED_VALUE"""),"NumPy aware dynamic Python compiler using LLVM")</f>
        <v>NumPy aware dynamic Python compiler using LLVM</v>
      </c>
      <c r="C28" s="11" t="str">
        <f>IFERROR(__xludf.DUMMYFUNCTION("""COMPUTED_VALUE"""),"https://github.com/numba/numba")</f>
        <v>https://github.com/numba/numba</v>
      </c>
      <c r="D28" s="10">
        <f>IFERROR(__xludf.DUMMYFUNCTION("""COMPUTED_VALUE"""),3688.0)</f>
        <v>3688</v>
      </c>
      <c r="E28" s="10">
        <f>IFERROR(__xludf.DUMMYFUNCTION("""COMPUTED_VALUE"""),194.0)</f>
        <v>194</v>
      </c>
      <c r="F28" s="10">
        <f>IFERROR(__xludf.DUMMYFUNCTION("""COMPUTED_VALUE"""),48888.0)</f>
        <v>48888</v>
      </c>
      <c r="G28" s="10" t="str">
        <f>IFERROR(__xludf.DUMMYFUNCTION("""COMPUTED_VALUE"""),"""[]""")</f>
        <v>"[]"</v>
      </c>
      <c r="H28" s="12">
        <f>IFERROR(__xludf.DUMMYFUNCTION("""COMPUTED_VALUE"""),12788.0)</f>
        <v>12788</v>
      </c>
      <c r="I28" s="12">
        <f>IFERROR(__xludf.DUMMYFUNCTION("""COMPUTED_VALUE"""),107.0)</f>
        <v>107</v>
      </c>
      <c r="J28" s="10" t="str">
        <f>IFERROR(__xludf.DUMMYFUNCTION("""COMPUTED_VALUE"""),"[{""loc"": 5866653, ""ratio"": 0.9210040432694987, ""language"": ""Python""}, {""loc"": 327398, ""ratio"": 0.051398110943044924, ""language"": ""C""}, {""loc"": 110326, ""ratio"": 0.017320044679266136, ""language"": ""Jupyter Notebook""}, {""loc"": 48142,"&amp;" ""ratio"": 0.007557797717212899, ""language"": ""C++""}, {""loc"": 6937, ""ratio"": 0.0010890374883533273, ""language"": ""Shell""}, {""loc"": 6610, ""ratio"": 0.0010377018593074087, ""language"": ""Batchfile""}, {""loc"": 3464, ""ratio"": 0.000543812290"&amp;"56594, ""language"": ""HTML""}, {""loc"": 214, ""ratio"": 0.00003359579393219144, ""language"": ""Cuda""}, {""loc"": 101, ""ratio"": 0.000015855958818464187, ""language"": ""GDB""}]")</f>
        <v>[{"loc": 5866653, "ratio": 0.9210040432694987, "language": "Python"}, {"loc": 327398, "ratio": 0.051398110943044924, "language": "C"}, {"loc": 110326, "ratio": 0.017320044679266136, "language": "Jupyter Notebook"}, {"loc": 48142, "ratio": 0.007557797717212899, "language": "C++"}, {"loc": 6937, "ratio": 0.0010890374883533273, "language": "Shell"}, {"loc": 6610, "ratio": 0.0010377018593074087, "language": "Batchfile"}, {"loc": 3464, "ratio": 0.00054381229056594, "language": "HTML"}, {"loc": 214, "ratio": 0.00003359579393219144, "language": "Cuda"}, {"loc": 101, "ratio": 0.000015855958818464187, "language": "GDB"}]</v>
      </c>
      <c r="K28" s="13">
        <f>IFERROR(__xludf.DUMMYFUNCTION("""COMPUTED_VALUE"""),40976.0)</f>
        <v>40976</v>
      </c>
      <c r="L28" s="13">
        <f>IFERROR(__xludf.DUMMYFUNCTION("""COMPUTED_VALUE"""),43458.0)</f>
        <v>43458</v>
      </c>
      <c r="M28" s="10">
        <f>IFERROR(__xludf.DUMMYFUNCTION("""COMPUTED_VALUE"""),654.0)</f>
        <v>654</v>
      </c>
      <c r="N28" s="12">
        <f>IFERROR(__xludf.DUMMYFUNCTION("""COMPUTED_VALUE"""),120.0)</f>
        <v>120</v>
      </c>
      <c r="O28" s="12" t="str">
        <f>IFERROR(__xludf.DUMMYFUNCTION("""COMPUTED_VALUE"""),"v0.1.1")</f>
        <v>v0.1.1</v>
      </c>
      <c r="P28" s="12" t="str">
        <f>IFERROR(__xludf.DUMMYFUNCTION("""COMPUTED_VALUE"""),"13d86ea2f3588f91dcad4705ee4ff79e69bc5a47")</f>
        <v>13d86ea2f3588f91dcad4705ee4ff79e69bc5a47</v>
      </c>
      <c r="Q28" s="12" t="str">
        <f>IFERROR(__xludf.DUMMYFUNCTION("""COMPUTED_VALUE"""),"{""key"": ""bsd-2-clause"", ""url"": ""https://api.github.com/licenses/bsd-2-clause"", ""name"": ""BSD 2-Clause \""Simplified\"" License"", ""node_id"": ""MDc6TGljZW5zZTQ="", ""spdx_id"": ""BSD-2-Clause""}")</f>
        <v>{"key": "bsd-2-clause", "url": "https://api.github.com/licenses/bsd-2-clause", "name": "BSD 2-Clause \"Simplified\" License", "node_id": "MDc6TGljZW5zZTQ=", "spdx_id": "BSD-2-Clause"}</v>
      </c>
      <c r="R28" s="12" t="str">
        <f>IFERROR(__xludf.DUMMYFUNCTION("""COMPUTED_VALUE"""),"numba")</f>
        <v>numba</v>
      </c>
      <c r="S28" s="12" t="str">
        <f>IFERROR(__xludf.DUMMYFUNCTION("""COMPUTED_VALUE"""),"{""id"": 3659275, ""url"": ""https://api.github.com/repos/numba/numba"", ""fork"": false, ""name"": ""numba"", ""size"": 48888, ""forks"": 421, ""owner"": {""id"": 1628082, ""url"": ""https://api.github.com/users/numba"", ""type"": ""Organization"", ""log"&amp;"in"": ""numba"", ""node_id"": ""MDEyOk9yZ2FuaXphdGlvbjE2MjgwODI="", ""html_url"": ""https://github.com/numba"", ""gists_url"": ""https://api.github.com/users/numba/gists{/gist_id}"", ""repos_url"": ""https://api.github.com/users/numba/repos"", ""avatar_ur"&amp;"l"": ""https://avatars2.githubusercontent.com/u/1628082?v=4"", ""events_url"": ""https://api.github.com/users/numba/events{/privacy}"", ""site_admin"": false, ""gravatar_id"": """", ""starred_url"": ""https://api.github.com/users/numba/starred{/owner}{/re"&amp;"po}"", ""followers_url"": ""https://api.github.com/users/numba/followers"", ""following_url"": ""https://api.github.com/users/numba/following{/other_user}"", ""organizations_url"": ""https://api.github.com/users/numba/orgs"", ""subscriptions_url"": ""http"&amp;"s://api.github.com/users/numba/subscriptions"", ""received_events_url"": ""https://api.github.com/users/numba/received_events""}, ""score"": 1.0, ""topics"": [], ""git_url"": ""git://github.com/numba/numba.git"", ""license"": {""key"": ""bsd-2-clause"", "&amp;"""url"": ""https://api.github.com/licenses/bsd-2-clause"", ""name"": ""BSD 2-Clause \""Simplified\"" License"", ""node_id"": ""MDc6TGljZW5zZTQ="", ""spdx_id"": ""BSD-2-Clause""}, ""node_id"": ""MDEwOlJlcG9zaXRvcnkzNjU5Mjc1"", ""private"": false, ""ssh_url"&amp;""": ""git@github.com:numba/numba.git"", ""svn_url"": ""https://github.com/numba/numba"", ""archived"": false, ""has_wiki"": true, ""homepage"": ""http://numba.pydata.org/"", ""html_url"": ""https://github.com/numba/numba"", ""keys_url"": ""https://api.git"&amp;"hub.com/repos/numba/numba/keys{/key_id}"", ""language"": ""Python"", ""tags_url"": ""https://api.github.com/repos/numba/numba/tags"", ""watchers"": 3688, ""blobs_url"": ""https://api.github.com/repos/numba/numba/git/blobs{/sha}"", ""clone_url"": ""https:/"&amp;"/github.com/numba/numba.git"", ""forks_url"": ""https://api.github.com/repos/numba/numba/forks"", ""full_name"": ""numba/numba"", ""has_pages"": true, ""hooks_url"": ""https://api.github.com/repos/numba/numba/hooks"", ""pulls_url"": ""https://api.github.c"&amp;"om/repos/numba/numba/pulls{/number}"", ""pushed_at"": ""2018-12-24T18:04:37Z"", ""teams_url"": ""https://api.github.com/repos/numba/numba/teams"", ""trees_url"": ""https://api.github.com/repos/numba/numba/git/trees{/sha}"", ""created_at"": ""2012-03-08T11"&amp;":12:43Z"", ""events_url"": ""https://api.github.com/repos/numba/numba/events"", ""has_issues"": true, ""issues_url"": ""https://api.github.com/repos/numba/numba/issues{/number}"", ""labels_url"": ""https://api.github.com/repos/numba/numba/labels{/name}"","&amp;" ""merges_url"": ""https://api.github.com/repos/numba/numba/merges"", ""mirror_url"": null, ""updated_at"": ""2018-12-24T23:23:21Z"", ""archive_url"": ""https://api.github.com/repos/numba/numba/{archive_format}{/ref}"", ""commits_url"": ""https://api.gith"&amp;"ub.com/repos/numba/numba/commits{/sha}"", ""compare_url"": ""https://api.github.com/repos/numba/numba/compare/{base}...{head}"", ""description"": ""NumPy aware dynamic Python compiler using LLVM"", ""forks_count"": 421, ""open_issues"": 654, ""permissions"&amp;""": {""pull"": true, ""push"": false, ""admin"": false}, ""branches_url"": ""https://api.github.com/repos/numba/numba/branches{/branch}"", ""comments_url"": ""https://api.github.com/repos/numba/numba/comments{/number}"", ""contents_url"": ""https://api.gi"&amp;"thub.com/repos/numba/numba/contents/{+path}"", ""git_refs_url"": ""https://api.github.com/repos/numba/numba/git/refs{/sha}"", ""git_tags_url"": ""https://api.github.com/repos/numba/numba/git/tags{/sha}"", ""has_projects"": true, ""releases_url"": ""https:"&amp;"//api.github.com/repos/numba/numba/releases{/id}"", ""statuses_url"": ""https://api.github.com/repos/numba/numba/statuses/{sha}"", ""assignees_url"": ""https://api.github.com/repos/numba/numba/assignees{/user}"", ""downloads_url"": ""https://api.github.co"&amp;"m/repos/numba/numba/downloads"", ""has_downloads"": true, ""languages_url"": ""https://api.github.com/repos/numba/numba/languages"", ""default_branch"": ""master"", ""milestones_url"": ""https://api.github.com/repos/numba/numba/milestones{/number}"", ""st"&amp;"argazers_url"": ""https://api.github.com/repos/numba/numba/stargazers"", ""watchers_count"": 3688, ""deployments_url"": ""https://api.github.com/repos/numba/numba/deployments"", ""git_commits_url"": ""https://api.github.com/repos/numba/numba/git/commits{/"&amp;"sha}"", ""subscribers_url"": ""https://api.github.com/repos/numba/numba/subscribers"", ""contributors_url"": ""https://api.github.com/repos/numba/numba/contributors"", ""issue_events_url"": ""https://api.github.com/repos/numba/numba/issues/events{/number}"&amp;""", ""stargazers_count"": 3688, ""subscription_url"": ""https://api.github.com/repos/numba/numba/subscription"", ""collaborators_url"": ""https://api.github.com/repos/numba/numba/collaborators{/collaborator}"", ""issue_comment_url"": ""https://api.github."&amp;"com/repos/numba/numba/issues/comments{/number}"", ""notifications_url"": ""https://api.github.com/repos/numba/numba/notifications{?since,all,participating}"", ""open_issues_count"": 654}")</f>
        <v>{"id": 3659275, "url": "https://api.github.com/repos/numba/numba", "fork": false, "name": "numba", "size": 48888, "forks": 421, "owner": {"id": 1628082, "url": "https://api.github.com/users/numba", "type": "Organization", "login": "numba", "node_id": "MDEyOk9yZ2FuaXphdGlvbjE2MjgwODI=", "html_url": "https://github.com/numba", "gists_url": "https://api.github.com/users/numba/gists{/gist_id}", "repos_url": "https://api.github.com/users/numba/repos", "avatar_url": "https://avatars2.githubusercontent.com/u/1628082?v=4", "events_url": "https://api.github.com/users/numba/events{/privacy}", "site_admin": false, "gravatar_id": "", "starred_url": "https://api.github.com/users/numba/starred{/owner}{/repo}", "followers_url": "https://api.github.com/users/numba/followers", "following_url": "https://api.github.com/users/numba/following{/other_user}", "organizations_url": "https://api.github.com/users/numba/orgs", "subscriptions_url": "https://api.github.com/users/numba/subscriptions", "received_events_url": "https://api.github.com/users/numba/received_events"}, "score": 1.0, "topics": [], "git_url": "git://github.com/numba/numba.git", "license": {"key": "bsd-2-clause", "url": "https://api.github.com/licenses/bsd-2-clause", "name": "BSD 2-Clause \"Simplified\" License", "node_id": "MDc6TGljZW5zZTQ=", "spdx_id": "BSD-2-Clause"}, "node_id": "MDEwOlJlcG9zaXRvcnkzNjU5Mjc1", "private": false, "ssh_url": "git@github.com:numba/numba.git", "svn_url": "https://github.com/numba/numba", "archived": false, "has_wiki": true, "homepage": "http://numba.pydata.org/", "html_url": "https://github.com/numba/numba", "keys_url": "https://api.github.com/repos/numba/numba/keys{/key_id}", "language": "Python", "tags_url": "https://api.github.com/repos/numba/numba/tags", "watchers": 3688, "blobs_url": "https://api.github.com/repos/numba/numba/git/blobs{/sha}", "clone_url": "https://github.com/numba/numba.git", "forks_url": "https://api.github.com/repos/numba/numba/forks", "full_name": "numba/numba", "has_pages": true, "hooks_url": "https://api.github.com/repos/numba/numba/hooks", "pulls_url": "https://api.github.com/repos/numba/numba/pulls{/number}", "pushed_at": "2018-12-24T18:04:37Z", "teams_url": "https://api.github.com/repos/numba/numba/teams", "trees_url": "https://api.github.com/repos/numba/numba/git/trees{/sha}", "created_at": "2012-03-08T11:12:43Z", "events_url": "https://api.github.com/repos/numba/numba/events", "has_issues": true, "issues_url": "https://api.github.com/repos/numba/numba/issues{/number}", "labels_url": "https://api.github.com/repos/numba/numba/labels{/name}", "merges_url": "https://api.github.com/repos/numba/numba/merges", "mirror_url": null, "updated_at": "2018-12-24T23:23:21Z", "archive_url": "https://api.github.com/repos/numba/numba/{archive_format}{/ref}", "commits_url": "https://api.github.com/repos/numba/numba/commits{/sha}", "compare_url": "https://api.github.com/repos/numba/numba/compare/{base}...{head}", "description": "NumPy aware dynamic Python compiler using LLVM", "forks_count": 421, "open_issues": 654, "permissions": {"pull": true, "push": false, "admin": false}, "branches_url": "https://api.github.com/repos/numba/numba/branches{/branch}", "comments_url": "https://api.github.com/repos/numba/numba/comments{/number}", "contents_url": "https://api.github.com/repos/numba/numba/contents/{+path}", "git_refs_url": "https://api.github.com/repos/numba/numba/git/refs{/sha}", "git_tags_url": "https://api.github.com/repos/numba/numba/git/tags{/sha}", "has_projects": true, "releases_url": "https://api.github.com/repos/numba/numba/releases{/id}", "statuses_url": "https://api.github.com/repos/numba/numba/statuses/{sha}", "assignees_url": "https://api.github.com/repos/numba/numba/assignees{/user}", "downloads_url": "https://api.github.com/repos/numba/numba/downloads", "has_downloads": true, "languages_url": "https://api.github.com/repos/numba/numba/languages", "default_branch": "master", "milestones_url": "https://api.github.com/repos/numba/numba/milestones{/number}", "stargazers_url": "https://api.github.com/repos/numba/numba/stargazers", "watchers_count": 3688, "deployments_url": "https://api.github.com/repos/numba/numba/deployments", "git_commits_url": "https://api.github.com/repos/numba/numba/git/commits{/sha}", "subscribers_url": "https://api.github.com/repos/numba/numba/subscribers", "contributors_url": "https://api.github.com/repos/numba/numba/contributors", "issue_events_url": "https://api.github.com/repos/numba/numba/issues/events{/number}", "stargazers_count": 3688, "subscription_url": "https://api.github.com/repos/numba/numba/subscription", "collaborators_url": "https://api.github.com/repos/numba/numba/collaborators{/collaborator}", "issue_comment_url": "https://api.github.com/repos/numba/numba/issues/comments{/number}", "notifications_url": "https://api.github.com/repos/numba/numba/notifications{?since,all,participating}", "open_issues_count": 654}</v>
      </c>
      <c r="T28" s="12">
        <f>IFERROR(__xludf.DUMMYFUNCTION("""COMPUTED_VALUE"""),0.921004043)</f>
        <v>0.921004043</v>
      </c>
      <c r="U28" s="12">
        <f>IFERROR(__xludf.DUMMYFUNCTION("""COMPUTED_VALUE"""),5866653.0)</f>
        <v>5866653</v>
      </c>
      <c r="V28" s="14">
        <f>IFERROR(__xludf.DUMMYFUNCTION("""COMPUTED_VALUE"""),81.0)</f>
        <v>81</v>
      </c>
      <c r="W28" s="15" t="str">
        <f>IFERROR(__xludf.DUMMYFUNCTION("IFERROR(REGEXEXTRACT(J28,""""""ratio"""": (\d+.\d+), """"language"""": """"Python""""""),"""")"),"0.9210040432694987")</f>
        <v>0.9210040432694987</v>
      </c>
      <c r="X28" s="15" t="str">
        <f t="shared" si="1"/>
        <v/>
      </c>
    </row>
    <row r="29">
      <c r="A29" s="10" t="str">
        <f>IFERROR(__xludf.DUMMYFUNCTION("""COMPUTED_VALUE"""),"pandas-dev/pandas")</f>
        <v>pandas-dev/pandas</v>
      </c>
      <c r="B29" s="10" t="str">
        <f>IFERROR(__xludf.DUMMYFUNCTION("""COMPUTED_VALUE"""),"Flexible and powerful data analysis / manipulation library for Python, providing labeled data structures similar to R data.frame objects, statistical functions, and much more")</f>
        <v>Flexible and powerful data analysis / manipulation library for Python, providing labeled data structures similar to R data.frame objects, statistical functions, and much more</v>
      </c>
      <c r="C29" s="11" t="str">
        <f>IFERROR(__xludf.DUMMYFUNCTION("""COMPUTED_VALUE"""),"https://github.com/pandas-dev/pandas")</f>
        <v>https://github.com/pandas-dev/pandas</v>
      </c>
      <c r="D29" s="10">
        <f>IFERROR(__xludf.DUMMYFUNCTION("""COMPUTED_VALUE"""),17495.0)</f>
        <v>17495</v>
      </c>
      <c r="E29" s="10">
        <f>IFERROR(__xludf.DUMMYFUNCTION("""COMPUTED_VALUE"""),961.0)</f>
        <v>961</v>
      </c>
      <c r="F29" s="10">
        <f>IFERROR(__xludf.DUMMYFUNCTION("""COMPUTED_VALUE"""),140964.0)</f>
        <v>140964</v>
      </c>
      <c r="G29" s="10" t="str">
        <f>IFERROR(__xludf.DUMMYFUNCTION("""COMPUTED_VALUE"""),"""[\""alignment\"", \""data-analysis\"", \""flexible\"", \""pandas\"", \""python\""]""")</f>
        <v>"[\"alignment\", \"data-analysis\", \"flexible\", \"pandas\", \"python\"]"</v>
      </c>
      <c r="H29" s="12">
        <f>IFERROR(__xludf.DUMMYFUNCTION("""COMPUTED_VALUE"""),18495.0)</f>
        <v>18495</v>
      </c>
      <c r="I29" s="12">
        <f>IFERROR(__xludf.DUMMYFUNCTION("""COMPUTED_VALUE"""),405.0)</f>
        <v>405</v>
      </c>
      <c r="J29" s="10" t="str">
        <f>IFERROR(__xludf.DUMMYFUNCTION("""COMPUTED_VALUE"""),"[{""loc"": 14617222, ""ratio"": 0.9342072920619854, ""language"": ""Python""}, {""loc"": 568156, ""ratio"": 0.03631165198344592, ""language"": ""HTML""}, {""loc"": 406251, ""ratio"": 0.025964074884234065, ""language"": ""C""}, {""loc"": 30371, ""ratio"": "&amp;"0.0019410534824752992, ""language"": ""Shell""}, {""loc"": 17193, ""ratio"": 0.0010988289000756584, ""language"": ""C++""}, {""loc"": 4869, ""ratio"": 0.00031118466320411684, ""language"": ""Batchfile""}, {""loc"": 2040, ""ratio"": 0.00013037927971583453,"&amp;" ""language"": ""Smarty""}, {""loc"": 556, ""ratio"": 0.00003553474486372745, ""language"": ""Makefile""}]")</f>
        <v>[{"loc": 14617222, "ratio": 0.9342072920619854, "language": "Python"}, {"loc": 568156, "ratio": 0.03631165198344592, "language": "HTML"}, {"loc": 406251, "ratio": 0.025964074884234065, "language": "C"}, {"loc": 30371, "ratio": 0.0019410534824752992, "language": "Shell"}, {"loc": 17193, "ratio": 0.0010988289000756584, "language": "C++"}, {"loc": 4869, "ratio": 0.00031118466320411684, "language": "Batchfile"}, {"loc": 2040, "ratio": 0.00013037927971583453, "language": "Smarty"}, {"loc": 556, "ratio": 0.00003553474486372745, "language": "Makefile"}]</v>
      </c>
      <c r="K29" s="13">
        <f>IFERROR(__xludf.DUMMYFUNCTION("""COMPUTED_VALUE"""),40414.0)</f>
        <v>40414</v>
      </c>
      <c r="L29" s="13">
        <f>IFERROR(__xludf.DUMMYFUNCTION("""COMPUTED_VALUE"""),43459.0)</f>
        <v>43459</v>
      </c>
      <c r="M29" s="10">
        <f>IFERROR(__xludf.DUMMYFUNCTION("""COMPUTED_VALUE"""),2823.0)</f>
        <v>2823</v>
      </c>
      <c r="N29" s="12">
        <f>IFERROR(__xludf.DUMMYFUNCTION("""COMPUTED_VALUE"""),97.0)</f>
        <v>97</v>
      </c>
      <c r="O29" s="12" t="str">
        <f>IFERROR(__xludf.DUMMYFUNCTION("""COMPUTED_VALUE"""),"v0.24.0")</f>
        <v>v0.24.0</v>
      </c>
      <c r="P29" s="12" t="str">
        <f>IFERROR(__xludf.DUMMYFUNCTION("""COMPUTED_VALUE"""),"2eb5a67999552d60f7a2a9e1922549d5417d714f")</f>
        <v>2eb5a67999552d60f7a2a9e1922549d5417d714f</v>
      </c>
      <c r="Q29" s="12" t="str">
        <f>IFERROR(__xludf.DUMMYFUNCTION("""COMPUTED_VALUE"""),"{""key"": ""bsd-3-clause"", ""url"": ""https://api.github.com/licenses/bsd-3-clause"", ""name"": ""BSD 3-Clause \""New\"" or \""Revised\"" License"", ""node_id"": ""MDc6TGljZW5zZTU="", ""spdx_id"": ""BSD-3-Clause""}")</f>
        <v>{"key": "bsd-3-clause", "url": "https://api.github.com/licenses/bsd-3-clause", "name": "BSD 3-Clause \"New\" or \"Revised\" License", "node_id": "MDc6TGljZW5zZTU=", "spdx_id": "BSD-3-Clause"}</v>
      </c>
      <c r="R29" s="12" t="str">
        <f>IFERROR(__xludf.DUMMYFUNCTION("""COMPUTED_VALUE"""),"pandas")</f>
        <v>pandas</v>
      </c>
      <c r="S29" s="12" t="str">
        <f>IFERROR(__xludf.DUMMYFUNCTION("""COMPUTED_VALUE"""),"{""id"": 858127, ""url"": ""https://api.github.com/repos/pandas-dev/pandas"", ""fork"": false, ""name"": ""pandas"", ""size"": 140964, ""forks"": 7017, ""owner"": {""id"": 21206976, ""url"": ""https://api.github.com/users/pandas-dev"", ""type"": ""Organiz"&amp;"ation"", ""login"": ""pandas-dev"", ""node_id"": ""MDEyOk9yZ2FuaXphdGlvbjIxMjA2OTc2"", ""html_url"": ""https://github.com/pandas-dev"", ""gists_url"": ""https://api.github.com/users/pandas-dev/gists{/gist_id}"", ""repos_url"": ""https://api.github.com/use"&amp;"rs/pandas-dev/repos"", ""avatar_url"": ""https://avatars2.githubusercontent.com/u/21206976?v=4"", ""events_url"": ""https://api.github.com/users/pandas-dev/events{/privacy}"", ""site_admin"": false, ""gravatar_id"": """", ""starred_url"": ""https://api.gi"&amp;"thub.com/users/pandas-dev/starred{/owner}{/repo}"", ""followers_url"": ""https://api.github.com/users/pandas-dev/followers"", ""following_url"": ""https://api.github.com/users/pandas-dev/following{/other_user}"", ""organizations_url"": ""https://api.githu"&amp;"b.com/users/pandas-dev/orgs"", ""subscriptions_url"": ""https://api.github.com/users/pandas-dev/subscriptions"", ""received_events_url"": ""https://api.github.com/users/pandas-dev/received_events""}, ""score"": 1.0, ""topics"": [""alignment"", ""data-anal"&amp;"ysis"", ""flexible"", ""pandas"", ""python""], ""git_url"": ""git://github.com/pandas-dev/pandas.git"", ""license"": {""key"": ""bsd-3-clause"", ""url"": ""https://api.github.com/licenses/bsd-3-clause"", ""name"": ""BSD 3-Clause \""New\"" or \""Revised\"""&amp;" License"", ""node_id"": ""MDc6TGljZW5zZTU="", ""spdx_id"": ""BSD-3-Clause""}, ""node_id"": ""MDEwOlJlcG9zaXRvcnk4NTgxMjc="", ""private"": false, ""ssh_url"": ""git@github.com:pandas-dev/pandas.git"", ""svn_url"": ""https://github.com/pandas-dev/pandas"","&amp;" ""archived"": false, ""has_wiki"": true, ""homepage"": ""https://pandas.pydata.org"", ""html_url"": ""https://github.com/pandas-dev/pandas"", ""keys_url"": ""https://api.github.com/repos/pandas-dev/pandas/keys{/key_id}"", ""language"": ""Python"", ""tags"&amp;"_url"": ""https://api.github.com/repos/pandas-dev/pandas/tags"", ""watchers"": 17495, ""blobs_url"": ""https://api.github.com/repos/pandas-dev/pandas/git/blobs{/sha}"", ""clone_url"": ""https://github.com/pandas-dev/pandas.git"", ""forks_url"": ""https://"&amp;"api.github.com/repos/pandas-dev/pandas/forks"", ""full_name"": ""pandas-dev/pandas"", ""has_pages"": true, ""hooks_url"": ""https://api.github.com/repos/pandas-dev/pandas/hooks"", ""pulls_url"": ""https://api.github.com/repos/pandas-dev/pandas/pulls{/numb"&amp;"er}"", ""pushed_at"": ""2018-12-25T02:18:35Z"", ""teams_url"": ""https://api.github.com/repos/pandas-dev/pandas/teams"", ""trees_url"": ""https://api.github.com/repos/pandas-dev/pandas/git/trees{/sha}"", ""created_at"": ""2010-08-24T01:37:33Z"", ""events_"&amp;"url"": ""https://api.github.com/repos/pandas-dev/pandas/events"", ""has_issues"": true, ""issues_url"": ""https://api.github.com/repos/pandas-dev/pandas/issues{/number}"", ""labels_url"": ""https://api.github.com/repos/pandas-dev/pandas/labels{/name}"", "&amp;"""merges_url"": ""https://api.github.com/repos/pandas-dev/pandas/merges"", ""mirror_url"": null, ""updated_at"": ""2018-12-25T02:30:20Z"", ""archive_url"": ""https://api.github.com/repos/pandas-dev/pandas/{archive_format}{/ref}"", ""commits_url"": ""https"&amp;"://api.github.com/repos/pandas-dev/pandas/commits{/sha}"", ""compare_url"": ""https://api.github.com/repos/pandas-dev/pandas/compare/{base}...{head}"", ""description"": ""Flexible and powerful data analysis / manipulation library for Python, providing lab"&amp;"eled data structures similar to R data.frame objects, statistical functions, and much more"", ""forks_count"": 7017, ""open_issues"": 2823, ""permissions"": {""pull"": true, ""push"": false, ""admin"": false}, ""branches_url"": ""https://api.github.com/re"&amp;"pos/pandas-dev/pandas/branches{/branch}"", ""comments_url"": ""https://api.github.com/repos/pandas-dev/pandas/comments{/number}"", ""contents_url"": ""https://api.github.com/repos/pandas-dev/pandas/contents/{+path}"", ""git_refs_url"": ""https://api.githu"&amp;"b.com/repos/pandas-dev/pandas/git/refs{/sha}"", ""git_tags_url"": ""https://api.github.com/repos/pandas-dev/pandas/git/tags{/sha}"", ""has_projects"": true, ""releases_url"": ""https://api.github.com/repos/pandas-dev/pandas/releases{/id}"", ""statuses_url"&amp;""": ""https://api.github.com/repos/pandas-dev/pandas/statuses/{sha}"", ""assignees_url"": ""https://api.github.com/repos/pandas-dev/pandas/assignees{/user}"", ""downloads_url"": ""https://api.github.com/repos/pandas-dev/pandas/downloads"", ""has_downloads"&amp;""": true, ""languages_url"": ""https://api.github.com/repos/pandas-dev/pandas/languages"", ""default_branch"": ""master"", ""milestones_url"": ""https://api.github.com/repos/pandas-dev/pandas/milestones{/number}"", ""stargazers_url"": ""https://api.github"&amp;".com/repos/pandas-dev/pandas/stargazers"", ""watchers_count"": 17495, ""deployments_url"": ""https://api.github.com/repos/pandas-dev/pandas/deployments"", ""git_commits_url"": ""https://api.github.com/repos/pandas-dev/pandas/git/commits{/sha}"", ""subscri"&amp;"bers_url"": ""https://api.github.com/repos/pandas-dev/pandas/subscribers"", ""contributors_url"": ""https://api.github.com/repos/pandas-dev/pandas/contributors"", ""issue_events_url"": ""https://api.github.com/repos/pandas-dev/pandas/issues/events{/number"&amp;"}"", ""stargazers_count"": 17495, ""subscription_url"": ""https://api.github.com/repos/pandas-dev/pandas/subscription"", ""collaborators_url"": ""https://api.github.com/repos/pandas-dev/pandas/collaborators{/collaborator}"", ""issue_comment_url"": ""https"&amp;"://api.github.com/repos/pandas-dev/pandas/issues/comments{/number}"", ""notifications_url"": ""https://api.github.com/repos/pandas-dev/pandas/notifications{?since,all,participating}"", ""open_issues_count"": 2823}")</f>
        <v>{"id": 858127, "url": "https://api.github.com/repos/pandas-dev/pandas", "fork": false, "name": "pandas", "size": 140964, "forks": 7017, "owner": {"id": 21206976, "url": "https://api.github.com/users/pandas-dev", "type": "Organization", "login": "pandas-dev", "node_id": "MDEyOk9yZ2FuaXphdGlvbjIxMjA2OTc2", "html_url": "https://github.com/pandas-dev", "gists_url": "https://api.github.com/users/pandas-dev/gists{/gist_id}", "repos_url": "https://api.github.com/users/pandas-dev/repos", "avatar_url": "https://avatars2.githubusercontent.com/u/21206976?v=4", "events_url": "https://api.github.com/users/pandas-dev/events{/privacy}", "site_admin": false, "gravatar_id": "", "starred_url": "https://api.github.com/users/pandas-dev/starred{/owner}{/repo}", "followers_url": "https://api.github.com/users/pandas-dev/followers", "following_url": "https://api.github.com/users/pandas-dev/following{/other_user}", "organizations_url": "https://api.github.com/users/pandas-dev/orgs", "subscriptions_url": "https://api.github.com/users/pandas-dev/subscriptions", "received_events_url": "https://api.github.com/users/pandas-dev/received_events"}, "score": 1.0, "topics": ["alignment", "data-analysis", "flexible", "pandas", "python"], "git_url": "git://github.com/pandas-dev/pandas.git", "license": {"key": "bsd-3-clause", "url": "https://api.github.com/licenses/bsd-3-clause", "name": "BSD 3-Clause \"New\" or \"Revised\" License", "node_id": "MDc6TGljZW5zZTU=", "spdx_id": "BSD-3-Clause"}, "node_id": "MDEwOlJlcG9zaXRvcnk4NTgxMjc=", "private": false, "ssh_url": "git@github.com:pandas-dev/pandas.git", "svn_url": "https://github.com/pandas-dev/pandas", "archived": false, "has_wiki": true, "homepage": "https://pandas.pydata.org", "html_url": "https://github.com/pandas-dev/pandas", "keys_url": "https://api.github.com/repos/pandas-dev/pandas/keys{/key_id}", "language": "Python", "tags_url": "https://api.github.com/repos/pandas-dev/pandas/tags", "watchers": 17495, "blobs_url": "https://api.github.com/repos/pandas-dev/pandas/git/blobs{/sha}", "clone_url": "https://github.com/pandas-dev/pandas.git", "forks_url": "https://api.github.com/repos/pandas-dev/pandas/forks", "full_name": "pandas-dev/pandas", "has_pages": true, "hooks_url": "https://api.github.com/repos/pandas-dev/pandas/hooks", "pulls_url": "https://api.github.com/repos/pandas-dev/pandas/pulls{/number}", "pushed_at": "2018-12-25T02:18:35Z", "teams_url": "https://api.github.com/repos/pandas-dev/pandas/teams", "trees_url": "https://api.github.com/repos/pandas-dev/pandas/git/trees{/sha}", "created_at": "2010-08-24T01:37:33Z", "events_url": "https://api.github.com/repos/pandas-dev/pandas/events", "has_issues": true, "issues_url": "https://api.github.com/repos/pandas-dev/pandas/issues{/number}", "labels_url": "https://api.github.com/repos/pandas-dev/pandas/labels{/name}", "merges_url": "https://api.github.com/repos/pandas-dev/pandas/merges", "mirror_url": null, "updated_at": "2018-12-25T02:30:20Z", "archive_url": "https://api.github.com/repos/pandas-dev/pandas/{archive_format}{/ref}", "commits_url": "https://api.github.com/repos/pandas-dev/pandas/commits{/sha}", "compare_url": "https://api.github.com/repos/pandas-dev/pandas/compare/{base}...{head}", "description": "Flexible and powerful data analysis / manipulation library for Python, providing labeled data structures similar to R data.frame objects, statistical functions, and much more", "forks_count": 7017, "open_issues": 2823, "permissions": {"pull": true, "push": false, "admin": false}, "branches_url": "https://api.github.com/repos/pandas-dev/pandas/branches{/branch}", "comments_url": "https://api.github.com/repos/pandas-dev/pandas/comments{/number}", "contents_url": "https://api.github.com/repos/pandas-dev/pandas/contents/{+path}", "git_refs_url": "https://api.github.com/repos/pandas-dev/pandas/git/refs{/sha}", "git_tags_url": "https://api.github.com/repos/pandas-dev/pandas/git/tags{/sha}", "has_projects": true, "releases_url": "https://api.github.com/repos/pandas-dev/pandas/releases{/id}", "statuses_url": "https://api.github.com/repos/pandas-dev/pandas/statuses/{sha}", "assignees_url": "https://api.github.com/repos/pandas-dev/pandas/assignees{/user}", "downloads_url": "https://api.github.com/repos/pandas-dev/pandas/downloads", "has_downloads": true, "languages_url": "https://api.github.com/repos/pandas-dev/pandas/languages", "default_branch": "master", "milestones_url": "https://api.github.com/repos/pandas-dev/pandas/milestones{/number}", "stargazers_url": "https://api.github.com/repos/pandas-dev/pandas/stargazers", "watchers_count": 17495, "deployments_url": "https://api.github.com/repos/pandas-dev/pandas/deployments", "git_commits_url": "https://api.github.com/repos/pandas-dev/pandas/git/commits{/sha}", "subscribers_url": "https://api.github.com/repos/pandas-dev/pandas/subscribers", "contributors_url": "https://api.github.com/repos/pandas-dev/pandas/contributors", "issue_events_url": "https://api.github.com/repos/pandas-dev/pandas/issues/events{/number}", "stargazers_count": 17495, "subscription_url": "https://api.github.com/repos/pandas-dev/pandas/subscription", "collaborators_url": "https://api.github.com/repos/pandas-dev/pandas/collaborators{/collaborator}", "issue_comment_url": "https://api.github.com/repos/pandas-dev/pandas/issues/comments{/number}", "notifications_url": "https://api.github.com/repos/pandas-dev/pandas/notifications{?since,all,participating}", "open_issues_count": 2823}</v>
      </c>
      <c r="T29" s="12">
        <f>IFERROR(__xludf.DUMMYFUNCTION("""COMPUTED_VALUE"""),0.934207292)</f>
        <v>0.934207292</v>
      </c>
      <c r="U29" s="12">
        <f>IFERROR(__xludf.DUMMYFUNCTION("""COMPUTED_VALUE"""),1.4617222E7)</f>
        <v>14617222</v>
      </c>
      <c r="V29" s="14">
        <f>IFERROR(__xludf.DUMMYFUNCTION("""COMPUTED_VALUE"""),100.0)</f>
        <v>100</v>
      </c>
      <c r="W29" s="15" t="str">
        <f>IFERROR(__xludf.DUMMYFUNCTION("IFERROR(REGEXEXTRACT(J29,""""""ratio"""": (\d+.\d+), """"language"""": """"Python""""""),"""")"),"0.9342072920619854")</f>
        <v>0.9342072920619854</v>
      </c>
      <c r="X29" s="15" t="str">
        <f t="shared" si="1"/>
        <v>alignment, data-analysis, flexible, pandas, python</v>
      </c>
    </row>
    <row r="30">
      <c r="A30" s="10" t="str">
        <f>IFERROR(__xludf.DUMMYFUNCTION("""COMPUTED_VALUE"""),"coleifer/peewee")</f>
        <v>coleifer/peewee</v>
      </c>
      <c r="B30" s="10" t="str">
        <f>IFERROR(__xludf.DUMMYFUNCTION("""COMPUTED_VALUE"""),"a small, expressive orm -- supports postgresql, mysql and sqlite")</f>
        <v>a small, expressive orm -- supports postgresql, mysql and sqlite</v>
      </c>
      <c r="C30" s="11" t="str">
        <f>IFERROR(__xludf.DUMMYFUNCTION("""COMPUTED_VALUE"""),"https://github.com/coleifer/peewee")</f>
        <v>https://github.com/coleifer/peewee</v>
      </c>
      <c r="D30" s="10">
        <f>IFERROR(__xludf.DUMMYFUNCTION("""COMPUTED_VALUE"""),5924.0)</f>
        <v>5924</v>
      </c>
      <c r="E30" s="10">
        <f>IFERROR(__xludf.DUMMYFUNCTION("""COMPUTED_VALUE"""),201.0)</f>
        <v>201</v>
      </c>
      <c r="F30" s="10">
        <f>IFERROR(__xludf.DUMMYFUNCTION("""COMPUTED_VALUE"""),11814.0)</f>
        <v>11814</v>
      </c>
      <c r="G30" s="10" t="str">
        <f>IFERROR(__xludf.DUMMYFUNCTION("""COMPUTED_VALUE"""),"""[\""dank\"", \""gametight\"", \""peewee\"", \""python\"", \""sqlite\""]""")</f>
        <v>"[\"dank\", \"gametight\", \"peewee\", \"python\", \"sqlite\"]"</v>
      </c>
      <c r="H30" s="12">
        <f>IFERROR(__xludf.DUMMYFUNCTION("""COMPUTED_VALUE"""),3842.0)</f>
        <v>3842</v>
      </c>
      <c r="I30" s="12">
        <f>IFERROR(__xludf.DUMMYFUNCTION("""COMPUTED_VALUE"""),102.0)</f>
        <v>102</v>
      </c>
      <c r="J30" s="10" t="str">
        <f>IFERROR(__xludf.DUMMYFUNCTION("""COMPUTED_VALUE"""),"[{""loc"": 1247778, ""ratio"": 0.9604453934293231, ""language"": ""Python""}, {""loc"": 48237, ""ratio"": 0.03712920442807155, ""language"": ""C""}, {""loc"": 2118, ""ratio"": 0.0016302766544075199, ""language"": ""C++""}, {""loc"": 1033, ""ratio"": 0.000"&amp;"7951254881978131, ""language"": ""Shell""}]")</f>
        <v>[{"loc": 1247778, "ratio": 0.9604453934293231, "language": "Python"}, {"loc": 48237, "ratio": 0.03712920442807155, "language": "C"}, {"loc": 2118, "ratio": 0.0016302766544075199, "language": "C++"}, {"loc": 1033, "ratio": 0.0007951254881978131, "language": "Shell"}]</v>
      </c>
      <c r="K30" s="13">
        <f>IFERROR(__xludf.DUMMYFUNCTION("""COMPUTED_VALUE"""),40462.0)</f>
        <v>40462</v>
      </c>
      <c r="L30" s="13">
        <f>IFERROR(__xludf.DUMMYFUNCTION("""COMPUTED_VALUE"""),43454.0)</f>
        <v>43454</v>
      </c>
      <c r="M30" s="10">
        <f>IFERROR(__xludf.DUMMYFUNCTION("""COMPUTED_VALUE"""),2.0)</f>
        <v>2</v>
      </c>
      <c r="N30" s="12">
        <f>IFERROR(__xludf.DUMMYFUNCTION("""COMPUTED_VALUE"""),146.0)</f>
        <v>146</v>
      </c>
      <c r="O30" s="12" t="str">
        <f>IFERROR(__xludf.DUMMYFUNCTION("""COMPUTED_VALUE"""),"3.8.2")</f>
        <v>3.8.2</v>
      </c>
      <c r="P30" s="12" t="str">
        <f>IFERROR(__xludf.DUMMYFUNCTION("""COMPUTED_VALUE"""),"10a15f4531e1190b453d50aa5cba5df200a31d27")</f>
        <v>10a15f4531e1190b453d50aa5cba5df200a31d27</v>
      </c>
      <c r="Q30" s="12" t="str">
        <f>IFERROR(__xludf.DUMMYFUNCTION("""COMPUTED_VALUE"""),"{""key"": ""mit"", ""url"": ""https://api.github.com/licenses/mit"", ""name"": ""MIT License"", ""node_id"": ""MDc6TGljZW5zZTEz"", ""spdx_id"": ""MIT""}")</f>
        <v>{"key": "mit", "url": "https://api.github.com/licenses/mit", "name": "MIT License", "node_id": "MDc6TGljZW5zZTEz", "spdx_id": "MIT"}</v>
      </c>
      <c r="R30" s="12" t="str">
        <f>IFERROR(__xludf.DUMMYFUNCTION("""COMPUTED_VALUE"""),"peewee")</f>
        <v>peewee</v>
      </c>
      <c r="S30" s="12" t="str">
        <f>IFERROR(__xludf.DUMMYFUNCTION("""COMPUTED_VALUE"""),"{""id"": 979480, ""url"": ""https://api.github.com/repos/coleifer/peewee"", ""fork"": false, ""name"": ""peewee"", ""size"": 11814, ""forks"": 1007, ""owner"": {""id"": 119974, ""url"": ""https://api.github.com/users/coleifer"", ""type"": ""User"", ""logi"&amp;"n"": ""coleifer"", ""node_id"": ""MDQ6VXNlcjExOTk3NA=="", ""html_url"": ""https://github.com/coleifer"", ""gists_url"": ""https://api.github.com/users/coleifer/gists{/gist_id}"", ""repos_url"": ""https://api.github.com/users/coleifer/repos"", ""avatar_url"&amp;""": ""https://avatars2.githubusercontent.com/u/119974?v=4"", ""events_url"": ""https://api.github.com/users/coleifer/events{/privacy}"", ""site_admin"": false, ""gravatar_id"": """", ""starred_url"": ""https://api.github.com/users/coleifer/starred{/owner}"&amp;"{/repo}"", ""followers_url"": ""https://api.github.com/users/coleifer/followers"", ""following_url"": ""https://api.github.com/users/coleifer/following{/other_user}"", ""organizations_url"": ""https://api.github.com/users/coleifer/orgs"", ""subscriptions_"&amp;"url"": ""https://api.github.com/users/coleifer/subscriptions"", ""received_events_url"": ""https://api.github.com/users/coleifer/received_events""}, ""score"": 1.0, ""topics"": [""dank"", ""gametight"", ""peewee"", ""python"", ""sqlite""], ""git_url"": """&amp;"git://github.com/coleifer/peewee.git"", ""license"": {""key"": ""mit"", ""url"": ""https://api.github.com/licenses/mit"", ""name"": ""MIT License"", ""node_id"": ""MDc6TGljZW5zZTEz"", ""spdx_id"": ""MIT""}, ""node_id"": ""MDEwOlJlcG9zaXRvcnk5Nzk0ODA="", "&amp;"""private"": false, ""ssh_url"": ""git@github.com:coleifer/peewee.git"", ""svn_url"": ""https://github.com/coleifer/peewee"", ""archived"": false, ""has_wiki"": true, ""homepage"": ""http://docs.peewee-orm.com/"", ""html_url"": ""https://github.com/coleif"&amp;"er/peewee"", ""keys_url"": ""https://api.github.com/repos/coleifer/peewee/keys{/key_id}"", ""language"": ""Python"", ""tags_url"": ""https://api.github.com/repos/coleifer/peewee/tags"", ""watchers"": 5924, ""blobs_url"": ""https://api.github.com/repos/col"&amp;"eifer/peewee/git/blobs{/sha}"", ""clone_url"": ""https://github.com/coleifer/peewee.git"", ""forks_url"": ""https://api.github.com/repos/coleifer/peewee/forks"", ""full_name"": ""coleifer/peewee"", ""has_pages"": false, ""hooks_url"": ""https://api.github"&amp;".com/repos/coleifer/peewee/hooks"", ""pulls_url"": ""https://api.github.com/repos/coleifer/peewee/pulls{/number}"", ""pushed_at"": ""2018-12-20T15:34:57Z"", ""teams_url"": ""https://api.github.com/repos/coleifer/peewee/teams"", ""trees_url"": ""https://ap"&amp;"i.github.com/repos/coleifer/peewee/git/trees{/sha}"", ""created_at"": ""2010-10-11T20:14:11Z"", ""events_url"": ""https://api.github.com/repos/coleifer/peewee/events"", ""has_issues"": true, ""issues_url"": ""https://api.github.com/repos/coleifer/peewee/i"&amp;"ssues{/number}"", ""labels_url"": ""https://api.github.com/repos/coleifer/peewee/labels{/name}"", ""merges_url"": ""https://api.github.com/repos/coleifer/peewee/merges"", ""mirror_url"": null, ""updated_at"": ""2018-12-24T07:09:52Z"", ""archive_url"": ""h"&amp;"ttps://api.github.com/repos/coleifer/peewee/{archive_format}{/ref}"", ""commits_url"": ""https://api.github.com/repos/coleifer/peewee/commits{/sha}"", ""compare_url"": ""https://api.github.com/repos/coleifer/peewee/compare/{base}...{head}"", ""description"&amp;""": ""a small, expressive orm -- supports postgresql, mysql and sqlite"", ""forks_count"": 1007, ""open_issues"": 2, ""permissions"": {""pull"": true, ""push"": false, ""admin"": false}, ""branches_url"": ""https://api.github.com/repos/coleifer/peewee/bra"&amp;"nches{/branch}"", ""comments_url"": ""https://api.github.com/repos/coleifer/peewee/comments{/number}"", ""contents_url"": ""https://api.github.com/repos/coleifer/peewee/contents/{+path}"", ""git_refs_url"": ""https://api.github.com/repos/coleifer/peewee/g"&amp;"it/refs{/sha}"", ""git_tags_url"": ""https://api.github.com/repos/coleifer/peewee/git/tags{/sha}"", ""has_projects"": true, ""releases_url"": ""https://api.github.com/repos/coleifer/peewee/releases{/id}"", ""statuses_url"": ""https://api.github.com/repos/"&amp;"coleifer/peewee/statuses/{sha}"", ""assignees_url"": ""https://api.github.com/repos/coleifer/peewee/assignees{/user}"", ""downloads_url"": ""https://api.github.com/repos/coleifer/peewee/downloads"", ""has_downloads"": true, ""languages_url"": ""https://ap"&amp;"i.github.com/repos/coleifer/peewee/languages"", ""default_branch"": ""master"", ""milestones_url"": ""https://api.github.com/repos/coleifer/peewee/milestones{/number}"", ""stargazers_url"": ""https://api.github.com/repos/coleifer/peewee/stargazers"", ""wa"&amp;"tchers_count"": 5924, ""deployments_url"": ""https://api.github.com/repos/coleifer/peewee/deployments"", ""git_commits_url"": ""https://api.github.com/repos/coleifer/peewee/git/commits{/sha}"", ""subscribers_url"": ""https://api.github.com/repos/coleifer/"&amp;"peewee/subscribers"", ""contributors_url"": ""https://api.github.com/repos/coleifer/peewee/contributors"", ""issue_events_url"": ""https://api.github.com/repos/coleifer/peewee/issues/events{/number}"", ""stargazers_count"": 5924, ""subscription_url"": ""h"&amp;"ttps://api.github.com/repos/coleifer/peewee/subscription"", ""collaborators_url"": ""https://api.github.com/repos/coleifer/peewee/collaborators{/collaborator}"", ""issue_comment_url"": ""https://api.github.com/repos/coleifer/peewee/issues/comments{/number"&amp;"}"", ""notifications_url"": ""https://api.github.com/repos/coleifer/peewee/notifications{?since,all,participating}"", ""open_issues_count"": 2}")</f>
        <v>{"id": 979480, "url": "https://api.github.com/repos/coleifer/peewee", "fork": false, "name": "peewee", "size": 11814, "forks": 1007, "owner": {"id": 119974, "url": "https://api.github.com/users/coleifer", "type": "User", "login": "coleifer", "node_id": "MDQ6VXNlcjExOTk3NA==", "html_url": "https://github.com/coleifer", "gists_url": "https://api.github.com/users/coleifer/gists{/gist_id}", "repos_url": "https://api.github.com/users/coleifer/repos", "avatar_url": "https://avatars2.githubusercontent.com/u/119974?v=4", "events_url": "https://api.github.com/users/coleifer/events{/privacy}", "site_admin": false, "gravatar_id": "", "starred_url": "https://api.github.com/users/coleifer/starred{/owner}{/repo}", "followers_url": "https://api.github.com/users/coleifer/followers", "following_url": "https://api.github.com/users/coleifer/following{/other_user}", "organizations_url": "https://api.github.com/users/coleifer/orgs", "subscriptions_url": "https://api.github.com/users/coleifer/subscriptions", "received_events_url": "https://api.github.com/users/coleifer/received_events"}, "score": 1.0, "topics": ["dank", "gametight", "peewee", "python", "sqlite"], "git_url": "git://github.com/coleifer/peewee.git", "license": {"key": "mit", "url": "https://api.github.com/licenses/mit", "name": "MIT License", "node_id": "MDc6TGljZW5zZTEz", "spdx_id": "MIT"}, "node_id": "MDEwOlJlcG9zaXRvcnk5Nzk0ODA=", "private": false, "ssh_url": "git@github.com:coleifer/peewee.git", "svn_url": "https://github.com/coleifer/peewee", "archived": false, "has_wiki": true, "homepage": "http://docs.peewee-orm.com/", "html_url": "https://github.com/coleifer/peewee", "keys_url": "https://api.github.com/repos/coleifer/peewee/keys{/key_id}", "language": "Python", "tags_url": "https://api.github.com/repos/coleifer/peewee/tags", "watchers": 5924, "blobs_url": "https://api.github.com/repos/coleifer/peewee/git/blobs{/sha}", "clone_url": "https://github.com/coleifer/peewee.git", "forks_url": "https://api.github.com/repos/coleifer/peewee/forks", "full_name": "coleifer/peewee", "has_pages": false, "hooks_url": "https://api.github.com/repos/coleifer/peewee/hooks", "pulls_url": "https://api.github.com/repos/coleifer/peewee/pulls{/number}", "pushed_at": "2018-12-20T15:34:57Z", "teams_url": "https://api.github.com/repos/coleifer/peewee/teams", "trees_url": "https://api.github.com/repos/coleifer/peewee/git/trees{/sha}", "created_at": "2010-10-11T20:14:11Z", "events_url": "https://api.github.com/repos/coleifer/peewee/events", "has_issues": true, "issues_url": "https://api.github.com/repos/coleifer/peewee/issues{/number}", "labels_url": "https://api.github.com/repos/coleifer/peewee/labels{/name}", "merges_url": "https://api.github.com/repos/coleifer/peewee/merges", "mirror_url": null, "updated_at": "2018-12-24T07:09:52Z", "archive_url": "https://api.github.com/repos/coleifer/peewee/{archive_format}{/ref}", "commits_url": "https://api.github.com/repos/coleifer/peewee/commits{/sha}", "compare_url": "https://api.github.com/repos/coleifer/peewee/compare/{base}...{head}", "description": "a small, expressive orm -- supports postgresql, mysql and sqlite", "forks_count": 1007, "open_issues": 2, "permissions": {"pull": true, "push": false, "admin": false}, "branches_url": "https://api.github.com/repos/coleifer/peewee/branches{/branch}", "comments_url": "https://api.github.com/repos/coleifer/peewee/comments{/number}", "contents_url": "https://api.github.com/repos/coleifer/peewee/contents/{+path}", "git_refs_url": "https://api.github.com/repos/coleifer/peewee/git/refs{/sha}", "git_tags_url": "https://api.github.com/repos/coleifer/peewee/git/tags{/sha}", "has_projects": true, "releases_url": "https://api.github.com/repos/coleifer/peewee/releases{/id}", "statuses_url": "https://api.github.com/repos/coleifer/peewee/statuses/{sha}", "assignees_url": "https://api.github.com/repos/coleifer/peewee/assignees{/user}", "downloads_url": "https://api.github.com/repos/coleifer/peewee/downloads", "has_downloads": true, "languages_url": "https://api.github.com/repos/coleifer/peewee/languages", "default_branch": "master", "milestones_url": "https://api.github.com/repos/coleifer/peewee/milestones{/number}", "stargazers_url": "https://api.github.com/repos/coleifer/peewee/stargazers", "watchers_count": 5924, "deployments_url": "https://api.github.com/repos/coleifer/peewee/deployments", "git_commits_url": "https://api.github.com/repos/coleifer/peewee/git/commits{/sha}", "subscribers_url": "https://api.github.com/repos/coleifer/peewee/subscribers", "contributors_url": "https://api.github.com/repos/coleifer/peewee/contributors", "issue_events_url": "https://api.github.com/repos/coleifer/peewee/issues/events{/number}", "stargazers_count": 5924, "subscription_url": "https://api.github.com/repos/coleifer/peewee/subscription", "collaborators_url": "https://api.github.com/repos/coleifer/peewee/collaborators{/collaborator}", "issue_comment_url": "https://api.github.com/repos/coleifer/peewee/issues/comments{/number}", "notifications_url": "https://api.github.com/repos/coleifer/peewee/notifications{?since,all,participating}", "open_issues_count": 2}</v>
      </c>
      <c r="T30" s="12">
        <f>IFERROR(__xludf.DUMMYFUNCTION("""COMPUTED_VALUE"""),0.960445393)</f>
        <v>0.960445393</v>
      </c>
      <c r="U30" s="12">
        <f>IFERROR(__xludf.DUMMYFUNCTION("""COMPUTED_VALUE"""),1247778.0)</f>
        <v>1247778</v>
      </c>
      <c r="V30" s="14">
        <f>IFERROR(__xludf.DUMMYFUNCTION("""COMPUTED_VALUE"""),98.0)</f>
        <v>98</v>
      </c>
      <c r="W30" s="15" t="str">
        <f>IFERROR(__xludf.DUMMYFUNCTION("IFERROR(REGEXEXTRACT(J30,""""""ratio"""": (\d+.\d+), """"language"""": """"Python""""""),"""")"),"0.9604453934293231")</f>
        <v>0.9604453934293231</v>
      </c>
      <c r="X30" s="15" t="str">
        <f t="shared" si="1"/>
        <v>dank, gametight, peewee, python, sqlite</v>
      </c>
    </row>
    <row r="31">
      <c r="A31" s="10" t="str">
        <f>IFERROR(__xludf.DUMMYFUNCTION("""COMPUTED_VALUE"""),"getpelican/pelican")</f>
        <v>getpelican/pelican</v>
      </c>
      <c r="B31" s="10" t="str">
        <f>IFERROR(__xludf.DUMMYFUNCTION("""COMPUTED_VALUE"""),"Static site generator that supports Markdown and reST syntax. Powered by Python.")</f>
        <v>Static site generator that supports Markdown and reST syntax. Powered by Python.</v>
      </c>
      <c r="C31" s="11" t="str">
        <f>IFERROR(__xludf.DUMMYFUNCTION("""COMPUTED_VALUE"""),"https://github.com/getpelican/pelican")</f>
        <v>https://github.com/getpelican/pelican</v>
      </c>
      <c r="D31" s="10">
        <f>IFERROR(__xludf.DUMMYFUNCTION("""COMPUTED_VALUE"""),8423.0)</f>
        <v>8423</v>
      </c>
      <c r="E31" s="10">
        <f>IFERROR(__xludf.DUMMYFUNCTION("""COMPUTED_VALUE"""),365.0)</f>
        <v>365</v>
      </c>
      <c r="F31" s="10">
        <f>IFERROR(__xludf.DUMMYFUNCTION("""COMPUTED_VALUE"""),5643.0)</f>
        <v>5643</v>
      </c>
      <c r="G31" s="10" t="str">
        <f>IFERROR(__xludf.DUMMYFUNCTION("""COMPUTED_VALUE"""),"""[\""pelican\"", \""python\"", \""static-site-generator\""]""")</f>
        <v>"[\"pelican\", \"python\", \"static-site-generator\"]"</v>
      </c>
      <c r="H31" s="12">
        <f>IFERROR(__xludf.DUMMYFUNCTION("""COMPUTED_VALUE"""),3057.0)</f>
        <v>3057</v>
      </c>
      <c r="I31" s="12">
        <f>IFERROR(__xludf.DUMMYFUNCTION("""COMPUTED_VALUE"""),335.0)</f>
        <v>335</v>
      </c>
      <c r="J31" s="10" t="str">
        <f>IFERROR(__xludf.DUMMYFUNCTION("""COMPUTED_VALUE"""),"[{""loc"": 490564, ""ratio"": 0.9061947556548966, ""language"": ""Python""}, {""loc"": 35101, ""ratio"": 0.06484035134710767, ""language"": ""HTML""}, {""loc"": 15680, ""ratio"": 0.028964892997995734, ""language"": ""CSS""}]")</f>
        <v>[{"loc": 490564, "ratio": 0.9061947556548966, "language": "Python"}, {"loc": 35101, "ratio": 0.06484035134710767, "language": "HTML"}, {"loc": 15680, "ratio": 0.028964892997995734, "language": "CSS"}]</v>
      </c>
      <c r="K31" s="13">
        <f>IFERROR(__xludf.DUMMYFUNCTION("""COMPUTED_VALUE"""),40467.0)</f>
        <v>40467</v>
      </c>
      <c r="L31" s="13">
        <f>IFERROR(__xludf.DUMMYFUNCTION("""COMPUTED_VALUE"""),43455.0)</f>
        <v>43455</v>
      </c>
      <c r="M31" s="10">
        <f>IFERROR(__xludf.DUMMYFUNCTION("""COMPUTED_VALUE"""),142.0)</f>
        <v>142</v>
      </c>
      <c r="N31" s="12">
        <f>IFERROR(__xludf.DUMMYFUNCTION("""COMPUTED_VALUE"""),46.0)</f>
        <v>46</v>
      </c>
      <c r="O31" s="12" t="str">
        <f>IFERROR(__xludf.DUMMYFUNCTION("""COMPUTED_VALUE"""),"4.0.1")</f>
        <v>4.0.1</v>
      </c>
      <c r="P31" s="12" t="str">
        <f>IFERROR(__xludf.DUMMYFUNCTION("""COMPUTED_VALUE"""),"24d6efa9fda4ad45649ddf88c1c596193d589bf8")</f>
        <v>24d6efa9fda4ad45649ddf88c1c596193d589bf8</v>
      </c>
      <c r="Q31" s="12" t="str">
        <f>IFERROR(__xludf.DUMMYFUNCTION("""COMPUTED_VALUE"""),"{""key"": ""agpl-3.0"", ""url"": ""https://api.github.com/licenses/agpl-3.0"", ""name"": ""GNU Affero General Public License v3.0"", ""node_id"": ""MDc6TGljZW5zZTE="", ""spdx_id"": ""AGPL-3.0""}")</f>
        <v>{"key": "agpl-3.0", "url": "https://api.github.com/licenses/agpl-3.0", "name": "GNU Affero General Public License v3.0", "node_id": "MDc6TGljZW5zZTE=", "spdx_id": "AGPL-3.0"}</v>
      </c>
      <c r="R31" s="12" t="str">
        <f>IFERROR(__xludf.DUMMYFUNCTION("""COMPUTED_VALUE"""),"pelican")</f>
        <v>pelican</v>
      </c>
      <c r="S31" s="12" t="str">
        <f>IFERROR(__xludf.DUMMYFUNCTION("""COMPUTED_VALUE"""),"{""id"": 993110, ""url"": ""https://api.github.com/repos/getpelican/pelican"", ""fork"": false, ""name"": ""pelican"", ""size"": 5643, ""forks"": 1533, ""owner"": {""id"": 2043492, ""url"": ""https://api.github.com/users/getpelican"", ""type"": ""Organiza"&amp;"tion"", ""login"": ""getpelican"", ""node_id"": ""MDEyOk9yZ2FuaXphdGlvbjIwNDM0OTI="", ""html_url"": ""https://github.com/getpelican"", ""gists_url"": ""https://api.github.com/users/getpelican/gists{/gist_id}"", ""repos_url"": ""https://api.github.com/user"&amp;"s/getpelican/repos"", ""avatar_url"": ""https://avatars2.githubusercontent.com/u/2043492?v=4"", ""events_url"": ""https://api.github.com/users/getpelican/events{/privacy}"", ""site_admin"": false, ""gravatar_id"": """", ""starred_url"": ""https://api.gith"&amp;"ub.com/users/getpelican/starred{/owner}{/repo}"", ""followers_url"": ""https://api.github.com/users/getpelican/followers"", ""following_url"": ""https://api.github.com/users/getpelican/following{/other_user}"", ""organizations_url"": ""https://api.github."&amp;"com/users/getpelican/orgs"", ""subscriptions_url"": ""https://api.github.com/users/getpelican/subscriptions"", ""received_events_url"": ""https://api.github.com/users/getpelican/received_events""}, ""score"": 1.0, ""topics"": [""pelican"", ""python"", ""s"&amp;"tatic-site-generator""], ""git_url"": ""git://github.com/getpelican/pelican.git"", ""license"": {""key"": ""agpl-3.0"", ""url"": ""https://api.github.com/licenses/agpl-3.0"", ""name"": ""GNU Affero General Public License v3.0"", ""node_id"": ""MDc6TGljZW5"&amp;"zZTE="", ""spdx_id"": ""AGPL-3.0""}, ""node_id"": ""MDEwOlJlcG9zaXRvcnk5OTMxMTA="", ""private"": false, ""ssh_url"": ""git@github.com:getpelican/pelican.git"", ""svn_url"": ""https://github.com/getpelican/pelican"", ""archived"": false, ""has_wiki"": true"&amp;", ""homepage"": ""https://getpelican.com/"", ""html_url"": ""https://github.com/getpelican/pelican"", ""keys_url"": ""https://api.github.com/repos/getpelican/pelican/keys{/key_id}"", ""language"": ""Python"", ""tags_url"": ""https://api.github.com/repos/g"&amp;"etpelican/pelican/tags"", ""watchers"": 8423, ""blobs_url"": ""https://api.github.com/repos/getpelican/pelican/git/blobs{/sha}"", ""clone_url"": ""https://github.com/getpelican/pelican.git"", ""forks_url"": ""https://api.github.com/repos/getpelican/pelica"&amp;"n/forks"", ""full_name"": ""getpelican/pelican"", ""has_pages"": false, ""hooks_url"": ""https://api.github.com/repos/getpelican/pelican/hooks"", ""pulls_url"": ""https://api.github.com/repos/getpelican/pelican/pulls{/number}"", ""pushed_at"": ""2018-12-2"&amp;"1T02:38:11Z"", ""teams_url"": ""https://api.github.com/repos/getpelican/pelican/teams"", ""trees_url"": ""https://api.github.com/repos/getpelican/pelican/git/trees{/sha}"", ""created_at"": ""2010-10-16T18:57:40Z"", ""events_url"": ""https://api.github.com"&amp;"/repos/getpelican/pelican/events"", ""has_issues"": true, ""issues_url"": ""https://api.github.com/repos/getpelican/pelican/issues{/number}"", ""labels_url"": ""https://api.github.com/repos/getpelican/pelican/labels{/name}"", ""merges_url"": ""https://api"&amp;".github.com/repos/getpelican/pelican/merges"", ""mirror_url"": null, ""updated_at"": ""2018-12-24T15:08:16Z"", ""archive_url"": ""https://api.github.com/repos/getpelican/pelican/{archive_format}{/ref}"", ""commits_url"": ""https://api.github.com/repos/get"&amp;"pelican/pelican/commits{/sha}"", ""compare_url"": ""https://api.github.com/repos/getpelican/pelican/compare/{base}...{head}"", ""description"": ""Static site generator that supports Markdown and reST syntax. Powered by Python."", ""forks_count"": 1533, """&amp;"open_issues"": 142, ""permissions"": {""pull"": true, ""push"": false, ""admin"": false}, ""branches_url"": ""https://api.github.com/repos/getpelican/pelican/branches{/branch}"", ""comments_url"": ""https://api.github.com/repos/getpelican/pelican/comments"&amp;"{/number}"", ""contents_url"": ""https://api.github.com/repos/getpelican/pelican/contents/{+path}"", ""git_refs_url"": ""https://api.github.com/repos/getpelican/pelican/git/refs{/sha}"", ""git_tags_url"": ""https://api.github.com/repos/getpelican/pelican/"&amp;"git/tags{/sha}"", ""has_projects"": true, ""releases_url"": ""https://api.github.com/repos/getpelican/pelican/releases{/id}"", ""statuses_url"": ""https://api.github.com/repos/getpelican/pelican/statuses/{sha}"", ""assignees_url"": ""https://api.github.co"&amp;"m/repos/getpelican/pelican/assignees{/user}"", ""downloads_url"": ""https://api.github.com/repos/getpelican/pelican/downloads"", ""has_downloads"": true, ""languages_url"": ""https://api.github.com/repos/getpelican/pelican/languages"", ""default_branch"":"&amp;" ""master"", ""milestones_url"": ""https://api.github.com/repos/getpelican/pelican/milestones{/number}"", ""stargazers_url"": ""https://api.github.com/repos/getpelican/pelican/stargazers"", ""watchers_count"": 8423, ""deployments_url"": ""https://api.gith"&amp;"ub.com/repos/getpelican/pelican/deployments"", ""git_commits_url"": ""https://api.github.com/repos/getpelican/pelican/git/commits{/sha}"", ""subscribers_url"": ""https://api.github.com/repos/getpelican/pelican/subscribers"", ""contributors_url"": ""https:"&amp;"//api.github.com/repos/getpelican/pelican/contributors"", ""issue_events_url"": ""https://api.github.com/repos/getpelican/pelican/issues/events{/number}"", ""stargazers_count"": 8423, ""subscription_url"": ""https://api.github.com/repos/getpelican/pelican"&amp;"/subscription"", ""collaborators_url"": ""https://api.github.com/repos/getpelican/pelican/collaborators{/collaborator}"", ""issue_comment_url"": ""https://api.github.com/repos/getpelican/pelican/issues/comments{/number}"", ""notifications_url"": ""https:/"&amp;"/api.github.com/repos/getpelican/pelican/notifications{?since,all,participating}"", ""open_issues_count"": 142}")</f>
        <v>{"id": 993110, "url": "https://api.github.com/repos/getpelican/pelican", "fork": false, "name": "pelican", "size": 5643, "forks": 1533, "owner": {"id": 2043492, "url": "https://api.github.com/users/getpelican", "type": "Organization", "login": "getpelican", "node_id": "MDEyOk9yZ2FuaXphdGlvbjIwNDM0OTI=", "html_url": "https://github.com/getpelican", "gists_url": "https://api.github.com/users/getpelican/gists{/gist_id}", "repos_url": "https://api.github.com/users/getpelican/repos", "avatar_url": "https://avatars2.githubusercontent.com/u/2043492?v=4", "events_url": "https://api.github.com/users/getpelican/events{/privacy}", "site_admin": false, "gravatar_id": "", "starred_url": "https://api.github.com/users/getpelican/starred{/owner}{/repo}", "followers_url": "https://api.github.com/users/getpelican/followers", "following_url": "https://api.github.com/users/getpelican/following{/other_user}", "organizations_url": "https://api.github.com/users/getpelican/orgs", "subscriptions_url": "https://api.github.com/users/getpelican/subscriptions", "received_events_url": "https://api.github.com/users/getpelican/received_events"}, "score": 1.0, "topics": ["pelican", "python", "static-site-generator"], "git_url": "git://github.com/getpelican/pelican.git", "license": {"key": "agpl-3.0", "url": "https://api.github.com/licenses/agpl-3.0", "name": "GNU Affero General Public License v3.0", "node_id": "MDc6TGljZW5zZTE=", "spdx_id": "AGPL-3.0"}, "node_id": "MDEwOlJlcG9zaXRvcnk5OTMxMTA=", "private": false, "ssh_url": "git@github.com:getpelican/pelican.git", "svn_url": "https://github.com/getpelican/pelican", "archived": false, "has_wiki": true, "homepage": "https://getpelican.com/", "html_url": "https://github.com/getpelican/pelican", "keys_url": "https://api.github.com/repos/getpelican/pelican/keys{/key_id}", "language": "Python", "tags_url": "https://api.github.com/repos/getpelican/pelican/tags", "watchers": 8423, "blobs_url": "https://api.github.com/repos/getpelican/pelican/git/blobs{/sha}", "clone_url": "https://github.com/getpelican/pelican.git", "forks_url": "https://api.github.com/repos/getpelican/pelican/forks", "full_name": "getpelican/pelican", "has_pages": false, "hooks_url": "https://api.github.com/repos/getpelican/pelican/hooks", "pulls_url": "https://api.github.com/repos/getpelican/pelican/pulls{/number}", "pushed_at": "2018-12-21T02:38:11Z", "teams_url": "https://api.github.com/repos/getpelican/pelican/teams", "trees_url": "https://api.github.com/repos/getpelican/pelican/git/trees{/sha}", "created_at": "2010-10-16T18:57:40Z", "events_url": "https://api.github.com/repos/getpelican/pelican/events", "has_issues": true, "issues_url": "https://api.github.com/repos/getpelican/pelican/issues{/number}", "labels_url": "https://api.github.com/repos/getpelican/pelican/labels{/name}", "merges_url": "https://api.github.com/repos/getpelican/pelican/merges", "mirror_url": null, "updated_at": "2018-12-24T15:08:16Z", "archive_url": "https://api.github.com/repos/getpelican/pelican/{archive_format}{/ref}", "commits_url": "https://api.github.com/repos/getpelican/pelican/commits{/sha}", "compare_url": "https://api.github.com/repos/getpelican/pelican/compare/{base}...{head}", "description": "Static site generator that supports Markdown and reST syntax. Powered by Python.", "forks_count": 1533, "open_issues": 142, "permissions": {"pull": true, "push": false, "admin": false}, "branches_url": "https://api.github.com/repos/getpelican/pelican/branches{/branch}", "comments_url": "https://api.github.com/repos/getpelican/pelican/comments{/number}", "contents_url": "https://api.github.com/repos/getpelican/pelican/contents/{+path}", "git_refs_url": "https://api.github.com/repos/getpelican/pelican/git/refs{/sha}", "git_tags_url": "https://api.github.com/repos/getpelican/pelican/git/tags{/sha}", "has_projects": true, "releases_url": "https://api.github.com/repos/getpelican/pelican/releases{/id}", "statuses_url": "https://api.github.com/repos/getpelican/pelican/statuses/{sha}", "assignees_url": "https://api.github.com/repos/getpelican/pelican/assignees{/user}", "downloads_url": "https://api.github.com/repos/getpelican/pelican/downloads", "has_downloads": true, "languages_url": "https://api.github.com/repos/getpelican/pelican/languages", "default_branch": "master", "milestones_url": "https://api.github.com/repos/getpelican/pelican/milestones{/number}", "stargazers_url": "https://api.github.com/repos/getpelican/pelican/stargazers", "watchers_count": 8423, "deployments_url": "https://api.github.com/repos/getpelican/pelican/deployments", "git_commits_url": "https://api.github.com/repos/getpelican/pelican/git/commits{/sha}", "subscribers_url": "https://api.github.com/repos/getpelican/pelican/subscribers", "contributors_url": "https://api.github.com/repos/getpelican/pelican/contributors", "issue_events_url": "https://api.github.com/repos/getpelican/pelican/issues/events{/number}", "stargazers_count": 8423, "subscription_url": "https://api.github.com/repos/getpelican/pelican/subscription", "collaborators_url": "https://api.github.com/repos/getpelican/pelican/collaborators{/collaborator}", "issue_comment_url": "https://api.github.com/repos/getpelican/pelican/issues/comments{/number}", "notifications_url": "https://api.github.com/repos/getpelican/pelican/notifications{?since,all,participating}", "open_issues_count": 142}</v>
      </c>
      <c r="T31" s="12">
        <f>IFERROR(__xludf.DUMMYFUNCTION("""COMPUTED_VALUE"""),0.906194756)</f>
        <v>0.906194756</v>
      </c>
      <c r="U31" s="12">
        <f>IFERROR(__xludf.DUMMYFUNCTION("""COMPUTED_VALUE"""),490564.0)</f>
        <v>490564</v>
      </c>
      <c r="V31" s="14">
        <f>IFERROR(__xludf.DUMMYFUNCTION("""COMPUTED_VALUE"""),98.0)</f>
        <v>98</v>
      </c>
      <c r="W31" s="15" t="str">
        <f>IFERROR(__xludf.DUMMYFUNCTION("IFERROR(REGEXEXTRACT(J31,""""""ratio"""": (\d+.\d+), """"language"""": """"Python""""""),"""")"),"0.9061947556548966")</f>
        <v>0.9061947556548966</v>
      </c>
      <c r="X31" s="15" t="str">
        <f t="shared" si="1"/>
        <v>pelican, python, static-site-generator</v>
      </c>
    </row>
    <row r="32">
      <c r="A32" s="10" t="str">
        <f>IFERROR(__xludf.DUMMYFUNCTION("""COMPUTED_VALUE"""),"pypa/pip")</f>
        <v>pypa/pip</v>
      </c>
      <c r="B32" s="10" t="str">
        <f>IFERROR(__xludf.DUMMYFUNCTION("""COMPUTED_VALUE"""),"The PyPA recommended tool for installing Python packages")</f>
        <v>The PyPA recommended tool for installing Python packages</v>
      </c>
      <c r="C32" s="11" t="str">
        <f>IFERROR(__xludf.DUMMYFUNCTION("""COMPUTED_VALUE"""),"https://github.com/pypa/pip")</f>
        <v>https://github.com/pypa/pip</v>
      </c>
      <c r="D32" s="10">
        <f>IFERROR(__xludf.DUMMYFUNCTION("""COMPUTED_VALUE"""),5068.0)</f>
        <v>5068</v>
      </c>
      <c r="E32" s="10">
        <f>IFERROR(__xludf.DUMMYFUNCTION("""COMPUTED_VALUE"""),276.0)</f>
        <v>276</v>
      </c>
      <c r="F32" s="10">
        <f>IFERROR(__xludf.DUMMYFUNCTION("""COMPUTED_VALUE"""),52604.0)</f>
        <v>52604</v>
      </c>
      <c r="G32" s="10" t="str">
        <f>IFERROR(__xludf.DUMMYFUNCTION("""COMPUTED_VALUE"""),"""[\""packaging\"", \""pip\"", \""python\""]""")</f>
        <v>"[\"packaging\", \"pip\", \"python\"]"</v>
      </c>
      <c r="H32" s="12">
        <f>IFERROR(__xludf.DUMMYFUNCTION("""COMPUTED_VALUE"""),6776.0)</f>
        <v>6776</v>
      </c>
      <c r="I32" s="12">
        <f>IFERROR(__xludf.DUMMYFUNCTION("""COMPUTED_VALUE"""),385.0)</f>
        <v>385</v>
      </c>
      <c r="J32" s="10" t="str">
        <f>IFERROR(__xludf.DUMMYFUNCTION("""COMPUTED_VALUE"""),"[{""loc"": 1224951, ""ratio"": 0.9958441153014114, ""language"": ""Python""}, {""loc"": 2342, ""ratio"": 0.0019039675203627782, ""language"": ""HTML""}, {""loc"": 2093, ""ratio"": 0.0017015388642695538, ""language"": ""Shell""}, {""loc"": 677, ""ratio"": "&amp;"0.000550378313956277, ""language"": ""Gherkin""}]")</f>
        <v>[{"loc": 1224951, "ratio": 0.9958441153014114, "language": "Python"}, {"loc": 2342, "ratio": 0.0019039675203627782, "language": "HTML"}, {"loc": 2093, "ratio": 0.0017015388642695538, "language": "Shell"}, {"loc": 677, "ratio": 0.000550378313956277, "language": "Gherkin"}]</v>
      </c>
      <c r="K32" s="13">
        <f>IFERROR(__xludf.DUMMYFUNCTION("""COMPUTED_VALUE"""),40608.0)</f>
        <v>40608</v>
      </c>
      <c r="L32" s="13">
        <f>IFERROR(__xludf.DUMMYFUNCTION("""COMPUTED_VALUE"""),43458.0)</f>
        <v>43458</v>
      </c>
      <c r="M32" s="10">
        <f>IFERROR(__xludf.DUMMYFUNCTION("""COMPUTED_VALUE"""),600.0)</f>
        <v>600</v>
      </c>
      <c r="N32" s="12">
        <f>IFERROR(__xludf.DUMMYFUNCTION("""COMPUTED_VALUE"""),64.0)</f>
        <v>64</v>
      </c>
      <c r="O32" s="12">
        <f>IFERROR(__xludf.DUMMYFUNCTION("""COMPUTED_VALUE"""),18.1)</f>
        <v>18.1</v>
      </c>
      <c r="P32" s="12" t="str">
        <f>IFERROR(__xludf.DUMMYFUNCTION("""COMPUTED_VALUE"""),"6af9de97bbd2427f82942e476c590a2db22ea1ff")</f>
        <v>6af9de97bbd2427f82942e476c590a2db22ea1ff</v>
      </c>
      <c r="Q32" s="12" t="str">
        <f>IFERROR(__xludf.DUMMYFUNCTION("""COMPUTED_VALUE"""),"{""key"": ""mit"", ""url"": ""https://api.github.com/licenses/mit"", ""name"": ""MIT License"", ""node_id"": ""MDc6TGljZW5zZTEz"", ""spdx_id"": ""MIT""}")</f>
        <v>{"key": "mit", "url": "https://api.github.com/licenses/mit", "name": "MIT License", "node_id": "MDc6TGljZW5zZTEz", "spdx_id": "MIT"}</v>
      </c>
      <c r="R32" s="12" t="str">
        <f>IFERROR(__xludf.DUMMYFUNCTION("""COMPUTED_VALUE"""),"pip")</f>
        <v>pip</v>
      </c>
      <c r="S32" s="12" t="str">
        <f>IFERROR(__xludf.DUMMYFUNCTION("""COMPUTED_VALUE"""),"{""id"": 1446467, ""url"": ""https://api.github.com/repos/pypa/pip"", ""fork"": false, ""name"": ""pip"", ""size"": 52604, ""forks"": 1686, ""owner"": {""id"": 647025, ""url"": ""https://api.github.com/users/pypa"", ""type"": ""Organization"", ""login"": "&amp;"""pypa"", ""node_id"": ""MDEyOk9yZ2FuaXphdGlvbjY0NzAyNQ=="", ""html_url"": ""https://github.com/pypa"", ""gists_url"": ""https://api.github.com/users/pypa/gists{/gist_id}"", ""repos_url"": ""https://api.github.com/users/pypa/repos"", ""avatar_url"": ""htt"&amp;"ps://avatars2.githubusercontent.com/u/647025?v=4"", ""events_url"": ""https://api.github.com/users/pypa/events{/privacy}"", ""site_admin"": false, ""gravatar_id"": """", ""starred_url"": ""https://api.github.com/users/pypa/starred{/owner}{/repo}"", ""foll"&amp;"owers_url"": ""https://api.github.com/users/pypa/followers"", ""following_url"": ""https://api.github.com/users/pypa/following{/other_user}"", ""organizations_url"": ""https://api.github.com/users/pypa/orgs"", ""subscriptions_url"": ""https://api.github.c"&amp;"om/users/pypa/subscriptions"", ""received_events_url"": ""https://api.github.com/users/pypa/received_events""}, ""score"": 1.0, ""topics"": [""packaging"", ""pip"", ""python""], ""git_url"": ""git://github.com/pypa/pip.git"", ""license"": {""key"": ""mit"&amp;""", ""url"": ""https://api.github.com/licenses/mit"", ""name"": ""MIT License"", ""node_id"": ""MDc6TGljZW5zZTEz"", ""spdx_id"": ""MIT""}, ""node_id"": ""MDEwOlJlcG9zaXRvcnkxNDQ2NDY3"", ""private"": false, ""ssh_url"": ""git@github.com:pypa/pip.git"", ""s"&amp;"vn_url"": ""https://github.com/pypa/pip"", ""archived"": false, ""has_wiki"": false, ""homepage"": ""https://pip.pypa.io/"", ""html_url"": ""https://github.com/pypa/pip"", ""keys_url"": ""https://api.github.com/repos/pypa/pip/keys{/key_id}"", ""language"""&amp;": ""Python"", ""tags_url"": ""https://api.github.com/repos/pypa/pip/tags"", ""watchers"": 5068, ""blobs_url"": ""https://api.github.com/repos/pypa/pip/git/blobs{/sha}"", ""clone_url"": ""https://github.com/pypa/pip.git"", ""forks_url"": ""https://api.gith"&amp;"ub.com/repos/pypa/pip/forks"", ""full_name"": ""pypa/pip"", ""has_pages"": false, ""hooks_url"": ""https://api.github.com/repos/pypa/pip/hooks"", ""pulls_url"": ""https://api.github.com/repos/pypa/pip/pulls{/number}"", ""pushed_at"": ""2018-12-24T05:57:38"&amp;"Z"", ""teams_url"": ""https://api.github.com/repos/pypa/pip/teams"", ""trees_url"": ""https://api.github.com/repos/pypa/pip/git/trees{/sha}"", ""created_at"": ""2011-03-06T14:30:46Z"", ""events_url"": ""https://api.github.com/repos/pypa/pip/events"", ""ha"&amp;"s_issues"": true, ""issues_url"": ""https://api.github.com/repos/pypa/pip/issues{/number}"", ""labels_url"": ""https://api.github.com/repos/pypa/pip/labels{/name}"", ""merges_url"": ""https://api.github.com/repos/pypa/pip/merges"", ""mirror_url"": null, "&amp;"""updated_at"": ""2018-12-24T23:17:12Z"", ""archive_url"": ""https://api.github.com/repos/pypa/pip/{archive_format}{/ref}"", ""commits_url"": ""https://api.github.com/repos/pypa/pip/commits{/sha}"", ""compare_url"": ""https://api.github.com/repos/pypa/pip"&amp;"/compare/{base}...{head}"", ""description"": ""The PyPA recommended tool for installing Python packages"", ""forks_count"": 1686, ""open_issues"": 600, ""permissions"": {""pull"": true, ""push"": false, ""admin"": false}, ""branches_url"": ""https://api.g"&amp;"ithub.com/repos/pypa/pip/branches{/branch}"", ""comments_url"": ""https://api.github.com/repos/pypa/pip/comments{/number}"", ""contents_url"": ""https://api.github.com/repos/pypa/pip/contents/{+path}"", ""git_refs_url"": ""https://api.github.com/repos/pyp"&amp;"a/pip/git/refs{/sha}"", ""git_tags_url"": ""https://api.github.com/repos/pypa/pip/git/tags{/sha}"", ""has_projects"": false, ""releases_url"": ""https://api.github.com/repos/pypa/pip/releases{/id}"", ""statuses_url"": ""https://api.github.com/repos/pypa/p"&amp;"ip/statuses/{sha}"", ""assignees_url"": ""https://api.github.com/repos/pypa/pip/assignees{/user}"", ""downloads_url"": ""https://api.github.com/repos/pypa/pip/downloads"", ""has_downloads"": true, ""languages_url"": ""https://api.github.com/repos/pypa/pip"&amp;"/languages"", ""default_branch"": ""master"", ""milestones_url"": ""https://api.github.com/repos/pypa/pip/milestones{/number}"", ""stargazers_url"": ""https://api.github.com/repos/pypa/pip/stargazers"", ""watchers_count"": 5068, ""deployments_url"": ""htt"&amp;"ps://api.github.com/repos/pypa/pip/deployments"", ""git_commits_url"": ""https://api.github.com/repos/pypa/pip/git/commits{/sha}"", ""subscribers_url"": ""https://api.github.com/repos/pypa/pip/subscribers"", ""contributors_url"": ""https://api.github.com/"&amp;"repos/pypa/pip/contributors"", ""issue_events_url"": ""https://api.github.com/repos/pypa/pip/issues/events{/number}"", ""stargazers_count"": 5068, ""subscription_url"": ""https://api.github.com/repos/pypa/pip/subscription"", ""collaborators_url"": ""https"&amp;"://api.github.com/repos/pypa/pip/collaborators{/collaborator}"", ""issue_comment_url"": ""https://api.github.com/repos/pypa/pip/issues/comments{/number}"", ""notifications_url"": ""https://api.github.com/repos/pypa/pip/notifications{?since,all,participati"&amp;"ng}"", ""open_issues_count"": 600}")</f>
        <v>{"id": 1446467, "url": "https://api.github.com/repos/pypa/pip", "fork": false, "name": "pip", "size": 52604, "forks": 1686, "owner": {"id": 647025, "url": "https://api.github.com/users/pypa", "type": "Organization", "login": "pypa", "node_id": "MDEyOk9yZ2FuaXphdGlvbjY0NzAyNQ==", "html_url": "https://github.com/pypa", "gists_url": "https://api.github.com/users/pypa/gists{/gist_id}", "repos_url": "https://api.github.com/users/pypa/repos", "avatar_url": "https://avatars2.githubusercontent.com/u/647025?v=4", "events_url": "https://api.github.com/users/pypa/events{/privacy}", "site_admin": false, "gravatar_id": "", "starred_url": "https://api.github.com/users/pypa/starred{/owner}{/repo}", "followers_url": "https://api.github.com/users/pypa/followers", "following_url": "https://api.github.com/users/pypa/following{/other_user}", "organizations_url": "https://api.github.com/users/pypa/orgs", "subscriptions_url": "https://api.github.com/users/pypa/subscriptions", "received_events_url": "https://api.github.com/users/pypa/received_events"}, "score": 1.0, "topics": ["packaging", "pip", "python"], "git_url": "git://github.com/pypa/pip.git", "license": {"key": "mit", "url": "https://api.github.com/licenses/mit", "name": "MIT License", "node_id": "MDc6TGljZW5zZTEz", "spdx_id": "MIT"}, "node_id": "MDEwOlJlcG9zaXRvcnkxNDQ2NDY3", "private": false, "ssh_url": "git@github.com:pypa/pip.git", "svn_url": "https://github.com/pypa/pip", "archived": false, "has_wiki": false, "homepage": "https://pip.pypa.io/", "html_url": "https://github.com/pypa/pip", "keys_url": "https://api.github.com/repos/pypa/pip/keys{/key_id}", "language": "Python", "tags_url": "https://api.github.com/repos/pypa/pip/tags", "watchers": 5068, "blobs_url": "https://api.github.com/repos/pypa/pip/git/blobs{/sha}", "clone_url": "https://github.com/pypa/pip.git", "forks_url": "https://api.github.com/repos/pypa/pip/forks", "full_name": "pypa/pip", "has_pages": false, "hooks_url": "https://api.github.com/repos/pypa/pip/hooks", "pulls_url": "https://api.github.com/repos/pypa/pip/pulls{/number}", "pushed_at": "2018-12-24T05:57:38Z", "teams_url": "https://api.github.com/repos/pypa/pip/teams", "trees_url": "https://api.github.com/repos/pypa/pip/git/trees{/sha}", "created_at": "2011-03-06T14:30:46Z", "events_url": "https://api.github.com/repos/pypa/pip/events", "has_issues": true, "issues_url": "https://api.github.com/repos/pypa/pip/issues{/number}", "labels_url": "https://api.github.com/repos/pypa/pip/labels{/name}", "merges_url": "https://api.github.com/repos/pypa/pip/merges", "mirror_url": null, "updated_at": "2018-12-24T23:17:12Z", "archive_url": "https://api.github.com/repos/pypa/pip/{archive_format}{/ref}", "commits_url": "https://api.github.com/repos/pypa/pip/commits{/sha}", "compare_url": "https://api.github.com/repos/pypa/pip/compare/{base}...{head}", "description": "The PyPA recommended tool for installing Python packages", "forks_count": 1686, "open_issues": 600, "permissions": {"pull": true, "push": false, "admin": false}, "branches_url": "https://api.github.com/repos/pypa/pip/branches{/branch}", "comments_url": "https://api.github.com/repos/pypa/pip/comments{/number}", "contents_url": "https://api.github.com/repos/pypa/pip/contents/{+path}", "git_refs_url": "https://api.github.com/repos/pypa/pip/git/refs{/sha}", "git_tags_url": "https://api.github.com/repos/pypa/pip/git/tags{/sha}", "has_projects": false, "releases_url": "https://api.github.com/repos/pypa/pip/releases{/id}", "statuses_url": "https://api.github.com/repos/pypa/pip/statuses/{sha}", "assignees_url": "https://api.github.com/repos/pypa/pip/assignees{/user}", "downloads_url": "https://api.github.com/repos/pypa/pip/downloads", "has_downloads": true, "languages_url": "https://api.github.com/repos/pypa/pip/languages", "default_branch": "master", "milestones_url": "https://api.github.com/repos/pypa/pip/milestones{/number}", "stargazers_url": "https://api.github.com/repos/pypa/pip/stargazers", "watchers_count": 5068, "deployments_url": "https://api.github.com/repos/pypa/pip/deployments", "git_commits_url": "https://api.github.com/repos/pypa/pip/git/commits{/sha}", "subscribers_url": "https://api.github.com/repos/pypa/pip/subscribers", "contributors_url": "https://api.github.com/repos/pypa/pip/contributors", "issue_events_url": "https://api.github.com/repos/pypa/pip/issues/events{/number}", "stargazers_count": 5068, "subscription_url": "https://api.github.com/repos/pypa/pip/subscription", "collaborators_url": "https://api.github.com/repos/pypa/pip/collaborators{/collaborator}", "issue_comment_url": "https://api.github.com/repos/pypa/pip/issues/comments{/number}", "notifications_url": "https://api.github.com/repos/pypa/pip/notifications{?since,all,participating}", "open_issues_count": 600}</v>
      </c>
      <c r="T32" s="12">
        <f>IFERROR(__xludf.DUMMYFUNCTION("""COMPUTED_VALUE"""),0.995844115)</f>
        <v>0.995844115</v>
      </c>
      <c r="U32" s="12">
        <f>IFERROR(__xludf.DUMMYFUNCTION("""COMPUTED_VALUE"""),1224951.0)</f>
        <v>1224951</v>
      </c>
      <c r="V32" s="14">
        <f>IFERROR(__xludf.DUMMYFUNCTION("""COMPUTED_VALUE"""),93.0)</f>
        <v>93</v>
      </c>
      <c r="W32" s="15" t="str">
        <f>IFERROR(__xludf.DUMMYFUNCTION("IFERROR(REGEXEXTRACT(J32,""""""ratio"""": (\d+.\d+), """"language"""": """"Python""""""),"""")"),"0.9958441153014114")</f>
        <v>0.9958441153014114</v>
      </c>
      <c r="X32" s="15" t="str">
        <f t="shared" si="1"/>
        <v>packaging, pip, python</v>
      </c>
    </row>
    <row r="33">
      <c r="A33" s="10" t="str">
        <f>IFERROR(__xludf.DUMMYFUNCTION("""COMPUTED_VALUE"""),"Pylons/pyramid")</f>
        <v>Pylons/pyramid</v>
      </c>
      <c r="B33" s="10" t="str">
        <f>IFERROR(__xludf.DUMMYFUNCTION("""COMPUTED_VALUE"""),"Pyramid - A Python web framework")</f>
        <v>Pyramid - A Python web framework</v>
      </c>
      <c r="C33" s="11" t="str">
        <f>IFERROR(__xludf.DUMMYFUNCTION("""COMPUTED_VALUE"""),"https://github.com/Pylons/pyramid")</f>
        <v>https://github.com/Pylons/pyramid</v>
      </c>
      <c r="D33" s="10">
        <f>IFERROR(__xludf.DUMMYFUNCTION("""COMPUTED_VALUE"""),3009.0)</f>
        <v>3009</v>
      </c>
      <c r="E33" s="10">
        <f>IFERROR(__xludf.DUMMYFUNCTION("""COMPUTED_VALUE"""),176.0)</f>
        <v>176</v>
      </c>
      <c r="F33" s="10">
        <f>IFERROR(__xludf.DUMMYFUNCTION("""COMPUTED_VALUE"""),23199.0)</f>
        <v>23199</v>
      </c>
      <c r="G33" s="10" t="str">
        <f>IFERROR(__xludf.DUMMYFUNCTION("""COMPUTED_VALUE"""),"""[\""pylons\"", \""pyramid\"", \""python\"", \""web-framework\"", \""wsgi\""]""")</f>
        <v>"[\"pylons\", \"pyramid\", \"python\", \"web-framework\", \"wsgi\"]"</v>
      </c>
      <c r="H33" s="12">
        <f>IFERROR(__xludf.DUMMYFUNCTION("""COMPUTED_VALUE"""),11187.0)</f>
        <v>11187</v>
      </c>
      <c r="I33" s="12">
        <f>IFERROR(__xludf.DUMMYFUNCTION("""COMPUTED_VALUE"""),258.0)</f>
        <v>258</v>
      </c>
      <c r="J33" s="10" t="str">
        <f>IFERROR(__xludf.DUMMYFUNCTION("""COMPUTED_VALUE"""),"[{""loc"": 2076106, ""ratio"": 1.0, ""language"": ""Python""}]")</f>
        <v>[{"loc": 2076106, "ratio": 1.0, "language": "Python"}]</v>
      </c>
      <c r="K33" s="13">
        <f>IFERROR(__xludf.DUMMYFUNCTION("""COMPUTED_VALUE"""),40475.0)</f>
        <v>40475</v>
      </c>
      <c r="L33" s="13">
        <f>IFERROR(__xludf.DUMMYFUNCTION("""COMPUTED_VALUE"""),43431.0)</f>
        <v>43431</v>
      </c>
      <c r="M33" s="10">
        <f>IFERROR(__xludf.DUMMYFUNCTION("""COMPUTED_VALUE"""),71.0)</f>
        <v>71</v>
      </c>
      <c r="N33" s="12">
        <f>IFERROR(__xludf.DUMMYFUNCTION("""COMPUTED_VALUE"""),137.0)</f>
        <v>137</v>
      </c>
      <c r="O33" s="12" t="str">
        <f>IFERROR(__xludf.DUMMYFUNCTION("""COMPUTED_VALUE"""),"1.10.1")</f>
        <v>1.10.1</v>
      </c>
      <c r="P33" s="12" t="str">
        <f>IFERROR(__xludf.DUMMYFUNCTION("""COMPUTED_VALUE"""),"aa6f92b4584081c42410b87fa6d9d246f659f2c0")</f>
        <v>aa6f92b4584081c42410b87fa6d9d246f659f2c0</v>
      </c>
      <c r="Q33" s="12" t="str">
        <f>IFERROR(__xludf.DUMMYFUNCTION("""COMPUTED_VALUE"""),"{""key"": ""other"", ""url"": null, ""name"": ""Other"", ""node_id"": ""MDc6TGljZW5zZTA="", ""spdx_id"": ""NOASSERTION""}")</f>
        <v>{"key": "other", "url": null, "name": "Other", "node_id": "MDc6TGljZW5zZTA=", "spdx_id": "NOASSERTION"}</v>
      </c>
      <c r="R33" s="12" t="str">
        <f>IFERROR(__xludf.DUMMYFUNCTION("""COMPUTED_VALUE"""),"pyramid")</f>
        <v>pyramid</v>
      </c>
      <c r="S33" s="12" t="str">
        <f>IFERROR(__xludf.DUMMYFUNCTION("""COMPUTED_VALUE"""),"{""id"": 1020639, ""url"": ""https://api.github.com/repos/Pylons/pyramid"", ""fork"": false, ""name"": ""pyramid"", ""size"": 23199, ""forks"": 836, ""owner"": {""id"": 452227, ""url"": ""https://api.github.com/users/Pylons"", ""type"": ""Organization"", "&amp;"""login"": ""Pylons"", ""node_id"": ""MDEyOk9yZ2FuaXphdGlvbjQ1MjIyNw=="", ""html_url"": ""https://github.com/Pylons"", ""gists_url"": ""https://api.github.com/users/Pylons/gists{/gist_id}"", ""repos_url"": ""https://api.github.com/users/Pylons/repos"", """&amp;"avatar_url"": ""https://avatars1.githubusercontent.com/u/452227?v=4"", ""events_url"": ""https://api.github.com/users/Pylons/events{/privacy}"", ""site_admin"": false, ""gravatar_id"": """", ""starred_url"": ""https://api.github.com/users/Pylons/starred{/"&amp;"owner}{/repo}"", ""followers_url"": ""https://api.github.com/users/Pylons/followers"", ""following_url"": ""https://api.github.com/users/Pylons/following{/other_user}"", ""organizations_url"": ""https://api.github.com/users/Pylons/orgs"", ""subscriptions_"&amp;"url"": ""https://api.github.com/users/Pylons/subscriptions"", ""received_events_url"": ""https://api.github.com/users/Pylons/received_events""}, ""score"": 1.0, ""topics"": [""pylons"", ""pyramid"", ""python"", ""web-framework"", ""wsgi""], ""git_url"": "&amp;"""git://github.com/Pylons/pyramid.git"", ""license"": {""key"": ""other"", ""url"": null, ""name"": ""Other"", ""node_id"": ""MDc6TGljZW5zZTA="", ""spdx_id"": ""NOASSERTION""}, ""node_id"": ""MDEwOlJlcG9zaXRvcnkxMDIwNjM5"", ""private"": false, ""ssh_url"""&amp;": ""git@github.com:Pylons/pyramid.git"", ""svn_url"": ""https://github.com/Pylons/pyramid"", ""archived"": false, ""has_wiki"": true, ""homepage"": ""https://trypyramid.com/"", ""html_url"": ""https://github.com/Pylons/pyramid"", ""keys_url"": ""https://a"&amp;"pi.github.com/repos/Pylons/pyramid/keys{/key_id}"", ""language"": ""Python"", ""tags_url"": ""https://api.github.com/repos/Pylons/pyramid/tags"", ""watchers"": 3009, ""blobs_url"": ""https://api.github.com/repos/Pylons/pyramid/git/blobs{/sha}"", ""clone_u"&amp;"rl"": ""https://github.com/Pylons/pyramid.git"", ""forks_url"": ""https://api.github.com/repos/Pylons/pyramid/forks"", ""full_name"": ""Pylons/pyramid"", ""has_pages"": false, ""hooks_url"": ""https://api.github.com/repos/Pylons/pyramid/hooks"", ""pulls_u"&amp;"rl"": ""https://api.github.com/repos/Pylons/pyramid/pulls{/number}"", ""pushed_at"": ""2018-11-27T11:28:21Z"", ""teams_url"": ""https://api.github.com/repos/Pylons/pyramid/teams"", ""trees_url"": ""https://api.github.com/repos/Pylons/pyramid/git/trees{/sh"&amp;"a}"", ""created_at"": ""2010-10-24T22:00:35Z"", ""events_url"": ""https://api.github.com/repos/Pylons/pyramid/events"", ""has_issues"": true, ""issues_url"": ""https://api.github.com/repos/Pylons/pyramid/issues{/number}"", ""labels_url"": ""https://api.gi"&amp;"thub.com/repos/Pylons/pyramid/labels{/name}"", ""merges_url"": ""https://api.github.com/repos/Pylons/pyramid/merges"", ""mirror_url"": null, ""updated_at"": ""2018-12-24T23:53:23Z"", ""archive_url"": ""https://api.github.com/repos/Pylons/pyramid/{archive_"&amp;"format}{/ref}"", ""commits_url"": ""https://api.github.com/repos/Pylons/pyramid/commits{/sha}"", ""compare_url"": ""https://api.github.com/repos/Pylons/pyramid/compare/{base}...{head}"", ""description"": ""Pyramid - A Python web framework"", ""forks_count"&amp;""": 836, ""open_issues"": 71, ""permissions"": {""pull"": true, ""push"": false, ""admin"": false}, ""branches_url"": ""https://api.github.com/repos/Pylons/pyramid/branches{/branch}"", ""comments_url"": ""https://api.github.com/repos/Pylons/pyramid/commen"&amp;"ts{/number}"", ""contents_url"": ""https://api.github.com/repos/Pylons/pyramid/contents/{+path}"", ""git_refs_url"": ""https://api.github.com/repos/Pylons/pyramid/git/refs{/sha}"", ""git_tags_url"": ""https://api.github.com/repos/Pylons/pyramid/git/tags{/"&amp;"sha}"", ""has_projects"": false, ""releases_url"": ""https://api.github.com/repos/Pylons/pyramid/releases{/id}"", ""statuses_url"": ""https://api.github.com/repos/Pylons/pyramid/statuses/{sha}"", ""assignees_url"": ""https://api.github.com/repos/Pylons/py"&amp;"ramid/assignees{/user}"", ""downloads_url"": ""https://api.github.com/repos/Pylons/pyramid/downloads"", ""has_downloads"": true, ""languages_url"": ""https://api.github.com/repos/Pylons/pyramid/languages"", ""default_branch"": ""master"", ""milestones_url"&amp;""": ""https://api.github.com/repos/Pylons/pyramid/milestones{/number}"", ""stargazers_url"": ""https://api.github.com/repos/Pylons/pyramid/stargazers"", ""watchers_count"": 3009, ""deployments_url"": ""https://api.github.com/repos/Pylons/pyramid/deploymen"&amp;"ts"", ""git_commits_url"": ""https://api.github.com/repos/Pylons/pyramid/git/commits{/sha}"", ""subscribers_url"": ""https://api.github.com/repos/Pylons/pyramid/subscribers"", ""contributors_url"": ""https://api.github.com/repos/Pylons/pyramid/contributor"&amp;"s"", ""issue_events_url"": ""https://api.github.com/repos/Pylons/pyramid/issues/events{/number}"", ""stargazers_count"": 3009, ""subscription_url"": ""https://api.github.com/repos/Pylons/pyramid/subscription"", ""collaborators_url"": ""https://api.github."&amp;"com/repos/Pylons/pyramid/collaborators{/collaborator}"", ""issue_comment_url"": ""https://api.github.com/repos/Pylons/pyramid/issues/comments{/number}"", ""notifications_url"": ""https://api.github.com/repos/Pylons/pyramid/notifications{?since,all,partici"&amp;"pating}"", ""open_issues_count"": 71}")</f>
        <v>{"id": 1020639, "url": "https://api.github.com/repos/Pylons/pyramid", "fork": false, "name": "pyramid", "size": 23199, "forks": 836, "owner": {"id": 452227, "url": "https://api.github.com/users/Pylons", "type": "Organization", "login": "Pylons", "node_id": "MDEyOk9yZ2FuaXphdGlvbjQ1MjIyNw==", "html_url": "https://github.com/Pylons", "gists_url": "https://api.github.com/users/Pylons/gists{/gist_id}", "repos_url": "https://api.github.com/users/Pylons/repos", "avatar_url": "https://avatars1.githubusercontent.com/u/452227?v=4", "events_url": "https://api.github.com/users/Pylons/events{/privacy}", "site_admin": false, "gravatar_id": "", "starred_url": "https://api.github.com/users/Pylons/starred{/owner}{/repo}", "followers_url": "https://api.github.com/users/Pylons/followers", "following_url": "https://api.github.com/users/Pylons/following{/other_user}", "organizations_url": "https://api.github.com/users/Pylons/orgs", "subscriptions_url": "https://api.github.com/users/Pylons/subscriptions", "received_events_url": "https://api.github.com/users/Pylons/received_events"}, "score": 1.0, "topics": ["pylons", "pyramid", "python", "web-framework", "wsgi"], "git_url": "git://github.com/Pylons/pyramid.git", "license": {"key": "other", "url": null, "name": "Other", "node_id": "MDc6TGljZW5zZTA=", "spdx_id": "NOASSERTION"}, "node_id": "MDEwOlJlcG9zaXRvcnkxMDIwNjM5", "private": false, "ssh_url": "git@github.com:Pylons/pyramid.git", "svn_url": "https://github.com/Pylons/pyramid", "archived": false, "has_wiki": true, "homepage": "https://trypyramid.com/", "html_url": "https://github.com/Pylons/pyramid", "keys_url": "https://api.github.com/repos/Pylons/pyramid/keys{/key_id}", "language": "Python", "tags_url": "https://api.github.com/repos/Pylons/pyramid/tags", "watchers": 3009, "blobs_url": "https://api.github.com/repos/Pylons/pyramid/git/blobs{/sha}", "clone_url": "https://github.com/Pylons/pyramid.git", "forks_url": "https://api.github.com/repos/Pylons/pyramid/forks", "full_name": "Pylons/pyramid", "has_pages": false, "hooks_url": "https://api.github.com/repos/Pylons/pyramid/hooks", "pulls_url": "https://api.github.com/repos/Pylons/pyramid/pulls{/number}", "pushed_at": "2018-11-27T11:28:21Z", "teams_url": "https://api.github.com/repos/Pylons/pyramid/teams", "trees_url": "https://api.github.com/repos/Pylons/pyramid/git/trees{/sha}", "created_at": "2010-10-24T22:00:35Z", "events_url": "https://api.github.com/repos/Pylons/pyramid/events", "has_issues": true, "issues_url": "https://api.github.com/repos/Pylons/pyramid/issues{/number}", "labels_url": "https://api.github.com/repos/Pylons/pyramid/labels{/name}", "merges_url": "https://api.github.com/repos/Pylons/pyramid/merges", "mirror_url": null, "updated_at": "2018-12-24T23:53:23Z", "archive_url": "https://api.github.com/repos/Pylons/pyramid/{archive_format}{/ref}", "commits_url": "https://api.github.com/repos/Pylons/pyramid/commits{/sha}", "compare_url": "https://api.github.com/repos/Pylons/pyramid/compare/{base}...{head}", "description": "Pyramid - A Python web framework", "forks_count": 836, "open_issues": 71, "permissions": {"pull": true, "push": false, "admin": false}, "branches_url": "https://api.github.com/repos/Pylons/pyramid/branches{/branch}", "comments_url": "https://api.github.com/repos/Pylons/pyramid/comments{/number}", "contents_url": "https://api.github.com/repos/Pylons/pyramid/contents/{+path}", "git_refs_url": "https://api.github.com/repos/Pylons/pyramid/git/refs{/sha}", "git_tags_url": "https://api.github.com/repos/Pylons/pyramid/git/tags{/sha}", "has_projects": false, "releases_url": "https://api.github.com/repos/Pylons/pyramid/releases{/id}", "statuses_url": "https://api.github.com/repos/Pylons/pyramid/statuses/{sha}", "assignees_url": "https://api.github.com/repos/Pylons/pyramid/assignees{/user}", "downloads_url": "https://api.github.com/repos/Pylons/pyramid/downloads", "has_downloads": true, "languages_url": "https://api.github.com/repos/Pylons/pyramid/languages", "default_branch": "master", "milestones_url": "https://api.github.com/repos/Pylons/pyramid/milestones{/number}", "stargazers_url": "https://api.github.com/repos/Pylons/pyramid/stargazers", "watchers_count": 3009, "deployments_url": "https://api.github.com/repos/Pylons/pyramid/deployments", "git_commits_url": "https://api.github.com/repos/Pylons/pyramid/git/commits{/sha}", "subscribers_url": "https://api.github.com/repos/Pylons/pyramid/subscribers", "contributors_url": "https://api.github.com/repos/Pylons/pyramid/contributors", "issue_events_url": "https://api.github.com/repos/Pylons/pyramid/issues/events{/number}", "stargazers_count": 3009, "subscription_url": "https://api.github.com/repos/Pylons/pyramid/subscription", "collaborators_url": "https://api.github.com/repos/Pylons/pyramid/collaborators{/collaborator}", "issue_comment_url": "https://api.github.com/repos/Pylons/pyramid/issues/comments{/number}", "notifications_url": "https://api.github.com/repos/Pylons/pyramid/notifications{?since,all,participating}", "open_issues_count": 71}</v>
      </c>
      <c r="T33" s="12">
        <f>IFERROR(__xludf.DUMMYFUNCTION("""COMPUTED_VALUE"""),1.0)</f>
        <v>1</v>
      </c>
      <c r="U33" s="12">
        <f>IFERROR(__xludf.DUMMYFUNCTION("""COMPUTED_VALUE"""),2076106.0)</f>
        <v>2076106</v>
      </c>
      <c r="V33" s="14">
        <f>IFERROR(__xludf.DUMMYFUNCTION("""COMPUTED_VALUE"""),97.0)</f>
        <v>97</v>
      </c>
      <c r="W33" s="15" t="str">
        <f>IFERROR(__xludf.DUMMYFUNCTION("IFERROR(REGEXEXTRACT(J33,""""""ratio"""": (\d+.\d+), """"language"""": """"Python""""""),"""")"),"1.0")</f>
        <v>1.0</v>
      </c>
      <c r="X33" s="15" t="str">
        <f t="shared" si="1"/>
        <v>pylons, pyramid, python, web-framework, wsgi</v>
      </c>
    </row>
    <row r="34">
      <c r="A34" s="10" t="str">
        <f>IFERROR(__xludf.DUMMYFUNCTION("""COMPUTED_VALUE"""),"ranger/ranger")</f>
        <v>ranger/ranger</v>
      </c>
      <c r="B34" s="10" t="str">
        <f>IFERROR(__xludf.DUMMYFUNCTION("""COMPUTED_VALUE"""),"A VIM-inspired filemanager for the console")</f>
        <v>A VIM-inspired filemanager for the console</v>
      </c>
      <c r="C34" s="11" t="str">
        <f>IFERROR(__xludf.DUMMYFUNCTION("""COMPUTED_VALUE"""),"https://github.com/ranger/ranger")</f>
        <v>https://github.com/ranger/ranger</v>
      </c>
      <c r="D34" s="10">
        <f>IFERROR(__xludf.DUMMYFUNCTION("""COMPUTED_VALUE"""),4765.0)</f>
        <v>4765</v>
      </c>
      <c r="E34" s="10">
        <f>IFERROR(__xludf.DUMMYFUNCTION("""COMPUTED_VALUE"""),142.0)</f>
        <v>142</v>
      </c>
      <c r="F34" s="10">
        <f>IFERROR(__xludf.DUMMYFUNCTION("""COMPUTED_VALUE"""),8430.0)</f>
        <v>8430</v>
      </c>
      <c r="G34" s="10" t="str">
        <f>IFERROR(__xludf.DUMMYFUNCTION("""COMPUTED_VALUE"""),"""[\""console\"", \""file-launcher\"", \""file-manager\"", \""file-preview\"", \""vim\""]""")</f>
        <v>"[\"console\", \"file-launcher\", \"file-manager\", \"file-preview\", \"vim\"]"</v>
      </c>
      <c r="H34" s="12">
        <f>IFERROR(__xludf.DUMMYFUNCTION("""COMPUTED_VALUE"""),3883.0)</f>
        <v>3883</v>
      </c>
      <c r="I34" s="12">
        <f>IFERROR(__xludf.DUMMYFUNCTION("""COMPUTED_VALUE"""),124.0)</f>
        <v>124</v>
      </c>
      <c r="J34" s="10" t="str">
        <f>IFERROR(__xludf.DUMMYFUNCTION("""COMPUTED_VALUE"""),"[{""loc"": 596883, ""ratio"": 0.9788481438418055, ""language"": ""Python""}, {""loc"": 8487, ""ratio"": 0.013918111584322896, ""language"": ""Shell""}, {""loc"": 4223, ""ratio"": 0.006925437165146176, ""language"": ""Makefile""}, {""loc"": 188, ""ratio"":"&amp;" 0.00030830740872542765, ""language"": ""Dockerfile""}]")</f>
        <v>[{"loc": 596883, "ratio": 0.9788481438418055, "language": "Python"}, {"loc": 8487, "ratio": 0.013918111584322896, "language": "Shell"}, {"loc": 4223, "ratio": 0.006925437165146176, "language": "Makefile"}, {"loc": 188, "ratio": 0.00030830740872542765, "language": "Dockerfile"}]</v>
      </c>
      <c r="K34" s="13">
        <f>IFERROR(__xludf.DUMMYFUNCTION("""COMPUTED_VALUE"""),39968.0)</f>
        <v>39968</v>
      </c>
      <c r="L34" s="13">
        <f>IFERROR(__xludf.DUMMYFUNCTION("""COMPUTED_VALUE"""),43458.0)</f>
        <v>43458</v>
      </c>
      <c r="M34" s="10">
        <f>IFERROR(__xludf.DUMMYFUNCTION("""COMPUTED_VALUE"""),297.0)</f>
        <v>297</v>
      </c>
      <c r="N34" s="12">
        <f>IFERROR(__xludf.DUMMYFUNCTION("""COMPUTED_VALUE"""),47.0)</f>
        <v>47</v>
      </c>
      <c r="O34" s="12" t="str">
        <f>IFERROR(__xludf.DUMMYFUNCTION("""COMPUTED_VALUE"""),"v1.9.2")</f>
        <v>v1.9.2</v>
      </c>
      <c r="P34" s="12" t="str">
        <f>IFERROR(__xludf.DUMMYFUNCTION("""COMPUTED_VALUE"""),"d8047529f0ea0df007007ab5b3ef19363a6491e6")</f>
        <v>d8047529f0ea0df007007ab5b3ef19363a6491e6</v>
      </c>
      <c r="Q34" s="12" t="str">
        <f>IFERROR(__xludf.DUMMYFUNCTION("""COMPUTED_VALUE"""),"{""key"": ""gpl-3.0"", ""url"": ""https://api.github.com/licenses/gpl-3.0"", ""name"": ""GNU General Public License v3.0"", ""node_id"": ""MDc6TGljZW5zZTk="", ""spdx_id"": ""GPL-3.0""}")</f>
        <v>{"key": "gpl-3.0", "url": "https://api.github.com/licenses/gpl-3.0", "name": "GNU General Public License v3.0", "node_id": "MDc6TGljZW5zZTk=", "spdx_id": "GPL-3.0"}</v>
      </c>
      <c r="R34" s="12" t="str">
        <f>IFERROR(__xludf.DUMMYFUNCTION("""COMPUTED_VALUE"""),"ranger")</f>
        <v>ranger</v>
      </c>
      <c r="S34" s="12" t="str">
        <f>IFERROR(__xludf.DUMMYFUNCTION("""COMPUTED_VALUE"""),"{""id"": 218157, ""url"": ""https://api.github.com/repos/ranger/ranger"", ""fork"": false, ""name"": ""ranger"", ""size"": 8430, ""forks"": 367, ""owner"": {""id"": 13310689, ""url"": ""https://api.github.com/users/ranger"", ""type"": ""Organization"", """&amp;"login"": ""ranger"", ""node_id"": ""MDEyOk9yZ2FuaXphdGlvbjEzMzEwNjg5"", ""html_url"": ""https://github.com/ranger"", ""gists_url"": ""https://api.github.com/users/ranger/gists{/gist_id}"", ""repos_url"": ""https://api.github.com/users/ranger/repos"", ""av"&amp;"atar_url"": ""https://avatars0.githubusercontent.com/u/13310689?v=4"", ""events_url"": ""https://api.github.com/users/ranger/events{/privacy}"", ""site_admin"": false, ""gravatar_id"": """", ""starred_url"": ""https://api.github.com/users/ranger/starred{/"&amp;"owner}{/repo}"", ""followers_url"": ""https://api.github.com/users/ranger/followers"", ""following_url"": ""https://api.github.com/users/ranger/following{/other_user}"", ""organizations_url"": ""https://api.github.com/users/ranger/orgs"", ""subscriptions_"&amp;"url"": ""https://api.github.com/users/ranger/subscriptions"", ""received_events_url"": ""https://api.github.com/users/ranger/received_events""}, ""score"": 1.0, ""topics"": [""console"", ""file-launcher"", ""file-manager"", ""file-preview"", ""vim""], ""g"&amp;"it_url"": ""git://github.com/ranger/ranger.git"", ""license"": {""key"": ""gpl-3.0"", ""url"": ""https://api.github.com/licenses/gpl-3.0"", ""name"": ""GNU General Public License v3.0"", ""node_id"": ""MDc6TGljZW5zZTk="", ""spdx_id"": ""GPL-3.0""}, ""node"&amp;"_id"": ""MDEwOlJlcG9zaXRvcnkyMTgxNTc="", ""private"": false, ""ssh_url"": ""git@github.com:ranger/ranger.git"", ""svn_url"": ""https://github.com/ranger/ranger"", ""archived"": false, ""has_wiki"": true, ""homepage"": ""https://ranger.github.io/"", ""html"&amp;"_url"": ""https://github.com/ranger/ranger"", ""keys_url"": ""https://api.github.com/repos/ranger/ranger/keys{/key_id}"", ""language"": ""Python"", ""tags_url"": ""https://api.github.com/repos/ranger/ranger/tags"", ""watchers"": 4765, ""blobs_url"": ""htt"&amp;"ps://api.github.com/repos/ranger/ranger/git/blobs{/sha}"", ""clone_url"": ""https://github.com/ranger/ranger.git"", ""forks_url"": ""https://api.github.com/repos/ranger/ranger/forks"", ""full_name"": ""ranger/ranger"", ""has_pages"": false, ""hooks_url"":"&amp;" ""https://api.github.com/repos/ranger/ranger/hooks"", ""pulls_url"": ""https://api.github.com/repos/ranger/ranger/pulls{/number}"", ""pushed_at"": ""2018-12-24T19:25:24Z"", ""teams_url"": ""https://api.github.com/repos/ranger/ranger/teams"", ""trees_url"&amp;""": ""https://api.github.com/repos/ranger/ranger/git/trees{/sha}"", ""created_at"": ""2009-06-04T06:41:11Z"", ""events_url"": ""https://api.github.com/repos/ranger/ranger/events"", ""has_issues"": true, ""issues_url"": ""https://api.github.com/repos/range"&amp;"r/ranger/issues{/number}"", ""labels_url"": ""https://api.github.com/repos/ranger/ranger/labels{/name}"", ""merges_url"": ""https://api.github.com/repos/ranger/ranger/merges"", ""mirror_url"": null, ""updated_at"": ""2018-12-25T02:27:55Z"", ""archive_url"&amp;""": ""https://api.github.com/repos/ranger/ranger/{archive_format}{/ref}"", ""commits_url"": ""https://api.github.com/repos/ranger/ranger/commits{/sha}"", ""compare_url"": ""https://api.github.com/repos/ranger/ranger/compare/{base}...{head}"", ""descriptio"&amp;"n"": ""A VIM-inspired filemanager for the console"", ""forks_count"": 367, ""open_issues"": 297, ""permissions"": {""pull"": true, ""push"": false, ""admin"": false}, ""branches_url"": ""https://api.github.com/repos/ranger/ranger/branches{/branch}"", ""co"&amp;"mments_url"": ""https://api.github.com/repos/ranger/ranger/comments{/number}"", ""contents_url"": ""https://api.github.com/repos/ranger/ranger/contents/{+path}"", ""git_refs_url"": ""https://api.github.com/repos/ranger/ranger/git/refs{/sha}"", ""git_tags_"&amp;"url"": ""https://api.github.com/repos/ranger/ranger/git/tags{/sha}"", ""has_projects"": true, ""releases_url"": ""https://api.github.com/repos/ranger/ranger/releases{/id}"", ""statuses_url"": ""https://api.github.com/repos/ranger/ranger/statuses/{sha}"", "&amp;"""assignees_url"": ""https://api.github.com/repos/ranger/ranger/assignees{/user}"", ""downloads_url"": ""https://api.github.com/repos/ranger/ranger/downloads"", ""has_downloads"": true, ""languages_url"": ""https://api.github.com/repos/ranger/ranger/langu"&amp;"ages"", ""default_branch"": ""master"", ""milestones_url"": ""https://api.github.com/repos/ranger/ranger/milestones{/number}"", ""stargazers_url"": ""https://api.github.com/repos/ranger/ranger/stargazers"", ""watchers_count"": 4765, ""deployments_url"": "&amp;"""https://api.github.com/repos/ranger/ranger/deployments"", ""git_commits_url"": ""https://api.github.com/repos/ranger/ranger/git/commits{/sha}"", ""subscribers_url"": ""https://api.github.com/repos/ranger/ranger/subscribers"", ""contributors_url"": ""htt"&amp;"ps://api.github.com/repos/ranger/ranger/contributors"", ""issue_events_url"": ""https://api.github.com/repos/ranger/ranger/issues/events{/number}"", ""stargazers_count"": 4765, ""subscription_url"": ""https://api.github.com/repos/ranger/ranger/subscriptio"&amp;"n"", ""collaborators_url"": ""https://api.github.com/repos/ranger/ranger/collaborators{/collaborator}"", ""issue_comment_url"": ""https://api.github.com/repos/ranger/ranger/issues/comments{/number}"", ""notifications_url"": ""https://api.github.com/repos/"&amp;"ranger/ranger/notifications{?since,all,participating}"", ""open_issues_count"": 297}")</f>
        <v>{"id": 218157, "url": "https://api.github.com/repos/ranger/ranger", "fork": false, "name": "ranger", "size": 8430, "forks": 367, "owner": {"id": 13310689, "url": "https://api.github.com/users/ranger", "type": "Organization", "login": "ranger", "node_id": "MDEyOk9yZ2FuaXphdGlvbjEzMzEwNjg5", "html_url": "https://github.com/ranger", "gists_url": "https://api.github.com/users/ranger/gists{/gist_id}", "repos_url": "https://api.github.com/users/ranger/repos", "avatar_url": "https://avatars0.githubusercontent.com/u/13310689?v=4", "events_url": "https://api.github.com/users/ranger/events{/privacy}", "site_admin": false, "gravatar_id": "", "starred_url": "https://api.github.com/users/ranger/starred{/owner}{/repo}", "followers_url": "https://api.github.com/users/ranger/followers", "following_url": "https://api.github.com/users/ranger/following{/other_user}", "organizations_url": "https://api.github.com/users/ranger/orgs", "subscriptions_url": "https://api.github.com/users/ranger/subscriptions", "received_events_url": "https://api.github.com/users/ranger/received_events"}, "score": 1.0, "topics": ["console", "file-launcher", "file-manager", "file-preview", "vim"], "git_url": "git://github.com/ranger/ranger.git", "license": {"key": "gpl-3.0", "url": "https://api.github.com/licenses/gpl-3.0", "name": "GNU General Public License v3.0", "node_id": "MDc6TGljZW5zZTk=", "spdx_id": "GPL-3.0"}, "node_id": "MDEwOlJlcG9zaXRvcnkyMTgxNTc=", "private": false, "ssh_url": "git@github.com:ranger/ranger.git", "svn_url": "https://github.com/ranger/ranger", "archived": false, "has_wiki": true, "homepage": "https://ranger.github.io/", "html_url": "https://github.com/ranger/ranger", "keys_url": "https://api.github.com/repos/ranger/ranger/keys{/key_id}", "language": "Python", "tags_url": "https://api.github.com/repos/ranger/ranger/tags", "watchers": 4765, "blobs_url": "https://api.github.com/repos/ranger/ranger/git/blobs{/sha}", "clone_url": "https://github.com/ranger/ranger.git", "forks_url": "https://api.github.com/repos/ranger/ranger/forks", "full_name": "ranger/ranger", "has_pages": false, "hooks_url": "https://api.github.com/repos/ranger/ranger/hooks", "pulls_url": "https://api.github.com/repos/ranger/ranger/pulls{/number}", "pushed_at": "2018-12-24T19:25:24Z", "teams_url": "https://api.github.com/repos/ranger/ranger/teams", "trees_url": "https://api.github.com/repos/ranger/ranger/git/trees{/sha}", "created_at": "2009-06-04T06:41:11Z", "events_url": "https://api.github.com/repos/ranger/ranger/events", "has_issues": true, "issues_url": "https://api.github.com/repos/ranger/ranger/issues{/number}", "labels_url": "https://api.github.com/repos/ranger/ranger/labels{/name}", "merges_url": "https://api.github.com/repos/ranger/ranger/merges", "mirror_url": null, "updated_at": "2018-12-25T02:27:55Z", "archive_url": "https://api.github.com/repos/ranger/ranger/{archive_format}{/ref}", "commits_url": "https://api.github.com/repos/ranger/ranger/commits{/sha}", "compare_url": "https://api.github.com/repos/ranger/ranger/compare/{base}...{head}", "description": "A VIM-inspired filemanager for the console", "forks_count": 367, "open_issues": 297, "permissions": {"pull": true, "push": false, "admin": false}, "branches_url": "https://api.github.com/repos/ranger/ranger/branches{/branch}", "comments_url": "https://api.github.com/repos/ranger/ranger/comments{/number}", "contents_url": "https://api.github.com/repos/ranger/ranger/contents/{+path}", "git_refs_url": "https://api.github.com/repos/ranger/ranger/git/refs{/sha}", "git_tags_url": "https://api.github.com/repos/ranger/ranger/git/tags{/sha}", "has_projects": true, "releases_url": "https://api.github.com/repos/ranger/ranger/releases{/id}", "statuses_url": "https://api.github.com/repos/ranger/ranger/statuses/{sha}", "assignees_url": "https://api.github.com/repos/ranger/ranger/assignees{/user}", "downloads_url": "https://api.github.com/repos/ranger/ranger/downloads", "has_downloads": true, "languages_url": "https://api.github.com/repos/ranger/ranger/languages", "default_branch": "master", "milestones_url": "https://api.github.com/repos/ranger/ranger/milestones{/number}", "stargazers_url": "https://api.github.com/repos/ranger/ranger/stargazers", "watchers_count": 4765, "deployments_url": "https://api.github.com/repos/ranger/ranger/deployments", "git_commits_url": "https://api.github.com/repos/ranger/ranger/git/commits{/sha}", "subscribers_url": "https://api.github.com/repos/ranger/ranger/subscribers", "contributors_url": "https://api.github.com/repos/ranger/ranger/contributors", "issue_events_url": "https://api.github.com/repos/ranger/ranger/issues/events{/number}", "stargazers_count": 4765, "subscription_url": "https://api.github.com/repos/ranger/ranger/subscription", "collaborators_url": "https://api.github.com/repos/ranger/ranger/collaborators{/collaborator}", "issue_comment_url": "https://api.github.com/repos/ranger/ranger/issues/comments{/number}", "notifications_url": "https://api.github.com/repos/ranger/ranger/notifications{?since,all,participating}", "open_issues_count": 297}</v>
      </c>
      <c r="T34" s="12">
        <f>IFERROR(__xludf.DUMMYFUNCTION("""COMPUTED_VALUE"""),0.978848144)</f>
        <v>0.978848144</v>
      </c>
      <c r="U34" s="12">
        <f>IFERROR(__xludf.DUMMYFUNCTION("""COMPUTED_VALUE"""),596883.0)</f>
        <v>596883</v>
      </c>
      <c r="V34" s="14">
        <f>IFERROR(__xludf.DUMMYFUNCTION("""COMPUTED_VALUE"""),114.0)</f>
        <v>114</v>
      </c>
      <c r="W34" s="15" t="str">
        <f>IFERROR(__xludf.DUMMYFUNCTION("IFERROR(REGEXEXTRACT(J34,""""""ratio"""": (\d+.\d+), """"language"""": """"Python""""""),"""")"),"0.9788481438418055")</f>
        <v>0.9788481438418055</v>
      </c>
      <c r="X34" s="15" t="str">
        <f t="shared" si="1"/>
        <v>console, file-launcher, file-manager, file-preview, vim</v>
      </c>
    </row>
    <row r="35">
      <c r="A35" s="10" t="str">
        <f>IFERROR(__xludf.DUMMYFUNCTION("""COMPUTED_VALUE"""),"getsentry/raven-python")</f>
        <v>getsentry/raven-python</v>
      </c>
      <c r="B35" s="10" t="str">
        <f>IFERROR(__xludf.DUMMYFUNCTION("""COMPUTED_VALUE"""),"Raven is the legacy Python client for Sentry (getsentry.com) — replaced by sentry-python")</f>
        <v>Raven is the legacy Python client for Sentry (getsentry.com) — replaced by sentry-python</v>
      </c>
      <c r="C35" s="11" t="str">
        <f>IFERROR(__xludf.DUMMYFUNCTION("""COMPUTED_VALUE"""),"https://github.com/getsentry/raven-python")</f>
        <v>https://github.com/getsentry/raven-python</v>
      </c>
      <c r="D35" s="10">
        <f>IFERROR(__xludf.DUMMYFUNCTION("""COMPUTED_VALUE"""),1585.0)</f>
        <v>1585</v>
      </c>
      <c r="E35" s="10">
        <f>IFERROR(__xludf.DUMMYFUNCTION("""COMPUTED_VALUE"""),162.0)</f>
        <v>162</v>
      </c>
      <c r="F35" s="10">
        <f>IFERROR(__xludf.DUMMYFUNCTION("""COMPUTED_VALUE"""),5957.0)</f>
        <v>5957</v>
      </c>
      <c r="G35" s="10" t="str">
        <f>IFERROR(__xludf.DUMMYFUNCTION("""COMPUTED_VALUE"""),"""[\""crash-reporting\"", \""crash-reports\"", \""monitoring\"", \""python\"", \""sentry\"", \""sentry-client\""]""")</f>
        <v>"[\"crash-reporting\", \"crash-reports\", \"monitoring\", \"python\", \"sentry\", \"sentry-client\"]"</v>
      </c>
      <c r="H35" s="12">
        <f>IFERROR(__xludf.DUMMYFUNCTION("""COMPUTED_VALUE"""),3582.0)</f>
        <v>3582</v>
      </c>
      <c r="I35" s="12">
        <f>IFERROR(__xludf.DUMMYFUNCTION("""COMPUTED_VALUE"""),283.0)</f>
        <v>283</v>
      </c>
      <c r="J35" s="10" t="str">
        <f>IFERROR(__xludf.DUMMYFUNCTION("""COMPUTED_VALUE"""),"[{""loc"": 473739, ""ratio"": 0.9944748945674695, ""language"": ""Python""}, {""loc"": 1868, ""ratio"": 0.003921313430078657, ""language"": ""Shell""}, {""loc"": 663, ""ratio"": 0.0013917723790910865, ""language"": ""Makefile""}, {""loc"": 101, ""ratio"":"&amp;" 0.00021201962336078392, ""language"": ""HTML""}]")</f>
        <v>[{"loc": 473739, "ratio": 0.9944748945674695, "language": "Python"}, {"loc": 1868, "ratio": 0.003921313430078657, "language": "Shell"}, {"loc": 663, "ratio": 0.0013917723790910865, "language": "Makefile"}, {"loc": 101, "ratio": 0.00021201962336078392, "language": "HTML"}]</v>
      </c>
      <c r="K35" s="13">
        <f>IFERROR(__xludf.DUMMYFUNCTION("""COMPUTED_VALUE"""),40822.0)</f>
        <v>40822</v>
      </c>
      <c r="L35" s="13">
        <f>IFERROR(__xludf.DUMMYFUNCTION("""COMPUTED_VALUE"""),43453.0)</f>
        <v>43453</v>
      </c>
      <c r="M35" s="10">
        <f>IFERROR(__xludf.DUMMYFUNCTION("""COMPUTED_VALUE"""),253.0)</f>
        <v>253</v>
      </c>
      <c r="N35" s="12">
        <f>IFERROR(__xludf.DUMMYFUNCTION("""COMPUTED_VALUE"""),186.0)</f>
        <v>186</v>
      </c>
      <c r="O35" s="12" t="str">
        <f>IFERROR(__xludf.DUMMYFUNCTION("""COMPUTED_VALUE"""),"v0.7.0")</f>
        <v>v0.7.0</v>
      </c>
      <c r="P35" s="12" t="str">
        <f>IFERROR(__xludf.DUMMYFUNCTION("""COMPUTED_VALUE"""),"2d55add71f3a4d4cbb86ba56770b0e5038cb57cf")</f>
        <v>2d55add71f3a4d4cbb86ba56770b0e5038cb57cf</v>
      </c>
      <c r="Q35" s="12" t="str">
        <f>IFERROR(__xludf.DUMMYFUNCTION("""COMPUTED_VALUE"""),"{""key"": ""bsd-3-clause"", ""url"": ""https://api.github.com/licenses/bsd-3-clause"", ""name"": ""BSD 3-Clause \""New\"" or \""Revised\"" License"", ""node_id"": ""MDc6TGljZW5zZTU="", ""spdx_id"": ""BSD-3-Clause""}")</f>
        <v>{"key": "bsd-3-clause", "url": "https://api.github.com/licenses/bsd-3-clause", "name": "BSD 3-Clause \"New\" or \"Revised\" License", "node_id": "MDc6TGljZW5zZTU=", "spdx_id": "BSD-3-Clause"}</v>
      </c>
      <c r="R35" s="12" t="str">
        <f>IFERROR(__xludf.DUMMYFUNCTION("""COMPUTED_VALUE"""),"raven-python")</f>
        <v>raven-python</v>
      </c>
      <c r="S35" s="12" t="str">
        <f>IFERROR(__xludf.DUMMYFUNCTION("""COMPUTED_VALUE"""),"{""id"": 2527828, ""url"": ""https://api.github.com/repos/getsentry/raven-python"", ""fork"": false, ""name"": ""raven-python"", ""size"": 5957, ""forks"": 805, ""owner"": {""id"": 1396951, ""url"": ""https://api.github.com/users/getsentry"", ""type"": """&amp;"Organization"", ""login"": ""getsentry"", ""node_id"": ""MDEyOk9yZ2FuaXphdGlvbjEzOTY5NTE="", ""html_url"": ""https://github.com/getsentry"", ""gists_url"": ""https://api.github.com/users/getsentry/gists{/gist_id}"", ""repos_url"": ""https://api.github.com"&amp;"/users/getsentry/repos"", ""avatar_url"": ""https://avatars0.githubusercontent.com/u/1396951?v=4"", ""events_url"": ""https://api.github.com/users/getsentry/events{/privacy}"", ""site_admin"": false, ""gravatar_id"": """", ""starred_url"": ""https://api.g"&amp;"ithub.com/users/getsentry/starred{/owner}{/repo}"", ""followers_url"": ""https://api.github.com/users/getsentry/followers"", ""following_url"": ""https://api.github.com/users/getsentry/following{/other_user}"", ""organizations_url"": ""https://api.github."&amp;"com/users/getsentry/orgs"", ""subscriptions_url"": ""https://api.github.com/users/getsentry/subscriptions"", ""received_events_url"": ""https://api.github.com/users/getsentry/received_events""}, ""score"": 1.0, ""topics"": [""crash-reporting"", ""crash-re"&amp;"ports"", ""monitoring"", ""python"", ""sentry"", ""sentry-client""], ""git_url"": ""git://github.com/getsentry/raven-python.git"", ""license"": {""key"": ""bsd-3-clause"", ""url"": ""https://api.github.com/licenses/bsd-3-clause"", ""name"": ""BSD 3-Clause"&amp;" \""New\"" or \""Revised\"" License"", ""node_id"": ""MDc6TGljZW5zZTU="", ""spdx_id"": ""BSD-3-Clause""}, ""node_id"": ""MDEwOlJlcG9zaXRvcnkyNTI3ODI4"", ""private"": false, ""ssh_url"": ""git@github.com:getsentry/raven-python.git"", ""svn_url"": ""https:/"&amp;"/github.com/getsentry/raven-python"", ""archived"": false, ""has_wiki"": false, ""homepage"": ""https://sentry.io"", ""html_url"": ""https://github.com/getsentry/raven-python"", ""keys_url"": ""https://api.github.com/repos/getsentry/raven-python/keys{/key"&amp;"_id}"", ""language"": ""Python"", ""tags_url"": ""https://api.github.com/repos/getsentry/raven-python/tags"", ""watchers"": 1585, ""blobs_url"": ""https://api.github.com/repos/getsentry/raven-python/git/blobs{/sha}"", ""clone_url"": ""https://github.com/g"&amp;"etsentry/raven-python.git"", ""forks_url"": ""https://api.github.com/repos/getsentry/raven-python/forks"", ""full_name"": ""getsentry/raven-python"", ""has_pages"": false, ""hooks_url"": ""https://api.github.com/repos/getsentry/raven-python/hooks"", ""pul"&amp;"ls_url"": ""https://api.github.com/repos/getsentry/raven-python/pulls{/number}"", ""pushed_at"": ""2018-12-19T11:02:48Z"", ""teams_url"": ""https://api.github.com/repos/getsentry/raven-python/teams"", ""trees_url"": ""https://api.github.com/repos/getsentr"&amp;"y/raven-python/git/trees{/sha}"", ""created_at"": ""2011-10-06T18:30:01Z"", ""events_url"": ""https://api.github.com/repos/getsentry/raven-python/events"", ""has_issues"": true, ""issues_url"": ""https://api.github.com/repos/getsentry/raven-python/issues{"&amp;"/number}"", ""labels_url"": ""https://api.github.com/repos/getsentry/raven-python/labels{/name}"", ""merges_url"": ""https://api.github.com/repos/getsentry/raven-python/merges"", ""mirror_url"": null, ""updated_at"": ""2018-12-22T14:37:26Z"", ""archive_ur"&amp;"l"": ""https://api.github.com/repos/getsentry/raven-python/{archive_format}{/ref}"", ""commits_url"": ""https://api.github.com/repos/getsentry/raven-python/commits{/sha}"", ""compare_url"": ""https://api.github.com/repos/getsentry/raven-python/compare/{ba"&amp;"se}...{head}"", ""description"": ""Raven is the legacy Python client for Sentry (getsentry.com) — replaced by sentry-python"", ""forks_count"": 805, ""open_issues"": 253, ""permissions"": {""pull"": true, ""push"": false, ""admin"": false}, ""branches_url"&amp;""": ""https://api.github.com/repos/getsentry/raven-python/branches{/branch}"", ""comments_url"": ""https://api.github.com/repos/getsentry/raven-python/comments{/number}"", ""contents_url"": ""https://api.github.com/repos/getsentry/raven-python/contents/{+"&amp;"path}"", ""git_refs_url"": ""https://api.github.com/repos/getsentry/raven-python/git/refs{/sha}"", ""git_tags_url"": ""https://api.github.com/repos/getsentry/raven-python/git/tags{/sha}"", ""has_projects"": true, ""releases_url"": ""https://api.github.com"&amp;"/repos/getsentry/raven-python/releases{/id}"", ""statuses_url"": ""https://api.github.com/repos/getsentry/raven-python/statuses/{sha}"", ""assignees_url"": ""https://api.github.com/repos/getsentry/raven-python/assignees{/user}"", ""downloads_url"": ""http"&amp;"s://api.github.com/repos/getsentry/raven-python/downloads"", ""has_downloads"": true, ""languages_url"": ""https://api.github.com/repos/getsentry/raven-python/languages"", ""default_branch"": ""master"", ""milestones_url"": ""https://api.github.com/repos/"&amp;"getsentry/raven-python/milestones{/number}"", ""stargazers_url"": ""https://api.github.com/repos/getsentry/raven-python/stargazers"", ""watchers_count"": 1585, ""deployments_url"": ""https://api.github.com/repos/getsentry/raven-python/deployments"", ""git"&amp;"_commits_url"": ""https://api.github.com/repos/getsentry/raven-python/git/commits{/sha}"", ""subscribers_url"": ""https://api.github.com/repos/getsentry/raven-python/subscribers"", ""contributors_url"": ""https://api.github.com/repos/getsentry/raven-pytho"&amp;"n/contributors"", ""issue_events_url"": ""https://api.github.com/repos/getsentry/raven-python/issues/events{/number}"", ""stargazers_count"": 1585, ""subscription_url"": ""https://api.github.com/repos/getsentry/raven-python/subscription"", ""collaborators"&amp;"_url"": ""https://api.github.com/repos/getsentry/raven-python/collaborators{/collaborator}"", ""issue_comment_url"": ""https://api.github.com/repos/getsentry/raven-python/issues/comments{/number}"", ""notifications_url"": ""https://api.github.com/repos/ge"&amp;"tsentry/raven-python/notifications{?since,all,participating}"", ""open_issues_count"": 253}")</f>
        <v>{"id": 2527828, "url": "https://api.github.com/repos/getsentry/raven-python", "fork": false, "name": "raven-python", "size": 5957, "forks": 805, "owner": {"id": 1396951, "url": "https://api.github.com/users/getsentry", "type": "Organization", "login": "getsentry", "node_id": "MDEyOk9yZ2FuaXphdGlvbjEzOTY5NTE=", "html_url": "https://github.com/getsentry", "gists_url": "https://api.github.com/users/getsentry/gists{/gist_id}", "repos_url": "https://api.github.com/users/getsentry/repos", "avatar_url": "https://avatars0.githubusercontent.com/u/1396951?v=4", "events_url": "https://api.github.com/users/getsentry/events{/privacy}", "site_admin": false, "gravatar_id": "", "starred_url": "https://api.github.com/users/getsentry/starred{/owner}{/repo}", "followers_url": "https://api.github.com/users/getsentry/followers", "following_url": "https://api.github.com/users/getsentry/following{/other_user}", "organizations_url": "https://api.github.com/users/getsentry/orgs", "subscriptions_url": "https://api.github.com/users/getsentry/subscriptions", "received_events_url": "https://api.github.com/users/getsentry/received_events"}, "score": 1.0, "topics": ["crash-reporting", "crash-reports", "monitoring", "python", "sentry", "sentry-client"], "git_url": "git://github.com/getsentry/raven-python.git", "license": {"key": "bsd-3-clause", "url": "https://api.github.com/licenses/bsd-3-clause", "name": "BSD 3-Clause \"New\" or \"Revised\" License", "node_id": "MDc6TGljZW5zZTU=", "spdx_id": "BSD-3-Clause"}, "node_id": "MDEwOlJlcG9zaXRvcnkyNTI3ODI4", "private": false, "ssh_url": "git@github.com:getsentry/raven-python.git", "svn_url": "https://github.com/getsentry/raven-python", "archived": false, "has_wiki": false, "homepage": "https://sentry.io", "html_url": "https://github.com/getsentry/raven-python", "keys_url": "https://api.github.com/repos/getsentry/raven-python/keys{/key_id}", "language": "Python", "tags_url": "https://api.github.com/repos/getsentry/raven-python/tags", "watchers": 1585, "blobs_url": "https://api.github.com/repos/getsentry/raven-python/git/blobs{/sha}", "clone_url": "https://github.com/getsentry/raven-python.git", "forks_url": "https://api.github.com/repos/getsentry/raven-python/forks", "full_name": "getsentry/raven-python", "has_pages": false, "hooks_url": "https://api.github.com/repos/getsentry/raven-python/hooks", "pulls_url": "https://api.github.com/repos/getsentry/raven-python/pulls{/number}", "pushed_at": "2018-12-19T11:02:48Z", "teams_url": "https://api.github.com/repos/getsentry/raven-python/teams", "trees_url": "https://api.github.com/repos/getsentry/raven-python/git/trees{/sha}", "created_at": "2011-10-06T18:30:01Z", "events_url": "https://api.github.com/repos/getsentry/raven-python/events", "has_issues": true, "issues_url": "https://api.github.com/repos/getsentry/raven-python/issues{/number}", "labels_url": "https://api.github.com/repos/getsentry/raven-python/labels{/name}", "merges_url": "https://api.github.com/repos/getsentry/raven-python/merges", "mirror_url": null, "updated_at": "2018-12-22T14:37:26Z", "archive_url": "https://api.github.com/repos/getsentry/raven-python/{archive_format}{/ref}", "commits_url": "https://api.github.com/repos/getsentry/raven-python/commits{/sha}", "compare_url": "https://api.github.com/repos/getsentry/raven-python/compare/{base}...{head}", "description": "Raven is the legacy Python client for Sentry (getsentry.com) — replaced by sentry-python", "forks_count": 805, "open_issues": 253, "permissions": {"pull": true, "push": false, "admin": false}, "branches_url": "https://api.github.com/repos/getsentry/raven-python/branches{/branch}", "comments_url": "https://api.github.com/repos/getsentry/raven-python/comments{/number}", "contents_url": "https://api.github.com/repos/getsentry/raven-python/contents/{+path}", "git_refs_url": "https://api.github.com/repos/getsentry/raven-python/git/refs{/sha}", "git_tags_url": "https://api.github.com/repos/getsentry/raven-python/git/tags{/sha}", "has_projects": true, "releases_url": "https://api.github.com/repos/getsentry/raven-python/releases{/id}", "statuses_url": "https://api.github.com/repos/getsentry/raven-python/statuses/{sha}", "assignees_url": "https://api.github.com/repos/getsentry/raven-python/assignees{/user}", "downloads_url": "https://api.github.com/repos/getsentry/raven-python/downloads", "has_downloads": true, "languages_url": "https://api.github.com/repos/getsentry/raven-python/languages", "default_branch": "master", "milestones_url": "https://api.github.com/repos/getsentry/raven-python/milestones{/number}", "stargazers_url": "https://api.github.com/repos/getsentry/raven-python/stargazers", "watchers_count": 1585, "deployments_url": "https://api.github.com/repos/getsentry/raven-python/deployments", "git_commits_url": "https://api.github.com/repos/getsentry/raven-python/git/commits{/sha}", "subscribers_url": "https://api.github.com/repos/getsentry/raven-python/subscribers", "contributors_url": "https://api.github.com/repos/getsentry/raven-python/contributors", "issue_events_url": "https://api.github.com/repos/getsentry/raven-python/issues/events{/number}", "stargazers_count": 1585, "subscription_url": "https://api.github.com/repos/getsentry/raven-python/subscription", "collaborators_url": "https://api.github.com/repos/getsentry/raven-python/collaborators{/collaborator}", "issue_comment_url": "https://api.github.com/repos/getsentry/raven-python/issues/comments{/number}", "notifications_url": "https://api.github.com/repos/getsentry/raven-python/notifications{?since,all,participating}", "open_issues_count": 253}</v>
      </c>
      <c r="T35" s="12">
        <f>IFERROR(__xludf.DUMMYFUNCTION("""COMPUTED_VALUE"""),0.994474895)</f>
        <v>0.994474895</v>
      </c>
      <c r="U35" s="12">
        <f>IFERROR(__xludf.DUMMYFUNCTION("""COMPUTED_VALUE"""),473739.0)</f>
        <v>473739</v>
      </c>
      <c r="V35" s="14">
        <f>IFERROR(__xludf.DUMMYFUNCTION("""COMPUTED_VALUE"""),86.0)</f>
        <v>86</v>
      </c>
      <c r="W35" s="15" t="str">
        <f>IFERROR(__xludf.DUMMYFUNCTION("IFERROR(REGEXEXTRACT(J35,""""""ratio"""": (\d+.\d+), """"language"""": """"Python""""""),"""")"),"0.9944748945674695")</f>
        <v>0.9944748945674695</v>
      </c>
      <c r="X35" s="15" t="str">
        <f t="shared" si="1"/>
        <v>crash-reporting, crash-reports, monitoring, python, sentry, sentry-client</v>
      </c>
    </row>
    <row r="36">
      <c r="A36" s="10" t="str">
        <f>IFERROR(__xludf.DUMMYFUNCTION("""COMPUTED_VALUE"""),"saltstack/salt")</f>
        <v>saltstack/salt</v>
      </c>
      <c r="B36" s="10" t="str">
        <f>IFERROR(__xludf.DUMMYFUNCTION("""COMPUTED_VALUE"""),"Software to automate the management and configuration of any infrastructure or application at scale. Get access to the Salt software package repository here:")</f>
        <v>Software to automate the management and configuration of any infrastructure or application at scale. Get access to the Salt software package repository here:</v>
      </c>
      <c r="C36" s="11" t="str">
        <f>IFERROR(__xludf.DUMMYFUNCTION("""COMPUTED_VALUE"""),"https://github.com/saltstack/salt")</f>
        <v>https://github.com/saltstack/salt</v>
      </c>
      <c r="D36" s="10">
        <f>IFERROR(__xludf.DUMMYFUNCTION("""COMPUTED_VALUE"""),9481.0)</f>
        <v>9481</v>
      </c>
      <c r="E36" s="10">
        <f>IFERROR(__xludf.DUMMYFUNCTION("""COMPUTED_VALUE"""),608.0)</f>
        <v>608</v>
      </c>
      <c r="F36" s="10">
        <f>IFERROR(__xludf.DUMMYFUNCTION("""COMPUTED_VALUE"""),425249.0)</f>
        <v>425249</v>
      </c>
      <c r="G36" s="10" t="str">
        <f>IFERROR(__xludf.DUMMYFUNCTION("""COMPUTED_VALUE"""),"""[\""cloud-management\"", \""cloud-providers\"", \""cloud-provisioning\"", \""configuration-management\"", \""event-management\"", \""event-stream\"", \""infrastructure-management\"", \""python\"", \""remote-execution\"", \""zeromq\""]""")</f>
        <v>"[\"cloud-management\", \"cloud-providers\", \"cloud-provisioning\", \"configuration-management\", \"event-management\", \"event-stream\", \"infrastructure-management\", \"python\", \"remote-execution\", \"zeromq\"]"</v>
      </c>
      <c r="H36" s="12">
        <f>IFERROR(__xludf.DUMMYFUNCTION("""COMPUTED_VALUE"""),101678.0)</f>
        <v>101678</v>
      </c>
      <c r="I36" s="12">
        <f>IFERROR(__xludf.DUMMYFUNCTION("""COMPUTED_VALUE"""),338.0)</f>
        <v>338</v>
      </c>
      <c r="J36" s="10" t="str">
        <f>IFERROR(__xludf.DUMMYFUNCTION("""COMPUTED_VALUE"""),"[{""loc"": 34415103, ""ratio"": 0.9801918390465734, ""language"": ""Python""}, {""loc"": 446451, ""ratio"": 0.012715569287535816, ""language"": ""Shell""}, {""loc"": 62642, ""ratio"": 0.0017841346336100012, ""language"": ""SaltStack""}, {""loc"": 59180, "&amp;"""ratio"": 0.0016855318734561456, ""language"": ""NSIS""}, {""loc"": 53935, ""ratio"": 0.0015361466981219534, ""language"": ""Batchfile""}, {""loc"": 36561, ""ratio"": 0.001041310084917711, ""language"": ""PowerShell""}, {""loc"": 28643, ""ratio"": 0.0008"&amp;"157940089794589, ""language"": ""HTML""}, {""loc"": 5525, ""ratio"": 0.00015735997973716128, ""language"": ""Scheme""}, {""loc"": 781, ""ratio"": 0.00002224400799542497, ""language"": ""Ruby""}, {""loc"": 713, ""ratio"": 0.000020307269783275293, ""languag"&amp;"e"": ""Makefile""}, {""loc"": 493, ""ratio"": 0.000014041352038085159, ""language"": ""C""}, {""loc"": 191, ""ratio"": 0.000005439955860596887, ""language"": ""Roff""}, {""loc"": 187, ""ratio"": 0.0000053260300834116126, ""language"": ""Dockerfile""}, {"""&amp;"loc"": 174, ""ratio"": 0.000004955771307559468, ""language"": ""HCL""}]")</f>
        <v>[{"loc": 34415103, "ratio": 0.9801918390465734, "language": "Python"}, {"loc": 446451, "ratio": 0.012715569287535816, "language": "Shell"}, {"loc": 62642, "ratio": 0.0017841346336100012, "language": "SaltStack"}, {"loc": 59180, "ratio": 0.0016855318734561456, "language": "NSIS"}, {"loc": 53935, "ratio": 0.0015361466981219534, "language": "Batchfile"}, {"loc": 36561, "ratio": 0.001041310084917711, "language": "PowerShell"}, {"loc": 28643, "ratio": 0.0008157940089794589, "language": "HTML"}, {"loc": 5525, "ratio": 0.00015735997973716128, "language": "Scheme"}, {"loc": 781, "ratio": 0.00002224400799542497, "language": "Ruby"}, {"loc": 713, "ratio": 0.000020307269783275293, "language": "Makefile"}, {"loc": 493, "ratio": 0.000014041352038085159, "language": "C"}, {"loc": 191, "ratio": 0.000005439955860596887, "language": "Roff"}, {"loc": 187, "ratio": 0.0000053260300834116126, "language": "Dockerfile"}, {"loc": 174, "ratio": 0.000004955771307559468, "language": "HCL"}]</v>
      </c>
      <c r="K36" s="13">
        <f>IFERROR(__xludf.DUMMYFUNCTION("""COMPUTED_VALUE"""),40594.0)</f>
        <v>40594</v>
      </c>
      <c r="L36" s="13">
        <f>IFERROR(__xludf.DUMMYFUNCTION("""COMPUTED_VALUE"""),43459.0)</f>
        <v>43459</v>
      </c>
      <c r="M36" s="10">
        <f>IFERROR(__xludf.DUMMYFUNCTION("""COMPUTED_VALUE"""),2336.0)</f>
        <v>2336</v>
      </c>
      <c r="N36" s="12">
        <f>IFERROR(__xludf.DUMMYFUNCTION("""COMPUTED_VALUE"""),173.0)</f>
        <v>173</v>
      </c>
      <c r="O36" s="12" t="str">
        <f>IFERROR(__xludf.DUMMYFUNCTION("""COMPUTED_VALUE"""),"v2018.11")</f>
        <v>v2018.11</v>
      </c>
      <c r="P36" s="12" t="str">
        <f>IFERROR(__xludf.DUMMYFUNCTION("""COMPUTED_VALUE"""),"3290cf99626e02b7ce7b0fdf8fb79fb11a24e1a5")</f>
        <v>3290cf99626e02b7ce7b0fdf8fb79fb11a24e1a5</v>
      </c>
      <c r="Q36"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36" s="12" t="str">
        <f>IFERROR(__xludf.DUMMYFUNCTION("""COMPUTED_VALUE"""),"salt")</f>
        <v>salt</v>
      </c>
      <c r="S36" s="12" t="str">
        <f>IFERROR(__xludf.DUMMYFUNCTION("""COMPUTED_VALUE"""),"{""id"": 1390248, ""url"": ""https://api.github.com/repos/saltstack/salt"", ""fork"": false, ""name"": ""salt"", ""size"": 425249, ""forks"": 4436, ""owner"": {""id"": 1147473, ""url"": ""https://api.github.com/users/saltstack"", ""type"": ""Organization"&amp;""", ""login"": ""saltstack"", ""node_id"": ""MDEyOk9yZ2FuaXphdGlvbjExNDc0NzM="", ""html_url"": ""https://github.com/saltstack"", ""gists_url"": ""https://api.github.com/users/saltstack/gists{/gist_id}"", ""repos_url"": ""https://api.github.com/users/salts"&amp;"tack/repos"", ""avatar_url"": ""https://avatars3.githubusercontent.com/u/1147473?v=4"", ""events_url"": ""https://api.github.com/users/saltstack/events{/privacy}"", ""site_admin"": false, ""gravatar_id"": """", ""starred_url"": ""https://api.github.com/us"&amp;"ers/saltstack/starred{/owner}{/repo}"", ""followers_url"": ""https://api.github.com/users/saltstack/followers"", ""following_url"": ""https://api.github.com/users/saltstack/following{/other_user}"", ""organizations_url"": ""https://api.github.com/users/sa"&amp;"ltstack/orgs"", ""subscriptions_url"": ""https://api.github.com/users/saltstack/subscriptions"", ""received_events_url"": ""https://api.github.com/users/saltstack/received_events""}, ""score"": 1.0, ""topics"": [""cloud-management"", ""cloud-providers"", "&amp;"""cloud-provisioning"", ""configuration-management"", ""event-management"", ""event-stream"", ""infrastructure-management"", ""python"", ""remote-execution"", ""zeromq""], ""git_url"": ""git://github.com/saltstack/salt.git"", ""license"": {""key"": ""apac"&amp;"he-2.0"", ""url"": ""https://api.github.com/licenses/apache-2.0"", ""name"": ""Apache License 2.0"", ""node_id"": ""MDc6TGljZW5zZTI="", ""spdx_id"": ""Apache-2.0""}, ""node_id"": ""MDEwOlJlcG9zaXRvcnkxMzkwMjQ4"", ""private"": false, ""ssh_url"": ""git@git"&amp;"hub.com:saltstack/salt.git"", ""svn_url"": ""https://github.com/saltstack/salt"", ""archived"": false, ""has_wiki"": true, ""homepage"": ""https://repo.saltstack.com/"", ""html_url"": ""https://github.com/saltstack/salt"", ""keys_url"": ""https://api.gith"&amp;"ub.com/repos/saltstack/salt/keys{/key_id}"", ""language"": ""Python"", ""tags_url"": ""https://api.github.com/repos/saltstack/salt/tags"", ""watchers"": 9481, ""blobs_url"": ""https://api.github.com/repos/saltstack/salt/git/blobs{/sha}"", ""clone_url"": "&amp;"""https://github.com/saltstack/salt.git"", ""forks_url"": ""https://api.github.com/repos/saltstack/salt/forks"", ""full_name"": ""saltstack/salt"", ""has_pages"": false, ""hooks_url"": ""https://api.github.com/repos/saltstack/salt/hooks"", ""pulls_url"": "&amp;"""https://api.github.com/repos/saltstack/salt/pulls{/number}"", ""pushed_at"": ""2018-12-25T00:38:47Z"", ""teams_url"": ""https://api.github.com/repos/saltstack/salt/teams"", ""trees_url"": ""https://api.github.com/repos/saltstack/salt/git/trees{/sha}"", "&amp;"""created_at"": ""2011-02-20T20:16:56Z"", ""events_url"": ""https://api.github.com/repos/saltstack/salt/events"", ""has_issues"": true, ""issues_url"": ""https://api.github.com/repos/saltstack/salt/issues{/number}"", ""labels_url"": ""https://api.github.c"&amp;"om/repos/saltstack/salt/labels{/name}"", ""merges_url"": ""https://api.github.com/repos/saltstack/salt/merges"", ""mirror_url"": null, ""updated_at"": ""2018-12-25T01:44:23Z"", ""archive_url"": ""https://api.github.com/repos/saltstack/salt/{archive_format"&amp;"}{/ref}"", ""commits_url"": ""https://api.github.com/repos/saltstack/salt/commits{/sha}"", ""compare_url"": ""https://api.github.com/repos/saltstack/salt/compare/{base}...{head}"", ""description"": ""Software to automate the management and configuration o"&amp;"f any infrastructure or application at scale. Get access to the Salt software package repository here: "", ""forks_count"": 4436, ""open_issues"": 2336, ""permissions"": {""pull"": true, ""push"": false, ""admin"": false}, ""branches_url"": ""https://api."&amp;"github.com/repos/saltstack/salt/branches{/branch}"", ""comments_url"": ""https://api.github.com/repos/saltstack/salt/comments{/number}"", ""contents_url"": ""https://api.github.com/repos/saltstack/salt/contents/{+path}"", ""git_refs_url"": ""https://api.g"&amp;"ithub.com/repos/saltstack/salt/git/refs{/sha}"", ""git_tags_url"": ""https://api.github.com/repos/saltstack/salt/git/tags{/sha}"", ""has_projects"": true, ""releases_url"": ""https://api.github.com/repos/saltstack/salt/releases{/id}"", ""statuses_url"": "&amp;"""https://api.github.com/repos/saltstack/salt/statuses/{sha}"", ""assignees_url"": ""https://api.github.com/repos/saltstack/salt/assignees{/user}"", ""downloads_url"": ""https://api.github.com/repos/saltstack/salt/downloads"", ""has_downloads"": true, ""l"&amp;"anguages_url"": ""https://api.github.com/repos/saltstack/salt/languages"", ""default_branch"": ""develop"", ""milestones_url"": ""https://api.github.com/repos/saltstack/salt/milestones{/number}"", ""stargazers_url"": ""https://api.github.com/repos/saltsta"&amp;"ck/salt/stargazers"", ""watchers_count"": 9481, ""deployments_url"": ""https://api.github.com/repos/saltstack/salt/deployments"", ""git_commits_url"": ""https://api.github.com/repos/saltstack/salt/git/commits{/sha}"", ""subscribers_url"": ""https://api.gi"&amp;"thub.com/repos/saltstack/salt/subscribers"", ""contributors_url"": ""https://api.github.com/repos/saltstack/salt/contributors"", ""issue_events_url"": ""https://api.github.com/repos/saltstack/salt/issues/events{/number}"", ""stargazers_count"": 9481, ""su"&amp;"bscription_url"": ""https://api.github.com/repos/saltstack/salt/subscription"", ""collaborators_url"": ""https://api.github.com/repos/saltstack/salt/collaborators{/collaborator}"", ""issue_comment_url"": ""https://api.github.com/repos/saltstack/salt/issue"&amp;"s/comments{/number}"", ""notifications_url"": ""https://api.github.com/repos/saltstack/salt/notifications{?since,all,participating}"", ""open_issues_count"": 2336}")</f>
        <v>{"id": 1390248, "url": "https://api.github.com/repos/saltstack/salt", "fork": false, "name": "salt", "size": 425249, "forks": 4436, "owner": {"id": 1147473, "url": "https://api.github.com/users/saltstack", "type": "Organization", "login": "saltstack", "node_id": "MDEyOk9yZ2FuaXphdGlvbjExNDc0NzM=", "html_url": "https://github.com/saltstack", "gists_url": "https://api.github.com/users/saltstack/gists{/gist_id}", "repos_url": "https://api.github.com/users/saltstack/repos", "avatar_url": "https://avatars3.githubusercontent.com/u/1147473?v=4", "events_url": "https://api.github.com/users/saltstack/events{/privacy}", "site_admin": false, "gravatar_id": "", "starred_url": "https://api.github.com/users/saltstack/starred{/owner}{/repo}", "followers_url": "https://api.github.com/users/saltstack/followers", "following_url": "https://api.github.com/users/saltstack/following{/other_user}", "organizations_url": "https://api.github.com/users/saltstack/orgs", "subscriptions_url": "https://api.github.com/users/saltstack/subscriptions", "received_events_url": "https://api.github.com/users/saltstack/received_events"}, "score": 1.0, "topics": ["cloud-management", "cloud-providers", "cloud-provisioning", "configuration-management", "event-management", "event-stream", "infrastructure-management", "python", "remote-execution", "zeromq"], "git_url": "git://github.com/saltstack/salt.git", "license": {"key": "apache-2.0", "url": "https://api.github.com/licenses/apache-2.0", "name": "Apache License 2.0", "node_id": "MDc6TGljZW5zZTI=", "spdx_id": "Apache-2.0"}, "node_id": "MDEwOlJlcG9zaXRvcnkxMzkwMjQ4", "private": false, "ssh_url": "git@github.com:saltstack/salt.git", "svn_url": "https://github.com/saltstack/salt", "archived": false, "has_wiki": true, "homepage": "https://repo.saltstack.com/", "html_url": "https://github.com/saltstack/salt", "keys_url": "https://api.github.com/repos/saltstack/salt/keys{/key_id}", "language": "Python", "tags_url": "https://api.github.com/repos/saltstack/salt/tags", "watchers": 9481, "blobs_url": "https://api.github.com/repos/saltstack/salt/git/blobs{/sha}", "clone_url": "https://github.com/saltstack/salt.git", "forks_url": "https://api.github.com/repos/saltstack/salt/forks", "full_name": "saltstack/salt", "has_pages": false, "hooks_url": "https://api.github.com/repos/saltstack/salt/hooks", "pulls_url": "https://api.github.com/repos/saltstack/salt/pulls{/number}", "pushed_at": "2018-12-25T00:38:47Z", "teams_url": "https://api.github.com/repos/saltstack/salt/teams", "trees_url": "https://api.github.com/repos/saltstack/salt/git/trees{/sha}", "created_at": "2011-02-20T20:16:56Z", "events_url": "https://api.github.com/repos/saltstack/salt/events", "has_issues": true, "issues_url": "https://api.github.com/repos/saltstack/salt/issues{/number}", "labels_url": "https://api.github.com/repos/saltstack/salt/labels{/name}", "merges_url": "https://api.github.com/repos/saltstack/salt/merges", "mirror_url": null, "updated_at": "2018-12-25T01:44:23Z", "archive_url": "https://api.github.com/repos/saltstack/salt/{archive_format}{/ref}", "commits_url": "https://api.github.com/repos/saltstack/salt/commits{/sha}", "compare_url": "https://api.github.com/repos/saltstack/salt/compare/{base}...{head}", "description": "Software to automate the management and configuration of any infrastructure or application at scale. Get access to the Salt software package repository here: ", "forks_count": 4436, "open_issues": 2336, "permissions": {"pull": true, "push": false, "admin": false}, "branches_url": "https://api.github.com/repos/saltstack/salt/branches{/branch}", "comments_url": "https://api.github.com/repos/saltstack/salt/comments{/number}", "contents_url": "https://api.github.com/repos/saltstack/salt/contents/{+path}", "git_refs_url": "https://api.github.com/repos/saltstack/salt/git/refs{/sha}", "git_tags_url": "https://api.github.com/repos/saltstack/salt/git/tags{/sha}", "has_projects": true, "releases_url": "https://api.github.com/repos/saltstack/salt/releases{/id}", "statuses_url": "https://api.github.com/repos/saltstack/salt/statuses/{sha}", "assignees_url": "https://api.github.com/repos/saltstack/salt/assignees{/user}", "downloads_url": "https://api.github.com/repos/saltstack/salt/downloads", "has_downloads": true, "languages_url": "https://api.github.com/repos/saltstack/salt/languages", "default_branch": "develop", "milestones_url": "https://api.github.com/repos/saltstack/salt/milestones{/number}", "stargazers_url": "https://api.github.com/repos/saltstack/salt/stargazers", "watchers_count": 9481, "deployments_url": "https://api.github.com/repos/saltstack/salt/deployments", "git_commits_url": "https://api.github.com/repos/saltstack/salt/git/commits{/sha}", "subscribers_url": "https://api.github.com/repos/saltstack/salt/subscribers", "contributors_url": "https://api.github.com/repos/saltstack/salt/contributors", "issue_events_url": "https://api.github.com/repos/saltstack/salt/issues/events{/number}", "stargazers_count": 9481, "subscription_url": "https://api.github.com/repos/saltstack/salt/subscription", "collaborators_url": "https://api.github.com/repos/saltstack/salt/collaborators{/collaborator}", "issue_comment_url": "https://api.github.com/repos/saltstack/salt/issues/comments{/number}", "notifications_url": "https://api.github.com/repos/saltstack/salt/notifications{?since,all,participating}", "open_issues_count": 2336}</v>
      </c>
      <c r="T36" s="12">
        <f>IFERROR(__xludf.DUMMYFUNCTION("""COMPUTED_VALUE"""),0.980191839)</f>
        <v>0.980191839</v>
      </c>
      <c r="U36" s="12">
        <f>IFERROR(__xludf.DUMMYFUNCTION("""COMPUTED_VALUE"""),3.4415103E7)</f>
        <v>34415103</v>
      </c>
      <c r="V36" s="14">
        <f>IFERROR(__xludf.DUMMYFUNCTION("""COMPUTED_VALUE"""),94.0)</f>
        <v>94</v>
      </c>
      <c r="W36" s="15" t="str">
        <f>IFERROR(__xludf.DUMMYFUNCTION("IFERROR(REGEXEXTRACT(J36,""""""ratio"""": (\d+.\d+), """"language"""": """"Python""""""),"""")"),"0.9801918390465734")</f>
        <v>0.9801918390465734</v>
      </c>
      <c r="X36" s="15" t="str">
        <f t="shared" si="1"/>
        <v>cloud-management, cloud-providers, cloud-provisioning, configuration-management, event-management, event-stream, infrastructure-management, python, remote-execution, zeromq</v>
      </c>
    </row>
    <row r="37">
      <c r="A37" s="10" t="str">
        <f>IFERROR(__xludf.DUMMYFUNCTION("""COMPUTED_VALUE"""),"scikit-image/scikit-image")</f>
        <v>scikit-image/scikit-image</v>
      </c>
      <c r="B37" s="10" t="str">
        <f>IFERROR(__xludf.DUMMYFUNCTION("""COMPUTED_VALUE"""),"Image processing in Python")</f>
        <v>Image processing in Python</v>
      </c>
      <c r="C37" s="11" t="str">
        <f>IFERROR(__xludf.DUMMYFUNCTION("""COMPUTED_VALUE"""),"https://github.com/scikit-image/scikit-image")</f>
        <v>https://github.com/scikit-image/scikit-image</v>
      </c>
      <c r="D37" s="10">
        <f>IFERROR(__xludf.DUMMYFUNCTION("""COMPUTED_VALUE"""),2717.0)</f>
        <v>2717</v>
      </c>
      <c r="E37" s="10">
        <f>IFERROR(__xludf.DUMMYFUNCTION("""COMPUTED_VALUE"""),178.0)</f>
        <v>178</v>
      </c>
      <c r="F37" s="10">
        <f>IFERROR(__xludf.DUMMYFUNCTION("""COMPUTED_VALUE"""),56475.0)</f>
        <v>56475</v>
      </c>
      <c r="G37" s="10" t="str">
        <f>IFERROR(__xludf.DUMMYFUNCTION("""COMPUTED_VALUE"""),"""[\""computer-vision\"", \""image-processing\"", \""python\""]""")</f>
        <v>"[\"computer-vision\", \"image-processing\", \"python\"]"</v>
      </c>
      <c r="H37" s="12">
        <f>IFERROR(__xludf.DUMMYFUNCTION("""COMPUTED_VALUE"""),10526.0)</f>
        <v>10526</v>
      </c>
      <c r="I37" s="12">
        <f>IFERROR(__xludf.DUMMYFUNCTION("""COMPUTED_VALUE"""),290.0)</f>
        <v>290</v>
      </c>
      <c r="J37" s="10" t="str">
        <f>IFERROR(__xludf.DUMMYFUNCTION("""COMPUTED_VALUE"""),"[{""loc"": 2880282, ""ratio"": 0.9084085798359348, ""language"": ""Python""}, {""loc"": 158972, ""ratio"": 0.05013798258423245, ""language"": ""Objective-C""}, {""loc"": 78468, ""ratio"": 0.024747925530405054, ""language"": ""C""}, {""loc"": 44817, ""rati"&amp;"o"": 0.014134778234390622, ""language"": ""C++""}, {""loc"": 7606, ""ratio"": 0.0023988469386789627, ""language"": ""Shell""}, {""loc"": 545, ""ratio"": 0.00017188687635814287, ""language"": ""Makefile""}]")</f>
        <v>[{"loc": 2880282, "ratio": 0.9084085798359348, "language": "Python"}, {"loc": 158972, "ratio": 0.05013798258423245, "language": "Objective-C"}, {"loc": 78468, "ratio": 0.024747925530405054, "language": "C"}, {"loc": 44817, "ratio": 0.014134778234390622, "language": "C++"}, {"loc": 7606, "ratio": 0.0023988469386789627, "language": "Shell"}, {"loc": 545, "ratio": 0.00017188687635814287, "language": "Makefile"}]</v>
      </c>
      <c r="K37" s="13">
        <f>IFERROR(__xludf.DUMMYFUNCTION("""COMPUTED_VALUE"""),40731.0)</f>
        <v>40731</v>
      </c>
      <c r="L37" s="13">
        <f>IFERROR(__xludf.DUMMYFUNCTION("""COMPUTED_VALUE"""),43458.0)</f>
        <v>43458</v>
      </c>
      <c r="M37" s="10">
        <f>IFERROR(__xludf.DUMMYFUNCTION("""COMPUTED_VALUE"""),504.0)</f>
        <v>504</v>
      </c>
      <c r="N37" s="12">
        <f>IFERROR(__xludf.DUMMYFUNCTION("""COMPUTED_VALUE"""),51.0)</f>
        <v>51</v>
      </c>
      <c r="O37" s="12" t="str">
        <f>IFERROR(__xludf.DUMMYFUNCTION("""COMPUTED_VALUE"""),"v0.14.1")</f>
        <v>v0.14.1</v>
      </c>
      <c r="P37" s="12" t="str">
        <f>IFERROR(__xludf.DUMMYFUNCTION("""COMPUTED_VALUE"""),"74e6221809e430130aca5c7e96e960b34d4ec282")</f>
        <v>74e6221809e430130aca5c7e96e960b34d4ec282</v>
      </c>
      <c r="Q37" s="12" t="str">
        <f>IFERROR(__xludf.DUMMYFUNCTION("""COMPUTED_VALUE"""),"{""key"": ""other"", ""url"": null, ""name"": ""Other"", ""node_id"": ""MDc6TGljZW5zZTA="", ""spdx_id"": ""NOASSERTION""}")</f>
        <v>{"key": "other", "url": null, "name": "Other", "node_id": "MDc6TGljZW5zZTA=", "spdx_id": "NOASSERTION"}</v>
      </c>
      <c r="R37" s="12" t="str">
        <f>IFERROR(__xludf.DUMMYFUNCTION("""COMPUTED_VALUE"""),"scikit-image")</f>
        <v>scikit-image</v>
      </c>
      <c r="S37" s="12" t="str">
        <f>IFERROR(__xludf.DUMMYFUNCTION("""COMPUTED_VALUE"""),"{""id"": 2014929, ""url"": ""https://api.github.com/repos/scikit-image/scikit-image"", ""fork"": false, ""name"": ""scikit-image"", ""size"": 56475, ""forks"": 1187, ""owner"": {""id"": 897180, ""url"": ""https://api.github.com/users/scikit-image"", ""typ"&amp;"e"": ""Organization"", ""login"": ""scikit-image"", ""node_id"": ""MDEyOk9yZ2FuaXphdGlvbjg5NzE4MA=="", ""html_url"": ""https://github.com/scikit-image"", ""gists_url"": ""https://api.github.com/users/scikit-image/gists{/gist_id}"", ""repos_url"": ""https:"&amp;"//api.github.com/users/scikit-image/repos"", ""avatar_url"": ""https://avatars0.githubusercontent.com/u/897180?v=4"", ""events_url"": ""https://api.github.com/users/scikit-image/events{/privacy}"", ""site_admin"": false, ""gravatar_id"": """", ""starred_u"&amp;"rl"": ""https://api.github.com/users/scikit-image/starred{/owner}{/repo}"", ""followers_url"": ""https://api.github.com/users/scikit-image/followers"", ""following_url"": ""https://api.github.com/users/scikit-image/following{/other_user}"", ""organization"&amp;"s_url"": ""https://api.github.com/users/scikit-image/orgs"", ""subscriptions_url"": ""https://api.github.com/users/scikit-image/subscriptions"", ""received_events_url"": ""https://api.github.com/users/scikit-image/received_events""}, ""score"": 1.0, ""top"&amp;"ics"": [""computer-vision"", ""image-processing"", ""python""], ""git_url"": ""git://github.com/scikit-image/scikit-image.git"", ""license"": {""key"": ""other"", ""url"": null, ""name"": ""Other"", ""node_id"": ""MDc6TGljZW5zZTA="", ""spdx_id"": ""NOASSE"&amp;"RTION""}, ""node_id"": ""MDEwOlJlcG9zaXRvcnkyMDE0OTI5"", ""private"": false, ""ssh_url"": ""git@github.com:scikit-image/scikit-image.git"", ""svn_url"": ""https://github.com/scikit-image/scikit-image"", ""archived"": false, ""has_wiki"": true, ""homepage"&amp;""": ""http://scikit-image.org"", ""html_url"": ""https://github.com/scikit-image/scikit-image"", ""keys_url"": ""https://api.github.com/repos/scikit-image/scikit-image/keys{/key_id}"", ""language"": ""Python"", ""tags_url"": ""https://api.github.com/repos"&amp;"/scikit-image/scikit-image/tags"", ""watchers"": 2717, ""blobs_url"": ""https://api.github.com/repos/scikit-image/scikit-image/git/blobs{/sha}"", ""clone_url"": ""https://github.com/scikit-image/scikit-image.git"", ""forks_url"": ""https://api.github.com/"&amp;"repos/scikit-image/scikit-image/forks"", ""full_name"": ""scikit-image/scikit-image"", ""has_pages"": false, ""hooks_url"": ""https://api.github.com/repos/scikit-image/scikit-image/hooks"", ""pulls_url"": ""https://api.github.com/repos/scikit-image/scikit"&amp;"-image/pulls{/number}"", ""pushed_at"": ""2018-12-24T22:44:25Z"", ""teams_url"": ""https://api.github.com/repos/scikit-image/scikit-image/teams"", ""trees_url"": ""https://api.github.com/repos/scikit-image/scikit-image/git/trees{/sha}"", ""created_at"": "&amp;"""2011-07-07T22:07:20Z"", ""events_url"": ""https://api.github.com/repos/scikit-image/scikit-image/events"", ""has_issues"": true, ""issues_url"": ""https://api.github.com/repos/scikit-image/scikit-image/issues{/number}"", ""labels_url"": ""https://api.gi"&amp;"thub.com/repos/scikit-image/scikit-image/labels{/name}"", ""merges_url"": ""https://api.github.com/repos/scikit-image/scikit-image/merges"", ""mirror_url"": null, ""updated_at"": ""2018-12-24T23:21:48Z"", ""archive_url"": ""https://api.github.com/repos/sc"&amp;"ikit-image/scikit-image/{archive_format}{/ref}"", ""commits_url"": ""https://api.github.com/repos/scikit-image/scikit-image/commits{/sha}"", ""compare_url"": ""https://api.github.com/repos/scikit-image/scikit-image/compare/{base}...{head}"", ""description"&amp;""": ""Image processing in Python"", ""forks_count"": 1187, ""open_issues"": 504, ""permissions"": {""pull"": true, ""push"": false, ""admin"": false}, ""branches_url"": ""https://api.github.com/repos/scikit-image/scikit-image/branches{/branch}"", ""commen"&amp;"ts_url"": ""https://api.github.com/repos/scikit-image/scikit-image/comments{/number}"", ""contents_url"": ""https://api.github.com/repos/scikit-image/scikit-image/contents/{+path}"", ""git_refs_url"": ""https://api.github.com/repos/scikit-image/scikit-ima"&amp;"ge/git/refs{/sha}"", ""git_tags_url"": ""https://api.github.com/repos/scikit-image/scikit-image/git/tags{/sha}"", ""has_projects"": true, ""releases_url"": ""https://api.github.com/repos/scikit-image/scikit-image/releases{/id}"", ""statuses_url"": ""https"&amp;"://api.github.com/repos/scikit-image/scikit-image/statuses/{sha}"", ""assignees_url"": ""https://api.github.com/repos/scikit-image/scikit-image/assignees{/user}"", ""downloads_url"": ""https://api.github.com/repos/scikit-image/scikit-image/downloads"", """&amp;"has_downloads"": true, ""languages_url"": ""https://api.github.com/repos/scikit-image/scikit-image/languages"", ""default_branch"": ""master"", ""milestones_url"": ""https://api.github.com/repos/scikit-image/scikit-image/milestones{/number}"", ""stargazer"&amp;"s_url"": ""https://api.github.com/repos/scikit-image/scikit-image/stargazers"", ""watchers_count"": 2717, ""deployments_url"": ""https://api.github.com/repos/scikit-image/scikit-image/deployments"", ""git_commits_url"": ""https://api.github.com/repos/scik"&amp;"it-image/scikit-image/git/commits{/sha}"", ""subscribers_url"": ""https://api.github.com/repos/scikit-image/scikit-image/subscribers"", ""contributors_url"": ""https://api.github.com/repos/scikit-image/scikit-image/contributors"", ""issue_events_url"": """&amp;"https://api.github.com/repos/scikit-image/scikit-image/issues/events{/number}"", ""stargazers_count"": 2717, ""subscription_url"": ""https://api.github.com/repos/scikit-image/scikit-image/subscription"", ""collaborators_url"": ""https://api.github.com/rep"&amp;"os/scikit-image/scikit-image/collaborators{/collaborator}"", ""issue_comment_url"": ""https://api.github.com/repos/scikit-image/scikit-image/issues/comments{/number}"", ""notifications_url"": ""https://api.github.com/repos/scikit-image/scikit-image/notifi"&amp;"cations{?since,all,participating}"", ""open_issues_count"": 504}")</f>
        <v>{"id": 2014929, "url": "https://api.github.com/repos/scikit-image/scikit-image", "fork": false, "name": "scikit-image", "size": 56475, "forks": 1187, "owner": {"id": 897180, "url": "https://api.github.com/users/scikit-image", "type": "Organization", "login": "scikit-image", "node_id": "MDEyOk9yZ2FuaXphdGlvbjg5NzE4MA==", "html_url": "https://github.com/scikit-image", "gists_url": "https://api.github.com/users/scikit-image/gists{/gist_id}", "repos_url": "https://api.github.com/users/scikit-image/repos", "avatar_url": "https://avatars0.githubusercontent.com/u/897180?v=4", "events_url": "https://api.github.com/users/scikit-image/events{/privacy}", "site_admin": false, "gravatar_id": "", "starred_url": "https://api.github.com/users/scikit-image/starred{/owner}{/repo}", "followers_url": "https://api.github.com/users/scikit-image/followers", "following_url": "https://api.github.com/users/scikit-image/following{/other_user}", "organizations_url": "https://api.github.com/users/scikit-image/orgs", "subscriptions_url": "https://api.github.com/users/scikit-image/subscriptions", "received_events_url": "https://api.github.com/users/scikit-image/received_events"}, "score": 1.0, "topics": ["computer-vision", "image-processing", "python"], "git_url": "git://github.com/scikit-image/scikit-image.git", "license": {"key": "other", "url": null, "name": "Other", "node_id": "MDc6TGljZW5zZTA=", "spdx_id": "NOASSERTION"}, "node_id": "MDEwOlJlcG9zaXRvcnkyMDE0OTI5", "private": false, "ssh_url": "git@github.com:scikit-image/scikit-image.git", "svn_url": "https://github.com/scikit-image/scikit-image", "archived": false, "has_wiki": true, "homepage": "http://scikit-image.org", "html_url": "https://github.com/scikit-image/scikit-image", "keys_url": "https://api.github.com/repos/scikit-image/scikit-image/keys{/key_id}", "language": "Python", "tags_url": "https://api.github.com/repos/scikit-image/scikit-image/tags", "watchers": 2717, "blobs_url": "https://api.github.com/repos/scikit-image/scikit-image/git/blobs{/sha}", "clone_url": "https://github.com/scikit-image/scikit-image.git", "forks_url": "https://api.github.com/repos/scikit-image/scikit-image/forks", "full_name": "scikit-image/scikit-image", "has_pages": false, "hooks_url": "https://api.github.com/repos/scikit-image/scikit-image/hooks", "pulls_url": "https://api.github.com/repos/scikit-image/scikit-image/pulls{/number}", "pushed_at": "2018-12-24T22:44:25Z", "teams_url": "https://api.github.com/repos/scikit-image/scikit-image/teams", "trees_url": "https://api.github.com/repos/scikit-image/scikit-image/git/trees{/sha}", "created_at": "2011-07-07T22:07:20Z", "events_url": "https://api.github.com/repos/scikit-image/scikit-image/events", "has_issues": true, "issues_url": "https://api.github.com/repos/scikit-image/scikit-image/issues{/number}", "labels_url": "https://api.github.com/repos/scikit-image/scikit-image/labels{/name}", "merges_url": "https://api.github.com/repos/scikit-image/scikit-image/merges", "mirror_url": null, "updated_at": "2018-12-24T23:21:48Z", "archive_url": "https://api.github.com/repos/scikit-image/scikit-image/{archive_format}{/ref}", "commits_url": "https://api.github.com/repos/scikit-image/scikit-image/commits{/sha}", "compare_url": "https://api.github.com/repos/scikit-image/scikit-image/compare/{base}...{head}", "description": "Image processing in Python", "forks_count": 1187, "open_issues": 504, "permissions": {"pull": true, "push": false, "admin": false}, "branches_url": "https://api.github.com/repos/scikit-image/scikit-image/branches{/branch}", "comments_url": "https://api.github.com/repos/scikit-image/scikit-image/comments{/number}", "contents_url": "https://api.github.com/repos/scikit-image/scikit-image/contents/{+path}", "git_refs_url": "https://api.github.com/repos/scikit-image/scikit-image/git/refs{/sha}", "git_tags_url": "https://api.github.com/repos/scikit-image/scikit-image/git/tags{/sha}", "has_projects": true, "releases_url": "https://api.github.com/repos/scikit-image/scikit-image/releases{/id}", "statuses_url": "https://api.github.com/repos/scikit-image/scikit-image/statuses/{sha}", "assignees_url": "https://api.github.com/repos/scikit-image/scikit-image/assignees{/user}", "downloads_url": "https://api.github.com/repos/scikit-image/scikit-image/downloads", "has_downloads": true, "languages_url": "https://api.github.com/repos/scikit-image/scikit-image/languages", "default_branch": "master", "milestones_url": "https://api.github.com/repos/scikit-image/scikit-image/milestones{/number}", "stargazers_url": "https://api.github.com/repos/scikit-image/scikit-image/stargazers", "watchers_count": 2717, "deployments_url": "https://api.github.com/repos/scikit-image/scikit-image/deployments", "git_commits_url": "https://api.github.com/repos/scikit-image/scikit-image/git/commits{/sha}", "subscribers_url": "https://api.github.com/repos/scikit-image/scikit-image/subscribers", "contributors_url": "https://api.github.com/repos/scikit-image/scikit-image/contributors", "issue_events_url": "https://api.github.com/repos/scikit-image/scikit-image/issues/events{/number}", "stargazers_count": 2717, "subscription_url": "https://api.github.com/repos/scikit-image/scikit-image/subscription", "collaborators_url": "https://api.github.com/repos/scikit-image/scikit-image/collaborators{/collaborator}", "issue_comment_url": "https://api.github.com/repos/scikit-image/scikit-image/issues/comments{/number}", "notifications_url": "https://api.github.com/repos/scikit-image/scikit-image/notifications{?since,all,participating}", "open_issues_count": 504}</v>
      </c>
      <c r="T37" s="12">
        <f>IFERROR(__xludf.DUMMYFUNCTION("""COMPUTED_VALUE"""),0.90840858)</f>
        <v>0.90840858</v>
      </c>
      <c r="U37" s="12">
        <f>IFERROR(__xludf.DUMMYFUNCTION("""COMPUTED_VALUE"""),2880282.0)</f>
        <v>2880282</v>
      </c>
      <c r="V37" s="14">
        <f>IFERROR(__xludf.DUMMYFUNCTION("""COMPUTED_VALUE"""),89.0)</f>
        <v>89</v>
      </c>
      <c r="W37" s="15" t="str">
        <f>IFERROR(__xludf.DUMMYFUNCTION("IFERROR(REGEXEXTRACT(J37,""""""ratio"""": (\d+.\d+), """"language"""": """"Python""""""),"""")"),"0.9084085798359348")</f>
        <v>0.9084085798359348</v>
      </c>
      <c r="X37" s="15" t="str">
        <f t="shared" si="1"/>
        <v>computer-vision, image-processing, python</v>
      </c>
    </row>
    <row r="38">
      <c r="A38" s="10" t="str">
        <f>IFERROR(__xludf.DUMMYFUNCTION("""COMPUTED_VALUE"""),"scikit-learn/scikit-learn")</f>
        <v>scikit-learn/scikit-learn</v>
      </c>
      <c r="B38" s="10" t="str">
        <f>IFERROR(__xludf.DUMMYFUNCTION("""COMPUTED_VALUE"""),"scikit-learn: machine learning in Python")</f>
        <v>scikit-learn: machine learning in Python</v>
      </c>
      <c r="C38" s="11" t="str">
        <f>IFERROR(__xludf.DUMMYFUNCTION("""COMPUTED_VALUE"""),"https://github.com/scikit-learn/scikit-learn")</f>
        <v>https://github.com/scikit-learn/scikit-learn</v>
      </c>
      <c r="D38" s="10">
        <f>IFERROR(__xludf.DUMMYFUNCTION("""COMPUTED_VALUE"""),32458.0)</f>
        <v>32458</v>
      </c>
      <c r="E38" s="10">
        <f>IFERROR(__xludf.DUMMYFUNCTION("""COMPUTED_VALUE"""),2222.0)</f>
        <v>2222</v>
      </c>
      <c r="F38" s="10">
        <f>IFERROR(__xludf.DUMMYFUNCTION("""COMPUTED_VALUE"""),98136.0)</f>
        <v>98136</v>
      </c>
      <c r="G38" s="10" t="str">
        <f>IFERROR(__xludf.DUMMYFUNCTION("""COMPUTED_VALUE"""),"""[\""data-analysis\"", \""data-science\"", \""machine-learning\"", \""python\"", \""statistics\""]""")</f>
        <v>"[\"data-analysis\", \"data-science\", \"machine-learning\", \"python\", \"statistics\"]"</v>
      </c>
      <c r="H38" s="12">
        <f>IFERROR(__xludf.DUMMYFUNCTION("""COMPUTED_VALUE"""),23533.0)</f>
        <v>23533</v>
      </c>
      <c r="I38" s="12">
        <f>IFERROR(__xludf.DUMMYFUNCTION("""COMPUTED_VALUE"""),413.0)</f>
        <v>413</v>
      </c>
      <c r="J38" s="10" t="str">
        <f>IFERROR(__xludf.DUMMYFUNCTION("""COMPUTED_VALUE"""),"[{""loc"": 8161005, ""ratio"": 0.9276527886742086, ""language"": ""Python""}, {""loc"": 451891, ""ratio"": 0.05136597102033105, ""language"": ""C""}, {""loc"": 140428, ""ratio"": 0.015962301923346668, ""language"": ""C++""}, {""loc"": 22252, ""ratio"": 0."&amp;"002529361255578019, ""language"": ""Shell""}, {""loc"": 17046, ""ratio"": 0.0019376007533068, ""language"": ""PowerShell""}, {""loc"": 3368, ""ratio"": 0.00038283699032836457, ""language"": ""Batchfile""}, {""loc"": 1488, ""ratio"": 0.0001691393829004176,"&amp;" ""language"": ""Makefile""}]")</f>
        <v>[{"loc": 8161005, "ratio": 0.9276527886742086, "language": "Python"}, {"loc": 451891, "ratio": 0.05136597102033105, "language": "C"}, {"loc": 140428, "ratio": 0.015962301923346668, "language": "C++"}, {"loc": 22252, "ratio": 0.002529361255578019, "language": "Shell"}, {"loc": 17046, "ratio": 0.0019376007533068, "language": "PowerShell"}, {"loc": 3368, "ratio": 0.00038283699032836457, "language": "Batchfile"}, {"loc": 1488, "ratio": 0.0001691393829004176, "language": "Makefile"}]</v>
      </c>
      <c r="K38" s="13">
        <f>IFERROR(__xludf.DUMMYFUNCTION("""COMPUTED_VALUE"""),40407.0)</f>
        <v>40407</v>
      </c>
      <c r="L38" s="13">
        <f>IFERROR(__xludf.DUMMYFUNCTION("""COMPUTED_VALUE"""),43459.0)</f>
        <v>43459</v>
      </c>
      <c r="M38" s="10">
        <f>IFERROR(__xludf.DUMMYFUNCTION("""COMPUTED_VALUE"""),1861.0)</f>
        <v>1861</v>
      </c>
      <c r="N38" s="12">
        <f>IFERROR(__xludf.DUMMYFUNCTION("""COMPUTED_VALUE"""),91.0)</f>
        <v>91</v>
      </c>
      <c r="O38" s="12" t="str">
        <f>IFERROR(__xludf.DUMMYFUNCTION("""COMPUTED_VALUE"""),"0.20.2")</f>
        <v>0.20.2</v>
      </c>
      <c r="P38" s="12" t="str">
        <f>IFERROR(__xludf.DUMMYFUNCTION("""COMPUTED_VALUE"""),"c83447b72c4f48ceb8249ea394ebf042618b8a2a")</f>
        <v>c83447b72c4f48ceb8249ea394ebf042618b8a2a</v>
      </c>
      <c r="Q38" s="12" t="str">
        <f>IFERROR(__xludf.DUMMYFUNCTION("""COMPUTED_VALUE"""),"{""key"": ""other"", ""url"": null, ""name"": ""Other"", ""node_id"": ""MDc6TGljZW5zZTA="", ""spdx_id"": ""NOASSERTION""}")</f>
        <v>{"key": "other", "url": null, "name": "Other", "node_id": "MDc6TGljZW5zZTA=", "spdx_id": "NOASSERTION"}</v>
      </c>
      <c r="R38" s="12" t="str">
        <f>IFERROR(__xludf.DUMMYFUNCTION("""COMPUTED_VALUE"""),"scikit-learn")</f>
        <v>scikit-learn</v>
      </c>
      <c r="S38" s="12" t="str">
        <f>IFERROR(__xludf.DUMMYFUNCTION("""COMPUTED_VALUE"""),"{""id"": 843222, ""url"": ""https://api.github.com/repos/scikit-learn/scikit-learn"", ""fork"": false, ""name"": ""scikit-learn"", ""size"": 98136, ""forks"": 15982, ""owner"": {""id"": 365630, ""url"": ""https://api.github.com/users/scikit-learn"", ""typ"&amp;"e"": ""Organization"", ""login"": ""scikit-learn"", ""node_id"": ""MDEyOk9yZ2FuaXphdGlvbjM2NTYzMA=="", ""html_url"": ""https://github.com/scikit-learn"", ""gists_url"": ""https://api.github.com/users/scikit-learn/gists{/gist_id}"", ""repos_url"": ""https:"&amp;"//api.github.com/users/scikit-learn/repos"", ""avatar_url"": ""https://avatars2.githubusercontent.com/u/365630?v=4"", ""events_url"": ""https://api.github.com/users/scikit-learn/events{/privacy}"", ""site_admin"": false, ""gravatar_id"": """", ""starred_u"&amp;"rl"": ""https://api.github.com/users/scikit-learn/starred{/owner}{/repo}"", ""followers_url"": ""https://api.github.com/users/scikit-learn/followers"", ""following_url"": ""https://api.github.com/users/scikit-learn/following{/other_user}"", ""organization"&amp;"s_url"": ""https://api.github.com/users/scikit-learn/orgs"", ""subscriptions_url"": ""https://api.github.com/users/scikit-learn/subscriptions"", ""received_events_url"": ""https://api.github.com/users/scikit-learn/received_events""}, ""score"": 1.0, ""top"&amp;"ics"": [""data-analysis"", ""data-science"", ""machine-learning"", ""python"", ""statistics""], ""git_url"": ""git://github.com/scikit-learn/scikit-learn.git"", ""license"": {""key"": ""other"", ""url"": null, ""name"": ""Other"", ""node_id"": ""MDc6TGljZ"&amp;"W5zZTA="", ""spdx_id"": ""NOASSERTION""}, ""node_id"": ""MDEwOlJlcG9zaXRvcnk4NDMyMjI="", ""private"": false, ""ssh_url"": ""git@github.com:scikit-learn/scikit-learn.git"", ""svn_url"": ""https://github.com/scikit-learn/scikit-learn"", ""archived"": false,"&amp;" ""has_wiki"": true, ""homepage"": ""http://scikit-learn.org"", ""html_url"": ""https://github.com/scikit-learn/scikit-learn"", ""keys_url"": ""https://api.github.com/repos/scikit-learn/scikit-learn/keys{/key_id}"", ""language"": ""Python"", ""tags_url"":"&amp;" ""https://api.github.com/repos/scikit-learn/scikit-learn/tags"", ""watchers"": 32458, ""blobs_url"": ""https://api.github.com/repos/scikit-learn/scikit-learn/git/blobs{/sha}"", ""clone_url"": ""https://github.com/scikit-learn/scikit-learn.git"", ""forks_"&amp;"url"": ""https://api.github.com/repos/scikit-learn/scikit-learn/forks"", ""full_name"": ""scikit-learn/scikit-learn"", ""has_pages"": false, ""hooks_url"": ""https://api.github.com/repos/scikit-learn/scikit-learn/hooks"", ""pulls_url"": ""https://api.gith"&amp;"ub.com/repos/scikit-learn/scikit-learn/pulls{/number}"", ""pushed_at"": ""2018-12-25T02:22:17Z"", ""teams_url"": ""https://api.github.com/repos/scikit-learn/scikit-learn/teams"", ""trees_url"": ""https://api.github.com/repos/scikit-learn/scikit-learn/git/"&amp;"trees{/sha}"", ""created_at"": ""2010-08-17T09:43:38Z"", ""events_url"": ""https://api.github.com/repos/scikit-learn/scikit-learn/events"", ""has_issues"": true, ""issues_url"": ""https://api.github.com/repos/scikit-learn/scikit-learn/issues{/number}"", "&amp;"""labels_url"": ""https://api.github.com/repos/scikit-learn/scikit-learn/labels{/name}"", ""merges_url"": ""https://api.github.com/repos/scikit-learn/scikit-learn/merges"", ""mirror_url"": null, ""updated_at"": ""2018-12-25T01:45:01Z"", ""archive_url"": "&amp;"""https://api.github.com/repos/scikit-learn/scikit-learn/{archive_format}{/ref}"", ""commits_url"": ""https://api.github.com/repos/scikit-learn/scikit-learn/commits{/sha}"", ""compare_url"": ""https://api.github.com/repos/scikit-learn/scikit-learn/compare"&amp;"/{base}...{head}"", ""description"": ""scikit-learn: machine learning in Python"", ""forks_count"": 15982, ""open_issues"": 1861, ""permissions"": {""pull"": true, ""push"": false, ""admin"": false}, ""branches_url"": ""https://api.github.com/repos/scikit"&amp;"-learn/scikit-learn/branches{/branch}"", ""comments_url"": ""https://api.github.com/repos/scikit-learn/scikit-learn/comments{/number}"", ""contents_url"": ""https://api.github.com/repos/scikit-learn/scikit-learn/contents/{+path}"", ""git_refs_url"": ""htt"&amp;"ps://api.github.com/repos/scikit-learn/scikit-learn/git/refs{/sha}"", ""git_tags_url"": ""https://api.github.com/repos/scikit-learn/scikit-learn/git/tags{/sha}"", ""has_projects"": true, ""releases_url"": ""https://api.github.com/repos/scikit-learn/scikit"&amp;"-learn/releases{/id}"", ""statuses_url"": ""https://api.github.com/repos/scikit-learn/scikit-learn/statuses/{sha}"", ""assignees_url"": ""https://api.github.com/repos/scikit-learn/scikit-learn/assignees{/user}"", ""downloads_url"": ""https://api.github.co"&amp;"m/repos/scikit-learn/scikit-learn/downloads"", ""has_downloads"": true, ""languages_url"": ""https://api.github.com/repos/scikit-learn/scikit-learn/languages"", ""default_branch"": ""master"", ""milestones_url"": ""https://api.github.com/repos/scikit-lear"&amp;"n/scikit-learn/milestones{/number}"", ""stargazers_url"": ""https://api.github.com/repos/scikit-learn/scikit-learn/stargazers"", ""watchers_count"": 32458, ""deployments_url"": ""https://api.github.com/repos/scikit-learn/scikit-learn/deployments"", ""git_"&amp;"commits_url"": ""https://api.github.com/repos/scikit-learn/scikit-learn/git/commits{/sha}"", ""subscribers_url"": ""https://api.github.com/repos/scikit-learn/scikit-learn/subscribers"", ""contributors_url"": ""https://api.github.com/repos/scikit-learn/sci"&amp;"kit-learn/contributors"", ""issue_events_url"": ""https://api.github.com/repos/scikit-learn/scikit-learn/issues/events{/number}"", ""stargazers_count"": 32458, ""subscription_url"": ""https://api.github.com/repos/scikit-learn/scikit-learn/subscription"", "&amp;"""collaborators_url"": ""https://api.github.com/repos/scikit-learn/scikit-learn/collaborators{/collaborator}"", ""issue_comment_url"": ""https://api.github.com/repos/scikit-learn/scikit-learn/issues/comments{/number}"", ""notifications_url"": ""https://ap"&amp;"i.github.com/repos/scikit-learn/scikit-learn/notifications{?since,all,participating}"", ""open_issues_count"": 1861}")</f>
        <v>{"id": 843222, "url": "https://api.github.com/repos/scikit-learn/scikit-learn", "fork": false, "name": "scikit-learn", "size": 98136, "forks": 15982, "owner": {"id": 365630, "url": "https://api.github.com/users/scikit-learn", "type": "Organization", "login": "scikit-learn", "node_id": "MDEyOk9yZ2FuaXphdGlvbjM2NTYzMA==", "html_url": "https://github.com/scikit-learn", "gists_url": "https://api.github.com/users/scikit-learn/gists{/gist_id}", "repos_url": "https://api.github.com/users/scikit-learn/repos", "avatar_url": "https://avatars2.githubusercontent.com/u/365630?v=4", "events_url": "https://api.github.com/users/scikit-learn/events{/privacy}", "site_admin": false, "gravatar_id": "", "starred_url": "https://api.github.com/users/scikit-learn/starred{/owner}{/repo}", "followers_url": "https://api.github.com/users/scikit-learn/followers", "following_url": "https://api.github.com/users/scikit-learn/following{/other_user}", "organizations_url": "https://api.github.com/users/scikit-learn/orgs", "subscriptions_url": "https://api.github.com/users/scikit-learn/subscriptions", "received_events_url": "https://api.github.com/users/scikit-learn/received_events"}, "score": 1.0, "topics": ["data-analysis", "data-science", "machine-learning", "python", "statistics"], "git_url": "git://github.com/scikit-learn/scikit-learn.git", "license": {"key": "other", "url": null, "name": "Other", "node_id": "MDc6TGljZW5zZTA=", "spdx_id": "NOASSERTION"}, "node_id": "MDEwOlJlcG9zaXRvcnk4NDMyMjI=", "private": false, "ssh_url": "git@github.com:scikit-learn/scikit-learn.git", "svn_url": "https://github.com/scikit-learn/scikit-learn", "archived": false, "has_wiki": true, "homepage": "http://scikit-learn.org", "html_url": "https://github.com/scikit-learn/scikit-learn", "keys_url": "https://api.github.com/repos/scikit-learn/scikit-learn/keys{/key_id}", "language": "Python", "tags_url": "https://api.github.com/repos/scikit-learn/scikit-learn/tags", "watchers": 32458, "blobs_url": "https://api.github.com/repos/scikit-learn/scikit-learn/git/blobs{/sha}", "clone_url": "https://github.com/scikit-learn/scikit-learn.git", "forks_url": "https://api.github.com/repos/scikit-learn/scikit-learn/forks", "full_name": "scikit-learn/scikit-learn", "has_pages": false, "hooks_url": "https://api.github.com/repos/scikit-learn/scikit-learn/hooks", "pulls_url": "https://api.github.com/repos/scikit-learn/scikit-learn/pulls{/number}", "pushed_at": "2018-12-25T02:22:17Z", "teams_url": "https://api.github.com/repos/scikit-learn/scikit-learn/teams", "trees_url": "https://api.github.com/repos/scikit-learn/scikit-learn/git/trees{/sha}", "created_at": "2010-08-17T09:43:38Z", "events_url": "https://api.github.com/repos/scikit-learn/scikit-learn/events", "has_issues": true, "issues_url": "https://api.github.com/repos/scikit-learn/scikit-learn/issues{/number}", "labels_url": "https://api.github.com/repos/scikit-learn/scikit-learn/labels{/name}", "merges_url": "https://api.github.com/repos/scikit-learn/scikit-learn/merges", "mirror_url": null, "updated_at": "2018-12-25T01:45:01Z", "archive_url": "https://api.github.com/repos/scikit-learn/scikit-learn/{archive_format}{/ref}", "commits_url": "https://api.github.com/repos/scikit-learn/scikit-learn/commits{/sha}", "compare_url": "https://api.github.com/repos/scikit-learn/scikit-learn/compare/{base}...{head}", "description": "scikit-learn: machine learning in Python", "forks_count": 15982, "open_issues": 1861, "permissions": {"pull": true, "push": false, "admin": false}, "branches_url": "https://api.github.com/repos/scikit-learn/scikit-learn/branches{/branch}", "comments_url": "https://api.github.com/repos/scikit-learn/scikit-learn/comments{/number}", "contents_url": "https://api.github.com/repos/scikit-learn/scikit-learn/contents/{+path}", "git_refs_url": "https://api.github.com/repos/scikit-learn/scikit-learn/git/refs{/sha}", "git_tags_url": "https://api.github.com/repos/scikit-learn/scikit-learn/git/tags{/sha}", "has_projects": true, "releases_url": "https://api.github.com/repos/scikit-learn/scikit-learn/releases{/id}", "statuses_url": "https://api.github.com/repos/scikit-learn/scikit-learn/statuses/{sha}", "assignees_url": "https://api.github.com/repos/scikit-learn/scikit-learn/assignees{/user}", "downloads_url": "https://api.github.com/repos/scikit-learn/scikit-learn/downloads", "has_downloads": true, "languages_url": "https://api.github.com/repos/scikit-learn/scikit-learn/languages", "default_branch": "master", "milestones_url": "https://api.github.com/repos/scikit-learn/scikit-learn/milestones{/number}", "stargazers_url": "https://api.github.com/repos/scikit-learn/scikit-learn/stargazers", "watchers_count": 32458, "deployments_url": "https://api.github.com/repos/scikit-learn/scikit-learn/deployments", "git_commits_url": "https://api.github.com/repos/scikit-learn/scikit-learn/git/commits{/sha}", "subscribers_url": "https://api.github.com/repos/scikit-learn/scikit-learn/subscribers", "contributors_url": "https://api.github.com/repos/scikit-learn/scikit-learn/contributors", "issue_events_url": "https://api.github.com/repos/scikit-learn/scikit-learn/issues/events{/number}", "stargazers_count": 32458, "subscription_url": "https://api.github.com/repos/scikit-learn/scikit-learn/subscription", "collaborators_url": "https://api.github.com/repos/scikit-learn/scikit-learn/collaborators{/collaborator}", "issue_comment_url": "https://api.github.com/repos/scikit-learn/scikit-learn/issues/comments{/number}", "notifications_url": "https://api.github.com/repos/scikit-learn/scikit-learn/notifications{?since,all,participating}", "open_issues_count": 1861}</v>
      </c>
      <c r="T38" s="12">
        <f>IFERROR(__xludf.DUMMYFUNCTION("""COMPUTED_VALUE"""),0.927652789)</f>
        <v>0.927652789</v>
      </c>
      <c r="U38" s="12">
        <f>IFERROR(__xludf.DUMMYFUNCTION("""COMPUTED_VALUE"""),8161005.0)</f>
        <v>8161005</v>
      </c>
      <c r="V38" s="14">
        <f>IFERROR(__xludf.DUMMYFUNCTION("""COMPUTED_VALUE"""),100.0)</f>
        <v>100</v>
      </c>
      <c r="W38" s="15" t="str">
        <f>IFERROR(__xludf.DUMMYFUNCTION("IFERROR(REGEXEXTRACT(J38,""""""ratio"""": (\d+.\d+), """"language"""": """"Python""""""),"""")"),"0.9276527886742086")</f>
        <v>0.9276527886742086</v>
      </c>
      <c r="X38" s="15" t="str">
        <f t="shared" si="1"/>
        <v>data-analysis, data-science, machine-learning, python, statistics</v>
      </c>
    </row>
    <row r="39">
      <c r="A39" s="10" t="str">
        <f>IFERROR(__xludf.DUMMYFUNCTION("""COMPUTED_VALUE"""),"scrapy/scrapy")</f>
        <v>scrapy/scrapy</v>
      </c>
      <c r="B39" s="10" t="str">
        <f>IFERROR(__xludf.DUMMYFUNCTION("""COMPUTED_VALUE"""),"Scrapy, a fast high-level web crawling &amp; scraping framework for Python.")</f>
        <v>Scrapy, a fast high-level web crawling &amp; scraping framework for Python.</v>
      </c>
      <c r="C39" s="11" t="str">
        <f>IFERROR(__xludf.DUMMYFUNCTION("""COMPUTED_VALUE"""),"https://github.com/scrapy/scrapy")</f>
        <v>https://github.com/scrapy/scrapy</v>
      </c>
      <c r="D39" s="10">
        <f>IFERROR(__xludf.DUMMYFUNCTION("""COMPUTED_VALUE"""),30626.0)</f>
        <v>30626</v>
      </c>
      <c r="E39" s="10">
        <f>IFERROR(__xludf.DUMMYFUNCTION("""COMPUTED_VALUE"""),1847.0)</f>
        <v>1847</v>
      </c>
      <c r="F39" s="10">
        <f>IFERROR(__xludf.DUMMYFUNCTION("""COMPUTED_VALUE"""),16519.0)</f>
        <v>16519</v>
      </c>
      <c r="G39" s="10" t="str">
        <f>IFERROR(__xludf.DUMMYFUNCTION("""COMPUTED_VALUE"""),"""[\""crawler\"", \""crawling\"", \""framework\"", \""python\"", \""scraping\""]""")</f>
        <v>"[\"crawler\", \"crawling\", \"framework\", \"python\", \"scraping\"]"</v>
      </c>
      <c r="H39" s="12">
        <f>IFERROR(__xludf.DUMMYFUNCTION("""COMPUTED_VALUE"""),6813.0)</f>
        <v>6813</v>
      </c>
      <c r="I39" s="12">
        <f>IFERROR(__xludf.DUMMYFUNCTION("""COMPUTED_VALUE"""),296.0)</f>
        <v>296</v>
      </c>
      <c r="J39" s="10" t="str">
        <f>IFERROR(__xludf.DUMMYFUNCTION("""COMPUTED_VALUE"""),"[{""loc"": 1337407, ""ratio"": 0.9967616966473685, ""language"": ""Python""}, {""loc"": 2076, ""ratio"": 0.0015472307848246173, ""language"": ""HTML""}, {""loc"": 2010, ""ratio"": 0.0014980413668099618, ""language"": ""Roff""}, {""loc"": 259, ""ratio"": 0"&amp;".00019303120099690554, ""language"": ""Shell""}]")</f>
        <v>[{"loc": 1337407, "ratio": 0.9967616966473685, "language": "Python"}, {"loc": 2076, "ratio": 0.0015472307848246173, "language": "HTML"}, {"loc": 2010, "ratio": 0.0014980413668099618, "language": "Roff"}, {"loc": 259, "ratio": 0.00019303120099690554, "language": "Shell"}]</v>
      </c>
      <c r="K39" s="13">
        <f>IFERROR(__xludf.DUMMYFUNCTION("""COMPUTED_VALUE"""),40231.0)</f>
        <v>40231</v>
      </c>
      <c r="L39" s="13">
        <f>IFERROR(__xludf.DUMMYFUNCTION("""COMPUTED_VALUE"""),43458.0)</f>
        <v>43458</v>
      </c>
      <c r="M39" s="10">
        <f>IFERROR(__xludf.DUMMYFUNCTION("""COMPUTED_VALUE"""),708.0)</f>
        <v>708</v>
      </c>
      <c r="N39" s="12">
        <f>IFERROR(__xludf.DUMMYFUNCTION("""COMPUTED_VALUE"""),82.0)</f>
        <v>82</v>
      </c>
      <c r="O39" s="12" t="str">
        <f>IFERROR(__xludf.DUMMYFUNCTION("""COMPUTED_VALUE"""),"1.6.0")</f>
        <v>1.6.0</v>
      </c>
      <c r="P39" s="12" t="str">
        <f>IFERROR(__xludf.DUMMYFUNCTION("""COMPUTED_VALUE"""),"fa1039f5b27162a02dbcc8ef4de7fa07ca36a51c")</f>
        <v>fa1039f5b27162a02dbcc8ef4de7fa07ca36a51c</v>
      </c>
      <c r="Q39" s="12" t="str">
        <f>IFERROR(__xludf.DUMMYFUNCTION("""COMPUTED_VALUE"""),"{""key"": ""other"", ""url"": null, ""name"": ""Other"", ""node_id"": ""MDc6TGljZW5zZTA="", ""spdx_id"": ""NOASSERTION""}")</f>
        <v>{"key": "other", "url": null, "name": "Other", "node_id": "MDc6TGljZW5zZTA=", "spdx_id": "NOASSERTION"}</v>
      </c>
      <c r="R39" s="12" t="str">
        <f>IFERROR(__xludf.DUMMYFUNCTION("""COMPUTED_VALUE"""),"scrapy")</f>
        <v>scrapy</v>
      </c>
      <c r="S39" s="12" t="str">
        <f>IFERROR(__xludf.DUMMYFUNCTION("""COMPUTED_VALUE"""),"{""id"": 529502, ""url"": ""https://api.github.com/repos/scrapy/scrapy"", ""fork"": false, ""name"": ""scrapy"", ""size"": 16519, ""forks"": 7370, ""owner"": {""id"": 733635, ""url"": ""https://api.github.com/users/scrapy"", ""type"": ""Organization"", """&amp;"login"": ""scrapy"", ""node_id"": ""MDEyOk9yZ2FuaXphdGlvbjczMzYzNQ=="", ""html_url"": ""https://github.com/scrapy"", ""gists_url"": ""https://api.github.com/users/scrapy/gists{/gist_id}"", ""repos_url"": ""https://api.github.com/users/scrapy/repos"", ""av"&amp;"atar_url"": ""https://avatars0.githubusercontent.com/u/733635?v=4"", ""events_url"": ""https://api.github.com/users/scrapy/events{/privacy}"", ""site_admin"": false, ""gravatar_id"": """", ""starred_url"": ""https://api.github.com/users/scrapy/starred{/ow"&amp;"ner}{/repo}"", ""followers_url"": ""https://api.github.com/users/scrapy/followers"", ""following_url"": ""https://api.github.com/users/scrapy/following{/other_user}"", ""organizations_url"": ""https://api.github.com/users/scrapy/orgs"", ""subscriptions_ur"&amp;"l"": ""https://api.github.com/users/scrapy/subscriptions"", ""received_events_url"": ""https://api.github.com/users/scrapy/received_events""}, ""score"": 1.0, ""topics"": [""crawler"", ""crawling"", ""framework"", ""python"", ""scraping""], ""git_url"": "&amp;"""git://github.com/scrapy/scrapy.git"", ""license"": {""key"": ""other"", ""url"": null, ""name"": ""Other"", ""node_id"": ""MDc6TGljZW5zZTA="", ""spdx_id"": ""NOASSERTION""}, ""node_id"": ""MDEwOlJlcG9zaXRvcnk1Mjk1MDI="", ""private"": false, ""ssh_url"":"&amp;" ""git@github.com:scrapy/scrapy.git"", ""svn_url"": ""https://github.com/scrapy/scrapy"", ""archived"": false, ""has_wiki"": true, ""homepage"": ""https://scrapy.org"", ""html_url"": ""https://github.com/scrapy/scrapy"", ""keys_url"": ""https://api.github"&amp;".com/repos/scrapy/scrapy/keys{/key_id}"", ""language"": ""Python"", ""tags_url"": ""https://api.github.com/repos/scrapy/scrapy/tags"", ""watchers"": 30626, ""blobs_url"": ""https://api.github.com/repos/scrapy/scrapy/git/blobs{/sha}"", ""clone_url"": ""htt"&amp;"ps://github.com/scrapy/scrapy.git"", ""forks_url"": ""https://api.github.com/repos/scrapy/scrapy/forks"", ""full_name"": ""scrapy/scrapy"", ""has_pages"": false, ""hooks_url"": ""https://api.github.com/repos/scrapy/scrapy/hooks"", ""pulls_url"": ""https:/"&amp;"/api.github.com/repos/scrapy/scrapy/pulls{/number}"", ""pushed_at"": ""2018-12-24T18:02:16Z"", ""teams_url"": ""https://api.github.com/repos/scrapy/scrapy/teams"", ""trees_url"": ""https://api.github.com/repos/scrapy/scrapy/git/trees{/sha}"", ""created_at"&amp;""": ""2010-02-22T02:01:14Z"", ""events_url"": ""https://api.github.com/repos/scrapy/scrapy/events"", ""has_issues"": true, ""issues_url"": ""https://api.github.com/repos/scrapy/scrapy/issues{/number}"", ""labels_url"": ""https://api.github.com/repos/scrap"&amp;"y/scrapy/labels{/name}"", ""merges_url"": ""https://api.github.com/repos/scrapy/scrapy/merges"", ""mirror_url"": null, ""updated_at"": ""2018-12-25T02:28:25Z"", ""archive_url"": ""https://api.github.com/repos/scrapy/scrapy/{archive_format}{/ref}"", ""comm"&amp;"its_url"": ""https://api.github.com/repos/scrapy/scrapy/commits{/sha}"", ""compare_url"": ""https://api.github.com/repos/scrapy/scrapy/compare/{base}...{head}"", ""description"": ""Scrapy, a fast high-level web crawling &amp; scraping framework for Python."","&amp;" ""forks_count"": 7370, ""open_issues"": 708, ""permissions"": {""pull"": true, ""push"": false, ""admin"": false}, ""branches_url"": ""https://api.github.com/repos/scrapy/scrapy/branches{/branch}"", ""comments_url"": ""https://api.github.com/repos/scrapy"&amp;"/scrapy/comments{/number}"", ""contents_url"": ""https://api.github.com/repos/scrapy/scrapy/contents/{+path}"", ""git_refs_url"": ""https://api.github.com/repos/scrapy/scrapy/git/refs{/sha}"", ""git_tags_url"": ""https://api.github.com/repos/scrapy/scrapy"&amp;"/git/tags{/sha}"", ""has_projects"": true, ""releases_url"": ""https://api.github.com/repos/scrapy/scrapy/releases{/id}"", ""statuses_url"": ""https://api.github.com/repos/scrapy/scrapy/statuses/{sha}"", ""assignees_url"": ""https://api.github.com/repos/s"&amp;"crapy/scrapy/assignees{/user}"", ""downloads_url"": ""https://api.github.com/repos/scrapy/scrapy/downloads"", ""has_downloads"": false, ""languages_url"": ""https://api.github.com/repos/scrapy/scrapy/languages"", ""default_branch"": ""master"", ""mileston"&amp;"es_url"": ""https://api.github.com/repos/scrapy/scrapy/milestones{/number}"", ""stargazers_url"": ""https://api.github.com/repos/scrapy/scrapy/stargazers"", ""watchers_count"": 30626, ""deployments_url"": ""https://api.github.com/repos/scrapy/scrapy/deplo"&amp;"yments"", ""git_commits_url"": ""https://api.github.com/repos/scrapy/scrapy/git/commits{/sha}"", ""subscribers_url"": ""https://api.github.com/repos/scrapy/scrapy/subscribers"", ""contributors_url"": ""https://api.github.com/repos/scrapy/scrapy/contributo"&amp;"rs"", ""issue_events_url"": ""https://api.github.com/repos/scrapy/scrapy/issues/events{/number}"", ""stargazers_count"": 30626, ""subscription_url"": ""https://api.github.com/repos/scrapy/scrapy/subscription"", ""collaborators_url"": ""https://api.github."&amp;"com/repos/scrapy/scrapy/collaborators{/collaborator}"", ""issue_comment_url"": ""https://api.github.com/repos/scrapy/scrapy/issues/comments{/number}"", ""notifications_url"": ""https://api.github.com/repos/scrapy/scrapy/notifications{?since,all,participat"&amp;"ing}"", ""open_issues_count"": 708}")</f>
        <v>{"id": 529502, "url": "https://api.github.com/repos/scrapy/scrapy", "fork": false, "name": "scrapy", "size": 16519, "forks": 7370, "owner": {"id": 733635, "url": "https://api.github.com/users/scrapy", "type": "Organization", "login": "scrapy", "node_id": "MDEyOk9yZ2FuaXphdGlvbjczMzYzNQ==", "html_url": "https://github.com/scrapy", "gists_url": "https://api.github.com/users/scrapy/gists{/gist_id}", "repos_url": "https://api.github.com/users/scrapy/repos", "avatar_url": "https://avatars0.githubusercontent.com/u/733635?v=4", "events_url": "https://api.github.com/users/scrapy/events{/privacy}", "site_admin": false, "gravatar_id": "", "starred_url": "https://api.github.com/users/scrapy/starred{/owner}{/repo}", "followers_url": "https://api.github.com/users/scrapy/followers", "following_url": "https://api.github.com/users/scrapy/following{/other_user}", "organizations_url": "https://api.github.com/users/scrapy/orgs", "subscriptions_url": "https://api.github.com/users/scrapy/subscriptions", "received_events_url": "https://api.github.com/users/scrapy/received_events"}, "score": 1.0, "topics": ["crawler", "crawling", "framework", "python", "scraping"], "git_url": "git://github.com/scrapy/scrapy.git", "license": {"key": "other", "url": null, "name": "Other", "node_id": "MDc6TGljZW5zZTA=", "spdx_id": "NOASSERTION"}, "node_id": "MDEwOlJlcG9zaXRvcnk1Mjk1MDI=", "private": false, "ssh_url": "git@github.com:scrapy/scrapy.git", "svn_url": "https://github.com/scrapy/scrapy", "archived": false, "has_wiki": true, "homepage": "https://scrapy.org", "html_url": "https://github.com/scrapy/scrapy", "keys_url": "https://api.github.com/repos/scrapy/scrapy/keys{/key_id}", "language": "Python", "tags_url": "https://api.github.com/repos/scrapy/scrapy/tags", "watchers": 30626, "blobs_url": "https://api.github.com/repos/scrapy/scrapy/git/blobs{/sha}", "clone_url": "https://github.com/scrapy/scrapy.git", "forks_url": "https://api.github.com/repos/scrapy/scrapy/forks", "full_name": "scrapy/scrapy", "has_pages": false, "hooks_url": "https://api.github.com/repos/scrapy/scrapy/hooks", "pulls_url": "https://api.github.com/repos/scrapy/scrapy/pulls{/number}", "pushed_at": "2018-12-24T18:02:16Z", "teams_url": "https://api.github.com/repos/scrapy/scrapy/teams", "trees_url": "https://api.github.com/repos/scrapy/scrapy/git/trees{/sha}", "created_at": "2010-02-22T02:01:14Z", "events_url": "https://api.github.com/repos/scrapy/scrapy/events", "has_issues": true, "issues_url": "https://api.github.com/repos/scrapy/scrapy/issues{/number}", "labels_url": "https://api.github.com/repos/scrapy/scrapy/labels{/name}", "merges_url": "https://api.github.com/repos/scrapy/scrapy/merges", "mirror_url": null, "updated_at": "2018-12-25T02:28:25Z", "archive_url": "https://api.github.com/repos/scrapy/scrapy/{archive_format}{/ref}", "commits_url": "https://api.github.com/repos/scrapy/scrapy/commits{/sha}", "compare_url": "https://api.github.com/repos/scrapy/scrapy/compare/{base}...{head}", "description": "Scrapy, a fast high-level web crawling &amp; scraping framework for Python.", "forks_count": 7370, "open_issues": 708, "permissions": {"pull": true, "push": false, "admin": false}, "branches_url": "https://api.github.com/repos/scrapy/scrapy/branches{/branch}", "comments_url": "https://api.github.com/repos/scrapy/scrapy/comments{/number}", "contents_url": "https://api.github.com/repos/scrapy/scrapy/contents/{+path}", "git_refs_url": "https://api.github.com/repos/scrapy/scrapy/git/refs{/sha}", "git_tags_url": "https://api.github.com/repos/scrapy/scrapy/git/tags{/sha}", "has_projects": true, "releases_url": "https://api.github.com/repos/scrapy/scrapy/releases{/id}", "statuses_url": "https://api.github.com/repos/scrapy/scrapy/statuses/{sha}", "assignees_url": "https://api.github.com/repos/scrapy/scrapy/assignees{/user}", "downloads_url": "https://api.github.com/repos/scrapy/scrapy/downloads", "has_downloads": false, "languages_url": "https://api.github.com/repos/scrapy/scrapy/languages", "default_branch": "master", "milestones_url": "https://api.github.com/repos/scrapy/scrapy/milestones{/number}", "stargazers_url": "https://api.github.com/repos/scrapy/scrapy/stargazers", "watchers_count": 30626, "deployments_url": "https://api.github.com/repos/scrapy/scrapy/deployments", "git_commits_url": "https://api.github.com/repos/scrapy/scrapy/git/commits{/sha}", "subscribers_url": "https://api.github.com/repos/scrapy/scrapy/subscribers", "contributors_url": "https://api.github.com/repos/scrapy/scrapy/contributors", "issue_events_url": "https://api.github.com/repos/scrapy/scrapy/issues/events{/number}", "stargazers_count": 30626, "subscription_url": "https://api.github.com/repos/scrapy/scrapy/subscription", "collaborators_url": "https://api.github.com/repos/scrapy/scrapy/collaborators{/collaborator}", "issue_comment_url": "https://api.github.com/repos/scrapy/scrapy/issues/comments{/number}", "notifications_url": "https://api.github.com/repos/scrapy/scrapy/notifications{?since,all,participating}", "open_issues_count": 708}</v>
      </c>
      <c r="T39" s="12">
        <f>IFERROR(__xludf.DUMMYFUNCTION("""COMPUTED_VALUE"""),0.996761697)</f>
        <v>0.996761697</v>
      </c>
      <c r="U39" s="12">
        <f>IFERROR(__xludf.DUMMYFUNCTION("""COMPUTED_VALUE"""),1337407.0)</f>
        <v>1337407</v>
      </c>
      <c r="V39" s="14">
        <f>IFERROR(__xludf.DUMMYFUNCTION("""COMPUTED_VALUE"""),106.0)</f>
        <v>106</v>
      </c>
      <c r="W39" s="15" t="str">
        <f>IFERROR(__xludf.DUMMYFUNCTION("IFERROR(REGEXEXTRACT(J39,""""""ratio"""": (\d+.\d+), """"language"""": """"Python""""""),"""")"),"0.9967616966473685")</f>
        <v>0.9967616966473685</v>
      </c>
      <c r="X39" s="15" t="str">
        <f t="shared" si="1"/>
        <v>crawler, crawling, framework, python, scraping</v>
      </c>
    </row>
    <row r="40">
      <c r="A40" s="10" t="str">
        <f>IFERROR(__xludf.DUMMYFUNCTION("""COMPUTED_VALUE"""),"getsentry/sentry")</f>
        <v>getsentry/sentry</v>
      </c>
      <c r="B40" s="10" t="str">
        <f>IFERROR(__xludf.DUMMYFUNCTION("""COMPUTED_VALUE"""),"Sentry is cross-platform application monitoring, with a focus on error reporting.")</f>
        <v>Sentry is cross-platform application monitoring, with a focus on error reporting.</v>
      </c>
      <c r="C40" s="11" t="str">
        <f>IFERROR(__xludf.DUMMYFUNCTION("""COMPUTED_VALUE"""),"https://github.com/getsentry/sentry")</f>
        <v>https://github.com/getsentry/sentry</v>
      </c>
      <c r="D40" s="10">
        <f>IFERROR(__xludf.DUMMYFUNCTION("""COMPUTED_VALUE"""),19244.0)</f>
        <v>19244</v>
      </c>
      <c r="E40" s="10">
        <f>IFERROR(__xludf.DUMMYFUNCTION("""COMPUTED_VALUE"""),631.0)</f>
        <v>631</v>
      </c>
      <c r="F40" s="10">
        <f>IFERROR(__xludf.DUMMYFUNCTION("""COMPUTED_VALUE"""),95309.0)</f>
        <v>95309</v>
      </c>
      <c r="G40" s="10" t="str">
        <f>IFERROR(__xludf.DUMMYFUNCTION("""COMPUTED_VALUE"""),"""[\""crash-reporting\"", \""crash-reports\"", \""csp-report\"", \""devops\"", \""django\"", \""error-logging\"", \""error-monitoring\"", \""monitoring\""]""")</f>
        <v>"[\"crash-reporting\", \"crash-reports\", \"csp-report\", \"devops\", \"django\", \"error-logging\", \"error-monitoring\", \"monitoring\"]"</v>
      </c>
      <c r="H40" s="12">
        <f>IFERROR(__xludf.DUMMYFUNCTION("""COMPUTED_VALUE"""),23743.0)</f>
        <v>23743</v>
      </c>
      <c r="I40" s="12">
        <f>IFERROR(__xludf.DUMMYFUNCTION("""COMPUTED_VALUE"""),377.0)</f>
        <v>377</v>
      </c>
      <c r="J40" s="10" t="str">
        <f>IFERROR(__xludf.DUMMYFUNCTION("""COMPUTED_VALUE"""),"[{""loc"": 40744126, ""ratio"": 0.9013895014243454, ""language"": ""Python""}, {""loc"": 3848556, ""ratio"": 0.08514228465825167, ""language"": ""JavaScript""}, {""loc"": 288064, ""ratio"": 0.0063728907901546995, ""language"": ""CSS""}, {""loc"": 241843, "&amp;"""ratio"": 0.005350335437136827, ""language"": ""HTML""}, {""loc"": 65795, ""ratio"": 0.0014555944149155342, ""language"": ""Lua""}, {""loc"": 7089, ""ratio"": 0.00015683120005070632, ""language"": ""Makefile""}, {""loc"": 5775, ""ratio"": 0.0001277613457"&amp;"8823938, ""language"": ""Shell""}, {""loc"": 217, ""ratio"": 0.000004800729356891419, ""language"": ""Ruby""}]")</f>
        <v>[{"loc": 40744126, "ratio": 0.9013895014243454, "language": "Python"}, {"loc": 3848556, "ratio": 0.08514228465825167, "language": "JavaScript"}, {"loc": 288064, "ratio": 0.0063728907901546995, "language": "CSS"}, {"loc": 241843, "ratio": 0.005350335437136827, "language": "HTML"}, {"loc": 65795, "ratio": 0.0014555944149155342, "language": "Lua"}, {"loc": 7089, "ratio": 0.00015683120005070632, "language": "Makefile"}, {"loc": 5775, "ratio": 0.00012776134578823938, "language": "Shell"}, {"loc": 217, "ratio": 0.000004800729356891419, "language": "Ruby"}]</v>
      </c>
      <c r="K40" s="13">
        <f>IFERROR(__xludf.DUMMYFUNCTION("""COMPUTED_VALUE"""),40420.0)</f>
        <v>40420</v>
      </c>
      <c r="L40" s="13">
        <f>IFERROR(__xludf.DUMMYFUNCTION("""COMPUTED_VALUE"""),43459.0)</f>
        <v>43459</v>
      </c>
      <c r="M40" s="10">
        <f>IFERROR(__xludf.DUMMYFUNCTION("""COMPUTED_VALUE"""),791.0)</f>
        <v>791</v>
      </c>
      <c r="N40" s="12">
        <f>IFERROR(__xludf.DUMMYFUNCTION("""COMPUTED_VALUE"""),334.0)</f>
        <v>334</v>
      </c>
      <c r="O40" s="12" t="str">
        <f>IFERROR(__xludf.DUMMYFUNCTION("""COMPUTED_VALUE"""),"v1.13.5")</f>
        <v>v1.13.5</v>
      </c>
      <c r="P40" s="12" t="str">
        <f>IFERROR(__xludf.DUMMYFUNCTION("""COMPUTED_VALUE"""),"06295f5d67d1c2952153518ecc1b1dd09d47df9c")</f>
        <v>06295f5d67d1c2952153518ecc1b1dd09d47df9c</v>
      </c>
      <c r="Q40" s="12" t="str">
        <f>IFERROR(__xludf.DUMMYFUNCTION("""COMPUTED_VALUE"""),"{""key"": ""bsd-3-clause"", ""url"": ""https://api.github.com/licenses/bsd-3-clause"", ""name"": ""BSD 3-Clause \""New\"" or \""Revised\"" License"", ""node_id"": ""MDc6TGljZW5zZTU="", ""spdx_id"": ""BSD-3-Clause""}")</f>
        <v>{"key": "bsd-3-clause", "url": "https://api.github.com/licenses/bsd-3-clause", "name": "BSD 3-Clause \"New\" or \"Revised\" License", "node_id": "MDc6TGljZW5zZTU=", "spdx_id": "BSD-3-Clause"}</v>
      </c>
      <c r="R40" s="12" t="str">
        <f>IFERROR(__xludf.DUMMYFUNCTION("""COMPUTED_VALUE"""),"sentry")</f>
        <v>sentry</v>
      </c>
      <c r="S40" s="12" t="str">
        <f>IFERROR(__xludf.DUMMYFUNCTION("""COMPUTED_VALUE"""),"{""id"": 873328, ""url"": ""https://api.github.com/repos/getsentry/sentry"", ""fork"": false, ""name"": ""sentry"", ""size"": 95309, ""forks"": 2225, ""owner"": {""id"": 1396951, ""url"": ""https://api.github.com/users/getsentry"", ""type"": ""Organizatio"&amp;"n"", ""login"": ""getsentry"", ""node_id"": ""MDEyOk9yZ2FuaXphdGlvbjEzOTY5NTE="", ""html_url"": ""https://github.com/getsentry"", ""gists_url"": ""https://api.github.com/users/getsentry/gists{/gist_id}"", ""repos_url"": ""https://api.github.com/users/gets"&amp;"entry/repos"", ""avatar_url"": ""https://avatars0.githubusercontent.com/u/1396951?v=4"", ""events_url"": ""https://api.github.com/users/getsentry/events{/privacy}"", ""site_admin"": false, ""gravatar_id"": """", ""starred_url"": ""https://api.github.com/u"&amp;"sers/getsentry/starred{/owner}{/repo}"", ""followers_url"": ""https://api.github.com/users/getsentry/followers"", ""following_url"": ""https://api.github.com/users/getsentry/following{/other_user}"", ""organizations_url"": ""https://api.github.com/users/g"&amp;"etsentry/orgs"", ""subscriptions_url"": ""https://api.github.com/users/getsentry/subscriptions"", ""received_events_url"": ""https://api.github.com/users/getsentry/received_events""}, ""score"": 1.0, ""topics"": [""crash-reporting"", ""crash-reports"", """&amp;"csp-report"", ""devops"", ""django"", ""error-logging"", ""error-monitoring"", ""monitoring""], ""git_url"": ""git://github.com/getsentry/sentry.git"", ""license"": {""key"": ""bsd-3-clause"", ""url"": ""https://api.github.com/licenses/bsd-3-clause"", ""n"&amp;"ame"": ""BSD 3-Clause \""New\"" or \""Revised\"" License"", ""node_id"": ""MDc6TGljZW5zZTU="", ""spdx_id"": ""BSD-3-Clause""}, ""node_id"": ""MDEwOlJlcG9zaXRvcnk4NzMzMjg="", ""private"": false, ""ssh_url"": ""git@github.com:getsentry/sentry.git"", ""svn_u"&amp;"rl"": ""https://github.com/getsentry/sentry"", ""archived"": false, ""has_wiki"": false, ""homepage"": ""https://sentry.io"", ""html_url"": ""https://github.com/getsentry/sentry"", ""keys_url"": ""https://api.github.com/repos/getsentry/sentry/keys{/key_id"&amp;"}"", ""language"": ""Python"", ""tags_url"": ""https://api.github.com/repos/getsentry/sentry/tags"", ""watchers"": 19244, ""blobs_url"": ""https://api.github.com/repos/getsentry/sentry/git/blobs{/sha}"", ""clone_url"": ""https://github.com/getsentry/sentr"&amp;"y.git"", ""forks_url"": ""https://api.github.com/repos/getsentry/sentry/forks"", ""full_name"": ""getsentry/sentry"", ""has_pages"": false, ""hooks_url"": ""https://api.github.com/repos/getsentry/sentry/hooks"", ""pulls_url"": ""https://api.github.com/rep"&amp;"os/getsentry/sentry/pulls{/number}"", ""pushed_at"": ""2018-12-25T01:55:39Z"", ""teams_url"": ""https://api.github.com/repos/getsentry/sentry/teams"", ""trees_url"": ""https://api.github.com/repos/getsentry/sentry/git/trees{/sha}"", ""created_at"": ""2010"&amp;"-08-30T22:06:41Z"", ""events_url"": ""https://api.github.com/repos/getsentry/sentry/events"", ""has_issues"": true, ""issues_url"": ""https://api.github.com/repos/getsentry/sentry/issues{/number}"", ""labels_url"": ""https://api.github.com/repos/getsentry"&amp;"/sentry/labels{/name}"", ""merges_url"": ""https://api.github.com/repos/getsentry/sentry/merges"", ""mirror_url"": null, ""updated_at"": ""2018-12-25T01:45:20Z"", ""archive_url"": ""https://api.github.com/repos/getsentry/sentry/{archive_format}{/ref}"", "&amp;"""commits_url"": ""https://api.github.com/repos/getsentry/sentry/commits{/sha}"", ""compare_url"": ""https://api.github.com/repos/getsentry/sentry/compare/{base}...{head}"", ""description"": ""Sentry is cross-platform application monitoring, with a focus "&amp;"on error reporting."", ""forks_count"": 2225, ""open_issues"": 791, ""permissions"": {""pull"": true, ""push"": false, ""admin"": false}, ""branches_url"": ""https://api.github.com/repos/getsentry/sentry/branches{/branch}"", ""comments_url"": ""https://ap"&amp;"i.github.com/repos/getsentry/sentry/comments{/number}"", ""contents_url"": ""https://api.github.com/repos/getsentry/sentry/contents/{+path}"", ""git_refs_url"": ""https://api.github.com/repos/getsentry/sentry/git/refs{/sha}"", ""git_tags_url"": ""https://"&amp;"api.github.com/repos/getsentry/sentry/git/tags{/sha}"", ""has_projects"": true, ""releases_url"": ""https://api.github.com/repos/getsentry/sentry/releases{/id}"", ""statuses_url"": ""https://api.github.com/repos/getsentry/sentry/statuses/{sha}"", ""assign"&amp;"ees_url"": ""https://api.github.com/repos/getsentry/sentry/assignees{/user}"", ""downloads_url"": ""https://api.github.com/repos/getsentry/sentry/downloads"", ""has_downloads"": true, ""languages_url"": ""https://api.github.com/repos/getsentry/sentry/lang"&amp;"uages"", ""default_branch"": ""master"", ""milestones_url"": ""https://api.github.com/repos/getsentry/sentry/milestones{/number}"", ""stargazers_url"": ""https://api.github.com/repos/getsentry/sentry/stargazers"", ""watchers_count"": 19244, ""deployments_"&amp;"url"": ""https://api.github.com/repos/getsentry/sentry/deployments"", ""git_commits_url"": ""https://api.github.com/repos/getsentry/sentry/git/commits{/sha}"", ""subscribers_url"": ""https://api.github.com/repos/getsentry/sentry/subscribers"", ""contribut"&amp;"ors_url"": ""https://api.github.com/repos/getsentry/sentry/contributors"", ""issue_events_url"": ""https://api.github.com/repos/getsentry/sentry/issues/events{/number}"", ""stargazers_count"": 19244, ""subscription_url"": ""https://api.github.com/repos/ge"&amp;"tsentry/sentry/subscription"", ""collaborators_url"": ""https://api.github.com/repos/getsentry/sentry/collaborators{/collaborator}"", ""issue_comment_url"": ""https://api.github.com/repos/getsentry/sentry/issues/comments{/number}"", ""notifications_url"":"&amp;" ""https://api.github.com/repos/getsentry/sentry/notifications{?since,all,participating}"", ""open_issues_count"": 791}")</f>
        <v>{"id": 873328, "url": "https://api.github.com/repos/getsentry/sentry", "fork": false, "name": "sentry", "size": 95309, "forks": 2225, "owner": {"id": 1396951, "url": "https://api.github.com/users/getsentry", "type": "Organization", "login": "getsentry", "node_id": "MDEyOk9yZ2FuaXphdGlvbjEzOTY5NTE=", "html_url": "https://github.com/getsentry", "gists_url": "https://api.github.com/users/getsentry/gists{/gist_id}", "repos_url": "https://api.github.com/users/getsentry/repos", "avatar_url": "https://avatars0.githubusercontent.com/u/1396951?v=4", "events_url": "https://api.github.com/users/getsentry/events{/privacy}", "site_admin": false, "gravatar_id": "", "starred_url": "https://api.github.com/users/getsentry/starred{/owner}{/repo}", "followers_url": "https://api.github.com/users/getsentry/followers", "following_url": "https://api.github.com/users/getsentry/following{/other_user}", "organizations_url": "https://api.github.com/users/getsentry/orgs", "subscriptions_url": "https://api.github.com/users/getsentry/subscriptions", "received_events_url": "https://api.github.com/users/getsentry/received_events"}, "score": 1.0, "topics": ["crash-reporting", "crash-reports", "csp-report", "devops", "django", "error-logging", "error-monitoring", "monitoring"], "git_url": "git://github.com/getsentry/sentry.git", "license": {"key": "bsd-3-clause", "url": "https://api.github.com/licenses/bsd-3-clause", "name": "BSD 3-Clause \"New\" or \"Revised\" License", "node_id": "MDc6TGljZW5zZTU=", "spdx_id": "BSD-3-Clause"}, "node_id": "MDEwOlJlcG9zaXRvcnk4NzMzMjg=", "private": false, "ssh_url": "git@github.com:getsentry/sentry.git", "svn_url": "https://github.com/getsentry/sentry", "archived": false, "has_wiki": false, "homepage": "https://sentry.io", "html_url": "https://github.com/getsentry/sentry", "keys_url": "https://api.github.com/repos/getsentry/sentry/keys{/key_id}", "language": "Python", "tags_url": "https://api.github.com/repos/getsentry/sentry/tags", "watchers": 19244, "blobs_url": "https://api.github.com/repos/getsentry/sentry/git/blobs{/sha}", "clone_url": "https://github.com/getsentry/sentry.git", "forks_url": "https://api.github.com/repos/getsentry/sentry/forks", "full_name": "getsentry/sentry", "has_pages": false, "hooks_url": "https://api.github.com/repos/getsentry/sentry/hooks", "pulls_url": "https://api.github.com/repos/getsentry/sentry/pulls{/number}", "pushed_at": "2018-12-25T01:55:39Z", "teams_url": "https://api.github.com/repos/getsentry/sentry/teams", "trees_url": "https://api.github.com/repos/getsentry/sentry/git/trees{/sha}", "created_at": "2010-08-30T22:06:41Z", "events_url": "https://api.github.com/repos/getsentry/sentry/events", "has_issues": true, "issues_url": "https://api.github.com/repos/getsentry/sentry/issues{/number}", "labels_url": "https://api.github.com/repos/getsentry/sentry/labels{/name}", "merges_url": "https://api.github.com/repos/getsentry/sentry/merges", "mirror_url": null, "updated_at": "2018-12-25T01:45:20Z", "archive_url": "https://api.github.com/repos/getsentry/sentry/{archive_format}{/ref}", "commits_url": "https://api.github.com/repos/getsentry/sentry/commits{/sha}", "compare_url": "https://api.github.com/repos/getsentry/sentry/compare/{base}...{head}", "description": "Sentry is cross-platform application monitoring, with a focus on error reporting.", "forks_count": 2225, "open_issues": 791, "permissions": {"pull": true, "push": false, "admin": false}, "branches_url": "https://api.github.com/repos/getsentry/sentry/branches{/branch}", "comments_url": "https://api.github.com/repos/getsentry/sentry/comments{/number}", "contents_url": "https://api.github.com/repos/getsentry/sentry/contents/{+path}", "git_refs_url": "https://api.github.com/repos/getsentry/sentry/git/refs{/sha}", "git_tags_url": "https://api.github.com/repos/getsentry/sentry/git/tags{/sha}", "has_projects": true, "releases_url": "https://api.github.com/repos/getsentry/sentry/releases{/id}", "statuses_url": "https://api.github.com/repos/getsentry/sentry/statuses/{sha}", "assignees_url": "https://api.github.com/repos/getsentry/sentry/assignees{/user}", "downloads_url": "https://api.github.com/repos/getsentry/sentry/downloads", "has_downloads": true, "languages_url": "https://api.github.com/repos/getsentry/sentry/languages", "default_branch": "master", "milestones_url": "https://api.github.com/repos/getsentry/sentry/milestones{/number}", "stargazers_url": "https://api.github.com/repos/getsentry/sentry/stargazers", "watchers_count": 19244, "deployments_url": "https://api.github.com/repos/getsentry/sentry/deployments", "git_commits_url": "https://api.github.com/repos/getsentry/sentry/git/commits{/sha}", "subscribers_url": "https://api.github.com/repos/getsentry/sentry/subscribers", "contributors_url": "https://api.github.com/repos/getsentry/sentry/contributors", "issue_events_url": "https://api.github.com/repos/getsentry/sentry/issues/events{/number}", "stargazers_count": 19244, "subscription_url": "https://api.github.com/repos/getsentry/sentry/subscription", "collaborators_url": "https://api.github.com/repos/getsentry/sentry/collaborators{/collaborator}", "issue_comment_url": "https://api.github.com/repos/getsentry/sentry/issues/comments{/number}", "notifications_url": "https://api.github.com/repos/getsentry/sentry/notifications{?since,all,participating}", "open_issues_count": 791}</v>
      </c>
      <c r="T40" s="12">
        <f>IFERROR(__xludf.DUMMYFUNCTION("""COMPUTED_VALUE"""),0.901389501)</f>
        <v>0.901389501</v>
      </c>
      <c r="U40" s="12">
        <f>IFERROR(__xludf.DUMMYFUNCTION("""COMPUTED_VALUE"""),4.0744126E7)</f>
        <v>40744126</v>
      </c>
      <c r="V40" s="14">
        <f>IFERROR(__xludf.DUMMYFUNCTION("""COMPUTED_VALUE"""),99.0)</f>
        <v>99</v>
      </c>
      <c r="W40" s="15" t="str">
        <f>IFERROR(__xludf.DUMMYFUNCTION("IFERROR(REGEXEXTRACT(J40,""""""ratio"""": (\d+.\d+), """"language"""": """"Python""""""),"""")"),"0.9013895014243454")</f>
        <v>0.9013895014243454</v>
      </c>
      <c r="X40" s="15" t="str">
        <f t="shared" si="1"/>
        <v>crash-reporting, crash-reports, csp-report, devops, django, error-logging, error-monitoring, monitoring</v>
      </c>
    </row>
    <row r="41">
      <c r="A41" s="10" t="str">
        <f>IFERROR(__xludf.DUMMYFUNCTION("""COMPUTED_VALUE"""),"zzzeek/sqlalchemy")</f>
        <v>zzzeek/sqlalchemy</v>
      </c>
      <c r="B41" s="10" t="str">
        <f>IFERROR(__xludf.DUMMYFUNCTION("""COMPUTED_VALUE"""),"THIS IS NOT THE OFFICIAL REPO - PLEASE SUBMIT PRs ETC AT: http://github.com/sqlalchemy/sqlalchemy")</f>
        <v>THIS IS NOT THE OFFICIAL REPO - PLEASE SUBMIT PRs ETC AT: http://github.com/sqlalchemy/sqlalchemy</v>
      </c>
      <c r="C41" s="11" t="str">
        <f>IFERROR(__xludf.DUMMYFUNCTION("""COMPUTED_VALUE"""),"https://github.com/zzzeek/sqlalchemy")</f>
        <v>https://github.com/zzzeek/sqlalchemy</v>
      </c>
      <c r="D41" s="10">
        <f>IFERROR(__xludf.DUMMYFUNCTION("""COMPUTED_VALUE"""),3257.0)</f>
        <v>3257</v>
      </c>
      <c r="E41" s="10">
        <f>IFERROR(__xludf.DUMMYFUNCTION("""COMPUTED_VALUE"""),160.0)</f>
        <v>160</v>
      </c>
      <c r="F41" s="10">
        <f>IFERROR(__xludf.DUMMYFUNCTION("""COMPUTED_VALUE"""),53605.0)</f>
        <v>53605</v>
      </c>
      <c r="G41" s="10" t="str">
        <f>IFERROR(__xludf.DUMMYFUNCTION("""COMPUTED_VALUE"""),"""[]""")</f>
        <v>"[]"</v>
      </c>
      <c r="H41" s="12">
        <f>IFERROR(__xludf.DUMMYFUNCTION("""COMPUTED_VALUE"""),11789.0)</f>
        <v>11789</v>
      </c>
      <c r="I41" s="12">
        <f>IFERROR(__xludf.DUMMYFUNCTION("""COMPUTED_VALUE"""),300.0)</f>
        <v>300</v>
      </c>
      <c r="J41" s="10" t="str">
        <f>IFERROR(__xludf.DUMMYFUNCTION("""COMPUTED_VALUE"""),"[{""loc"": 10503297, ""ratio"": 0.9956461264886991, ""language"": ""Python""}, {""loc"": 45930, ""ratio"": 0.004353873511300875, ""language"": ""C""}]")</f>
        <v>[{"loc": 10503297, "ratio": 0.9956461264886991, "language": "Python"}, {"loc": 45930, "ratio": 0.004353873511300875, "language": "C"}]</v>
      </c>
      <c r="K41" s="13">
        <f>IFERROR(__xludf.DUMMYFUNCTION("""COMPUTED_VALUE"""),41419.0)</f>
        <v>41419</v>
      </c>
      <c r="L41" s="13">
        <f>IFERROR(__xludf.DUMMYFUNCTION("""COMPUTED_VALUE"""),43458.0)</f>
        <v>43458</v>
      </c>
      <c r="M41" s="10">
        <f>IFERROR(__xludf.DUMMYFUNCTION("""COMPUTED_VALUE"""),0.0)</f>
        <v>0</v>
      </c>
      <c r="N41" s="12">
        <f>IFERROR(__xludf.DUMMYFUNCTION("""COMPUTED_VALUE"""),182.0)</f>
        <v>182</v>
      </c>
      <c r="O41" s="12" t="str">
        <f>IFERROR(__xludf.DUMMYFUNCTION("""COMPUTED_VALUE"""),"rel_1_3_0b1")</f>
        <v>rel_1_3_0b1</v>
      </c>
      <c r="P41" s="12" t="str">
        <f>IFERROR(__xludf.DUMMYFUNCTION("""COMPUTED_VALUE"""),"19590812c02945b776a85a709dd6345e30c0dd71")</f>
        <v>19590812c02945b776a85a709dd6345e30c0dd71</v>
      </c>
      <c r="Q41" s="12" t="str">
        <f>IFERROR(__xludf.DUMMYFUNCTION("""COMPUTED_VALUE"""),"{""key"": ""other"", ""url"": null, ""name"": ""Other"", ""node_id"": ""MDc6TGljZW5zZTA="", ""spdx_id"": ""NOASSERTION""}")</f>
        <v>{"key": "other", "url": null, "name": "Other", "node_id": "MDc6TGljZW5zZTA=", "spdx_id": "NOASSERTION"}</v>
      </c>
      <c r="R41" s="12" t="str">
        <f>IFERROR(__xludf.DUMMYFUNCTION("""COMPUTED_VALUE"""),"sqlalchemy")</f>
        <v>sqlalchemy</v>
      </c>
      <c r="S41" s="12" t="str">
        <f>IFERROR(__xludf.DUMMYFUNCTION("""COMPUTED_VALUE"""),"{""id"": 10289171, ""url"": ""https://api.github.com/repos/zzzeek/sqlalchemy"", ""fork"": false, ""name"": ""sqlalchemy"", ""size"": 53605, ""forks"": 889, ""owner"": {""id"": 128223, ""url"": ""https://api.github.com/users/zzzeek"", ""type"": ""User"", "&amp;"""login"": ""zzzeek"", ""node_id"": ""MDQ6VXNlcjEyODIyMw=="", ""html_url"": ""https://github.com/zzzeek"", ""gists_url"": ""https://api.github.com/users/zzzeek/gists{/gist_id}"", ""repos_url"": ""https://api.github.com/users/zzzeek/repos"", ""avatar_url"""&amp;": ""https://avatars0.githubusercontent.com/u/128223?v=4"", ""events_url"": ""https://api.github.com/users/zzzeek/events{/privacy}"", ""site_admin"": false, ""gravatar_id"": """", ""starred_url"": ""https://api.github.com/users/zzzeek/starred{/owner}{/repo"&amp;"}"", ""followers_url"": ""https://api.github.com/users/zzzeek/followers"", ""following_url"": ""https://api.github.com/users/zzzeek/following{/other_user}"", ""organizations_url"": ""https://api.github.com/users/zzzeek/orgs"", ""subscriptions_url"": ""htt"&amp;"ps://api.github.com/users/zzzeek/subscriptions"", ""received_events_url"": ""https://api.github.com/users/zzzeek/received_events""}, ""score"": 1.0, ""topics"": [], ""git_url"": ""git://github.com/zzzeek/sqlalchemy.git"", ""license"": {""key"": ""other"","&amp;" ""url"": null, ""name"": ""Other"", ""node_id"": ""MDc6TGljZW5zZTA="", ""spdx_id"": ""NOASSERTION""}, ""node_id"": ""MDEwOlJlcG9zaXRvcnkxMDI4OTE3MQ=="", ""private"": false, ""ssh_url"": ""git@github.com:zzzeek/sqlalchemy.git"", ""svn_url"": ""https://git"&amp;"hub.com/zzzeek/sqlalchemy"", ""archived"": false, ""has_wiki"": false, ""homepage"": ""https://www.sqlalchemy.org"", ""html_url"": ""https://github.com/zzzeek/sqlalchemy"", ""keys_url"": ""https://api.github.com/repos/zzzeek/sqlalchemy/keys{/key_id}"", """&amp;"language"": ""Python"", ""tags_url"": ""https://api.github.com/repos/zzzeek/sqlalchemy/tags"", ""watchers"": 3257, ""blobs_url"": ""https://api.github.com/repos/zzzeek/sqlalchemy/git/blobs{/sha}"", ""clone_url"": ""https://github.com/zzzeek/sqlalchemy.git"&amp;""", ""forks_url"": ""https://api.github.com/repos/zzzeek/sqlalchemy/forks"", ""full_name"": ""zzzeek/sqlalchemy"", ""has_pages"": false, ""hooks_url"": ""https://api.github.com/repos/zzzeek/sqlalchemy/hooks"", ""pulls_url"": ""https://api.github.com/repos"&amp;"/zzzeek/sqlalchemy/pulls{/number}"", ""pushed_at"": ""2018-12-24T05:14:45Z"", ""teams_url"": ""https://api.github.com/repos/zzzeek/sqlalchemy/teams"", ""trees_url"": ""https://api.github.com/repos/zzzeek/sqlalchemy/git/trees{/sha}"", ""created_at"": ""201"&amp;"3-05-25T20:05:42Z"", ""events_url"": ""https://api.github.com/repos/zzzeek/sqlalchemy/events"", ""has_issues"": false, ""issues_url"": ""https://api.github.com/repos/zzzeek/sqlalchemy/issues{/number}"", ""labels_url"": ""https://api.github.com/repos/zzzee"&amp;"k/sqlalchemy/labels{/name}"", ""merges_url"": ""https://api.github.com/repos/zzzeek/sqlalchemy/merges"", ""mirror_url"": null, ""updated_at"": ""2018-12-24T07:06:29Z"", ""archive_url"": ""https://api.github.com/repos/zzzeek/sqlalchemy/{archive_format}{/re"&amp;"f}"", ""commits_url"": ""https://api.github.com/repos/zzzeek/sqlalchemy/commits{/sha}"", ""compare_url"": ""https://api.github.com/repos/zzzeek/sqlalchemy/compare/{base}...{head}"", ""description"": ""THIS IS NOT THE OFFICIAL REPO - PLEASE SUBMIT PRs ETC "&amp;"AT: http://github.com/sqlalchemy/sqlalchemy"", ""forks_count"": 889, ""open_issues"": 0, ""permissions"": {""pull"": true, ""push"": false, ""admin"": false}, ""branches_url"": ""https://api.github.com/repos/zzzeek/sqlalchemy/branches{/branch}"", ""commen"&amp;"ts_url"": ""https://api.github.com/repos/zzzeek/sqlalchemy/comments{/number}"", ""contents_url"": ""https://api.github.com/repos/zzzeek/sqlalchemy/contents/{+path}"", ""git_refs_url"": ""https://api.github.com/repos/zzzeek/sqlalchemy/git/refs{/sha}"", ""g"&amp;"it_tags_url"": ""https://api.github.com/repos/zzzeek/sqlalchemy/git/tags{/sha}"", ""has_projects"": false, ""releases_url"": ""https://api.github.com/repos/zzzeek/sqlalchemy/releases{/id}"", ""statuses_url"": ""https://api.github.com/repos/zzzeek/sqlalche"&amp;"my/statuses/{sha}"", ""assignees_url"": ""https://api.github.com/repos/zzzeek/sqlalchemy/assignees{/user}"", ""downloads_url"": ""https://api.github.com/repos/zzzeek/sqlalchemy/downloads"", ""has_downloads"": true, ""languages_url"": ""https://api.github."&amp;"com/repos/zzzeek/sqlalchemy/languages"", ""default_branch"": ""master"", ""milestones_url"": ""https://api.github.com/repos/zzzeek/sqlalchemy/milestones{/number}"", ""stargazers_url"": ""https://api.github.com/repos/zzzeek/sqlalchemy/stargazers"", ""watch"&amp;"ers_count"": 3257, ""deployments_url"": ""https://api.github.com/repos/zzzeek/sqlalchemy/deployments"", ""git_commits_url"": ""https://api.github.com/repos/zzzeek/sqlalchemy/git/commits{/sha}"", ""subscribers_url"": ""https://api.github.com/repos/zzzeek/s"&amp;"qlalchemy/subscribers"", ""contributors_url"": ""https://api.github.com/repos/zzzeek/sqlalchemy/contributors"", ""issue_events_url"": ""https://api.github.com/repos/zzzeek/sqlalchemy/issues/events{/number}"", ""stargazers_count"": 3257, ""subscription_url"&amp;""": ""https://api.github.com/repos/zzzeek/sqlalchemy/subscription"", ""collaborators_url"": ""https://api.github.com/repos/zzzeek/sqlalchemy/collaborators{/collaborator}"", ""issue_comment_url"": ""https://api.github.com/repos/zzzeek/sqlalchemy/issues/com"&amp;"ments{/number}"", ""notifications_url"": ""https://api.github.com/repos/zzzeek/sqlalchemy/notifications{?since,all,participating}"", ""open_issues_count"": 0}")</f>
        <v>{"id": 10289171, "url": "https://api.github.com/repos/zzzeek/sqlalchemy", "fork": false, "name": "sqlalchemy", "size": 53605, "forks": 889, "owner": {"id": 128223, "url": "https://api.github.com/users/zzzeek", "type": "User", "login": "zzzeek", "node_id": "MDQ6VXNlcjEyODIyMw==", "html_url": "https://github.com/zzzeek", "gists_url": "https://api.github.com/users/zzzeek/gists{/gist_id}", "repos_url": "https://api.github.com/users/zzzeek/repos", "avatar_url": "https://avatars0.githubusercontent.com/u/128223?v=4", "events_url": "https://api.github.com/users/zzzeek/events{/privacy}", "site_admin": false, "gravatar_id": "", "starred_url": "https://api.github.com/users/zzzeek/starred{/owner}{/repo}", "followers_url": "https://api.github.com/users/zzzeek/followers", "following_url": "https://api.github.com/users/zzzeek/following{/other_user}", "organizations_url": "https://api.github.com/users/zzzeek/orgs", "subscriptions_url": "https://api.github.com/users/zzzeek/subscriptions", "received_events_url": "https://api.github.com/users/zzzeek/received_events"}, "score": 1.0, "topics": [], "git_url": "git://github.com/zzzeek/sqlalchemy.git", "license": {"key": "other", "url": null, "name": "Other", "node_id": "MDc6TGljZW5zZTA=", "spdx_id": "NOASSERTION"}, "node_id": "MDEwOlJlcG9zaXRvcnkxMDI4OTE3MQ==", "private": false, "ssh_url": "git@github.com:zzzeek/sqlalchemy.git", "svn_url": "https://github.com/zzzeek/sqlalchemy", "archived": false, "has_wiki": false, "homepage": "https://www.sqlalchemy.org", "html_url": "https://github.com/zzzeek/sqlalchemy", "keys_url": "https://api.github.com/repos/zzzeek/sqlalchemy/keys{/key_id}", "language": "Python", "tags_url": "https://api.github.com/repos/zzzeek/sqlalchemy/tags", "watchers": 3257, "blobs_url": "https://api.github.com/repos/zzzeek/sqlalchemy/git/blobs{/sha}", "clone_url": "https://github.com/zzzeek/sqlalchemy.git", "forks_url": "https://api.github.com/repos/zzzeek/sqlalchemy/forks", "full_name": "zzzeek/sqlalchemy", "has_pages": false, "hooks_url": "https://api.github.com/repos/zzzeek/sqlalchemy/hooks", "pulls_url": "https://api.github.com/repos/zzzeek/sqlalchemy/pulls{/number}", "pushed_at": "2018-12-24T05:14:45Z", "teams_url": "https://api.github.com/repos/zzzeek/sqlalchemy/teams", "trees_url": "https://api.github.com/repos/zzzeek/sqlalchemy/git/trees{/sha}", "created_at": "2013-05-25T20:05:42Z", "events_url": "https://api.github.com/repos/zzzeek/sqlalchemy/events", "has_issues": false, "issues_url": "https://api.github.com/repos/zzzeek/sqlalchemy/issues{/number}", "labels_url": "https://api.github.com/repos/zzzeek/sqlalchemy/labels{/name}", "merges_url": "https://api.github.com/repos/zzzeek/sqlalchemy/merges", "mirror_url": null, "updated_at": "2018-12-24T07:06:29Z", "archive_url": "https://api.github.com/repos/zzzeek/sqlalchemy/{archive_format}{/ref}", "commits_url": "https://api.github.com/repos/zzzeek/sqlalchemy/commits{/sha}", "compare_url": "https://api.github.com/repos/zzzeek/sqlalchemy/compare/{base}...{head}", "description": "THIS IS NOT THE OFFICIAL REPO - PLEASE SUBMIT PRs ETC AT: http://github.com/sqlalchemy/sqlalchemy", "forks_count": 889, "open_issues": 0, "permissions": {"pull": true, "push": false, "admin": false}, "branches_url": "https://api.github.com/repos/zzzeek/sqlalchemy/branches{/branch}", "comments_url": "https://api.github.com/repos/zzzeek/sqlalchemy/comments{/number}", "contents_url": "https://api.github.com/repos/zzzeek/sqlalchemy/contents/{+path}", "git_refs_url": "https://api.github.com/repos/zzzeek/sqlalchemy/git/refs{/sha}", "git_tags_url": "https://api.github.com/repos/zzzeek/sqlalchemy/git/tags{/sha}", "has_projects": false, "releases_url": "https://api.github.com/repos/zzzeek/sqlalchemy/releases{/id}", "statuses_url": "https://api.github.com/repos/zzzeek/sqlalchemy/statuses/{sha}", "assignees_url": "https://api.github.com/repos/zzzeek/sqlalchemy/assignees{/user}", "downloads_url": "https://api.github.com/repos/zzzeek/sqlalchemy/downloads", "has_downloads": true, "languages_url": "https://api.github.com/repos/zzzeek/sqlalchemy/languages", "default_branch": "master", "milestones_url": "https://api.github.com/repos/zzzeek/sqlalchemy/milestones{/number}", "stargazers_url": "https://api.github.com/repos/zzzeek/sqlalchemy/stargazers", "watchers_count": 3257, "deployments_url": "https://api.github.com/repos/zzzeek/sqlalchemy/deployments", "git_commits_url": "https://api.github.com/repos/zzzeek/sqlalchemy/git/commits{/sha}", "subscribers_url": "https://api.github.com/repos/zzzeek/sqlalchemy/subscribers", "contributors_url": "https://api.github.com/repos/zzzeek/sqlalchemy/contributors", "issue_events_url": "https://api.github.com/repos/zzzeek/sqlalchemy/issues/events{/number}", "stargazers_count": 3257, "subscription_url": "https://api.github.com/repos/zzzeek/sqlalchemy/subscription", "collaborators_url": "https://api.github.com/repos/zzzeek/sqlalchemy/collaborators{/collaborator}", "issue_comment_url": "https://api.github.com/repos/zzzeek/sqlalchemy/issues/comments{/number}", "notifications_url": "https://api.github.com/repos/zzzeek/sqlalchemy/notifications{?since,all,participating}", "open_issues_count": 0}</v>
      </c>
      <c r="T41" s="12">
        <f>IFERROR(__xludf.DUMMYFUNCTION("""COMPUTED_VALUE"""),0.995646126)</f>
        <v>0.995646126</v>
      </c>
      <c r="U41" s="12">
        <f>IFERROR(__xludf.DUMMYFUNCTION("""COMPUTED_VALUE"""),1.0503297E7)</f>
        <v>10503297</v>
      </c>
      <c r="V41" s="14">
        <f>IFERROR(__xludf.DUMMYFUNCTION("""COMPUTED_VALUE"""),66.0)</f>
        <v>66</v>
      </c>
      <c r="W41" s="15" t="str">
        <f>IFERROR(__xludf.DUMMYFUNCTION("IFERROR(REGEXEXTRACT(J41,""""""ratio"""": (\d+.\d+), """"language"""": """"Python""""""),"""")"),"0.9956461264886991")</f>
        <v>0.9956461264886991</v>
      </c>
      <c r="X41" s="15" t="str">
        <f t="shared" si="1"/>
        <v/>
      </c>
    </row>
    <row r="42">
      <c r="A42" s="10" t="str">
        <f>IFERROR(__xludf.DUMMYFUNCTION("""COMPUTED_VALUE"""),"openstack/swift")</f>
        <v>openstack/swift</v>
      </c>
      <c r="B42" s="10" t="str">
        <f>IFERROR(__xludf.DUMMYFUNCTION("""COMPUTED_VALUE"""),"OpenStack Storage (Swift)")</f>
        <v>OpenStack Storage (Swift)</v>
      </c>
      <c r="C42" s="11" t="str">
        <f>IFERROR(__xludf.DUMMYFUNCTION("""COMPUTED_VALUE"""),"https://github.com/openstack/swift")</f>
        <v>https://github.com/openstack/swift</v>
      </c>
      <c r="D42" s="10">
        <f>IFERROR(__xludf.DUMMYFUNCTION("""COMPUTED_VALUE"""),1842.0)</f>
        <v>1842</v>
      </c>
      <c r="E42" s="10">
        <f>IFERROR(__xludf.DUMMYFUNCTION("""COMPUTED_VALUE"""),327.0)</f>
        <v>327</v>
      </c>
      <c r="F42" s="10">
        <f>IFERROR(__xludf.DUMMYFUNCTION("""COMPUTED_VALUE"""),100089.0)</f>
        <v>100089</v>
      </c>
      <c r="G42" s="10" t="str">
        <f>IFERROR(__xludf.DUMMYFUNCTION("""COMPUTED_VALUE"""),"""[\""api-server\""]""")</f>
        <v>"[\"api-server\"]"</v>
      </c>
      <c r="H42" s="12">
        <f>IFERROR(__xludf.DUMMYFUNCTION("""COMPUTED_VALUE"""),7986.0)</f>
        <v>7986</v>
      </c>
      <c r="I42" s="12">
        <f>IFERROR(__xludf.DUMMYFUNCTION("""COMPUTED_VALUE"""),283.0)</f>
        <v>283</v>
      </c>
      <c r="J42" s="10" t="str">
        <f>IFERROR(__xludf.DUMMYFUNCTION("""COMPUTED_VALUE"""),"[{""loc"": 11330594, ""ratio"": 0.9994186387538, ""language"": ""Python""}, {""loc"": 5966, ""ratio"": 0.0005262329228992911, ""language"": ""Shell""}, {""loc"": 625, ""ratio"": 0.00005512832330071354, ""language"": ""HTML""}]")</f>
        <v>[{"loc": 11330594, "ratio": 0.9994186387538, "language": "Python"}, {"loc": 5966, "ratio": 0.0005262329228992911, "language": "Shell"}, {"loc": 625, "ratio": 0.00005512832330071354, "language": "HTML"}]</v>
      </c>
      <c r="K42" s="13">
        <f>IFERROR(__xludf.DUMMYFUNCTION("""COMPUTED_VALUE"""),40381.0)</f>
        <v>40381</v>
      </c>
      <c r="L42" s="13">
        <f>IFERROR(__xludf.DUMMYFUNCTION("""COMPUTED_VALUE"""),43456.0)</f>
        <v>43456</v>
      </c>
      <c r="M42" s="10">
        <f>IFERROR(__xludf.DUMMYFUNCTION("""COMPUTED_VALUE"""),0.0)</f>
        <v>0</v>
      </c>
      <c r="N42" s="12">
        <f>IFERROR(__xludf.DUMMYFUNCTION("""COMPUTED_VALUE"""),90.0)</f>
        <v>90</v>
      </c>
      <c r="O42" s="12" t="str">
        <f>IFERROR(__xludf.DUMMYFUNCTION("""COMPUTED_VALUE"""),"2.20.0")</f>
        <v>2.20.0</v>
      </c>
      <c r="P42" s="12" t="str">
        <f>IFERROR(__xludf.DUMMYFUNCTION("""COMPUTED_VALUE"""),"fe067413b1fb61cdfba97d543189c5a01230b45c")</f>
        <v>fe067413b1fb61cdfba97d543189c5a01230b45c</v>
      </c>
      <c r="Q42"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42" s="12" t="str">
        <f>IFERROR(__xludf.DUMMYFUNCTION("""COMPUTED_VALUE"""),"swift")</f>
        <v>swift</v>
      </c>
      <c r="S42" s="12" t="str">
        <f>IFERROR(__xludf.DUMMYFUNCTION("""COMPUTED_VALUE"""),"{""id"": 790019, ""url"": ""https://api.github.com/repos/openstack/swift"", ""fork"": false, ""name"": ""swift"", ""size"": 100089, ""forks"": 951, ""owner"": {""id"": 324574, ""url"": ""https://api.github.com/users/openstack"", ""type"": ""Organization"""&amp;", ""login"": ""openstack"", ""node_id"": ""MDEyOk9yZ2FuaXphdGlvbjMyNDU3NA=="", ""html_url"": ""https://github.com/openstack"", ""gists_url"": ""https://api.github.com/users/openstack/gists{/gist_id}"", ""repos_url"": ""https://api.github.com/users/opensta"&amp;"ck/repos"", ""avatar_url"": ""https://avatars3.githubusercontent.com/u/324574?v=4"", ""events_url"": ""https://api.github.com/users/openstack/events{/privacy}"", ""site_admin"": false, ""gravatar_id"": """", ""starred_url"": ""https://api.github.com/users"&amp;"/openstack/starred{/owner}{/repo}"", ""followers_url"": ""https://api.github.com/users/openstack/followers"", ""following_url"": ""https://api.github.com/users/openstack/following{/other_user}"", ""organizations_url"": ""https://api.github.com/users/opens"&amp;"tack/orgs"", ""subscriptions_url"": ""https://api.github.com/users/openstack/subscriptions"", ""received_events_url"": ""https://api.github.com/users/openstack/received_events""}, ""score"": 1.0, ""topics"": [""api-server""], ""git_url"": ""git://github.c"&amp;"om/openstack/swift.git"", ""license"": {""key"": ""apache-2.0"", ""url"": ""https://api.github.com/licenses/apache-2.0"", ""name"": ""Apache License 2.0"", ""node_id"": ""MDc6TGljZW5zZTI="", ""spdx_id"": ""Apache-2.0""}, ""node_id"": ""MDEwOlJlcG9zaXRvcnk"&amp;"3OTAwMTk="", ""private"": false, ""ssh_url"": ""git@github.com:openstack/swift.git"", ""svn_url"": ""https://github.com/openstack/swift"", ""archived"": false, ""has_wiki"": false, ""homepage"": ""http://openstack.org"", ""html_url"": ""https://github.com"&amp;"/openstack/swift"", ""keys_url"": ""https://api.github.com/repos/openstack/swift/keys{/key_id}"", ""language"": ""Python"", ""tags_url"": ""https://api.github.com/repos/openstack/swift/tags"", ""watchers"": 1842, ""blobs_url"": ""https://api.github.com/re"&amp;"pos/openstack/swift/git/blobs{/sha}"", ""clone_url"": ""https://github.com/openstack/swift.git"", ""forks_url"": ""https://api.github.com/repos/openstack/swift/forks"", ""full_name"": ""openstack/swift"", ""has_pages"": false, ""hooks_url"": ""https://api"&amp;".github.com/repos/openstack/swift/hooks"", ""pulls_url"": ""https://api.github.com/repos/openstack/swift/pulls{/number}"", ""pushed_at"": ""2018-12-22T00:22:26Z"", ""teams_url"": ""https://api.github.com/repos/openstack/swift/teams"", ""trees_url"": ""htt"&amp;"ps://api.github.com/repos/openstack/swift/git/trees{/sha}"", ""created_at"": ""2010-07-22T01:50:07Z"", ""events_url"": ""https://api.github.com/repos/openstack/swift/events"", ""has_issues"": false, ""issues_url"": ""https://api.github.com/repos/openstack"&amp;"/swift/issues{/number}"", ""labels_url"": ""https://api.github.com/repos/openstack/swift/labels{/name}"", ""merges_url"": ""https://api.github.com/repos/openstack/swift/merges"", ""mirror_url"": null, ""updated_at"": ""2018-12-23T03:33:58Z"", ""archive_ur"&amp;"l"": ""https://api.github.com/repos/openstack/swift/{archive_format}{/ref}"", ""commits_url"": ""https://api.github.com/repos/openstack/swift/commits{/sha}"", ""compare_url"": ""https://api.github.com/repos/openstack/swift/compare/{base}...{head}"", ""des"&amp;"cription"": ""OpenStack Storage (Swift)"", ""forks_count"": 951, ""open_issues"": 0, ""permissions"": {""pull"": true, ""push"": false, ""admin"": false}, ""branches_url"": ""https://api.github.com/repos/openstack/swift/branches{/branch}"", ""comments_url"&amp;""": ""https://api.github.com/repos/openstack/swift/comments{/number}"", ""contents_url"": ""https://api.github.com/repos/openstack/swift/contents/{+path}"", ""git_refs_url"": ""https://api.github.com/repos/openstack/swift/git/refs{/sha}"", ""git_tags_url"&amp;""": ""https://api.github.com/repos/openstack/swift/git/tags{/sha}"", ""has_projects"": false, ""releases_url"": ""https://api.github.com/repos/openstack/swift/releases{/id}"", ""statuses_url"": ""https://api.github.com/repos/openstack/swift/statuses/{sha}"&amp;""", ""assignees_url"": ""https://api.github.com/repos/openstack/swift/assignees{/user}"", ""downloads_url"": ""https://api.github.com/repos/openstack/swift/downloads"", ""has_downloads"": false, ""languages_url"": ""https://api.github.com/repos/openstack/"&amp;"swift/languages"", ""default_branch"": ""master"", ""milestones_url"": ""https://api.github.com/repos/openstack/swift/milestones{/number}"", ""stargazers_url"": ""https://api.github.com/repos/openstack/swift/stargazers"", ""watchers_count"": 1842, ""deplo"&amp;"yments_url"": ""https://api.github.com/repos/openstack/swift/deployments"", ""git_commits_url"": ""https://api.github.com/repos/openstack/swift/git/commits{/sha}"", ""subscribers_url"": ""https://api.github.com/repos/openstack/swift/subscribers"", ""contr"&amp;"ibutors_url"": ""https://api.github.com/repos/openstack/swift/contributors"", ""issue_events_url"": ""https://api.github.com/repos/openstack/swift/issues/events{/number}"", ""stargazers_count"": 1842, ""subscription_url"": ""https://api.github.com/repos/o"&amp;"penstack/swift/subscription"", ""collaborators_url"": ""https://api.github.com/repos/openstack/swift/collaborators{/collaborator}"", ""issue_comment_url"": ""https://api.github.com/repos/openstack/swift/issues/comments{/number}"", ""notifications_url"": "&amp;"""https://api.github.com/repos/openstack/swift/notifications{?since,all,participating}"", ""open_issues_count"": 0}")</f>
        <v>{"id": 790019, "url": "https://api.github.com/repos/openstack/swift", "fork": false, "name": "swift", "size": 100089, "forks": 951, "owner": {"id": 324574, "url": "https://api.github.com/users/openstack", "type": "Organization", "login": "openstack", "node_id": "MDEyOk9yZ2FuaXphdGlvbjMyNDU3NA==", "html_url": "https://github.com/openstack", "gists_url": "https://api.github.com/users/openstack/gists{/gist_id}", "repos_url": "https://api.github.com/users/openstack/repos", "avatar_url": "https://avatars3.githubusercontent.com/u/324574?v=4", "events_url": "https://api.github.com/users/openstack/events{/privacy}", "site_admin": false, "gravatar_id": "", "starred_url": "https://api.github.com/users/openstack/starred{/owner}{/repo}", "followers_url": "https://api.github.com/users/openstack/followers", "following_url": "https://api.github.com/users/openstack/following{/other_user}", "organizations_url": "https://api.github.com/users/openstack/orgs", "subscriptions_url": "https://api.github.com/users/openstack/subscriptions", "received_events_url": "https://api.github.com/users/openstack/received_events"}, "score": 1.0, "topics": ["api-server"], "git_url": "git://github.com/openstack/swift.git", "license": {"key": "apache-2.0", "url": "https://api.github.com/licenses/apache-2.0", "name": "Apache License 2.0", "node_id": "MDc6TGljZW5zZTI=", "spdx_id": "Apache-2.0"}, "node_id": "MDEwOlJlcG9zaXRvcnk3OTAwMTk=", "private": false, "ssh_url": "git@github.com:openstack/swift.git", "svn_url": "https://github.com/openstack/swift", "archived": false, "has_wiki": false, "homepage": "http://openstack.org", "html_url": "https://github.com/openstack/swift", "keys_url": "https://api.github.com/repos/openstack/swift/keys{/key_id}", "language": "Python", "tags_url": "https://api.github.com/repos/openstack/swift/tags", "watchers": 1842, "blobs_url": "https://api.github.com/repos/openstack/swift/git/blobs{/sha}", "clone_url": "https://github.com/openstack/swift.git", "forks_url": "https://api.github.com/repos/openstack/swift/forks", "full_name": "openstack/swift", "has_pages": false, "hooks_url": "https://api.github.com/repos/openstack/swift/hooks", "pulls_url": "https://api.github.com/repos/openstack/swift/pulls{/number}", "pushed_at": "2018-12-22T00:22:26Z", "teams_url": "https://api.github.com/repos/openstack/swift/teams", "trees_url": "https://api.github.com/repos/openstack/swift/git/trees{/sha}", "created_at": "2010-07-22T01:50:07Z", "events_url": "https://api.github.com/repos/openstack/swift/events", "has_issues": false, "issues_url": "https://api.github.com/repos/openstack/swift/issues{/number}", "labels_url": "https://api.github.com/repos/openstack/swift/labels{/name}", "merges_url": "https://api.github.com/repos/openstack/swift/merges", "mirror_url": null, "updated_at": "2018-12-23T03:33:58Z", "archive_url": "https://api.github.com/repos/openstack/swift/{archive_format}{/ref}", "commits_url": "https://api.github.com/repos/openstack/swift/commits{/sha}", "compare_url": "https://api.github.com/repos/openstack/swift/compare/{base}...{head}", "description": "OpenStack Storage (Swift)", "forks_count": 951, "open_issues": 0, "permissions": {"pull": true, "push": false, "admin": false}, "branches_url": "https://api.github.com/repos/openstack/swift/branches{/branch}", "comments_url": "https://api.github.com/repos/openstack/swift/comments{/number}", "contents_url": "https://api.github.com/repos/openstack/swift/contents/{+path}", "git_refs_url": "https://api.github.com/repos/openstack/swift/git/refs{/sha}", "git_tags_url": "https://api.github.com/repos/openstack/swift/git/tags{/sha}", "has_projects": false, "releases_url": "https://api.github.com/repos/openstack/swift/releases{/id}", "statuses_url": "https://api.github.com/repos/openstack/swift/statuses/{sha}", "assignees_url": "https://api.github.com/repos/openstack/swift/assignees{/user}", "downloads_url": "https://api.github.com/repos/openstack/swift/downloads", "has_downloads": false, "languages_url": "https://api.github.com/repos/openstack/swift/languages", "default_branch": "master", "milestones_url": "https://api.github.com/repos/openstack/swift/milestones{/number}", "stargazers_url": "https://api.github.com/repos/openstack/swift/stargazers", "watchers_count": 1842, "deployments_url": "https://api.github.com/repos/openstack/swift/deployments", "git_commits_url": "https://api.github.com/repos/openstack/swift/git/commits{/sha}", "subscribers_url": "https://api.github.com/repos/openstack/swift/subscribers", "contributors_url": "https://api.github.com/repos/openstack/swift/contributors", "issue_events_url": "https://api.github.com/repos/openstack/swift/issues/events{/number}", "stargazers_count": 1842, "subscription_url": "https://api.github.com/repos/openstack/swift/subscription", "collaborators_url": "https://api.github.com/repos/openstack/swift/collaborators{/collaborator}", "issue_comment_url": "https://api.github.com/repos/openstack/swift/issues/comments{/number}", "notifications_url": "https://api.github.com/repos/openstack/swift/notifications{?since,all,participating}", "open_issues_count": 0}</v>
      </c>
      <c r="T42" s="12">
        <f>IFERROR(__xludf.DUMMYFUNCTION("""COMPUTED_VALUE"""),0.999418639)</f>
        <v>0.999418639</v>
      </c>
      <c r="U42" s="12">
        <f>IFERROR(__xludf.DUMMYFUNCTION("""COMPUTED_VALUE"""),1.1330594E7)</f>
        <v>11330594</v>
      </c>
      <c r="V42" s="14">
        <f>IFERROR(__xludf.DUMMYFUNCTION("""COMPUTED_VALUE"""),101.0)</f>
        <v>101</v>
      </c>
      <c r="W42" s="15" t="str">
        <f>IFERROR(__xludf.DUMMYFUNCTION("IFERROR(REGEXEXTRACT(J42,""""""ratio"""": (\d+.\d+), """"language"""": """"Python""""""),"""")"),"0.9994186387538")</f>
        <v>0.9994186387538</v>
      </c>
      <c r="X42" s="15" t="str">
        <f t="shared" si="1"/>
        <v>api-server</v>
      </c>
    </row>
    <row r="43">
      <c r="A43" s="10" t="str">
        <f>IFERROR(__xludf.DUMMYFUNCTION("""COMPUTED_VALUE"""),"sympy/sympy")</f>
        <v>sympy/sympy</v>
      </c>
      <c r="B43" s="10" t="str">
        <f>IFERROR(__xludf.DUMMYFUNCTION("""COMPUTED_VALUE"""),"A computer algebra system written in pure Python")</f>
        <v>A computer algebra system written in pure Python</v>
      </c>
      <c r="C43" s="11" t="str">
        <f>IFERROR(__xludf.DUMMYFUNCTION("""COMPUTED_VALUE"""),"https://github.com/sympy/sympy")</f>
        <v>https://github.com/sympy/sympy</v>
      </c>
      <c r="D43" s="10">
        <f>IFERROR(__xludf.DUMMYFUNCTION("""COMPUTED_VALUE"""),5422.0)</f>
        <v>5422</v>
      </c>
      <c r="E43" s="10">
        <f>IFERROR(__xludf.DUMMYFUNCTION("""COMPUTED_VALUE"""),309.0)</f>
        <v>309</v>
      </c>
      <c r="F43" s="10">
        <f>IFERROR(__xludf.DUMMYFUNCTION("""COMPUTED_VALUE"""),96824.0)</f>
        <v>96824</v>
      </c>
      <c r="G43" s="10" t="str">
        <f>IFERROR(__xludf.DUMMYFUNCTION("""COMPUTED_VALUE"""),"""[\""computer-algebra\"", \""math\"", \""python\"", \""science\""]""")</f>
        <v>"[\"computer-algebra\", \"math\", \"python\", \"science\"]"</v>
      </c>
      <c r="H43" s="12">
        <f>IFERROR(__xludf.DUMMYFUNCTION("""COMPUTED_VALUE"""),34283.0)</f>
        <v>34283</v>
      </c>
      <c r="I43" s="12">
        <f>IFERROR(__xludf.DUMMYFUNCTION("""COMPUTED_VALUE"""),452.0)</f>
        <v>452</v>
      </c>
      <c r="J43" s="10" t="str">
        <f>IFERROR(__xludf.DUMMYFUNCTION("""COMPUTED_VALUE"""),"[{""loc"": 26233656, ""ratio"": 0.9853713222234647, ""language"": ""Python""}, {""loc"": 366201, ""ratio"": 0.013755000964011839, ""language"": ""XSLT""}, {""loc"": 8513, ""ratio"": 0.00031975970356889463, ""language"": ""ANTLR""}, {""loc"": 7590, ""ratio"&amp;""": 0.00028509058499799254, ""language"": ""Perl""}, {""loc"": 6164, ""ratio"": 0.00023152811145291514, ""language"": ""Shell""}, {""loc"": 868, ""ratio"": 0.00003260324476656884, ""language"": ""Dockerfile""}, {""loc"": 125, ""ratio"": 0.0000046951677371"&amp;"21089, ""language"": ""Scheme""}]")</f>
        <v>[{"loc": 26233656, "ratio": 0.9853713222234647, "language": "Python"}, {"loc": 366201, "ratio": 0.013755000964011839, "language": "XSLT"}, {"loc": 8513, "ratio": 0.00031975970356889463, "language": "ANTLR"}, {"loc": 7590, "ratio": 0.00028509058499799254, "language": "Perl"}, {"loc": 6164, "ratio": 0.00023152811145291514, "language": "Shell"}, {"loc": 868, "ratio": 0.00003260324476656884, "language": "Dockerfile"}, {"loc": 125, "ratio": 0.000004695167737121089, "language": "Scheme"}]</v>
      </c>
      <c r="K43" s="13">
        <f>IFERROR(__xludf.DUMMYFUNCTION("""COMPUTED_VALUE"""),40298.0)</f>
        <v>40298</v>
      </c>
      <c r="L43" s="13">
        <f>IFERROR(__xludf.DUMMYFUNCTION("""COMPUTED_VALUE"""),43458.0)</f>
        <v>43458</v>
      </c>
      <c r="M43" s="10">
        <f>IFERROR(__xludf.DUMMYFUNCTION("""COMPUTED_VALUE"""),3512.0)</f>
        <v>3512</v>
      </c>
      <c r="N43" s="12">
        <f>IFERROR(__xludf.DUMMYFUNCTION("""COMPUTED_VALUE"""),61.0)</f>
        <v>61</v>
      </c>
      <c r="O43" s="12" t="str">
        <f>IFERROR(__xludf.DUMMYFUNCTION("""COMPUTED_VALUE"""),"sympy-1.3")</f>
        <v>sympy-1.3</v>
      </c>
      <c r="P43" s="12" t="str">
        <f>IFERROR(__xludf.DUMMYFUNCTION("""COMPUTED_VALUE"""),"74affdcc0dfcd5f18ff82a189cf7fae80d507206")</f>
        <v>74affdcc0dfcd5f18ff82a189cf7fae80d507206</v>
      </c>
      <c r="Q43" s="12" t="str">
        <f>IFERROR(__xludf.DUMMYFUNCTION("""COMPUTED_VALUE"""),"{""key"": ""other"", ""url"": null, ""name"": ""Other"", ""node_id"": ""MDc6TGljZW5zZTA="", ""spdx_id"": ""NOASSERTION""}")</f>
        <v>{"key": "other", "url": null, "name": "Other", "node_id": "MDc6TGljZW5zZTA=", "spdx_id": "NOASSERTION"}</v>
      </c>
      <c r="R43" s="12" t="str">
        <f>IFERROR(__xludf.DUMMYFUNCTION("""COMPUTED_VALUE"""),"sympy")</f>
        <v>sympy</v>
      </c>
      <c r="S43" s="12" t="str">
        <f>IFERROR(__xludf.DUMMYFUNCTION("""COMPUTED_VALUE"""),"{""id"": 640534, ""url"": ""https://api.github.com/repos/sympy/sympy"", ""fork"": false, ""name"": ""sympy"", ""size"": 96824, ""forks"": 2444, ""owner"": {""id"": 260832, ""url"": ""https://api.github.com/users/sympy"", ""type"": ""Organization"", ""logi"&amp;"n"": ""sympy"", ""node_id"": ""MDEyOk9yZ2FuaXphdGlvbjI2MDgzMg=="", ""html_url"": ""https://github.com/sympy"", ""gists_url"": ""https://api.github.com/users/sympy/gists{/gist_id}"", ""repos_url"": ""https://api.github.com/users/sympy/repos"", ""avatar_url"&amp;""": ""https://avatars1.githubusercontent.com/u/260832?v=4"", ""events_url"": ""https://api.github.com/users/sympy/events{/privacy}"", ""site_admin"": false, ""gravatar_id"": """", ""starred_url"": ""https://api.github.com/users/sympy/starred{/owner}{/repo"&amp;"}"", ""followers_url"": ""https://api.github.com/users/sympy/followers"", ""following_url"": ""https://api.github.com/users/sympy/following{/other_user}"", ""organizations_url"": ""https://api.github.com/users/sympy/orgs"", ""subscriptions_url"": ""https:"&amp;"//api.github.com/users/sympy/subscriptions"", ""received_events_url"": ""https://api.github.com/users/sympy/received_events""}, ""score"": 1.0, ""topics"": [""computer-algebra"", ""math"", ""python"", ""science""], ""git_url"": ""git://github.com/sympy/sy"&amp;"mpy.git"", ""license"": {""key"": ""other"", ""url"": null, ""name"": ""Other"", ""node_id"": ""MDc6TGljZW5zZTA="", ""spdx_id"": ""NOASSERTION""}, ""node_id"": ""MDEwOlJlcG9zaXRvcnk2NDA1MzQ="", ""private"": false, ""ssh_url"": ""git@github.com:sympy/sympy"&amp;".git"", ""svn_url"": ""https://github.com/sympy/sympy"", ""archived"": false, ""has_wiki"": true, ""homepage"": ""https://sympy.org/"", ""html_url"": ""https://github.com/sympy/sympy"", ""keys_url"": ""https://api.github.com/repos/sympy/sympy/keys{/key_id"&amp;"}"", ""language"": ""Python"", ""tags_url"": ""https://api.github.com/repos/sympy/sympy/tags"", ""watchers"": 5422, ""blobs_url"": ""https://api.github.com/repos/sympy/sympy/git/blobs{/sha}"", ""clone_url"": ""https://github.com/sympy/sympy.git"", ""forks"&amp;"_url"": ""https://api.github.com/repos/sympy/sympy/forks"", ""full_name"": ""sympy/sympy"", ""has_pages"": false, ""hooks_url"": ""https://api.github.com/repos/sympy/sympy/hooks"", ""pulls_url"": ""https://api.github.com/repos/sympy/sympy/pulls{/number}"""&amp;", ""pushed_at"": ""2018-12-24T14:52:54Z"", ""teams_url"": ""https://api.github.com/repos/sympy/sympy/teams"", ""trees_url"": ""https://api.github.com/repos/sympy/sympy/git/trees{/sha}"", ""created_at"": ""2010-04-30T20:37:14Z"", ""events_url"": ""https://"&amp;"api.github.com/repos/sympy/sympy/events"", ""has_issues"": true, ""issues_url"": ""https://api.github.com/repos/sympy/sympy/issues{/number}"", ""labels_url"": ""https://api.github.com/repos/sympy/sympy/labels{/name}"", ""merges_url"": ""https://api.github"&amp;".com/repos/sympy/sympy/merges"", ""mirror_url"": null, ""updated_at"": ""2018-12-24T23:29:07Z"", ""archive_url"": ""https://api.github.com/repos/sympy/sympy/{archive_format}{/ref}"", ""commits_url"": ""https://api.github.com/repos/sympy/sympy/commits{/sha"&amp;"}"", ""compare_url"": ""https://api.github.com/repos/sympy/sympy/compare/{base}...{head}"", ""description"": ""A computer algebra system written in pure Python"", ""forks_count"": 2444, ""open_issues"": 3512, ""permissions"": {""pull"": true, ""push"": fa"&amp;"lse, ""admin"": false}, ""branches_url"": ""https://api.github.com/repos/sympy/sympy/branches{/branch}"", ""comments_url"": ""https://api.github.com/repos/sympy/sympy/comments{/number}"", ""contents_url"": ""https://api.github.com/repos/sympy/sympy/conten"&amp;"ts/{+path}"", ""git_refs_url"": ""https://api.github.com/repos/sympy/sympy/git/refs{/sha}"", ""git_tags_url"": ""https://api.github.com/repos/sympy/sympy/git/tags{/sha}"", ""has_projects"": true, ""releases_url"": ""https://api.github.com/repos/sympy/symp"&amp;"y/releases{/id}"", ""statuses_url"": ""https://api.github.com/repos/sympy/sympy/statuses/{sha}"", ""assignees_url"": ""https://api.github.com/repos/sympy/sympy/assignees{/user}"", ""downloads_url"": ""https://api.github.com/repos/sympy/sympy/downloads"", "&amp;"""has_downloads"": true, ""languages_url"": ""https://api.github.com/repos/sympy/sympy/languages"", ""default_branch"": ""master"", ""milestones_url"": ""https://api.github.com/repos/sympy/sympy/milestones{/number}"", ""stargazers_url"": ""https://api.git"&amp;"hub.com/repos/sympy/sympy/stargazers"", ""watchers_count"": 5422, ""deployments_url"": ""https://api.github.com/repos/sympy/sympy/deployments"", ""git_commits_url"": ""https://api.github.com/repos/sympy/sympy/git/commits{/sha}"", ""subscribers_url"": ""ht"&amp;"tps://api.github.com/repos/sympy/sympy/subscribers"", ""contributors_url"": ""https://api.github.com/repos/sympy/sympy/contributors"", ""issue_events_url"": ""https://api.github.com/repos/sympy/sympy/issues/events{/number}"", ""stargazers_count"": 5422, "&amp;"""subscription_url"": ""https://api.github.com/repos/sympy/sympy/subscription"", ""collaborators_url"": ""https://api.github.com/repos/sympy/sympy/collaborators{/collaborator}"", ""issue_comment_url"": ""https://api.github.com/repos/sympy/sympy/issues/com"&amp;"ments{/number}"", ""notifications_url"": ""https://api.github.com/repos/sympy/sympy/notifications{?since,all,participating}"", ""open_issues_count"": 3512}")</f>
        <v>{"id": 640534, "url": "https://api.github.com/repos/sympy/sympy", "fork": false, "name": "sympy", "size": 96824, "forks": 2444, "owner": {"id": 260832, "url": "https://api.github.com/users/sympy", "type": "Organization", "login": "sympy", "node_id": "MDEyOk9yZ2FuaXphdGlvbjI2MDgzMg==", "html_url": "https://github.com/sympy", "gists_url": "https://api.github.com/users/sympy/gists{/gist_id}", "repos_url": "https://api.github.com/users/sympy/repos", "avatar_url": "https://avatars1.githubusercontent.com/u/260832?v=4", "events_url": "https://api.github.com/users/sympy/events{/privacy}", "site_admin": false, "gravatar_id": "", "starred_url": "https://api.github.com/users/sympy/starred{/owner}{/repo}", "followers_url": "https://api.github.com/users/sympy/followers", "following_url": "https://api.github.com/users/sympy/following{/other_user}", "organizations_url": "https://api.github.com/users/sympy/orgs", "subscriptions_url": "https://api.github.com/users/sympy/subscriptions", "received_events_url": "https://api.github.com/users/sympy/received_events"}, "score": 1.0, "topics": ["computer-algebra", "math", "python", "science"], "git_url": "git://github.com/sympy/sympy.git", "license": {"key": "other", "url": null, "name": "Other", "node_id": "MDc6TGljZW5zZTA=", "spdx_id": "NOASSERTION"}, "node_id": "MDEwOlJlcG9zaXRvcnk2NDA1MzQ=", "private": false, "ssh_url": "git@github.com:sympy/sympy.git", "svn_url": "https://github.com/sympy/sympy", "archived": false, "has_wiki": true, "homepage": "https://sympy.org/", "html_url": "https://github.com/sympy/sympy", "keys_url": "https://api.github.com/repos/sympy/sympy/keys{/key_id}", "language": "Python", "tags_url": "https://api.github.com/repos/sympy/sympy/tags", "watchers": 5422, "blobs_url": "https://api.github.com/repos/sympy/sympy/git/blobs{/sha}", "clone_url": "https://github.com/sympy/sympy.git", "forks_url": "https://api.github.com/repos/sympy/sympy/forks", "full_name": "sympy/sympy", "has_pages": false, "hooks_url": "https://api.github.com/repos/sympy/sympy/hooks", "pulls_url": "https://api.github.com/repos/sympy/sympy/pulls{/number}", "pushed_at": "2018-12-24T14:52:54Z", "teams_url": "https://api.github.com/repos/sympy/sympy/teams", "trees_url": "https://api.github.com/repos/sympy/sympy/git/trees{/sha}", "created_at": "2010-04-30T20:37:14Z", "events_url": "https://api.github.com/repos/sympy/sympy/events", "has_issues": true, "issues_url": "https://api.github.com/repos/sympy/sympy/issues{/number}", "labels_url": "https://api.github.com/repos/sympy/sympy/labels{/name}", "merges_url": "https://api.github.com/repos/sympy/sympy/merges", "mirror_url": null, "updated_at": "2018-12-24T23:29:07Z", "archive_url": "https://api.github.com/repos/sympy/sympy/{archive_format}{/ref}", "commits_url": "https://api.github.com/repos/sympy/sympy/commits{/sha}", "compare_url": "https://api.github.com/repos/sympy/sympy/compare/{base}...{head}", "description": "A computer algebra system written in pure Python", "forks_count": 2444, "open_issues": 3512, "permissions": {"pull": true, "push": false, "admin": false}, "branches_url": "https://api.github.com/repos/sympy/sympy/branches{/branch}", "comments_url": "https://api.github.com/repos/sympy/sympy/comments{/number}", "contents_url": "https://api.github.com/repos/sympy/sympy/contents/{+path}", "git_refs_url": "https://api.github.com/repos/sympy/sympy/git/refs{/sha}", "git_tags_url": "https://api.github.com/repos/sympy/sympy/git/tags{/sha}", "has_projects": true, "releases_url": "https://api.github.com/repos/sympy/sympy/releases{/id}", "statuses_url": "https://api.github.com/repos/sympy/sympy/statuses/{sha}", "assignees_url": "https://api.github.com/repos/sympy/sympy/assignees{/user}", "downloads_url": "https://api.github.com/repos/sympy/sympy/downloads", "has_downloads": true, "languages_url": "https://api.github.com/repos/sympy/sympy/languages", "default_branch": "master", "milestones_url": "https://api.github.com/repos/sympy/sympy/milestones{/number}", "stargazers_url": "https://api.github.com/repos/sympy/sympy/stargazers", "watchers_count": 5422, "deployments_url": "https://api.github.com/repos/sympy/sympy/deployments", "git_commits_url": "https://api.github.com/repos/sympy/sympy/git/commits{/sha}", "subscribers_url": "https://api.github.com/repos/sympy/sympy/subscribers", "contributors_url": "https://api.github.com/repos/sympy/sympy/contributors", "issue_events_url": "https://api.github.com/repos/sympy/sympy/issues/events{/number}", "stargazers_count": 5422, "subscription_url": "https://api.github.com/repos/sympy/sympy/subscription", "collaborators_url": "https://api.github.com/repos/sympy/sympy/collaborators{/collaborator}", "issue_comment_url": "https://api.github.com/repos/sympy/sympy/issues/comments{/number}", "notifications_url": "https://api.github.com/repos/sympy/sympy/notifications{?since,all,participating}", "open_issues_count": 3512}</v>
      </c>
      <c r="T43" s="12">
        <f>IFERROR(__xludf.DUMMYFUNCTION("""COMPUTED_VALUE"""),0.985371322)</f>
        <v>0.985371322</v>
      </c>
      <c r="U43" s="12">
        <f>IFERROR(__xludf.DUMMYFUNCTION("""COMPUTED_VALUE"""),2.6233656E7)</f>
        <v>26233656</v>
      </c>
      <c r="V43" s="14">
        <f>IFERROR(__xludf.DUMMYFUNCTION("""COMPUTED_VALUE"""),103.0)</f>
        <v>103</v>
      </c>
      <c r="W43" s="15" t="str">
        <f>IFERROR(__xludf.DUMMYFUNCTION("IFERROR(REGEXEXTRACT(J43,""""""ratio"""": (\d+.\d+), """"language"""": """"Python""""""),"""")"),"0.9853713222234647")</f>
        <v>0.9853713222234647</v>
      </c>
      <c r="X43" s="15" t="str">
        <f t="shared" si="1"/>
        <v>computer-algebra, math, python, science</v>
      </c>
    </row>
    <row r="44">
      <c r="A44" s="10" t="str">
        <f>IFERROR(__xludf.DUMMYFUNCTION("""COMPUTED_VALUE"""),"tornadoweb/tornado")</f>
        <v>tornadoweb/tornado</v>
      </c>
      <c r="B44" s="10" t="str">
        <f>IFERROR(__xludf.DUMMYFUNCTION("""COMPUTED_VALUE"""),"Tornado is a Python web framework and asynchronous networking library, originally developed at FriendFeed.")</f>
        <v>Tornado is a Python web framework and asynchronous networking library, originally developed at FriendFeed.</v>
      </c>
      <c r="C44" s="11" t="str">
        <f>IFERROR(__xludf.DUMMYFUNCTION("""COMPUTED_VALUE"""),"https://github.com/tornadoweb/tornado")</f>
        <v>https://github.com/tornadoweb/tornado</v>
      </c>
      <c r="D44" s="10">
        <f>IFERROR(__xludf.DUMMYFUNCTION("""COMPUTED_VALUE"""),17040.0)</f>
        <v>17040</v>
      </c>
      <c r="E44" s="10">
        <f>IFERROR(__xludf.DUMMYFUNCTION("""COMPUTED_VALUE"""),1086.0)</f>
        <v>1086</v>
      </c>
      <c r="F44" s="10">
        <f>IFERROR(__xludf.DUMMYFUNCTION("""COMPUTED_VALUE"""),8414.0)</f>
        <v>8414</v>
      </c>
      <c r="G44" s="10" t="str">
        <f>IFERROR(__xludf.DUMMYFUNCTION("""COMPUTED_VALUE"""),"""[\""asynchronous\"", \""python\""]""")</f>
        <v>"[\"asynchronous\", \"python\"]"</v>
      </c>
      <c r="H44" s="12">
        <f>IFERROR(__xludf.DUMMYFUNCTION("""COMPUTED_VALUE"""),3979.0)</f>
        <v>3979</v>
      </c>
      <c r="I44" s="12">
        <f>IFERROR(__xludf.DUMMYFUNCTION("""COMPUTED_VALUE"""),299.0)</f>
        <v>299</v>
      </c>
      <c r="J44" s="10" t="str">
        <f>IFERROR(__xludf.DUMMYFUNCTION("""COMPUTED_VALUE"""),"[{""loc"": 1504864, ""ratio"": 0.9952468534460809, ""language"": ""Python""}, {""loc"": 4070, ""ratio"": 0.002691708150055785, ""language"": ""Shell""}, {""loc"": 1664, ""ratio"": 0.0011004919807599083, ""language"": ""C""}, {""loc"": 1428, ""ratio"": 0.0"&amp;"00944412589257902, ""language"": ""Ruby""}, {""loc"": 25, ""ratio"": 0.000016533833845551505, ""language"": ""HTML""}]")</f>
        <v>[{"loc": 1504864, "ratio": 0.9952468534460809, "language": "Python"}, {"loc": 4070, "ratio": 0.002691708150055785, "language": "Shell"}, {"loc": 1664, "ratio": 0.0011004919807599083, "language": "C"}, {"loc": 1428, "ratio": 0.000944412589257902, "language": "Ruby"}, {"loc": 25, "ratio": 0.000016533833845551505, "language": "HTML"}]</v>
      </c>
      <c r="K44" s="13">
        <f>IFERROR(__xludf.DUMMYFUNCTION("""COMPUTED_VALUE"""),40065.0)</f>
        <v>40065</v>
      </c>
      <c r="L44" s="13">
        <f>IFERROR(__xludf.DUMMYFUNCTION("""COMPUTED_VALUE"""),43457.0)</f>
        <v>43457</v>
      </c>
      <c r="M44" s="10">
        <f>IFERROR(__xludf.DUMMYFUNCTION("""COMPUTED_VALUE"""),149.0)</f>
        <v>149</v>
      </c>
      <c r="N44" s="12">
        <f>IFERROR(__xludf.DUMMYFUNCTION("""COMPUTED_VALUE"""),54.0)</f>
        <v>54</v>
      </c>
      <c r="O44" s="12" t="str">
        <f>IFERROR(__xludf.DUMMYFUNCTION("""COMPUTED_VALUE"""),"v5.1.1")</f>
        <v>v5.1.1</v>
      </c>
      <c r="P44" s="12" t="str">
        <f>IFERROR(__xludf.DUMMYFUNCTION("""COMPUTED_VALUE"""),"cc2cf078a39abec6f8d181f76a4e5ba9432364f3")</f>
        <v>cc2cf078a39abec6f8d181f76a4e5ba9432364f3</v>
      </c>
      <c r="Q44" s="12" t="str">
        <f>IFERROR(__xludf.DUMMYFUNCTION("""COMPUTED_VALUE"""),"{""key"": ""apache-2.0"", ""url"": ""https://api.github.com/licenses/apache-2.0"", ""name"": ""Apache License 2.0"", ""node_id"": ""MDc6TGljZW5zZTI="", ""spdx_id"": ""Apache-2.0""}")</f>
        <v>{"key": "apache-2.0", "url": "https://api.github.com/licenses/apache-2.0", "name": "Apache License 2.0", "node_id": "MDc6TGljZW5zZTI=", "spdx_id": "Apache-2.0"}</v>
      </c>
      <c r="R44" s="12" t="str">
        <f>IFERROR(__xludf.DUMMYFUNCTION("""COMPUTED_VALUE"""),"tornado")</f>
        <v>tornado</v>
      </c>
      <c r="S44" s="12" t="str">
        <f>IFERROR(__xludf.DUMMYFUNCTION("""COMPUTED_VALUE"""),"{""id"": 301742, ""url"": ""https://api.github.com/repos/tornadoweb/tornado"", ""fork"": false, ""name"": ""tornado"", ""size"": 8414, ""forks"": 4820, ""owner"": {""id"": 7468980, ""url"": ""https://api.github.com/users/tornadoweb"", ""type"": ""Organiza"&amp;"tion"", ""login"": ""tornadoweb"", ""node_id"": ""MDEyOk9yZ2FuaXphdGlvbjc0Njg5ODA="", ""html_url"": ""https://github.com/tornadoweb"", ""gists_url"": ""https://api.github.com/users/tornadoweb/gists{/gist_id}"", ""repos_url"": ""https://api.github.com/user"&amp;"s/tornadoweb/repos"", ""avatar_url"": ""https://avatars3.githubusercontent.com/u/7468980?v=4"", ""events_url"": ""https://api.github.com/users/tornadoweb/events{/privacy}"", ""site_admin"": false, ""gravatar_id"": """", ""starred_url"": ""https://api.gith"&amp;"ub.com/users/tornadoweb/starred{/owner}{/repo}"", ""followers_url"": ""https://api.github.com/users/tornadoweb/followers"", ""following_url"": ""https://api.github.com/users/tornadoweb/following{/other_user}"", ""organizations_url"": ""https://api.github."&amp;"com/users/tornadoweb/orgs"", ""subscriptions_url"": ""https://api.github.com/users/tornadoweb/subscriptions"", ""received_events_url"": ""https://api.github.com/users/tornadoweb/received_events""}, ""score"": 1.0, ""topics"": [""asynchronous"", ""python"""&amp;"], ""git_url"": ""git://github.com/tornadoweb/tornado.git"", ""license"": {""key"": ""apache-2.0"", ""url"": ""https://api.github.com/licenses/apache-2.0"", ""name"": ""Apache License 2.0"", ""node_id"": ""MDc6TGljZW5zZTI="", ""spdx_id"": ""Apache-2.0""},"&amp;" ""node_id"": ""MDEwOlJlcG9zaXRvcnkzMDE3NDI="", ""private"": false, ""ssh_url"": ""git@github.com:tornadoweb/tornado.git"", ""svn_url"": ""https://github.com/tornadoweb/tornado"", ""archived"": false, ""has_wiki"": true, ""homepage"": ""http://www.tornado"&amp;"web.org/"", ""html_url"": ""https://github.com/tornadoweb/tornado"", ""keys_url"": ""https://api.github.com/repos/tornadoweb/tornado/keys{/key_id}"", ""language"": ""Python"", ""tags_url"": ""https://api.github.com/repos/tornadoweb/tornado/tags"", ""watch"&amp;"ers"": 17040, ""blobs_url"": ""https://api.github.com/repos/tornadoweb/tornado/git/blobs{/sha}"", ""clone_url"": ""https://github.com/tornadoweb/tornado.git"", ""forks_url"": ""https://api.github.com/repos/tornadoweb/tornado/forks"", ""full_name"": ""torn"&amp;"adoweb/tornado"", ""has_pages"": true, ""hooks_url"": ""https://api.github.com/repos/tornadoweb/tornado/hooks"", ""pulls_url"": ""https://api.github.com/repos/tornadoweb/tornado/pulls{/number}"", ""pushed_at"": ""2018-12-23T14:15:20Z"", ""teams_url"": ""h"&amp;"ttps://api.github.com/repos/tornadoweb/tornado/teams"", ""trees_url"": ""https://api.github.com/repos/tornadoweb/tornado/git/trees{/sha}"", ""created_at"": ""2009-09-09T04:55:16Z"", ""events_url"": ""https://api.github.com/repos/tornadoweb/tornado/events"&amp;""", ""has_issues"": true, ""issues_url"": ""https://api.github.com/repos/tornadoweb/tornado/issues{/number}"", ""labels_url"": ""https://api.github.com/repos/tornadoweb/tornado/labels{/name}"", ""merges_url"": ""https://api.github.com/repos/tornadoweb/tor"&amp;"nado/merges"", ""mirror_url"": null, ""updated_at"": ""2018-12-24T23:12:30Z"", ""archive_url"": ""https://api.github.com/repos/tornadoweb/tornado/{archive_format}{/ref}"", ""commits_url"": ""https://api.github.com/repos/tornadoweb/tornado/commits{/sha}"","&amp;" ""compare_url"": ""https://api.github.com/repos/tornadoweb/tornado/compare/{base}...{head}"", ""description"": ""Tornado is a Python web framework and asynchronous networking library, originally developed at FriendFeed."", ""forks_count"": 4820, ""open_i"&amp;"ssues"": 149, ""permissions"": {""pull"": true, ""push"": false, ""admin"": false}, ""branches_url"": ""https://api.github.com/repos/tornadoweb/tornado/branches{/branch}"", ""comments_url"": ""https://api.github.com/repos/tornadoweb/tornado/comments{/numb"&amp;"er}"", ""contents_url"": ""https://api.github.com/repos/tornadoweb/tornado/contents/{+path}"", ""git_refs_url"": ""https://api.github.com/repos/tornadoweb/tornado/git/refs{/sha}"", ""git_tags_url"": ""https://api.github.com/repos/tornadoweb/tornado/git/ta"&amp;"gs{/sha}"", ""has_projects"": true, ""releases_url"": ""https://api.github.com/repos/tornadoweb/tornado/releases{/id}"", ""statuses_url"": ""https://api.github.com/repos/tornadoweb/tornado/statuses/{sha}"", ""assignees_url"": ""https://api.github.com/repo"&amp;"s/tornadoweb/tornado/assignees{/user}"", ""downloads_url"": ""https://api.github.com/repos/tornadoweb/tornado/downloads"", ""has_downloads"": true, ""languages_url"": ""https://api.github.com/repos/tornadoweb/tornado/languages"", ""default_branch"": ""mas"&amp;"ter"", ""milestones_url"": ""https://api.github.com/repos/tornadoweb/tornado/milestones{/number}"", ""stargazers_url"": ""https://api.github.com/repos/tornadoweb/tornado/stargazers"", ""watchers_count"": 17040, ""deployments_url"": ""https://api.github.co"&amp;"m/repos/tornadoweb/tornado/deployments"", ""git_commits_url"": ""https://api.github.com/repos/tornadoweb/tornado/git/commits{/sha}"", ""subscribers_url"": ""https://api.github.com/repos/tornadoweb/tornado/subscribers"", ""contributors_url"": ""https://api"&amp;".github.com/repos/tornadoweb/tornado/contributors"", ""issue_events_url"": ""https://api.github.com/repos/tornadoweb/tornado/issues/events{/number}"", ""stargazers_count"": 17040, ""subscription_url"": ""https://api.github.com/repos/tornadoweb/tornado/sub"&amp;"scription"", ""collaborators_url"": ""https://api.github.com/repos/tornadoweb/tornado/collaborators{/collaborator}"", ""issue_comment_url"": ""https://api.github.com/repos/tornadoweb/tornado/issues/comments{/number}"", ""notifications_url"": ""https://api"&amp;".github.com/repos/tornadoweb/tornado/notifications{?since,all,participating}"", ""open_issues_count"": 149}")</f>
        <v>{"id": 301742, "url": "https://api.github.com/repos/tornadoweb/tornado", "fork": false, "name": "tornado", "size": 8414, "forks": 4820, "owner": {"id": 7468980, "url": "https://api.github.com/users/tornadoweb", "type": "Organization", "login": "tornadoweb", "node_id": "MDEyOk9yZ2FuaXphdGlvbjc0Njg5ODA=", "html_url": "https://github.com/tornadoweb", "gists_url": "https://api.github.com/users/tornadoweb/gists{/gist_id}", "repos_url": "https://api.github.com/users/tornadoweb/repos", "avatar_url": "https://avatars3.githubusercontent.com/u/7468980?v=4", "events_url": "https://api.github.com/users/tornadoweb/events{/privacy}", "site_admin": false, "gravatar_id": "", "starred_url": "https://api.github.com/users/tornadoweb/starred{/owner}{/repo}", "followers_url": "https://api.github.com/users/tornadoweb/followers", "following_url": "https://api.github.com/users/tornadoweb/following{/other_user}", "organizations_url": "https://api.github.com/users/tornadoweb/orgs", "subscriptions_url": "https://api.github.com/users/tornadoweb/subscriptions", "received_events_url": "https://api.github.com/users/tornadoweb/received_events"}, "score": 1.0, "topics": ["asynchronous", "python"], "git_url": "git://github.com/tornadoweb/tornado.git", "license": {"key": "apache-2.0", "url": "https://api.github.com/licenses/apache-2.0", "name": "Apache License 2.0", "node_id": "MDc6TGljZW5zZTI=", "spdx_id": "Apache-2.0"}, "node_id": "MDEwOlJlcG9zaXRvcnkzMDE3NDI=", "private": false, "ssh_url": "git@github.com:tornadoweb/tornado.git", "svn_url": "https://github.com/tornadoweb/tornado", "archived": false, "has_wiki": true, "homepage": "http://www.tornadoweb.org/", "html_url": "https://github.com/tornadoweb/tornado", "keys_url": "https://api.github.com/repos/tornadoweb/tornado/keys{/key_id}", "language": "Python", "tags_url": "https://api.github.com/repos/tornadoweb/tornado/tags", "watchers": 17040, "blobs_url": "https://api.github.com/repos/tornadoweb/tornado/git/blobs{/sha}", "clone_url": "https://github.com/tornadoweb/tornado.git", "forks_url": "https://api.github.com/repos/tornadoweb/tornado/forks", "full_name": "tornadoweb/tornado", "has_pages": true, "hooks_url": "https://api.github.com/repos/tornadoweb/tornado/hooks", "pulls_url": "https://api.github.com/repos/tornadoweb/tornado/pulls{/number}", "pushed_at": "2018-12-23T14:15:20Z", "teams_url": "https://api.github.com/repos/tornadoweb/tornado/teams", "trees_url": "https://api.github.com/repos/tornadoweb/tornado/git/trees{/sha}", "created_at": "2009-09-09T04:55:16Z", "events_url": "https://api.github.com/repos/tornadoweb/tornado/events", "has_issues": true, "issues_url": "https://api.github.com/repos/tornadoweb/tornado/issues{/number}", "labels_url": "https://api.github.com/repos/tornadoweb/tornado/labels{/name}", "merges_url": "https://api.github.com/repos/tornadoweb/tornado/merges", "mirror_url": null, "updated_at": "2018-12-24T23:12:30Z", "archive_url": "https://api.github.com/repos/tornadoweb/tornado/{archive_format}{/ref}", "commits_url": "https://api.github.com/repos/tornadoweb/tornado/commits{/sha}", "compare_url": "https://api.github.com/repos/tornadoweb/tornado/compare/{base}...{head}", "description": "Tornado is a Python web framework and asynchronous networking library, originally developed at FriendFeed.", "forks_count": 4820, "open_issues": 149, "permissions": {"pull": true, "push": false, "admin": false}, "branches_url": "https://api.github.com/repos/tornadoweb/tornado/branches{/branch}", "comments_url": "https://api.github.com/repos/tornadoweb/tornado/comments{/number}", "contents_url": "https://api.github.com/repos/tornadoweb/tornado/contents/{+path}", "git_refs_url": "https://api.github.com/repos/tornadoweb/tornado/git/refs{/sha}", "git_tags_url": "https://api.github.com/repos/tornadoweb/tornado/git/tags{/sha}", "has_projects": true, "releases_url": "https://api.github.com/repos/tornadoweb/tornado/releases{/id}", "statuses_url": "https://api.github.com/repos/tornadoweb/tornado/statuses/{sha}", "assignees_url": "https://api.github.com/repos/tornadoweb/tornado/assignees{/user}", "downloads_url": "https://api.github.com/repos/tornadoweb/tornado/downloads", "has_downloads": true, "languages_url": "https://api.github.com/repos/tornadoweb/tornado/languages", "default_branch": "master", "milestones_url": "https://api.github.com/repos/tornadoweb/tornado/milestones{/number}", "stargazers_url": "https://api.github.com/repos/tornadoweb/tornado/stargazers", "watchers_count": 17040, "deployments_url": "https://api.github.com/repos/tornadoweb/tornado/deployments", "git_commits_url": "https://api.github.com/repos/tornadoweb/tornado/git/commits{/sha}", "subscribers_url": "https://api.github.com/repos/tornadoweb/tornado/subscribers", "contributors_url": "https://api.github.com/repos/tornadoweb/tornado/contributors", "issue_events_url": "https://api.github.com/repos/tornadoweb/tornado/issues/events{/number}", "stargazers_count": 17040, "subscription_url": "https://api.github.com/repos/tornadoweb/tornado/subscription", "collaborators_url": "https://api.github.com/repos/tornadoweb/tornado/collaborators{/collaborator}", "issue_comment_url": "https://api.github.com/repos/tornadoweb/tornado/issues/comments{/number}", "notifications_url": "https://api.github.com/repos/tornadoweb/tornado/notifications{?since,all,participating}", "open_issues_count": 149}</v>
      </c>
      <c r="T44" s="12">
        <f>IFERROR(__xludf.DUMMYFUNCTION("""COMPUTED_VALUE"""),0.995246853)</f>
        <v>0.995246853</v>
      </c>
      <c r="U44" s="12">
        <f>IFERROR(__xludf.DUMMYFUNCTION("""COMPUTED_VALUE"""),1504864.0)</f>
        <v>1504864</v>
      </c>
      <c r="V44" s="14">
        <f>IFERROR(__xludf.DUMMYFUNCTION("""COMPUTED_VALUE"""),111.0)</f>
        <v>111</v>
      </c>
      <c r="W44" s="15" t="str">
        <f>IFERROR(__xludf.DUMMYFUNCTION("IFERROR(REGEXEXTRACT(J44,""""""ratio"""": (\d+.\d+), """"language"""": """"Python""""""),"""")"),"0.9952468534460809")</f>
        <v>0.9952468534460809</v>
      </c>
      <c r="X44" s="15" t="str">
        <f t="shared" si="1"/>
        <v>asynchronous, python</v>
      </c>
    </row>
    <row r="45">
      <c r="A45" s="10" t="str">
        <f>IFERROR(__xludf.DUMMYFUNCTION("""COMPUTED_VALUE"""),"web2py/web2py")</f>
        <v>web2py/web2py</v>
      </c>
      <c r="B45" s="10" t="str">
        <f>IFERROR(__xludf.DUMMYFUNCTION("""COMPUTED_VALUE"""),"Free and open source full-stack enterprise framework for agile development of secure database-driven web-based applications, written and programmable in Python.")</f>
        <v>Free and open source full-stack enterprise framework for agile development of secure database-driven web-based applications, written and programmable in Python.</v>
      </c>
      <c r="C45" s="11" t="str">
        <f>IFERROR(__xludf.DUMMYFUNCTION("""COMPUTED_VALUE"""),"https://github.com/web2py/web2py")</f>
        <v>https://github.com/web2py/web2py</v>
      </c>
      <c r="D45" s="10">
        <f>IFERROR(__xludf.DUMMYFUNCTION("""COMPUTED_VALUE"""),1682.0)</f>
        <v>1682</v>
      </c>
      <c r="E45" s="10">
        <f>IFERROR(__xludf.DUMMYFUNCTION("""COMPUTED_VALUE"""),246.0)</f>
        <v>246</v>
      </c>
      <c r="F45" s="10">
        <f>IFERROR(__xludf.DUMMYFUNCTION("""COMPUTED_VALUE"""),40258.0)</f>
        <v>40258</v>
      </c>
      <c r="G45" s="10" t="str">
        <f>IFERROR(__xludf.DUMMYFUNCTION("""COMPUTED_VALUE"""),"""[]""")</f>
        <v>"[]"</v>
      </c>
      <c r="H45" s="12">
        <f>IFERROR(__xludf.DUMMYFUNCTION("""COMPUTED_VALUE"""),7741.0)</f>
        <v>7741</v>
      </c>
      <c r="I45" s="12">
        <f>IFERROR(__xludf.DUMMYFUNCTION("""COMPUTED_VALUE"""),169.0)</f>
        <v>169</v>
      </c>
      <c r="J45" s="10" t="str">
        <f>IFERROR(__xludf.DUMMYFUNCTION("""COMPUTED_VALUE"""),"[{""loc"": 6866140, ""ratio"": 0.8939421615851487, ""language"": ""Python""}, {""loc"": 351405, ""ratio"": 0.045751433162130276, ""language"": ""HTML""}, {""loc"": 262694, ""ratio"": 0.034201639086218615, ""language"": ""JavaScript""}, {""loc"": 95499, """&amp;"ratio"": 0.012433562742562796, ""language"": ""Shell""}, {""loc"": 48265, ""ratio"": 0.006283897274000705, ""language"": ""CSS""}, {""loc"": 44882, ""ratio"": 0.005843445093788453, ""language"": ""Dockerfile""}, {""loc"": 5974, ""ratio"": 0.00077778933626"&amp;"60357, ""language"": ""PowerShell""}, {""loc"": 5884, ""ratio"": 0.0007660717198843914, ""language"": ""Makefile""}]")</f>
        <v>[{"loc": 6866140, "ratio": 0.8939421615851487, "language": "Python"}, {"loc": 351405, "ratio": 0.045751433162130276, "language": "HTML"}, {"loc": 262694, "ratio": 0.034201639086218615, "language": "JavaScript"}, {"loc": 95499, "ratio": 0.012433562742562796, "language": "Shell"}, {"loc": 48265, "ratio": 0.006283897274000705, "language": "CSS"}, {"loc": 44882, "ratio": 0.005843445093788453, "language": "Dockerfile"}, {"loc": 5974, "ratio": 0.0007777893362660357, "language": "PowerShell"}, {"loc": 5884, "ratio": 0.0007660717198843914, "language": "Makefile"}]</v>
      </c>
      <c r="K45" s="13">
        <f>IFERROR(__xludf.DUMMYFUNCTION("""COMPUTED_VALUE"""),39759.0)</f>
        <v>39759</v>
      </c>
      <c r="L45" s="13">
        <f>IFERROR(__xludf.DUMMYFUNCTION("""COMPUTED_VALUE"""),43444.0)</f>
        <v>43444</v>
      </c>
      <c r="M45" s="10">
        <f>IFERROR(__xludf.DUMMYFUNCTION("""COMPUTED_VALUE"""),234.0)</f>
        <v>234</v>
      </c>
      <c r="N45" s="12">
        <f>IFERROR(__xludf.DUMMYFUNCTION("""COMPUTED_VALUE"""),69.0)</f>
        <v>69</v>
      </c>
      <c r="O45" s="12" t="str">
        <f>IFERROR(__xludf.DUMMYFUNCTION("""COMPUTED_VALUE"""),"R-2.17.2")</f>
        <v>R-2.17.2</v>
      </c>
      <c r="P45" s="12" t="str">
        <f>IFERROR(__xludf.DUMMYFUNCTION("""COMPUTED_VALUE"""),"cda35fd48abac605416e4ed0c70aaedad10c8827")</f>
        <v>cda35fd48abac605416e4ed0c70aaedad10c8827</v>
      </c>
      <c r="Q45" s="12" t="str">
        <f>IFERROR(__xludf.DUMMYFUNCTION("""COMPUTED_VALUE"""),"{""key"": ""other"", ""url"": null, ""name"": ""Other"", ""node_id"": ""MDc6TGljZW5zZTA="", ""spdx_id"": ""NOASSERTION""}")</f>
        <v>{"key": "other", "url": null, "name": "Other", "node_id": "MDc6TGljZW5zZTA=", "spdx_id": "NOASSERTION"}</v>
      </c>
      <c r="R45" s="12" t="str">
        <f>IFERROR(__xludf.DUMMYFUNCTION("""COMPUTED_VALUE"""),"web2py")</f>
        <v>web2py</v>
      </c>
      <c r="S45" s="12" t="str">
        <f>IFERROR(__xludf.DUMMYFUNCTION("""COMPUTED_VALUE"""),"{""id"": 72690, ""url"": ""https://api.github.com/repos/web2py/web2py"", ""fork"": false, ""name"": ""web2py"", ""size"": 40258, ""forks"": 800, ""owner"": {""id"": 33118, ""url"": ""https://api.github.com/users/web2py"", ""type"": ""Organization"", ""log"&amp;"in"": ""web2py"", ""node_id"": ""MDEyOk9yZ2FuaXphdGlvbjMzMTE4"", ""html_url"": ""https://github.com/web2py"", ""gists_url"": ""https://api.github.com/users/web2py/gists{/gist_id}"", ""repos_url"": ""https://api.github.com/users/web2py/repos"", ""avatar_ur"&amp;"l"": ""https://avatars0.githubusercontent.com/u/33118?v=4"", ""events_url"": ""https://api.github.com/users/web2py/events{/privacy}"", ""site_admin"": false, ""gravatar_id"": """", ""starred_url"": ""https://api.github.com/users/web2py/starred{/owner}{/re"&amp;"po}"", ""followers_url"": ""https://api.github.com/users/web2py/followers"", ""following_url"": ""https://api.github.com/users/web2py/following{/other_user}"", ""organizations_url"": ""https://api.github.com/users/web2py/orgs"", ""subscriptions_url"": ""h"&amp;"ttps://api.github.com/users/web2py/subscriptions"", ""received_events_url"": ""https://api.github.com/users/web2py/received_events""}, ""score"": 1.0, ""topics"": [], ""git_url"": ""git://github.com/web2py/web2py.git"", ""license"": {""key"": ""other"", "&amp;"""url"": null, ""name"": ""Other"", ""node_id"": ""MDc6TGljZW5zZTA="", ""spdx_id"": ""NOASSERTION""}, ""node_id"": ""MDEwOlJlcG9zaXRvcnk3MjY5MA=="", ""private"": false, ""ssh_url"": ""git@github.com:web2py/web2py.git"", ""svn_url"": ""https://github.com/w"&amp;"eb2py/web2py"", ""archived"": false, ""has_wiki"": true, ""homepage"": ""http://www.web2py.com"", ""html_url"": ""https://github.com/web2py/web2py"", ""keys_url"": ""https://api.github.com/repos/web2py/web2py/keys{/key_id}"", ""language"": ""Python"", ""t"&amp;"ags_url"": ""https://api.github.com/repos/web2py/web2py/tags"", ""watchers"": 1682, ""blobs_url"": ""https://api.github.com/repos/web2py/web2py/git/blobs{/sha}"", ""clone_url"": ""https://github.com/web2py/web2py.git"", ""forks_url"": ""https://api.github"&amp;".com/repos/web2py/web2py/forks"", ""full_name"": ""web2py/web2py"", ""has_pages"": false, ""hooks_url"": ""https://api.github.com/repos/web2py/web2py/hooks"", ""pulls_url"": ""https://api.github.com/repos/web2py/web2py/pulls{/number}"", ""pushed_at"": ""2"&amp;"018-12-10T03:26:06Z"", ""teams_url"": ""https://api.github.com/repos/web2py/web2py/teams"", ""trees_url"": ""https://api.github.com/repos/web2py/web2py/git/trees{/sha}"", ""created_at"": ""2008-11-07T06:08:58Z"", ""events_url"": ""https://api.github.com/r"&amp;"epos/web2py/web2py/events"", ""has_issues"": true, ""issues_url"": ""https://api.github.com/repos/web2py/web2py/issues{/number}"", ""labels_url"": ""https://api.github.com/repos/web2py/web2py/labels{/name}"", ""merges_url"": ""https://api.github.com/repos"&amp;"/web2py/web2py/merges"", ""mirror_url"": null, ""updated_at"": ""2018-12-24T11:22:11Z"", ""archive_url"": ""https://api.github.com/repos/web2py/web2py/{archive_format}{/ref}"", ""commits_url"": ""https://api.github.com/repos/web2py/web2py/commits{/sha}"","&amp;" ""compare_url"": ""https://api.github.com/repos/web2py/web2py/compare/{base}...{head}"", ""description"": ""Free and open source full-stack enterprise framework for agile development of secure database-driven web-based applications, written and programma"&amp;"ble in Python."", ""forks_count"": 800, ""open_issues"": 234, ""permissions"": {""pull"": true, ""push"": false, ""admin"": false}, ""branches_url"": ""https://api.github.com/repos/web2py/web2py/branches{/branch}"", ""comments_url"": ""https://api.github."&amp;"com/repos/web2py/web2py/comments{/number}"", ""contents_url"": ""https://api.github.com/repos/web2py/web2py/contents/{+path}"", ""git_refs_url"": ""https://api.github.com/repos/web2py/web2py/git/refs{/sha}"", ""git_tags_url"": ""https://api.github.com/rep"&amp;"os/web2py/web2py/git/tags{/sha}"", ""has_projects"": true, ""releases_url"": ""https://api.github.com/repos/web2py/web2py/releases{/id}"", ""statuses_url"": ""https://api.github.com/repos/web2py/web2py/statuses/{sha}"", ""assignees_url"": ""https://api.gi"&amp;"thub.com/repos/web2py/web2py/assignees{/user}"", ""downloads_url"": ""https://api.github.com/repos/web2py/web2py/downloads"", ""has_downloads"": true, ""languages_url"": ""https://api.github.com/repos/web2py/web2py/languages"", ""default_branch"": ""maste"&amp;"r"", ""milestones_url"": ""https://api.github.com/repos/web2py/web2py/milestones{/number}"", ""stargazers_url"": ""https://api.github.com/repos/web2py/web2py/stargazers"", ""watchers_count"": 1682, ""deployments_url"": ""https://api.github.com/repos/web2p"&amp;"y/web2py/deployments"", ""git_commits_url"": ""https://api.github.com/repos/web2py/web2py/git/commits{/sha}"", ""subscribers_url"": ""https://api.github.com/repos/web2py/web2py/subscribers"", ""contributors_url"": ""https://api.github.com/repos/web2py/web"&amp;"2py/contributors"", ""issue_events_url"": ""https://api.github.com/repos/web2py/web2py/issues/events{/number}"", ""stargazers_count"": 1682, ""subscription_url"": ""https://api.github.com/repos/web2py/web2py/subscription"", ""collaborators_url"": ""https:"&amp;"//api.github.com/repos/web2py/web2py/collaborators{/collaborator}"", ""issue_comment_url"": ""https://api.github.com/repos/web2py/web2py/issues/comments{/number}"", ""notifications_url"": ""https://api.github.com/repos/web2py/web2py/notifications{?since,a"&amp;"ll,participating}"", ""open_issues_count"": 234}")</f>
        <v>{"id": 72690, "url": "https://api.github.com/repos/web2py/web2py", "fork": false, "name": "web2py", "size": 40258, "forks": 800, "owner": {"id": 33118, "url": "https://api.github.com/users/web2py", "type": "Organization", "login": "web2py", "node_id": "MDEyOk9yZ2FuaXphdGlvbjMzMTE4", "html_url": "https://github.com/web2py", "gists_url": "https://api.github.com/users/web2py/gists{/gist_id}", "repos_url": "https://api.github.com/users/web2py/repos", "avatar_url": "https://avatars0.githubusercontent.com/u/33118?v=4", "events_url": "https://api.github.com/users/web2py/events{/privacy}", "site_admin": false, "gravatar_id": "", "starred_url": "https://api.github.com/users/web2py/starred{/owner}{/repo}", "followers_url": "https://api.github.com/users/web2py/followers", "following_url": "https://api.github.com/users/web2py/following{/other_user}", "organizations_url": "https://api.github.com/users/web2py/orgs", "subscriptions_url": "https://api.github.com/users/web2py/subscriptions", "received_events_url": "https://api.github.com/users/web2py/received_events"}, "score": 1.0, "topics": [], "git_url": "git://github.com/web2py/web2py.git", "license": {"key": "other", "url": null, "name": "Other", "node_id": "MDc6TGljZW5zZTA=", "spdx_id": "NOASSERTION"}, "node_id": "MDEwOlJlcG9zaXRvcnk3MjY5MA==", "private": false, "ssh_url": "git@github.com:web2py/web2py.git", "svn_url": "https://github.com/web2py/web2py", "archived": false, "has_wiki": true, "homepage": "http://www.web2py.com", "html_url": "https://github.com/web2py/web2py", "keys_url": "https://api.github.com/repos/web2py/web2py/keys{/key_id}", "language": "Python", "tags_url": "https://api.github.com/repos/web2py/web2py/tags", "watchers": 1682, "blobs_url": "https://api.github.com/repos/web2py/web2py/git/blobs{/sha}", "clone_url": "https://github.com/web2py/web2py.git", "forks_url": "https://api.github.com/repos/web2py/web2py/forks", "full_name": "web2py/web2py", "has_pages": false, "hooks_url": "https://api.github.com/repos/web2py/web2py/hooks", "pulls_url": "https://api.github.com/repos/web2py/web2py/pulls{/number}", "pushed_at": "2018-12-10T03:26:06Z", "teams_url": "https://api.github.com/repos/web2py/web2py/teams", "trees_url": "https://api.github.com/repos/web2py/web2py/git/trees{/sha}", "created_at": "2008-11-07T06:08:58Z", "events_url": "https://api.github.com/repos/web2py/web2py/events", "has_issues": true, "issues_url": "https://api.github.com/repos/web2py/web2py/issues{/number}", "labels_url": "https://api.github.com/repos/web2py/web2py/labels{/name}", "merges_url": "https://api.github.com/repos/web2py/web2py/merges", "mirror_url": null, "updated_at": "2018-12-24T11:22:11Z", "archive_url": "https://api.github.com/repos/web2py/web2py/{archive_format}{/ref}", "commits_url": "https://api.github.com/repos/web2py/web2py/commits{/sha}", "compare_url": "https://api.github.com/repos/web2py/web2py/compare/{base}...{head}", "description": "Free and open source full-stack enterprise framework for agile development of secure database-driven web-based applications, written and programmable in Python.", "forks_count": 800, "open_issues": 234, "permissions": {"pull": true, "push": false, "admin": false}, "branches_url": "https://api.github.com/repos/web2py/web2py/branches{/branch}", "comments_url": "https://api.github.com/repos/web2py/web2py/comments{/number}", "contents_url": "https://api.github.com/repos/web2py/web2py/contents/{+path}", "git_refs_url": "https://api.github.com/repos/web2py/web2py/git/refs{/sha}", "git_tags_url": "https://api.github.com/repos/web2py/web2py/git/tags{/sha}", "has_projects": true, "releases_url": "https://api.github.com/repos/web2py/web2py/releases{/id}", "statuses_url": "https://api.github.com/repos/web2py/web2py/statuses/{sha}", "assignees_url": "https://api.github.com/repos/web2py/web2py/assignees{/user}", "downloads_url": "https://api.github.com/repos/web2py/web2py/downloads", "has_downloads": true, "languages_url": "https://api.github.com/repos/web2py/web2py/languages", "default_branch": "master", "milestones_url": "https://api.github.com/repos/web2py/web2py/milestones{/number}", "stargazers_url": "https://api.github.com/repos/web2py/web2py/stargazers", "watchers_count": 1682, "deployments_url": "https://api.github.com/repos/web2py/web2py/deployments", "git_commits_url": "https://api.github.com/repos/web2py/web2py/git/commits{/sha}", "subscribers_url": "https://api.github.com/repos/web2py/web2py/subscribers", "contributors_url": "https://api.github.com/repos/web2py/web2py/contributors", "issue_events_url": "https://api.github.com/repos/web2py/web2py/issues/events{/number}", "stargazers_count": 1682, "subscription_url": "https://api.github.com/repos/web2py/web2py/subscription", "collaborators_url": "https://api.github.com/repos/web2py/web2py/collaborators{/collaborator}", "issue_comment_url": "https://api.github.com/repos/web2py/web2py/issues/comments{/number}", "notifications_url": "https://api.github.com/repos/web2py/web2py/notifications{?since,all,participating}", "open_issues_count": 234}</v>
      </c>
      <c r="T45" s="12">
        <f>IFERROR(__xludf.DUMMYFUNCTION("""COMPUTED_VALUE"""),0.893942162)</f>
        <v>0.893942162</v>
      </c>
      <c r="U45" s="12">
        <f>IFERROR(__xludf.DUMMYFUNCTION("""COMPUTED_VALUE"""),6866140.0)</f>
        <v>6866140</v>
      </c>
      <c r="V45" s="14">
        <f>IFERROR(__xludf.DUMMYFUNCTION("""COMPUTED_VALUE"""),121.0)</f>
        <v>121</v>
      </c>
      <c r="W45" s="15" t="str">
        <f>IFERROR(__xludf.DUMMYFUNCTION("IFERROR(REGEXEXTRACT(J45,""""""ratio"""": (\d+.\d+), """"language"""": """"Python""""""),"""")"),"0.8939421615851487")</f>
        <v>0.8939421615851487</v>
      </c>
      <c r="X45" s="15" t="str">
        <f t="shared" si="1"/>
        <v/>
      </c>
    </row>
    <row r="46">
      <c r="A46" s="10" t="str">
        <f>IFERROR(__xludf.DUMMYFUNCTION("""COMPUTED_VALUE"""),"pallets/werkzeug")</f>
        <v>pallets/werkzeug</v>
      </c>
      <c r="B46" s="10" t="str">
        <f>IFERROR(__xludf.DUMMYFUNCTION("""COMPUTED_VALUE"""),"The comprehensive WSGI web application library.")</f>
        <v>The comprehensive WSGI web application library.</v>
      </c>
      <c r="C46" s="11" t="str">
        <f>IFERROR(__xludf.DUMMYFUNCTION("""COMPUTED_VALUE"""),"https://github.com/pallets/werkzeug")</f>
        <v>https://github.com/pallets/werkzeug</v>
      </c>
      <c r="D46" s="10">
        <f>IFERROR(__xludf.DUMMYFUNCTION("""COMPUTED_VALUE"""),4444.0)</f>
        <v>4444</v>
      </c>
      <c r="E46" s="10">
        <f>IFERROR(__xludf.DUMMYFUNCTION("""COMPUTED_VALUE"""),236.0)</f>
        <v>236</v>
      </c>
      <c r="F46" s="10">
        <f>IFERROR(__xludf.DUMMYFUNCTION("""COMPUTED_VALUE"""),10667.0)</f>
        <v>10667</v>
      </c>
      <c r="G46" s="10" t="str">
        <f>IFERROR(__xludf.DUMMYFUNCTION("""COMPUTED_VALUE"""),"""[\""http\"", \""python\"", \""werkzeug\"", \""wsgi\""]""")</f>
        <v>"[\"http\", \"python\", \"werkzeug\", \"wsgi\"]"</v>
      </c>
      <c r="H46" s="12">
        <f>IFERROR(__xludf.DUMMYFUNCTION("""COMPUTED_VALUE"""),3739.0)</f>
        <v>3739</v>
      </c>
      <c r="I46" s="12">
        <f>IFERROR(__xludf.DUMMYFUNCTION("""COMPUTED_VALUE"""),286.0)</f>
        <v>286</v>
      </c>
      <c r="J46" s="10" t="str">
        <f>IFERROR(__xludf.DUMMYFUNCTION("""COMPUTED_VALUE"""),"[{""loc"": 1133625, ""ratio"": 0.988042818893026, ""language"": ""Python""}, {""loc"": 6581, ""ratio"": 0.005735856029229246, ""language"": ""CSS""}, {""loc"": 6400, ""ratio"": 0.005578100377916301, ""language"": ""JavaScript""}, {""loc"": 738, ""ratio"":"&amp;" 0.0006432246998284735, ""language"": ""Makefile""}]")</f>
        <v>[{"loc": 1133625, "ratio": 0.988042818893026, "language": "Python"}, {"loc": 6581, "ratio": 0.005735856029229246, "language": "CSS"}, {"loc": 6400, "ratio": 0.005578100377916301, "language": "JavaScript"}, {"loc": 738, "ratio": 0.0006432246998284735, "language": "Makefile"}]</v>
      </c>
      <c r="K46" s="13">
        <f>IFERROR(__xludf.DUMMYFUNCTION("""COMPUTED_VALUE"""),40469.0)</f>
        <v>40469</v>
      </c>
      <c r="L46" s="13">
        <f>IFERROR(__xludf.DUMMYFUNCTION("""COMPUTED_VALUE"""),43445.0)</f>
        <v>43445</v>
      </c>
      <c r="M46" s="10">
        <f>IFERROR(__xludf.DUMMYFUNCTION("""COMPUTED_VALUE"""),54.0)</f>
        <v>54</v>
      </c>
      <c r="N46" s="12">
        <f>IFERROR(__xludf.DUMMYFUNCTION("""COMPUTED_VALUE"""),52.0)</f>
        <v>52</v>
      </c>
      <c r="O46" s="12" t="str">
        <f>IFERROR(__xludf.DUMMYFUNCTION("""COMPUTED_VALUE"""),"0.14.1")</f>
        <v>0.14.1</v>
      </c>
      <c r="P46" s="12" t="str">
        <f>IFERROR(__xludf.DUMMYFUNCTION("""COMPUTED_VALUE"""),"6fc07fec6dfd21690c9909f8c7c8e744d55afba7")</f>
        <v>6fc07fec6dfd21690c9909f8c7c8e744d55afba7</v>
      </c>
      <c r="Q46" s="12" t="str">
        <f>IFERROR(__xludf.DUMMYFUNCTION("""COMPUTED_VALUE"""),"{""key"": ""bsd-3-clause"", ""url"": ""https://api.github.com/licenses/bsd-3-clause"", ""name"": ""BSD 3-Clause \""New\"" or \""Revised\"" License"", ""node_id"": ""MDc6TGljZW5zZTU="", ""spdx_id"": ""BSD-3-Clause""}")</f>
        <v>{"key": "bsd-3-clause", "url": "https://api.github.com/licenses/bsd-3-clause", "name": "BSD 3-Clause \"New\" or \"Revised\" License", "node_id": "MDc6TGljZW5zZTU=", "spdx_id": "BSD-3-Clause"}</v>
      </c>
      <c r="R46" s="12" t="str">
        <f>IFERROR(__xludf.DUMMYFUNCTION("""COMPUTED_VALUE"""),"werkzeug")</f>
        <v>werkzeug</v>
      </c>
      <c r="S46" s="12" t="str">
        <f>IFERROR(__xludf.DUMMYFUNCTION("""COMPUTED_VALUE"""),"{""id"": 997338, ""url"": ""https://api.github.com/repos/pallets/werkzeug"", ""fork"": false, ""name"": ""werkzeug"", ""size"": 10667, ""forks"": 1285, ""owner"": {""id"": 16748505, ""url"": ""https://api.github.com/users/pallets"", ""type"": ""Organizati"&amp;"on"", ""login"": ""pallets"", ""node_id"": ""MDEyOk9yZ2FuaXphdGlvbjE2NzQ4NTA1"", ""html_url"": ""https://github.com/pallets"", ""gists_url"": ""https://api.github.com/users/pallets/gists{/gist_id}"", ""repos_url"": ""https://api.github.com/users/pallets/r"&amp;"epos"", ""avatar_url"": ""https://avatars3.githubusercontent.com/u/16748505?v=4"", ""events_url"": ""https://api.github.com/users/pallets/events{/privacy}"", ""site_admin"": false, ""gravatar_id"": """", ""starred_url"": ""https://api.github.com/users/pal"&amp;"lets/starred{/owner}{/repo}"", ""followers_url"": ""https://api.github.com/users/pallets/followers"", ""following_url"": ""https://api.github.com/users/pallets/following{/other_user}"", ""organizations_url"": ""https://api.github.com/users/pallets/orgs"","&amp;" ""subscriptions_url"": ""https://api.github.com/users/pallets/subscriptions"", ""received_events_url"": ""https://api.github.com/users/pallets/received_events""}, ""score"": 1.0, ""topics"": [""http"", ""python"", ""werkzeug"", ""wsgi""], ""git_url"": """&amp;"git://github.com/pallets/werkzeug.git"", ""license"": {""key"": ""bsd-3-clause"", ""url"": ""https://api.github.com/licenses/bsd-3-clause"", ""name"": ""BSD 3-Clause \""New\"" or \""Revised\"" License"", ""node_id"": ""MDc6TGljZW5zZTU="", ""spdx_id"": ""B"&amp;"SD-3-Clause""}, ""node_id"": ""MDEwOlJlcG9zaXRvcnk5OTczMzg="", ""private"": false, ""ssh_url"": ""git@github.com:pallets/werkzeug.git"", ""svn_url"": ""https://github.com/pallets/werkzeug"", ""archived"": false, ""has_wiki"": false, ""homepage"": ""https:"&amp;"//palletsprojects.com/p/werkzeug/"", ""html_url"": ""https://github.com/pallets/werkzeug"", ""keys_url"": ""https://api.github.com/repos/pallets/werkzeug/keys{/key_id}"", ""language"": ""Python"", ""tags_url"": ""https://api.github.com/repos/pallets/werkz"&amp;"eug/tags"", ""watchers"": 4444, ""blobs_url"": ""https://api.github.com/repos/pallets/werkzeug/git/blobs{/sha}"", ""clone_url"": ""https://github.com/pallets/werkzeug.git"", ""forks_url"": ""https://api.github.com/repos/pallets/werkzeug/forks"", ""full_na"&amp;"me"": ""pallets/werkzeug"", ""has_pages"": false, ""hooks_url"": ""https://api.github.com/repos/pallets/werkzeug/hooks"", ""pulls_url"": ""https://api.github.com/repos/pallets/werkzeug/pulls{/number}"", ""pushed_at"": ""2018-12-11T17:23:21Z"", ""teams_url"&amp;""": ""https://api.github.com/repos/pallets/werkzeug/teams"", ""trees_url"": ""https://api.github.com/repos/pallets/werkzeug/git/trees{/sha}"", ""created_at"": ""2010-10-18T11:42:40Z"", ""events_url"": ""https://api.github.com/repos/pallets/werkzeug/events"&amp;""", ""has_issues"": true, ""issues_url"": ""https://api.github.com/repos/pallets/werkzeug/issues{/number}"", ""labels_url"": ""https://api.github.com/repos/pallets/werkzeug/labels{/name}"", ""merges_url"": ""https://api.github.com/repos/pallets/werkzeug/m"&amp;"erges"", ""mirror_url"": null, ""updated_at"": ""2018-12-24T23:53:32Z"", ""archive_url"": ""https://api.github.com/repos/pallets/werkzeug/{archive_format}{/ref}"", ""commits_url"": ""https://api.github.com/repos/pallets/werkzeug/commits{/sha}"", ""compare"&amp;"_url"": ""https://api.github.com/repos/pallets/werkzeug/compare/{base}...{head}"", ""description"": ""The comprehensive WSGI web application library."", ""forks_count"": 1285, ""open_issues"": 54, ""permissions"": {""pull"": true, ""push"": false, ""admin"&amp;""": false}, ""branches_url"": ""https://api.github.com/repos/pallets/werkzeug/branches{/branch}"", ""comments_url"": ""https://api.github.com/repos/pallets/werkzeug/comments{/number}"", ""contents_url"": ""https://api.github.com/repos/pallets/werkzeug/con"&amp;"tents/{+path}"", ""git_refs_url"": ""https://api.github.com/repos/pallets/werkzeug/git/refs{/sha}"", ""git_tags_url"": ""https://api.github.com/repos/pallets/werkzeug/git/tags{/sha}"", ""has_projects"": true, ""releases_url"": ""https://api.github.com/rep"&amp;"os/pallets/werkzeug/releases{/id}"", ""statuses_url"": ""https://api.github.com/repos/pallets/werkzeug/statuses/{sha}"", ""assignees_url"": ""https://api.github.com/repos/pallets/werkzeug/assignees{/user}"", ""downloads_url"": ""https://api.github.com/rep"&amp;"os/pallets/werkzeug/downloads"", ""has_downloads"": true, ""languages_url"": ""https://api.github.com/repos/pallets/werkzeug/languages"", ""default_branch"": ""master"", ""milestones_url"": ""https://api.github.com/repos/pallets/werkzeug/milestones{/numbe"&amp;"r}"", ""stargazers_url"": ""https://api.github.com/repos/pallets/werkzeug/stargazers"", ""watchers_count"": 4444, ""deployments_url"": ""https://api.github.com/repos/pallets/werkzeug/deployments"", ""git_commits_url"": ""https://api.github.com/repos/palle"&amp;"ts/werkzeug/git/commits{/sha}"", ""subscribers_url"": ""https://api.github.com/repos/pallets/werkzeug/subscribers"", ""contributors_url"": ""https://api.github.com/repos/pallets/werkzeug/contributors"", ""issue_events_url"": ""https://api.github.com/repos"&amp;"/pallets/werkzeug/issues/events{/number}"", ""stargazers_count"": 4444, ""subscription_url"": ""https://api.github.com/repos/pallets/werkzeug/subscription"", ""collaborators_url"": ""https://api.github.com/repos/pallets/werkzeug/collaborators{/collaborato"&amp;"r}"", ""issue_comment_url"": ""https://api.github.com/repos/pallets/werkzeug/issues/comments{/number}"", ""notifications_url"": ""https://api.github.com/repos/pallets/werkzeug/notifications{?since,all,participating}"", ""open_issues_count"": 54}")</f>
        <v>{"id": 997338, "url": "https://api.github.com/repos/pallets/werkzeug", "fork": false, "name": "werkzeug", "size": 10667, "forks": 1285, "owner": {"id": 16748505, "url": "https://api.github.com/users/pallets", "type": "Organization", "login": "pallets", "node_id": "MDEyOk9yZ2FuaXphdGlvbjE2NzQ4NTA1", "html_url": "https://github.com/pallets", "gists_url": "https://api.github.com/users/pallets/gists{/gist_id}", "repos_url": "https://api.github.com/users/pallets/repos", "avatar_url": "https://avatars3.githubusercontent.com/u/16748505?v=4", "events_url": "https://api.github.com/users/pallets/events{/privacy}", "site_admin": false, "gravatar_id": "", "starred_url": "https://api.github.com/users/pallets/starred{/owner}{/repo}", "followers_url": "https://api.github.com/users/pallets/followers", "following_url": "https://api.github.com/users/pallets/following{/other_user}", "organizations_url": "https://api.github.com/users/pallets/orgs", "subscriptions_url": "https://api.github.com/users/pallets/subscriptions", "received_events_url": "https://api.github.com/users/pallets/received_events"}, "score": 1.0, "topics": ["http", "python", "werkzeug", "wsgi"], "git_url": "git://github.com/pallets/werkzeug.git", "license": {"key": "bsd-3-clause", "url": "https://api.github.com/licenses/bsd-3-clause", "name": "BSD 3-Clause \"New\" or \"Revised\" License", "node_id": "MDc6TGljZW5zZTU=", "spdx_id": "BSD-3-Clause"}, "node_id": "MDEwOlJlcG9zaXRvcnk5OTczMzg=", "private": false, "ssh_url": "git@github.com:pallets/werkzeug.git", "svn_url": "https://github.com/pallets/werkzeug", "archived": false, "has_wiki": false, "homepage": "https://palletsprojects.com/p/werkzeug/", "html_url": "https://github.com/pallets/werkzeug", "keys_url": "https://api.github.com/repos/pallets/werkzeug/keys{/key_id}", "language": "Python", "tags_url": "https://api.github.com/repos/pallets/werkzeug/tags", "watchers": 4444, "blobs_url": "https://api.github.com/repos/pallets/werkzeug/git/blobs{/sha}", "clone_url": "https://github.com/pallets/werkzeug.git", "forks_url": "https://api.github.com/repos/pallets/werkzeug/forks", "full_name": "pallets/werkzeug", "has_pages": false, "hooks_url": "https://api.github.com/repos/pallets/werkzeug/hooks", "pulls_url": "https://api.github.com/repos/pallets/werkzeug/pulls{/number}", "pushed_at": "2018-12-11T17:23:21Z", "teams_url": "https://api.github.com/repos/pallets/werkzeug/teams", "trees_url": "https://api.github.com/repos/pallets/werkzeug/git/trees{/sha}", "created_at": "2010-10-18T11:42:40Z", "events_url": "https://api.github.com/repos/pallets/werkzeug/events", "has_issues": true, "issues_url": "https://api.github.com/repos/pallets/werkzeug/issues{/number}", "labels_url": "https://api.github.com/repos/pallets/werkzeug/labels{/name}", "merges_url": "https://api.github.com/repos/pallets/werkzeug/merges", "mirror_url": null, "updated_at": "2018-12-24T23:53:32Z", "archive_url": "https://api.github.com/repos/pallets/werkzeug/{archive_format}{/ref}", "commits_url": "https://api.github.com/repos/pallets/werkzeug/commits{/sha}", "compare_url": "https://api.github.com/repos/pallets/werkzeug/compare/{base}...{head}", "description": "The comprehensive WSGI web application library.", "forks_count": 1285, "open_issues": 54, "permissions": {"pull": true, "push": false, "admin": false}, "branches_url": "https://api.github.com/repos/pallets/werkzeug/branches{/branch}", "comments_url": "https://api.github.com/repos/pallets/werkzeug/comments{/number}", "contents_url": "https://api.github.com/repos/pallets/werkzeug/contents/{+path}", "git_refs_url": "https://api.github.com/repos/pallets/werkzeug/git/refs{/sha}", "git_tags_url": "https://api.github.com/repos/pallets/werkzeug/git/tags{/sha}", "has_projects": true, "releases_url": "https://api.github.com/repos/pallets/werkzeug/releases{/id}", "statuses_url": "https://api.github.com/repos/pallets/werkzeug/statuses/{sha}", "assignees_url": "https://api.github.com/repos/pallets/werkzeug/assignees{/user}", "downloads_url": "https://api.github.com/repos/pallets/werkzeug/downloads", "has_downloads": true, "languages_url": "https://api.github.com/repos/pallets/werkzeug/languages", "default_branch": "master", "milestones_url": "https://api.github.com/repos/pallets/werkzeug/milestones{/number}", "stargazers_url": "https://api.github.com/repos/pallets/werkzeug/stargazers", "watchers_count": 4444, "deployments_url": "https://api.github.com/repos/pallets/werkzeug/deployments", "git_commits_url": "https://api.github.com/repos/pallets/werkzeug/git/commits{/sha}", "subscribers_url": "https://api.github.com/repos/pallets/werkzeug/subscribers", "contributors_url": "https://api.github.com/repos/pallets/werkzeug/contributors", "issue_events_url": "https://api.github.com/repos/pallets/werkzeug/issues/events{/number}", "stargazers_count": 4444, "subscription_url": "https://api.github.com/repos/pallets/werkzeug/subscription", "collaborators_url": "https://api.github.com/repos/pallets/werkzeug/collaborators{/collaborator}", "issue_comment_url": "https://api.github.com/repos/pallets/werkzeug/issues/comments{/number}", "notifications_url": "https://api.github.com/repos/pallets/werkzeug/notifications{?since,all,participating}", "open_issues_count": 54}</v>
      </c>
      <c r="T46" s="12">
        <f>IFERROR(__xludf.DUMMYFUNCTION("""COMPUTED_VALUE"""),0.988042819)</f>
        <v>0.988042819</v>
      </c>
      <c r="U46" s="12">
        <f>IFERROR(__xludf.DUMMYFUNCTION("""COMPUTED_VALUE"""),1133625.0)</f>
        <v>1133625</v>
      </c>
      <c r="V46" s="14">
        <f>IFERROR(__xludf.DUMMYFUNCTION("""COMPUTED_VALUE"""),97.0)</f>
        <v>97</v>
      </c>
      <c r="W46" s="15" t="str">
        <f>IFERROR(__xludf.DUMMYFUNCTION("IFERROR(REGEXEXTRACT(J46,""""""ratio"""": (\d+.\d+), """"language"""": """"Python""""""),"""")"),"0.988042818893026")</f>
        <v>0.988042818893026</v>
      </c>
      <c r="X46" s="15" t="str">
        <f t="shared" si="1"/>
        <v>http, python, werkzeug, wsgi</v>
      </c>
    </row>
    <row r="47">
      <c r="A47" s="10" t="str">
        <f>IFERROR(__xludf.DUMMYFUNCTION("""COMPUTED_VALUE"""),"rg3/youtube-dl")</f>
        <v>rg3/youtube-dl</v>
      </c>
      <c r="B47" s="10" t="str">
        <f>IFERROR(__xludf.DUMMYFUNCTION("""COMPUTED_VALUE"""),"Command-line program to download videos from YouTube.com and other video sites")</f>
        <v>Command-line program to download videos from YouTube.com and other video sites</v>
      </c>
      <c r="C47" s="11" t="str">
        <f>IFERROR(__xludf.DUMMYFUNCTION("""COMPUTED_VALUE"""),"https://github.com/rg3/youtube-dl")</f>
        <v>https://github.com/rg3/youtube-dl</v>
      </c>
      <c r="D47" s="10">
        <f>IFERROR(__xludf.DUMMYFUNCTION("""COMPUTED_VALUE"""),45187.0)</f>
        <v>45187</v>
      </c>
      <c r="E47" s="10">
        <f>IFERROR(__xludf.DUMMYFUNCTION("""COMPUTED_VALUE"""),1660.0)</f>
        <v>1660</v>
      </c>
      <c r="F47" s="10">
        <f>IFERROR(__xludf.DUMMYFUNCTION("""COMPUTED_VALUE"""),53560.0)</f>
        <v>53560</v>
      </c>
      <c r="G47" s="10" t="str">
        <f>IFERROR(__xludf.DUMMYFUNCTION("""COMPUTED_VALUE"""),"""[]""")</f>
        <v>"[]"</v>
      </c>
      <c r="H47" s="12">
        <f>IFERROR(__xludf.DUMMYFUNCTION("""COMPUTED_VALUE"""),16664.0)</f>
        <v>16664</v>
      </c>
      <c r="I47" s="12">
        <f>IFERROR(__xludf.DUMMYFUNCTION("""COMPUTED_VALUE"""),401.0)</f>
        <v>401</v>
      </c>
      <c r="J47" s="10" t="str">
        <f>IFERROR(__xludf.DUMMYFUNCTION("""COMPUTED_VALUE"""),"[{""loc"": 5284961, ""ratio"": 0.996504759688794, ""language"": ""Python""}, {""loc"": 8773, ""ratio"": 0.0016541912526411814, ""language"": ""Shell""}, {""loc"": 5464, ""ratio"": 0.0010302634223676524, ""language"": ""Makefile""}, {""loc"": 4300, ""ratio"&amp;""": 0.0008107856361970911, ""language"": ""AngelScript""}]")</f>
        <v>[{"loc": 5284961, "ratio": 0.996504759688794, "language": "Python"}, {"loc": 8773, "ratio": 0.0016541912526411814, "language": "Shell"}, {"loc": 5464, "ratio": 0.0010302634223676524, "language": "Makefile"}, {"loc": 4300, "ratio": 0.0008107856361970911, "language": "AngelScript"}]</v>
      </c>
      <c r="K47" s="13">
        <f>IFERROR(__xludf.DUMMYFUNCTION("""COMPUTED_VALUE"""),40482.0)</f>
        <v>40482</v>
      </c>
      <c r="L47" s="13">
        <f>IFERROR(__xludf.DUMMYFUNCTION("""COMPUTED_VALUE"""),43458.0)</f>
        <v>43458</v>
      </c>
      <c r="M47" s="10">
        <f>IFERROR(__xludf.DUMMYFUNCTION("""COMPUTED_VALUE"""),2583.0)</f>
        <v>2583</v>
      </c>
      <c r="N47" s="12">
        <f>IFERROR(__xludf.DUMMYFUNCTION("""COMPUTED_VALUE"""),1015.0)</f>
        <v>1015</v>
      </c>
      <c r="O47" s="12" t="str">
        <f>IFERROR(__xludf.DUMMYFUNCTION("""COMPUTED_VALUE"""),"2018.12.17")</f>
        <v>2018.12.17</v>
      </c>
      <c r="P47" s="12" t="str">
        <f>IFERROR(__xludf.DUMMYFUNCTION("""COMPUTED_VALUE"""),"4cee62ade0d991eedb2feae927c44370be3c389e")</f>
        <v>4cee62ade0d991eedb2feae927c44370be3c389e</v>
      </c>
      <c r="Q47" s="12" t="str">
        <f>IFERROR(__xludf.DUMMYFUNCTION("""COMPUTED_VALUE"""),"{""key"": ""unlicense"", ""url"": ""https://api.github.com/licenses/unlicense"", ""name"": ""The Unlicense"", ""node_id"": ""MDc6TGljZW5zZTE1"", ""spdx_id"": ""Unlicense""}")</f>
        <v>{"key": "unlicense", "url": "https://api.github.com/licenses/unlicense", "name": "The Unlicense", "node_id": "MDc6TGljZW5zZTE1", "spdx_id": "Unlicense"}</v>
      </c>
      <c r="R47" s="12" t="str">
        <f>IFERROR(__xludf.DUMMYFUNCTION("""COMPUTED_VALUE"""),"youtube-dl")</f>
        <v>youtube-dl</v>
      </c>
      <c r="S47" s="12" t="str">
        <f>IFERROR(__xludf.DUMMYFUNCTION("""COMPUTED_VALUE"""),"{""id"": 1039520, ""url"": ""https://api.github.com/repos/rg3/youtube-dl"", ""fork"": false, ""name"": ""youtube-dl"", ""size"": 53560, ""forks"": 7869, ""owner"": {""id"": 53487, ""url"": ""https://api.github.com/users/rg3"", ""type"": ""User"", ""login"&amp;""": ""rg3"", ""node_id"": ""MDQ6VXNlcjUzNDg3"", ""html_url"": ""https://github.com/rg3"", ""gists_url"": ""https://api.github.com/users/rg3/gists{/gist_id}"", ""repos_url"": ""https://api.github.com/users/rg3/repos"", ""avatar_url"": ""https://avatars0.gi"&amp;"thubusercontent.com/u/53487?v=4"", ""events_url"": ""https://api.github.com/users/rg3/events{/privacy}"", ""site_admin"": false, ""gravatar_id"": """", ""starred_url"": ""https://api.github.com/users/rg3/starred{/owner}{/repo}"", ""followers_url"": ""http"&amp;"s://api.github.com/users/rg3/followers"", ""following_url"": ""https://api.github.com/users/rg3/following{/other_user}"", ""organizations_url"": ""https://api.github.com/users/rg3/orgs"", ""subscriptions_url"": ""https://api.github.com/users/rg3/subscript"&amp;"ions"", ""received_events_url"": ""https://api.github.com/users/rg3/received_events""}, ""score"": 1.0, ""topics"": [], ""git_url"": ""git://github.com/rg3/youtube-dl.git"", ""license"": {""key"": ""unlicense"", ""url"": ""https://api.github.com/licenses/"&amp;"unlicense"", ""name"": ""The Unlicense"", ""node_id"": ""MDc6TGljZW5zZTE1"", ""spdx_id"": ""Unlicense""}, ""node_id"": ""MDEwOlJlcG9zaXRvcnkxMDM5NTIw"", ""private"": false, ""ssh_url"": ""git@github.com:rg3/youtube-dl.git"", ""svn_url"": ""https://github."&amp;"com/rg3/youtube-dl"", ""archived"": false, ""has_wiki"": false, ""homepage"": ""http://rg3.github.io/youtube-dl/"", ""html_url"": ""https://github.com/rg3/youtube-dl"", ""keys_url"": ""https://api.github.com/repos/rg3/youtube-dl/keys{/key_id}"", ""languag"&amp;"e"": ""Python"", ""tags_url"": ""https://api.github.com/repos/rg3/youtube-dl/tags"", ""watchers"": 45187, ""blobs_url"": ""https://api.github.com/repos/rg3/youtube-dl/git/blobs{/sha}"", ""clone_url"": ""https://github.com/rg3/youtube-dl.git"", ""forks_url"&amp;""": ""https://api.github.com/repos/rg3/youtube-dl/forks"", ""full_name"": ""rg3/youtube-dl"", ""has_pages"": true, ""hooks_url"": ""https://api.github.com/repos/rg3/youtube-dl/hooks"", ""pulls_url"": ""https://api.github.com/repos/rg3/youtube-dl/pulls{/nu"&amp;"mber}"", ""pushed_at"": ""2018-12-24T23:04:55Z"", ""teams_url"": ""https://api.github.com/repos/rg3/youtube-dl/teams"", ""trees_url"": ""https://api.github.com/repos/rg3/youtube-dl/git/trees{/sha}"", ""created_at"": ""2010-10-31T14:35:07Z"", ""events_url"&amp;""": ""https://api.github.com/repos/rg3/youtube-dl/events"", ""has_issues"": true, ""issues_url"": ""https://api.github.com/repos/rg3/youtube-dl/issues{/number}"", ""labels_url"": ""https://api.github.com/repos/rg3/youtube-dl/labels{/name}"", ""merges_url"&amp;""": ""https://api.github.com/repos/rg3/youtube-dl/merges"", ""mirror_url"": null, ""updated_at"": ""2018-12-25T01:59:35Z"", ""archive_url"": ""https://api.github.com/repos/rg3/youtube-dl/{archive_format}{/ref}"", ""commits_url"": ""https://api.github.com/"&amp;"repos/rg3/youtube-dl/commits{/sha}"", ""compare_url"": ""https://api.github.com/repos/rg3/youtube-dl/compare/{base}...{head}"", ""description"": ""Command-line program to download videos from YouTube.com and other video sites"", ""forks_count"": 7869, ""o"&amp;"pen_issues"": 2583, ""permissions"": {""pull"": true, ""push"": false, ""admin"": false}, ""branches_url"": ""https://api.github.com/repos/rg3/youtube-dl/branches{/branch}"", ""comments_url"": ""https://api.github.com/repos/rg3/youtube-dl/comments{/number"&amp;"}"", ""contents_url"": ""https://api.github.com/repos/rg3/youtube-dl/contents/{+path}"", ""git_refs_url"": ""https://api.github.com/repos/rg3/youtube-dl/git/refs{/sha}"", ""git_tags_url"": ""https://api.github.com/repos/rg3/youtube-dl/git/tags{/sha}"", """&amp;"has_projects"": true, ""releases_url"": ""https://api.github.com/repos/rg3/youtube-dl/releases{/id}"", ""statuses_url"": ""https://api.github.com/repos/rg3/youtube-dl/statuses/{sha}"", ""assignees_url"": ""https://api.github.com/repos/rg3/youtube-dl/assig"&amp;"nees{/user}"", ""downloads_url"": ""https://api.github.com/repos/rg3/youtube-dl/downloads"", ""has_downloads"": true, ""languages_url"": ""https://api.github.com/repos/rg3/youtube-dl/languages"", ""default_branch"": ""master"", ""milestones_url"": ""https"&amp;"://api.github.com/repos/rg3/youtube-dl/milestones{/number}"", ""stargazers_url"": ""https://api.github.com/repos/rg3/youtube-dl/stargazers"", ""watchers_count"": 45187, ""deployments_url"": ""https://api.github.com/repos/rg3/youtube-dl/deployments"", ""gi"&amp;"t_commits_url"": ""https://api.github.com/repos/rg3/youtube-dl/git/commits{/sha}"", ""subscribers_url"": ""https://api.github.com/repos/rg3/youtube-dl/subscribers"", ""contributors_url"": ""https://api.github.com/repos/rg3/youtube-dl/contributors"", ""iss"&amp;"ue_events_url"": ""https://api.github.com/repos/rg3/youtube-dl/issues/events{/number}"", ""stargazers_count"": 45187, ""subscription_url"": ""https://api.github.com/repos/rg3/youtube-dl/subscription"", ""collaborators_url"": ""https://api.github.com/repos"&amp;"/rg3/youtube-dl/collaborators{/collaborator}"", ""issue_comment_url"": ""https://api.github.com/repos/rg3/youtube-dl/issues/comments{/number}"", ""notifications_url"": ""https://api.github.com/repos/rg3/youtube-dl/notifications{?since,all,participating}"""&amp;", ""open_issues_count"": 2583}")</f>
        <v>{"id": 1039520, "url": "https://api.github.com/repos/rg3/youtube-dl", "fork": false, "name": "youtube-dl", "size": 53560, "forks": 7869, "owner": {"id": 53487, "url": "https://api.github.com/users/rg3", "type": "User", "login": "rg3", "node_id": "MDQ6VXNlcjUzNDg3", "html_url": "https://github.com/rg3", "gists_url": "https://api.github.com/users/rg3/gists{/gist_id}", "repos_url": "https://api.github.com/users/rg3/repos", "avatar_url": "https://avatars0.githubusercontent.com/u/53487?v=4", "events_url": "https://api.github.com/users/rg3/events{/privacy}", "site_admin": false, "gravatar_id": "", "starred_url": "https://api.github.com/users/rg3/starred{/owner}{/repo}", "followers_url": "https://api.github.com/users/rg3/followers", "following_url": "https://api.github.com/users/rg3/following{/other_user}", "organizations_url": "https://api.github.com/users/rg3/orgs", "subscriptions_url": "https://api.github.com/users/rg3/subscriptions", "received_events_url": "https://api.github.com/users/rg3/received_events"}, "score": 1.0, "topics": [], "git_url": "git://github.com/rg3/youtube-dl.git", "license": {"key": "unlicense", "url": "https://api.github.com/licenses/unlicense", "name": "The Unlicense", "node_id": "MDc6TGljZW5zZTE1", "spdx_id": "Unlicense"}, "node_id": "MDEwOlJlcG9zaXRvcnkxMDM5NTIw", "private": false, "ssh_url": "git@github.com:rg3/youtube-dl.git", "svn_url": "https://github.com/rg3/youtube-dl", "archived": false, "has_wiki": false, "homepage": "http://rg3.github.io/youtube-dl/", "html_url": "https://github.com/rg3/youtube-dl", "keys_url": "https://api.github.com/repos/rg3/youtube-dl/keys{/key_id}", "language": "Python", "tags_url": "https://api.github.com/repos/rg3/youtube-dl/tags", "watchers": 45187, "blobs_url": "https://api.github.com/repos/rg3/youtube-dl/git/blobs{/sha}", "clone_url": "https://github.com/rg3/youtube-dl.git", "forks_url": "https://api.github.com/repos/rg3/youtube-dl/forks", "full_name": "rg3/youtube-dl", "has_pages": true, "hooks_url": "https://api.github.com/repos/rg3/youtube-dl/hooks", "pulls_url": "https://api.github.com/repos/rg3/youtube-dl/pulls{/number}", "pushed_at": "2018-12-24T23:04:55Z", "teams_url": "https://api.github.com/repos/rg3/youtube-dl/teams", "trees_url": "https://api.github.com/repos/rg3/youtube-dl/git/trees{/sha}", "created_at": "2010-10-31T14:35:07Z", "events_url": "https://api.github.com/repos/rg3/youtube-dl/events", "has_issues": true, "issues_url": "https://api.github.com/repos/rg3/youtube-dl/issues{/number}", "labels_url": "https://api.github.com/repos/rg3/youtube-dl/labels{/name}", "merges_url": "https://api.github.com/repos/rg3/youtube-dl/merges", "mirror_url": null, "updated_at": "2018-12-25T01:59:35Z", "archive_url": "https://api.github.com/repos/rg3/youtube-dl/{archive_format}{/ref}", "commits_url": "https://api.github.com/repos/rg3/youtube-dl/commits{/sha}", "compare_url": "https://api.github.com/repos/rg3/youtube-dl/compare/{base}...{head}", "description": "Command-line program to download videos from YouTube.com and other video sites", "forks_count": 7869, "open_issues": 2583, "permissions": {"pull": true, "push": false, "admin": false}, "branches_url": "https://api.github.com/repos/rg3/youtube-dl/branches{/branch}", "comments_url": "https://api.github.com/repos/rg3/youtube-dl/comments{/number}", "contents_url": "https://api.github.com/repos/rg3/youtube-dl/contents/{+path}", "git_refs_url": "https://api.github.com/repos/rg3/youtube-dl/git/refs{/sha}", "git_tags_url": "https://api.github.com/repos/rg3/youtube-dl/git/tags{/sha}", "has_projects": true, "releases_url": "https://api.github.com/repos/rg3/youtube-dl/releases{/id}", "statuses_url": "https://api.github.com/repos/rg3/youtube-dl/statuses/{sha}", "assignees_url": "https://api.github.com/repos/rg3/youtube-dl/assignees{/user}", "downloads_url": "https://api.github.com/repos/rg3/youtube-dl/downloads", "has_downloads": true, "languages_url": "https://api.github.com/repos/rg3/youtube-dl/languages", "default_branch": "master", "milestones_url": "https://api.github.com/repos/rg3/youtube-dl/milestones{/number}", "stargazers_url": "https://api.github.com/repos/rg3/youtube-dl/stargazers", "watchers_count": 45187, "deployments_url": "https://api.github.com/repos/rg3/youtube-dl/deployments", "git_commits_url": "https://api.github.com/repos/rg3/youtube-dl/git/commits{/sha}", "subscribers_url": "https://api.github.com/repos/rg3/youtube-dl/subscribers", "contributors_url": "https://api.github.com/repos/rg3/youtube-dl/contributors", "issue_events_url": "https://api.github.com/repos/rg3/youtube-dl/issues/events{/number}", "stargazers_count": 45187, "subscription_url": "https://api.github.com/repos/rg3/youtube-dl/subscription", "collaborators_url": "https://api.github.com/repos/rg3/youtube-dl/collaborators{/collaborator}", "issue_comment_url": "https://api.github.com/repos/rg3/youtube-dl/issues/comments{/number}", "notifications_url": "https://api.github.com/repos/rg3/youtube-dl/notifications{?since,all,participating}", "open_issues_count": 2583}</v>
      </c>
      <c r="T47" s="12">
        <f>IFERROR(__xludf.DUMMYFUNCTION("""COMPUTED_VALUE"""),0.99650476)</f>
        <v>0.99650476</v>
      </c>
      <c r="U47" s="12">
        <f>IFERROR(__xludf.DUMMYFUNCTION("""COMPUTED_VALUE"""),5284961.0)</f>
        <v>5284961</v>
      </c>
      <c r="V47" s="14">
        <f>IFERROR(__xludf.DUMMYFUNCTION("""COMPUTED_VALUE"""),97.0)</f>
        <v>97</v>
      </c>
      <c r="W47" s="15" t="str">
        <f>IFERROR(__xludf.DUMMYFUNCTION("IFERROR(REGEXEXTRACT(J47,""""""ratio"""": (\d+.\d+), """"language"""": """"Python""""""),"""")"),"0.996504759688794")</f>
        <v>0.996504759688794</v>
      </c>
      <c r="X47" s="15" t="str">
        <f t="shared" si="1"/>
        <v/>
      </c>
    </row>
    <row r="48">
      <c r="A48" s="10"/>
      <c r="B48" s="10"/>
      <c r="C48" s="10"/>
      <c r="D48" s="10"/>
      <c r="E48" s="10"/>
      <c r="F48" s="10"/>
      <c r="G48" s="10"/>
      <c r="H48" s="12"/>
      <c r="I48" s="12"/>
      <c r="J48" s="10"/>
      <c r="K48" s="10"/>
      <c r="L48" s="10"/>
      <c r="M48" s="10"/>
      <c r="N48" s="12"/>
      <c r="O48" s="12"/>
      <c r="P48" s="12"/>
      <c r="Q48" s="12"/>
      <c r="R48" s="12"/>
      <c r="S48" s="12"/>
      <c r="T48" s="12"/>
      <c r="U48" s="12"/>
      <c r="V48" s="14"/>
      <c r="W48" s="15" t="str">
        <f>IFERROR(__xludf.DUMMYFUNCTION("IFERROR(REGEXEXTRACT(J48,""""""ratio"""": (\d+.\d+), """"language"""": """"Python""""""),"""")"),"")</f>
        <v/>
      </c>
      <c r="X48" s="15" t="str">
        <f t="shared" si="1"/>
        <v/>
      </c>
    </row>
    <row r="49">
      <c r="A49" s="10"/>
      <c r="B49" s="10"/>
      <c r="C49" s="10"/>
      <c r="D49" s="10"/>
      <c r="E49" s="10"/>
      <c r="F49" s="10"/>
      <c r="G49" s="10"/>
      <c r="H49" s="12"/>
      <c r="I49" s="12"/>
      <c r="J49" s="10"/>
      <c r="K49" s="10"/>
      <c r="L49" s="10"/>
      <c r="M49" s="10"/>
      <c r="N49" s="12"/>
      <c r="O49" s="12"/>
      <c r="P49" s="12"/>
      <c r="Q49" s="12"/>
      <c r="R49" s="12"/>
      <c r="S49" s="12"/>
      <c r="T49" s="12"/>
      <c r="U49" s="12"/>
      <c r="V49" s="14"/>
      <c r="W49" s="15" t="str">
        <f>IFERROR(__xludf.DUMMYFUNCTION("IFERROR(REGEXEXTRACT(J49,""""""ratio"""": (\d+.\d+), """"language"""": """"Python""""""),"""")"),"")</f>
        <v/>
      </c>
      <c r="X49" s="15" t="str">
        <f t="shared" si="1"/>
        <v/>
      </c>
    </row>
    <row r="50">
      <c r="A50" s="10"/>
      <c r="B50" s="10"/>
      <c r="C50" s="10"/>
      <c r="D50" s="10"/>
      <c r="E50" s="10"/>
      <c r="F50" s="10"/>
      <c r="G50" s="10"/>
      <c r="H50" s="12"/>
      <c r="I50" s="12"/>
      <c r="J50" s="10"/>
      <c r="K50" s="10"/>
      <c r="L50" s="10"/>
      <c r="M50" s="10"/>
      <c r="N50" s="12"/>
      <c r="O50" s="12"/>
      <c r="P50" s="12"/>
      <c r="Q50" s="12"/>
      <c r="R50" s="12"/>
      <c r="S50" s="12"/>
      <c r="T50" s="12"/>
      <c r="U50" s="12"/>
      <c r="V50" s="14"/>
      <c r="W50" s="15" t="str">
        <f>IFERROR(__xludf.DUMMYFUNCTION("IFERROR(REGEXEXTRACT(J50,""""""ratio"""": (\d+.\d+), """"language"""": """"Python""""""),"""")"),"")</f>
        <v/>
      </c>
      <c r="X50" s="15" t="str">
        <f t="shared" si="1"/>
        <v/>
      </c>
    </row>
    <row r="51">
      <c r="A51" s="10"/>
      <c r="B51" s="10"/>
      <c r="C51" s="10"/>
      <c r="D51" s="10"/>
      <c r="E51" s="10"/>
      <c r="F51" s="10"/>
      <c r="G51" s="10"/>
      <c r="H51" s="12"/>
      <c r="I51" s="12"/>
      <c r="J51" s="10"/>
      <c r="K51" s="10"/>
      <c r="L51" s="10"/>
      <c r="M51" s="10"/>
      <c r="N51" s="12"/>
      <c r="O51" s="12"/>
      <c r="P51" s="12"/>
      <c r="Q51" s="12"/>
      <c r="R51" s="12"/>
      <c r="S51" s="12"/>
      <c r="T51" s="12"/>
      <c r="U51" s="12"/>
      <c r="V51" s="14"/>
      <c r="W51" s="15" t="str">
        <f>IFERROR(__xludf.DUMMYFUNCTION("IFERROR(REGEXEXTRACT(J51,""""""ratio"""": (\d+.\d+), """"language"""": """"Python""""""),"""")"),"")</f>
        <v/>
      </c>
      <c r="X51" s="15" t="str">
        <f t="shared" si="1"/>
        <v/>
      </c>
    </row>
    <row r="52">
      <c r="A52" s="10"/>
      <c r="B52" s="10"/>
      <c r="C52" s="10"/>
      <c r="D52" s="10"/>
      <c r="E52" s="10"/>
      <c r="F52" s="10"/>
      <c r="G52" s="10"/>
      <c r="H52" s="12"/>
      <c r="I52" s="12"/>
      <c r="J52" s="10"/>
      <c r="K52" s="10"/>
      <c r="L52" s="10"/>
      <c r="M52" s="10"/>
      <c r="N52" s="12"/>
      <c r="O52" s="12"/>
      <c r="P52" s="12"/>
      <c r="Q52" s="12"/>
      <c r="R52" s="12"/>
      <c r="S52" s="12"/>
      <c r="T52" s="12"/>
      <c r="U52" s="12"/>
      <c r="V52" s="14"/>
      <c r="W52" s="15" t="str">
        <f>IFERROR(__xludf.DUMMYFUNCTION("IFERROR(REGEXEXTRACT(J52,""""""ratio"""": (\d+.\d+), """"language"""": """"Python""""""),"""")"),"")</f>
        <v/>
      </c>
      <c r="X52" s="15" t="str">
        <f t="shared" si="1"/>
        <v/>
      </c>
    </row>
    <row r="53">
      <c r="A53" s="10"/>
      <c r="B53" s="10"/>
      <c r="C53" s="10"/>
      <c r="D53" s="10"/>
      <c r="E53" s="10"/>
      <c r="F53" s="10"/>
      <c r="G53" s="10"/>
      <c r="H53" s="12"/>
      <c r="I53" s="12"/>
      <c r="J53" s="10"/>
      <c r="K53" s="10"/>
      <c r="L53" s="10"/>
      <c r="M53" s="10"/>
      <c r="N53" s="12"/>
      <c r="O53" s="12"/>
      <c r="P53" s="12"/>
      <c r="Q53" s="12"/>
      <c r="R53" s="12"/>
      <c r="S53" s="12"/>
      <c r="T53" s="12"/>
      <c r="U53" s="12"/>
      <c r="V53" s="14"/>
      <c r="W53" s="15" t="str">
        <f>IFERROR(__xludf.DUMMYFUNCTION("IFERROR(REGEXEXTRACT(J53,""""""ratio"""": (\d+.\d+), """"language"""": """"Python""""""),"""")"),"")</f>
        <v/>
      </c>
      <c r="X53" s="15" t="str">
        <f t="shared" si="1"/>
        <v/>
      </c>
    </row>
    <row r="54">
      <c r="A54" s="10"/>
      <c r="B54" s="10"/>
      <c r="C54" s="10"/>
      <c r="D54" s="10"/>
      <c r="E54" s="10"/>
      <c r="F54" s="10"/>
      <c r="G54" s="10"/>
      <c r="H54" s="12"/>
      <c r="I54" s="12"/>
      <c r="J54" s="10"/>
      <c r="K54" s="10"/>
      <c r="L54" s="10"/>
      <c r="M54" s="10"/>
      <c r="N54" s="12"/>
      <c r="O54" s="12"/>
      <c r="P54" s="12"/>
      <c r="Q54" s="12"/>
      <c r="R54" s="12"/>
      <c r="S54" s="12"/>
      <c r="T54" s="12"/>
      <c r="U54" s="12"/>
      <c r="V54" s="14"/>
      <c r="W54" s="15" t="str">
        <f>IFERROR(__xludf.DUMMYFUNCTION("IFERROR(REGEXEXTRACT(J54,""""""ratio"""": (\d+.\d+), """"language"""": """"Python""""""),"""")"),"")</f>
        <v/>
      </c>
      <c r="X54" s="15" t="str">
        <f t="shared" si="1"/>
        <v/>
      </c>
    </row>
    <row r="55">
      <c r="A55" s="10"/>
      <c r="B55" s="10"/>
      <c r="C55" s="10"/>
      <c r="D55" s="10"/>
      <c r="E55" s="10"/>
      <c r="F55" s="10"/>
      <c r="G55" s="10"/>
      <c r="H55" s="12"/>
      <c r="I55" s="12"/>
      <c r="J55" s="10"/>
      <c r="K55" s="10"/>
      <c r="L55" s="10"/>
      <c r="M55" s="10"/>
      <c r="N55" s="12"/>
      <c r="O55" s="12"/>
      <c r="P55" s="12"/>
      <c r="Q55" s="12"/>
      <c r="R55" s="12"/>
      <c r="S55" s="12"/>
      <c r="T55" s="12"/>
      <c r="U55" s="12"/>
      <c r="V55" s="14"/>
      <c r="W55" s="15" t="str">
        <f>IFERROR(__xludf.DUMMYFUNCTION("IFERROR(REGEXEXTRACT(J55,""""""ratio"""": (\d+.\d+), """"language"""": """"Python""""""),"""")"),"")</f>
        <v/>
      </c>
      <c r="X55" s="15" t="str">
        <f t="shared" si="1"/>
        <v/>
      </c>
    </row>
    <row r="56">
      <c r="A56" s="10"/>
      <c r="B56" s="10"/>
      <c r="C56" s="10"/>
      <c r="D56" s="10"/>
      <c r="E56" s="10"/>
      <c r="F56" s="10"/>
      <c r="G56" s="10"/>
      <c r="H56" s="12"/>
      <c r="I56" s="12"/>
      <c r="J56" s="10"/>
      <c r="K56" s="10"/>
      <c r="L56" s="10"/>
      <c r="M56" s="10"/>
      <c r="N56" s="12"/>
      <c r="O56" s="12"/>
      <c r="P56" s="12"/>
      <c r="Q56" s="12"/>
      <c r="R56" s="12"/>
      <c r="S56" s="12"/>
      <c r="T56" s="12"/>
      <c r="U56" s="12"/>
      <c r="V56" s="14"/>
      <c r="W56" s="15" t="str">
        <f>IFERROR(__xludf.DUMMYFUNCTION("IFERROR(REGEXEXTRACT(J56,""""""ratio"""": (\d+.\d+), """"language"""": """"Python""""""),"""")"),"")</f>
        <v/>
      </c>
      <c r="X56" s="15" t="str">
        <f t="shared" si="1"/>
        <v/>
      </c>
    </row>
    <row r="57">
      <c r="A57" s="10"/>
      <c r="B57" s="10"/>
      <c r="C57" s="10"/>
      <c r="D57" s="10"/>
      <c r="E57" s="10"/>
      <c r="F57" s="10"/>
      <c r="G57" s="10"/>
      <c r="H57" s="12"/>
      <c r="I57" s="12"/>
      <c r="J57" s="10"/>
      <c r="K57" s="10"/>
      <c r="L57" s="10"/>
      <c r="M57" s="10"/>
      <c r="N57" s="12"/>
      <c r="O57" s="12"/>
      <c r="P57" s="12"/>
      <c r="Q57" s="12"/>
      <c r="R57" s="12"/>
      <c r="S57" s="12"/>
      <c r="T57" s="12"/>
      <c r="U57" s="12"/>
      <c r="V57" s="14"/>
      <c r="W57" s="15" t="str">
        <f>IFERROR(__xludf.DUMMYFUNCTION("IFERROR(REGEXEXTRACT(J57,""""""ratio"""": (\d+.\d+), """"language"""": """"Python""""""),"""")"),"")</f>
        <v/>
      </c>
      <c r="X57" s="15" t="str">
        <f t="shared" si="1"/>
        <v/>
      </c>
    </row>
    <row r="58">
      <c r="A58" s="10"/>
      <c r="B58" s="10"/>
      <c r="C58" s="10"/>
      <c r="D58" s="10"/>
      <c r="E58" s="10"/>
      <c r="F58" s="10"/>
      <c r="G58" s="10"/>
      <c r="H58" s="12"/>
      <c r="I58" s="12"/>
      <c r="J58" s="10"/>
      <c r="K58" s="10"/>
      <c r="L58" s="10"/>
      <c r="M58" s="10"/>
      <c r="N58" s="12"/>
      <c r="O58" s="12"/>
      <c r="P58" s="12"/>
      <c r="Q58" s="12"/>
      <c r="R58" s="12"/>
      <c r="S58" s="12"/>
      <c r="T58" s="12"/>
      <c r="U58" s="12"/>
      <c r="V58" s="14"/>
      <c r="W58" s="15" t="str">
        <f>IFERROR(__xludf.DUMMYFUNCTION("IFERROR(REGEXEXTRACT(J58,""""""ratio"""": (\d+.\d+), """"language"""": """"Python""""""),"""")"),"")</f>
        <v/>
      </c>
      <c r="X58" s="15" t="str">
        <f t="shared" si="1"/>
        <v/>
      </c>
    </row>
    <row r="59">
      <c r="A59" s="10"/>
      <c r="B59" s="10"/>
      <c r="C59" s="10"/>
      <c r="D59" s="10"/>
      <c r="E59" s="10"/>
      <c r="F59" s="10"/>
      <c r="G59" s="10"/>
      <c r="H59" s="12"/>
      <c r="I59" s="12"/>
      <c r="J59" s="10"/>
      <c r="K59" s="10"/>
      <c r="L59" s="10"/>
      <c r="M59" s="10"/>
      <c r="N59" s="12"/>
      <c r="O59" s="12"/>
      <c r="P59" s="12"/>
      <c r="Q59" s="12"/>
      <c r="R59" s="12"/>
      <c r="S59" s="12"/>
      <c r="T59" s="12"/>
      <c r="U59" s="12"/>
      <c r="V59" s="14"/>
      <c r="W59" s="15" t="str">
        <f>IFERROR(__xludf.DUMMYFUNCTION("IFERROR(REGEXEXTRACT(J59,""""""ratio"""": (\d+.\d+), """"language"""": """"Python""""""),"""")"),"")</f>
        <v/>
      </c>
      <c r="X59" s="15" t="str">
        <f t="shared" si="1"/>
        <v/>
      </c>
    </row>
    <row r="60">
      <c r="A60" s="10"/>
      <c r="B60" s="10"/>
      <c r="C60" s="10"/>
      <c r="D60" s="10"/>
      <c r="E60" s="10"/>
      <c r="F60" s="10"/>
      <c r="G60" s="10"/>
      <c r="H60" s="12"/>
      <c r="I60" s="12"/>
      <c r="J60" s="10"/>
      <c r="K60" s="10"/>
      <c r="L60" s="10"/>
      <c r="M60" s="10"/>
      <c r="N60" s="12"/>
      <c r="O60" s="12"/>
      <c r="P60" s="12"/>
      <c r="Q60" s="12"/>
      <c r="R60" s="12"/>
      <c r="S60" s="12"/>
      <c r="T60" s="12"/>
      <c r="U60" s="12"/>
      <c r="V60" s="14"/>
      <c r="W60" s="15" t="str">
        <f>IFERROR(__xludf.DUMMYFUNCTION("IFERROR(REGEXEXTRACT(J60,""""""ratio"""": (\d+.\d+), """"language"""": """"Python""""""),"""")"),"")</f>
        <v/>
      </c>
      <c r="X60" s="15" t="str">
        <f t="shared" si="1"/>
        <v/>
      </c>
    </row>
    <row r="61">
      <c r="A61" s="10"/>
      <c r="B61" s="10"/>
      <c r="C61" s="10"/>
      <c r="D61" s="10"/>
      <c r="E61" s="10"/>
      <c r="F61" s="10"/>
      <c r="G61" s="10"/>
      <c r="H61" s="12"/>
      <c r="I61" s="12"/>
      <c r="J61" s="10"/>
      <c r="K61" s="10"/>
      <c r="L61" s="10"/>
      <c r="M61" s="10"/>
      <c r="N61" s="12"/>
      <c r="O61" s="12"/>
      <c r="P61" s="12"/>
      <c r="Q61" s="12"/>
      <c r="R61" s="12"/>
      <c r="S61" s="12"/>
      <c r="T61" s="12"/>
      <c r="U61" s="12"/>
      <c r="V61" s="14"/>
      <c r="W61" s="15" t="str">
        <f>IFERROR(__xludf.DUMMYFUNCTION("IFERROR(REGEXEXTRACT(J61,""""""ratio"""": (\d+.\d+), """"language"""": """"Python""""""),"""")"),"")</f>
        <v/>
      </c>
      <c r="X61" s="15" t="str">
        <f t="shared" si="1"/>
        <v/>
      </c>
    </row>
    <row r="62">
      <c r="A62" s="10"/>
      <c r="B62" s="10"/>
      <c r="C62" s="10"/>
      <c r="D62" s="10"/>
      <c r="E62" s="10"/>
      <c r="F62" s="10"/>
      <c r="G62" s="10"/>
      <c r="H62" s="12"/>
      <c r="I62" s="12"/>
      <c r="J62" s="10"/>
      <c r="K62" s="10"/>
      <c r="L62" s="10"/>
      <c r="M62" s="10"/>
      <c r="N62" s="12"/>
      <c r="O62" s="12"/>
      <c r="P62" s="12"/>
      <c r="Q62" s="12"/>
      <c r="R62" s="12"/>
      <c r="S62" s="12"/>
      <c r="T62" s="12"/>
      <c r="U62" s="12"/>
      <c r="V62" s="14"/>
      <c r="W62" s="15" t="str">
        <f>IFERROR(__xludf.DUMMYFUNCTION("IFERROR(REGEXEXTRACT(J62,""""""ratio"""": (\d+.\d+), """"language"""": """"Python""""""),"""")"),"")</f>
        <v/>
      </c>
      <c r="X62" s="15" t="str">
        <f t="shared" si="1"/>
        <v/>
      </c>
    </row>
    <row r="63">
      <c r="A63" s="10"/>
      <c r="B63" s="10"/>
      <c r="C63" s="10"/>
      <c r="D63" s="10"/>
      <c r="E63" s="10"/>
      <c r="F63" s="10"/>
      <c r="G63" s="10"/>
      <c r="H63" s="12"/>
      <c r="I63" s="12"/>
      <c r="J63" s="10"/>
      <c r="K63" s="10"/>
      <c r="L63" s="10"/>
      <c r="M63" s="10"/>
      <c r="N63" s="12"/>
      <c r="O63" s="12"/>
      <c r="P63" s="12"/>
      <c r="Q63" s="12"/>
      <c r="R63" s="12"/>
      <c r="S63" s="12"/>
      <c r="T63" s="12"/>
      <c r="U63" s="12"/>
      <c r="V63" s="14"/>
      <c r="W63" s="15" t="str">
        <f>IFERROR(__xludf.DUMMYFUNCTION("IFERROR(REGEXEXTRACT(J63,""""""ratio"""": (\d+.\d+), """"language"""": """"Python""""""),"""")"),"")</f>
        <v/>
      </c>
      <c r="X63" s="15" t="str">
        <f t="shared" si="1"/>
        <v/>
      </c>
    </row>
    <row r="64">
      <c r="A64" s="10"/>
      <c r="B64" s="10"/>
      <c r="C64" s="10"/>
      <c r="D64" s="10"/>
      <c r="E64" s="10"/>
      <c r="F64" s="10"/>
      <c r="G64" s="10"/>
      <c r="H64" s="12"/>
      <c r="I64" s="12"/>
      <c r="J64" s="10"/>
      <c r="K64" s="10"/>
      <c r="L64" s="10"/>
      <c r="M64" s="10"/>
      <c r="N64" s="12"/>
      <c r="O64" s="12"/>
      <c r="P64" s="12"/>
      <c r="Q64" s="12"/>
      <c r="R64" s="12"/>
      <c r="S64" s="12"/>
      <c r="T64" s="12"/>
      <c r="U64" s="12"/>
      <c r="V64" s="14"/>
      <c r="W64" s="15" t="str">
        <f>IFERROR(__xludf.DUMMYFUNCTION("IFERROR(REGEXEXTRACT(J64,""""""ratio"""": (\d+.\d+), """"language"""": """"Python""""""),"""")"),"")</f>
        <v/>
      </c>
      <c r="X64" s="15" t="str">
        <f t="shared" si="1"/>
        <v/>
      </c>
    </row>
    <row r="65">
      <c r="A65" s="10"/>
      <c r="B65" s="10"/>
      <c r="C65" s="10"/>
      <c r="D65" s="10"/>
      <c r="E65" s="10"/>
      <c r="F65" s="10"/>
      <c r="G65" s="10"/>
      <c r="H65" s="12"/>
      <c r="I65" s="12"/>
      <c r="J65" s="10"/>
      <c r="K65" s="10"/>
      <c r="L65" s="10"/>
      <c r="M65" s="10"/>
      <c r="N65" s="12"/>
      <c r="O65" s="12"/>
      <c r="P65" s="12"/>
      <c r="Q65" s="12"/>
      <c r="R65" s="12"/>
      <c r="S65" s="12"/>
      <c r="T65" s="12"/>
      <c r="U65" s="12"/>
      <c r="V65" s="14"/>
      <c r="W65" s="15" t="str">
        <f>IFERROR(__xludf.DUMMYFUNCTION("IFERROR(REGEXEXTRACT(J65,""""""ratio"""": (\d+.\d+), """"language"""": """"Python""""""),"""")"),"")</f>
        <v/>
      </c>
      <c r="X65" s="15" t="str">
        <f t="shared" si="1"/>
        <v/>
      </c>
    </row>
    <row r="66">
      <c r="A66" s="10"/>
      <c r="B66" s="10"/>
      <c r="C66" s="10"/>
      <c r="D66" s="10"/>
      <c r="E66" s="10"/>
      <c r="F66" s="10"/>
      <c r="G66" s="10"/>
      <c r="H66" s="12"/>
      <c r="I66" s="12"/>
      <c r="J66" s="10"/>
      <c r="K66" s="10"/>
      <c r="L66" s="10"/>
      <c r="M66" s="10"/>
      <c r="N66" s="12"/>
      <c r="O66" s="12"/>
      <c r="P66" s="12"/>
      <c r="Q66" s="12"/>
      <c r="R66" s="12"/>
      <c r="S66" s="12"/>
      <c r="T66" s="12"/>
      <c r="U66" s="12"/>
      <c r="V66" s="14"/>
      <c r="W66" s="15" t="str">
        <f>IFERROR(__xludf.DUMMYFUNCTION("IFERROR(REGEXEXTRACT(J66,""""""ratio"""": (\d+.\d+), """"language"""": """"Python""""""),"""")"),"")</f>
        <v/>
      </c>
      <c r="X66" s="15" t="str">
        <f t="shared" si="1"/>
        <v/>
      </c>
    </row>
    <row r="67">
      <c r="A67" s="10"/>
      <c r="B67" s="10"/>
      <c r="C67" s="10"/>
      <c r="D67" s="10"/>
      <c r="E67" s="10"/>
      <c r="F67" s="10"/>
      <c r="G67" s="10"/>
      <c r="H67" s="12"/>
      <c r="I67" s="12"/>
      <c r="J67" s="10"/>
      <c r="K67" s="10"/>
      <c r="L67" s="10"/>
      <c r="M67" s="10"/>
      <c r="N67" s="12"/>
      <c r="O67" s="12"/>
      <c r="P67" s="12"/>
      <c r="Q67" s="12"/>
      <c r="R67" s="12"/>
      <c r="S67" s="12"/>
      <c r="T67" s="12"/>
      <c r="U67" s="12"/>
      <c r="V67" s="14"/>
      <c r="W67" s="15" t="str">
        <f>IFERROR(__xludf.DUMMYFUNCTION("IFERROR(REGEXEXTRACT(J67,""""""ratio"""": (\d+.\d+), """"language"""": """"Python""""""),"""")"),"")</f>
        <v/>
      </c>
      <c r="X67" s="15" t="str">
        <f t="shared" si="1"/>
        <v/>
      </c>
    </row>
    <row r="68">
      <c r="A68" s="10"/>
      <c r="B68" s="10"/>
      <c r="C68" s="10"/>
      <c r="D68" s="10"/>
      <c r="E68" s="10"/>
      <c r="F68" s="10"/>
      <c r="G68" s="10"/>
      <c r="H68" s="12"/>
      <c r="I68" s="12"/>
      <c r="J68" s="10"/>
      <c r="K68" s="10"/>
      <c r="L68" s="10"/>
      <c r="M68" s="10"/>
      <c r="N68" s="12"/>
      <c r="O68" s="12"/>
      <c r="P68" s="12"/>
      <c r="Q68" s="12"/>
      <c r="R68" s="12"/>
      <c r="S68" s="12"/>
      <c r="T68" s="12"/>
      <c r="U68" s="12"/>
      <c r="V68" s="14"/>
      <c r="W68" s="15" t="str">
        <f>IFERROR(__xludf.DUMMYFUNCTION("IFERROR(REGEXEXTRACT(J68,""""""ratio"""": (\d+.\d+), """"language"""": """"Python""""""),"""")"),"")</f>
        <v/>
      </c>
      <c r="X68" s="15" t="str">
        <f t="shared" si="1"/>
        <v/>
      </c>
    </row>
    <row r="69">
      <c r="A69" s="10"/>
      <c r="B69" s="10"/>
      <c r="C69" s="10"/>
      <c r="D69" s="10"/>
      <c r="E69" s="10"/>
      <c r="F69" s="10"/>
      <c r="G69" s="10"/>
      <c r="H69" s="12"/>
      <c r="I69" s="12"/>
      <c r="J69" s="10"/>
      <c r="K69" s="10"/>
      <c r="L69" s="10"/>
      <c r="M69" s="10"/>
      <c r="N69" s="12"/>
      <c r="O69" s="12"/>
      <c r="P69" s="12"/>
      <c r="Q69" s="12"/>
      <c r="R69" s="12"/>
      <c r="S69" s="12"/>
      <c r="T69" s="12"/>
      <c r="U69" s="12"/>
      <c r="V69" s="14"/>
      <c r="W69" s="15" t="str">
        <f>IFERROR(__xludf.DUMMYFUNCTION("IFERROR(REGEXEXTRACT(J69,""""""ratio"""": (\d+.\d+), """"language"""": """"Python""""""),"""")"),"")</f>
        <v/>
      </c>
      <c r="X69" s="15" t="str">
        <f t="shared" si="1"/>
        <v/>
      </c>
    </row>
    <row r="70">
      <c r="A70" s="10"/>
      <c r="B70" s="10"/>
      <c r="C70" s="10"/>
      <c r="D70" s="10"/>
      <c r="E70" s="10"/>
      <c r="F70" s="10"/>
      <c r="G70" s="10"/>
      <c r="H70" s="12"/>
      <c r="I70" s="12"/>
      <c r="J70" s="10"/>
      <c r="K70" s="10"/>
      <c r="L70" s="10"/>
      <c r="M70" s="10"/>
      <c r="N70" s="12"/>
      <c r="O70" s="12"/>
      <c r="P70" s="12"/>
      <c r="Q70" s="12"/>
      <c r="R70" s="12"/>
      <c r="S70" s="12"/>
      <c r="T70" s="12"/>
      <c r="U70" s="12"/>
      <c r="V70" s="14"/>
      <c r="W70" s="15" t="str">
        <f>IFERROR(__xludf.DUMMYFUNCTION("IFERROR(REGEXEXTRACT(J70,""""""ratio"""": (\d+.\d+), """"language"""": """"Python""""""),"""")"),"")</f>
        <v/>
      </c>
      <c r="X70" s="15" t="str">
        <f t="shared" si="1"/>
        <v/>
      </c>
    </row>
    <row r="71">
      <c r="A71" s="10"/>
      <c r="B71" s="10"/>
      <c r="C71" s="10"/>
      <c r="D71" s="10"/>
      <c r="E71" s="10"/>
      <c r="F71" s="10"/>
      <c r="G71" s="10"/>
      <c r="H71" s="12"/>
      <c r="I71" s="12"/>
      <c r="J71" s="10"/>
      <c r="K71" s="10"/>
      <c r="L71" s="10"/>
      <c r="M71" s="10"/>
      <c r="N71" s="12"/>
      <c r="O71" s="12"/>
      <c r="P71" s="12"/>
      <c r="Q71" s="12"/>
      <c r="R71" s="12"/>
      <c r="S71" s="12"/>
      <c r="T71" s="12"/>
      <c r="U71" s="12"/>
      <c r="V71" s="14"/>
      <c r="W71" s="15" t="str">
        <f>IFERROR(__xludf.DUMMYFUNCTION("IFERROR(REGEXEXTRACT(J71,""""""ratio"""": (\d+.\d+), """"language"""": """"Python""""""),"""")"),"")</f>
        <v/>
      </c>
      <c r="X71" s="15" t="str">
        <f t="shared" si="1"/>
        <v/>
      </c>
    </row>
    <row r="72">
      <c r="A72" s="10"/>
      <c r="B72" s="10"/>
      <c r="C72" s="10"/>
      <c r="D72" s="10"/>
      <c r="E72" s="10"/>
      <c r="F72" s="10"/>
      <c r="G72" s="10"/>
      <c r="H72" s="12"/>
      <c r="I72" s="12"/>
      <c r="J72" s="10"/>
      <c r="K72" s="10"/>
      <c r="L72" s="10"/>
      <c r="M72" s="10"/>
      <c r="N72" s="12"/>
      <c r="O72" s="12"/>
      <c r="P72" s="12"/>
      <c r="Q72" s="12"/>
      <c r="R72" s="12"/>
      <c r="S72" s="12"/>
      <c r="T72" s="12"/>
      <c r="U72" s="12"/>
      <c r="V72" s="14"/>
      <c r="W72" s="15" t="str">
        <f>IFERROR(__xludf.DUMMYFUNCTION("IFERROR(REGEXEXTRACT(J72,""""""ratio"""": (\d+.\d+), """"language"""": """"Python""""""),"""")"),"")</f>
        <v/>
      </c>
      <c r="X72" s="15" t="str">
        <f t="shared" si="1"/>
        <v/>
      </c>
    </row>
    <row r="73">
      <c r="A73" s="10"/>
      <c r="B73" s="10"/>
      <c r="C73" s="10"/>
      <c r="D73" s="10"/>
      <c r="E73" s="10"/>
      <c r="F73" s="10"/>
      <c r="G73" s="10"/>
      <c r="H73" s="12"/>
      <c r="I73" s="12"/>
      <c r="J73" s="10"/>
      <c r="K73" s="10"/>
      <c r="L73" s="10"/>
      <c r="M73" s="10"/>
      <c r="N73" s="12"/>
      <c r="O73" s="12"/>
      <c r="P73" s="12"/>
      <c r="Q73" s="12"/>
      <c r="R73" s="12"/>
      <c r="S73" s="12"/>
      <c r="T73" s="12"/>
      <c r="U73" s="12"/>
      <c r="V73" s="14"/>
      <c r="W73" s="15" t="str">
        <f>IFERROR(__xludf.DUMMYFUNCTION("IFERROR(REGEXEXTRACT(J73,""""""ratio"""": (\d+.\d+), """"language"""": """"Python""""""),"""")"),"")</f>
        <v/>
      </c>
      <c r="X73" s="15" t="str">
        <f t="shared" si="1"/>
        <v/>
      </c>
    </row>
    <row r="74">
      <c r="A74" s="10"/>
      <c r="B74" s="10"/>
      <c r="C74" s="10"/>
      <c r="D74" s="10"/>
      <c r="E74" s="10"/>
      <c r="F74" s="10"/>
      <c r="G74" s="10"/>
      <c r="H74" s="12"/>
      <c r="I74" s="12"/>
      <c r="J74" s="10"/>
      <c r="K74" s="10"/>
      <c r="L74" s="10"/>
      <c r="M74" s="10"/>
      <c r="N74" s="12"/>
      <c r="O74" s="12"/>
      <c r="P74" s="12"/>
      <c r="Q74" s="12"/>
      <c r="R74" s="12"/>
      <c r="S74" s="12"/>
      <c r="T74" s="12"/>
      <c r="U74" s="12"/>
      <c r="V74" s="14"/>
      <c r="W74" s="15" t="str">
        <f>IFERROR(__xludf.DUMMYFUNCTION("IFERROR(REGEXEXTRACT(J74,""""""ratio"""": (\d+.\d+), """"language"""": """"Python""""""),"""")"),"")</f>
        <v/>
      </c>
      <c r="X74" s="15" t="str">
        <f t="shared" si="1"/>
        <v/>
      </c>
    </row>
    <row r="75">
      <c r="A75" s="10"/>
      <c r="B75" s="10"/>
      <c r="C75" s="10"/>
      <c r="D75" s="10"/>
      <c r="E75" s="10"/>
      <c r="F75" s="10"/>
      <c r="G75" s="10"/>
      <c r="H75" s="12"/>
      <c r="I75" s="12"/>
      <c r="J75" s="10"/>
      <c r="K75" s="10"/>
      <c r="L75" s="10"/>
      <c r="M75" s="10"/>
      <c r="N75" s="12"/>
      <c r="O75" s="12"/>
      <c r="P75" s="12"/>
      <c r="Q75" s="12"/>
      <c r="R75" s="12"/>
      <c r="S75" s="12"/>
      <c r="T75" s="12"/>
      <c r="U75" s="12"/>
      <c r="V75" s="14"/>
      <c r="W75" s="15" t="str">
        <f>IFERROR(__xludf.DUMMYFUNCTION("IFERROR(REGEXEXTRACT(J75,""""""ratio"""": (\d+.\d+), """"language"""": """"Python""""""),"""")"),"")</f>
        <v/>
      </c>
      <c r="X75" s="15" t="str">
        <f t="shared" si="1"/>
        <v/>
      </c>
    </row>
    <row r="76">
      <c r="A76" s="10"/>
      <c r="B76" s="10"/>
      <c r="C76" s="10"/>
      <c r="D76" s="10"/>
      <c r="E76" s="10"/>
      <c r="F76" s="10"/>
      <c r="G76" s="10"/>
      <c r="H76" s="12"/>
      <c r="I76" s="12"/>
      <c r="J76" s="10"/>
      <c r="K76" s="10"/>
      <c r="L76" s="10"/>
      <c r="M76" s="10"/>
      <c r="N76" s="12"/>
      <c r="O76" s="12"/>
      <c r="P76" s="12"/>
      <c r="Q76" s="12"/>
      <c r="R76" s="12"/>
      <c r="S76" s="12"/>
      <c r="T76" s="12"/>
      <c r="U76" s="12"/>
      <c r="V76" s="14"/>
      <c r="W76" s="15" t="str">
        <f>IFERROR(__xludf.DUMMYFUNCTION("IFERROR(REGEXEXTRACT(J76,""""""ratio"""": (\d+.\d+), """"language"""": """"Python""""""),"""")"),"")</f>
        <v/>
      </c>
      <c r="X76" s="15" t="str">
        <f t="shared" si="1"/>
        <v/>
      </c>
    </row>
    <row r="77">
      <c r="A77" s="10"/>
      <c r="B77" s="10"/>
      <c r="C77" s="10"/>
      <c r="D77" s="10"/>
      <c r="E77" s="10"/>
      <c r="F77" s="10"/>
      <c r="G77" s="10"/>
      <c r="H77" s="12"/>
      <c r="I77" s="12"/>
      <c r="J77" s="10"/>
      <c r="K77" s="10"/>
      <c r="L77" s="10"/>
      <c r="M77" s="10"/>
      <c r="N77" s="12"/>
      <c r="O77" s="12"/>
      <c r="P77" s="12"/>
      <c r="Q77" s="12"/>
      <c r="R77" s="12"/>
      <c r="S77" s="12"/>
      <c r="T77" s="12"/>
      <c r="U77" s="12"/>
      <c r="V77" s="14"/>
      <c r="W77" s="15" t="str">
        <f>IFERROR(__xludf.DUMMYFUNCTION("IFERROR(REGEXEXTRACT(J77,""""""ratio"""": (\d+.\d+), """"language"""": """"Python""""""),"""")"),"")</f>
        <v/>
      </c>
      <c r="X77" s="15" t="str">
        <f t="shared" si="1"/>
        <v/>
      </c>
    </row>
    <row r="78">
      <c r="A78" s="10"/>
      <c r="B78" s="10"/>
      <c r="C78" s="10"/>
      <c r="D78" s="10"/>
      <c r="E78" s="10"/>
      <c r="F78" s="10"/>
      <c r="G78" s="10"/>
      <c r="H78" s="12"/>
      <c r="I78" s="12"/>
      <c r="J78" s="10"/>
      <c r="K78" s="10"/>
      <c r="L78" s="10"/>
      <c r="M78" s="10"/>
      <c r="N78" s="12"/>
      <c r="O78" s="12"/>
      <c r="P78" s="12"/>
      <c r="Q78" s="12"/>
      <c r="R78" s="12"/>
      <c r="S78" s="12"/>
      <c r="T78" s="12"/>
      <c r="U78" s="12"/>
      <c r="V78" s="14"/>
      <c r="W78" s="15" t="str">
        <f>IFERROR(__xludf.DUMMYFUNCTION("IFERROR(REGEXEXTRACT(J78,""""""ratio"""": (\d+.\d+), """"language"""": """"Python""""""),"""")"),"")</f>
        <v/>
      </c>
      <c r="X78" s="15" t="str">
        <f t="shared" si="1"/>
        <v/>
      </c>
    </row>
    <row r="79">
      <c r="A79" s="10"/>
      <c r="B79" s="10"/>
      <c r="C79" s="10"/>
      <c r="D79" s="10"/>
      <c r="E79" s="10"/>
      <c r="F79" s="10"/>
      <c r="G79" s="10"/>
      <c r="H79" s="12"/>
      <c r="I79" s="12"/>
      <c r="J79" s="10"/>
      <c r="K79" s="10"/>
      <c r="L79" s="10"/>
      <c r="M79" s="10"/>
      <c r="N79" s="12"/>
      <c r="O79" s="12"/>
      <c r="P79" s="12"/>
      <c r="Q79" s="12"/>
      <c r="R79" s="12"/>
      <c r="S79" s="12"/>
      <c r="T79" s="12"/>
      <c r="U79" s="12"/>
      <c r="V79" s="14"/>
      <c r="W79" s="15" t="str">
        <f>IFERROR(__xludf.DUMMYFUNCTION("IFERROR(REGEXEXTRACT(J79,""""""ratio"""": (\d+.\d+), """"language"""": """"Python""""""),"""")"),"")</f>
        <v/>
      </c>
      <c r="X79" s="15" t="str">
        <f t="shared" si="1"/>
        <v/>
      </c>
    </row>
    <row r="80">
      <c r="A80" s="10"/>
      <c r="B80" s="10"/>
      <c r="C80" s="10"/>
      <c r="D80" s="10"/>
      <c r="E80" s="10"/>
      <c r="F80" s="10"/>
      <c r="G80" s="10"/>
      <c r="H80" s="12"/>
      <c r="I80" s="12"/>
      <c r="J80" s="10"/>
      <c r="K80" s="10"/>
      <c r="L80" s="10"/>
      <c r="M80" s="10"/>
      <c r="N80" s="12"/>
      <c r="O80" s="12"/>
      <c r="P80" s="12"/>
      <c r="Q80" s="12"/>
      <c r="R80" s="12"/>
      <c r="S80" s="12"/>
      <c r="T80" s="12"/>
      <c r="U80" s="12"/>
      <c r="V80" s="14"/>
      <c r="W80" s="15" t="str">
        <f>IFERROR(__xludf.DUMMYFUNCTION("IFERROR(REGEXEXTRACT(J80,""""""ratio"""": (\d+.\d+), """"language"""": """"Python""""""),"""")"),"")</f>
        <v/>
      </c>
      <c r="X80" s="15" t="str">
        <f t="shared" si="1"/>
        <v/>
      </c>
    </row>
    <row r="81">
      <c r="A81" s="10"/>
      <c r="B81" s="10"/>
      <c r="C81" s="10"/>
      <c r="D81" s="10"/>
      <c r="E81" s="10"/>
      <c r="F81" s="10"/>
      <c r="G81" s="10"/>
      <c r="H81" s="12"/>
      <c r="I81" s="12"/>
      <c r="J81" s="10"/>
      <c r="K81" s="10"/>
      <c r="L81" s="10"/>
      <c r="M81" s="10"/>
      <c r="N81" s="12"/>
      <c r="O81" s="12"/>
      <c r="P81" s="12"/>
      <c r="Q81" s="12"/>
      <c r="R81" s="12"/>
      <c r="S81" s="12"/>
      <c r="T81" s="12"/>
      <c r="U81" s="12"/>
      <c r="V81" s="14"/>
      <c r="W81" s="15" t="str">
        <f>IFERROR(__xludf.DUMMYFUNCTION("IFERROR(REGEXEXTRACT(J81,""""""ratio"""": (\d+.\d+), """"language"""": """"Python""""""),"""")"),"")</f>
        <v/>
      </c>
      <c r="X81" s="15" t="str">
        <f t="shared" si="1"/>
        <v/>
      </c>
    </row>
    <row r="82">
      <c r="A82" s="10"/>
      <c r="B82" s="10"/>
      <c r="C82" s="10"/>
      <c r="D82" s="10"/>
      <c r="E82" s="10"/>
      <c r="F82" s="10"/>
      <c r="G82" s="10"/>
      <c r="H82" s="12"/>
      <c r="I82" s="12"/>
      <c r="J82" s="10"/>
      <c r="K82" s="10"/>
      <c r="L82" s="10"/>
      <c r="M82" s="10"/>
      <c r="N82" s="12"/>
      <c r="O82" s="12"/>
      <c r="P82" s="12"/>
      <c r="Q82" s="12"/>
      <c r="R82" s="12"/>
      <c r="S82" s="12"/>
      <c r="T82" s="12"/>
      <c r="U82" s="12"/>
      <c r="V82" s="14"/>
      <c r="W82" s="15" t="str">
        <f>IFERROR(__xludf.DUMMYFUNCTION("IFERROR(REGEXEXTRACT(J82,""""""ratio"""": (\d+.\d+), """"language"""": """"Python""""""),"""")"),"")</f>
        <v/>
      </c>
      <c r="X82" s="15" t="str">
        <f t="shared" si="1"/>
        <v/>
      </c>
    </row>
    <row r="83">
      <c r="A83" s="10"/>
      <c r="B83" s="10"/>
      <c r="C83" s="10"/>
      <c r="D83" s="10"/>
      <c r="E83" s="10"/>
      <c r="F83" s="10"/>
      <c r="G83" s="10"/>
      <c r="H83" s="12"/>
      <c r="I83" s="12"/>
      <c r="J83" s="10"/>
      <c r="K83" s="10"/>
      <c r="L83" s="10"/>
      <c r="M83" s="10"/>
      <c r="N83" s="12"/>
      <c r="O83" s="12"/>
      <c r="P83" s="12"/>
      <c r="Q83" s="12"/>
      <c r="R83" s="12"/>
      <c r="S83" s="12"/>
      <c r="T83" s="12"/>
      <c r="U83" s="12"/>
      <c r="V83" s="14"/>
      <c r="W83" s="15" t="str">
        <f>IFERROR(__xludf.DUMMYFUNCTION("IFERROR(REGEXEXTRACT(J83,""""""ratio"""": (\d+.\d+), """"language"""": """"Python""""""),"""")"),"")</f>
        <v/>
      </c>
      <c r="X83" s="15" t="str">
        <f t="shared" si="1"/>
        <v/>
      </c>
    </row>
    <row r="84">
      <c r="A84" s="10"/>
      <c r="B84" s="10"/>
      <c r="C84" s="10"/>
      <c r="D84" s="10"/>
      <c r="E84" s="10"/>
      <c r="F84" s="10"/>
      <c r="G84" s="10"/>
      <c r="H84" s="12"/>
      <c r="I84" s="12"/>
      <c r="J84" s="10"/>
      <c r="K84" s="10"/>
      <c r="L84" s="10"/>
      <c r="M84" s="10"/>
      <c r="N84" s="12"/>
      <c r="O84" s="12"/>
      <c r="P84" s="12"/>
      <c r="Q84" s="12"/>
      <c r="R84" s="12"/>
      <c r="S84" s="12"/>
      <c r="T84" s="12"/>
      <c r="U84" s="12"/>
      <c r="V84" s="14"/>
      <c r="W84" s="15" t="str">
        <f>IFERROR(__xludf.DUMMYFUNCTION("IFERROR(REGEXEXTRACT(J84,""""""ratio"""": (\d+.\d+), """"language"""": """"Python""""""),"""")"),"")</f>
        <v/>
      </c>
      <c r="X84" s="15" t="str">
        <f t="shared" si="1"/>
        <v/>
      </c>
    </row>
    <row r="85">
      <c r="A85" s="10"/>
      <c r="B85" s="10"/>
      <c r="C85" s="10"/>
      <c r="D85" s="10"/>
      <c r="E85" s="10"/>
      <c r="F85" s="10"/>
      <c r="G85" s="10"/>
      <c r="H85" s="12"/>
      <c r="I85" s="12"/>
      <c r="J85" s="10"/>
      <c r="K85" s="10"/>
      <c r="L85" s="10"/>
      <c r="M85" s="10"/>
      <c r="N85" s="12"/>
      <c r="O85" s="12"/>
      <c r="P85" s="12"/>
      <c r="Q85" s="12"/>
      <c r="R85" s="12"/>
      <c r="S85" s="12"/>
      <c r="T85" s="12"/>
      <c r="U85" s="12"/>
      <c r="V85" s="14"/>
      <c r="W85" s="15" t="str">
        <f>IFERROR(__xludf.DUMMYFUNCTION("IFERROR(REGEXEXTRACT(J85,""""""ratio"""": (\d+.\d+), """"language"""": """"Python""""""),"""")"),"")</f>
        <v/>
      </c>
      <c r="X85" s="15" t="str">
        <f t="shared" si="1"/>
        <v/>
      </c>
    </row>
    <row r="86">
      <c r="A86" s="10"/>
      <c r="B86" s="10"/>
      <c r="C86" s="10"/>
      <c r="D86" s="10"/>
      <c r="E86" s="10"/>
      <c r="F86" s="10"/>
      <c r="G86" s="10"/>
      <c r="H86" s="12"/>
      <c r="I86" s="12"/>
      <c r="J86" s="10"/>
      <c r="K86" s="10"/>
      <c r="L86" s="10"/>
      <c r="M86" s="10"/>
      <c r="N86" s="12"/>
      <c r="O86" s="12"/>
      <c r="P86" s="12"/>
      <c r="Q86" s="12"/>
      <c r="R86" s="12"/>
      <c r="S86" s="12"/>
      <c r="T86" s="12"/>
      <c r="U86" s="12"/>
      <c r="V86" s="14"/>
      <c r="W86" s="15" t="str">
        <f>IFERROR(__xludf.DUMMYFUNCTION("IFERROR(REGEXEXTRACT(J86,""""""ratio"""": (\d+.\d+), """"language"""": """"Python""""""),"""")"),"")</f>
        <v/>
      </c>
      <c r="X86" s="15" t="str">
        <f t="shared" si="1"/>
        <v/>
      </c>
    </row>
    <row r="87">
      <c r="A87" s="10"/>
      <c r="B87" s="10"/>
      <c r="C87" s="10"/>
      <c r="D87" s="10"/>
      <c r="E87" s="10"/>
      <c r="F87" s="10"/>
      <c r="G87" s="10"/>
      <c r="H87" s="12"/>
      <c r="I87" s="12"/>
      <c r="J87" s="10"/>
      <c r="K87" s="10"/>
      <c r="L87" s="10"/>
      <c r="M87" s="10"/>
      <c r="N87" s="12"/>
      <c r="O87" s="12"/>
      <c r="P87" s="12"/>
      <c r="Q87" s="12"/>
      <c r="R87" s="12"/>
      <c r="S87" s="12"/>
      <c r="T87" s="12"/>
      <c r="U87" s="12"/>
      <c r="V87" s="14"/>
      <c r="W87" s="15" t="str">
        <f>IFERROR(__xludf.DUMMYFUNCTION("IFERROR(REGEXEXTRACT(J87,""""""ratio"""": (\d+.\d+), """"language"""": """"Python""""""),"""")"),"")</f>
        <v/>
      </c>
      <c r="X87" s="15" t="str">
        <f t="shared" si="1"/>
        <v/>
      </c>
    </row>
    <row r="88">
      <c r="A88" s="10"/>
      <c r="B88" s="10"/>
      <c r="C88" s="10"/>
      <c r="D88" s="10"/>
      <c r="E88" s="10"/>
      <c r="F88" s="10"/>
      <c r="G88" s="10"/>
      <c r="H88" s="12"/>
      <c r="I88" s="12"/>
      <c r="J88" s="10"/>
      <c r="K88" s="10"/>
      <c r="L88" s="10"/>
      <c r="M88" s="10"/>
      <c r="N88" s="12"/>
      <c r="O88" s="12"/>
      <c r="P88" s="12"/>
      <c r="Q88" s="12"/>
      <c r="R88" s="12"/>
      <c r="S88" s="12"/>
      <c r="T88" s="12"/>
      <c r="U88" s="12"/>
      <c r="V88" s="14"/>
      <c r="W88" s="15" t="str">
        <f>IFERROR(__xludf.DUMMYFUNCTION("IFERROR(REGEXEXTRACT(J88,""""""ratio"""": (\d+.\d+), """"language"""": """"Python""""""),"""")"),"")</f>
        <v/>
      </c>
      <c r="X88" s="15" t="str">
        <f t="shared" si="1"/>
        <v/>
      </c>
    </row>
    <row r="89">
      <c r="A89" s="10"/>
      <c r="B89" s="10"/>
      <c r="C89" s="10"/>
      <c r="D89" s="10"/>
      <c r="E89" s="10"/>
      <c r="F89" s="10"/>
      <c r="G89" s="10"/>
      <c r="H89" s="12"/>
      <c r="I89" s="12"/>
      <c r="J89" s="10"/>
      <c r="K89" s="10"/>
      <c r="L89" s="10"/>
      <c r="M89" s="10"/>
      <c r="N89" s="12"/>
      <c r="O89" s="12"/>
      <c r="P89" s="12"/>
      <c r="Q89" s="12"/>
      <c r="R89" s="12"/>
      <c r="S89" s="12"/>
      <c r="T89" s="12"/>
      <c r="U89" s="12"/>
      <c r="V89" s="14"/>
      <c r="W89" s="15" t="str">
        <f>IFERROR(__xludf.DUMMYFUNCTION("IFERROR(REGEXEXTRACT(J89,""""""ratio"""": (\d+.\d+), """"language"""": """"Python""""""),"""")"),"")</f>
        <v/>
      </c>
      <c r="X89" s="15" t="str">
        <f t="shared" si="1"/>
        <v/>
      </c>
    </row>
    <row r="90">
      <c r="A90" s="10"/>
      <c r="B90" s="10"/>
      <c r="C90" s="10"/>
      <c r="D90" s="10"/>
      <c r="E90" s="10"/>
      <c r="F90" s="10"/>
      <c r="G90" s="10"/>
      <c r="H90" s="12"/>
      <c r="I90" s="12"/>
      <c r="J90" s="10"/>
      <c r="K90" s="10"/>
      <c r="L90" s="10"/>
      <c r="M90" s="10"/>
      <c r="N90" s="12"/>
      <c r="O90" s="12"/>
      <c r="P90" s="12"/>
      <c r="Q90" s="12"/>
      <c r="R90" s="12"/>
      <c r="S90" s="12"/>
      <c r="T90" s="12"/>
      <c r="U90" s="12"/>
      <c r="V90" s="14"/>
      <c r="W90" s="15" t="str">
        <f>IFERROR(__xludf.DUMMYFUNCTION("IFERROR(REGEXEXTRACT(J90,""""""ratio"""": (\d+.\d+), """"language"""": """"Python""""""),"""")"),"")</f>
        <v/>
      </c>
      <c r="X90" s="15" t="str">
        <f t="shared" si="1"/>
        <v/>
      </c>
    </row>
    <row r="91">
      <c r="A91" s="10"/>
      <c r="B91" s="10"/>
      <c r="C91" s="10"/>
      <c r="D91" s="10"/>
      <c r="E91" s="10"/>
      <c r="F91" s="10"/>
      <c r="G91" s="10"/>
      <c r="H91" s="12"/>
      <c r="I91" s="12"/>
      <c r="J91" s="10"/>
      <c r="K91" s="10"/>
      <c r="L91" s="10"/>
      <c r="M91" s="10"/>
      <c r="N91" s="12"/>
      <c r="O91" s="12"/>
      <c r="P91" s="12"/>
      <c r="Q91" s="12"/>
      <c r="R91" s="12"/>
      <c r="S91" s="12"/>
      <c r="T91" s="12"/>
      <c r="U91" s="12"/>
      <c r="V91" s="14"/>
      <c r="W91" s="15" t="str">
        <f>IFERROR(__xludf.DUMMYFUNCTION("IFERROR(REGEXEXTRACT(J91,""""""ratio"""": (\d+.\d+), """"language"""": """"Python""""""),"""")"),"")</f>
        <v/>
      </c>
      <c r="X91" s="15" t="str">
        <f t="shared" si="1"/>
        <v/>
      </c>
    </row>
    <row r="92">
      <c r="A92" s="10"/>
      <c r="B92" s="10"/>
      <c r="C92" s="10"/>
      <c r="D92" s="10"/>
      <c r="E92" s="10"/>
      <c r="F92" s="10"/>
      <c r="G92" s="10"/>
      <c r="H92" s="12"/>
      <c r="I92" s="12"/>
      <c r="J92" s="10"/>
      <c r="K92" s="10"/>
      <c r="L92" s="10"/>
      <c r="M92" s="10"/>
      <c r="N92" s="12"/>
      <c r="O92" s="12"/>
      <c r="P92" s="12"/>
      <c r="Q92" s="12"/>
      <c r="R92" s="12"/>
      <c r="S92" s="12"/>
      <c r="T92" s="12"/>
      <c r="U92" s="12"/>
      <c r="V92" s="14"/>
      <c r="W92" s="15" t="str">
        <f>IFERROR(__xludf.DUMMYFUNCTION("IFERROR(REGEXEXTRACT(J92,""""""ratio"""": (\d+.\d+), """"language"""": """"Python""""""),"""")"),"")</f>
        <v/>
      </c>
      <c r="X92" s="15" t="str">
        <f t="shared" si="1"/>
        <v/>
      </c>
    </row>
    <row r="93">
      <c r="A93" s="10"/>
      <c r="B93" s="10"/>
      <c r="C93" s="10"/>
      <c r="D93" s="10"/>
      <c r="E93" s="10"/>
      <c r="F93" s="10"/>
      <c r="G93" s="10"/>
      <c r="H93" s="12"/>
      <c r="I93" s="12"/>
      <c r="J93" s="10"/>
      <c r="K93" s="10"/>
      <c r="L93" s="10"/>
      <c r="M93" s="10"/>
      <c r="N93" s="12"/>
      <c r="O93" s="12"/>
      <c r="P93" s="12"/>
      <c r="Q93" s="12"/>
      <c r="R93" s="12"/>
      <c r="S93" s="12"/>
      <c r="T93" s="12"/>
      <c r="U93" s="12"/>
      <c r="V93" s="14"/>
      <c r="W93" s="15" t="str">
        <f>IFERROR(__xludf.DUMMYFUNCTION("IFERROR(REGEXEXTRACT(J93,""""""ratio"""": (\d+.\d+), """"language"""": """"Python""""""),"""")"),"")</f>
        <v/>
      </c>
      <c r="X93" s="15" t="str">
        <f t="shared" si="1"/>
        <v/>
      </c>
    </row>
    <row r="94">
      <c r="A94" s="10"/>
      <c r="B94" s="10"/>
      <c r="C94" s="10"/>
      <c r="D94" s="10"/>
      <c r="E94" s="10"/>
      <c r="F94" s="10"/>
      <c r="G94" s="10"/>
      <c r="H94" s="12"/>
      <c r="I94" s="12"/>
      <c r="J94" s="10"/>
      <c r="K94" s="10"/>
      <c r="L94" s="10"/>
      <c r="M94" s="10"/>
      <c r="N94" s="12"/>
      <c r="O94" s="12"/>
      <c r="P94" s="12"/>
      <c r="Q94" s="12"/>
      <c r="R94" s="12"/>
      <c r="S94" s="12"/>
      <c r="T94" s="12"/>
      <c r="U94" s="12"/>
      <c r="V94" s="14"/>
      <c r="W94" s="15" t="str">
        <f>IFERROR(__xludf.DUMMYFUNCTION("IFERROR(REGEXEXTRACT(J94,""""""ratio"""": (\d+.\d+), """"language"""": """"Python""""""),"""")"),"")</f>
        <v/>
      </c>
      <c r="X94" s="15" t="str">
        <f t="shared" si="1"/>
        <v/>
      </c>
    </row>
    <row r="95">
      <c r="A95" s="10"/>
      <c r="B95" s="10"/>
      <c r="C95" s="10"/>
      <c r="D95" s="10"/>
      <c r="E95" s="10"/>
      <c r="F95" s="10"/>
      <c r="G95" s="10"/>
      <c r="H95" s="12"/>
      <c r="I95" s="12"/>
      <c r="J95" s="10"/>
      <c r="K95" s="10"/>
      <c r="L95" s="10"/>
      <c r="M95" s="10"/>
      <c r="N95" s="12"/>
      <c r="O95" s="12"/>
      <c r="P95" s="12"/>
      <c r="Q95" s="12"/>
      <c r="R95" s="12"/>
      <c r="S95" s="12"/>
      <c r="T95" s="12"/>
      <c r="U95" s="12"/>
      <c r="V95" s="14"/>
      <c r="W95" s="15" t="str">
        <f>IFERROR(__xludf.DUMMYFUNCTION("IFERROR(REGEXEXTRACT(J95,""""""ratio"""": (\d+.\d+), """"language"""": """"Python""""""),"""")"),"")</f>
        <v/>
      </c>
      <c r="X95" s="15" t="str">
        <f t="shared" si="1"/>
        <v/>
      </c>
    </row>
    <row r="96">
      <c r="A96" s="10"/>
      <c r="B96" s="10"/>
      <c r="C96" s="10"/>
      <c r="D96" s="10"/>
      <c r="E96" s="10"/>
      <c r="F96" s="10"/>
      <c r="G96" s="10"/>
      <c r="H96" s="12"/>
      <c r="I96" s="12"/>
      <c r="J96" s="10"/>
      <c r="K96" s="10"/>
      <c r="L96" s="10"/>
      <c r="M96" s="10"/>
      <c r="N96" s="12"/>
      <c r="O96" s="12"/>
      <c r="P96" s="12"/>
      <c r="Q96" s="12"/>
      <c r="R96" s="12"/>
      <c r="S96" s="12"/>
      <c r="T96" s="12"/>
      <c r="U96" s="12"/>
      <c r="V96" s="14"/>
      <c r="W96" s="15" t="str">
        <f>IFERROR(__xludf.DUMMYFUNCTION("IFERROR(REGEXEXTRACT(J96,""""""ratio"""": (\d+.\d+), """"language"""": """"Python""""""),"""")"),"")</f>
        <v/>
      </c>
      <c r="X96" s="15" t="str">
        <f t="shared" si="1"/>
        <v/>
      </c>
    </row>
    <row r="97">
      <c r="A97" s="10"/>
      <c r="B97" s="10"/>
      <c r="C97" s="10"/>
      <c r="D97" s="10"/>
      <c r="E97" s="10"/>
      <c r="F97" s="10"/>
      <c r="G97" s="10"/>
      <c r="H97" s="12"/>
      <c r="I97" s="12"/>
      <c r="J97" s="10"/>
      <c r="K97" s="10"/>
      <c r="L97" s="10"/>
      <c r="M97" s="10"/>
      <c r="N97" s="12"/>
      <c r="O97" s="12"/>
      <c r="P97" s="12"/>
      <c r="Q97" s="12"/>
      <c r="R97" s="12"/>
      <c r="S97" s="12"/>
      <c r="T97" s="12"/>
      <c r="U97" s="12"/>
      <c r="V97" s="14"/>
      <c r="W97" s="15" t="str">
        <f>IFERROR(__xludf.DUMMYFUNCTION("IFERROR(REGEXEXTRACT(J97,""""""ratio"""": (\d+.\d+), """"language"""": """"Python""""""),"""")"),"")</f>
        <v/>
      </c>
      <c r="X97" s="15" t="str">
        <f t="shared" si="1"/>
        <v/>
      </c>
    </row>
    <row r="98">
      <c r="A98" s="10"/>
      <c r="B98" s="10"/>
      <c r="C98" s="10"/>
      <c r="D98" s="10"/>
      <c r="E98" s="10"/>
      <c r="F98" s="10"/>
      <c r="G98" s="10"/>
      <c r="H98" s="12"/>
      <c r="I98" s="12"/>
      <c r="J98" s="10"/>
      <c r="K98" s="10"/>
      <c r="L98" s="10"/>
      <c r="M98" s="10"/>
      <c r="N98" s="12"/>
      <c r="O98" s="12"/>
      <c r="P98" s="12"/>
      <c r="Q98" s="12"/>
      <c r="R98" s="12"/>
      <c r="S98" s="12"/>
      <c r="T98" s="12"/>
      <c r="U98" s="12"/>
      <c r="V98" s="14"/>
      <c r="W98" s="15" t="str">
        <f>IFERROR(__xludf.DUMMYFUNCTION("IFERROR(REGEXEXTRACT(J98,""""""ratio"""": (\d+.\d+), """"language"""": """"Python""""""),"""")"),"")</f>
        <v/>
      </c>
      <c r="X98" s="15" t="str">
        <f t="shared" si="1"/>
        <v/>
      </c>
    </row>
    <row r="99">
      <c r="A99" s="10"/>
      <c r="B99" s="10"/>
      <c r="C99" s="10"/>
      <c r="D99" s="10"/>
      <c r="E99" s="10"/>
      <c r="F99" s="10"/>
      <c r="G99" s="10"/>
      <c r="H99" s="12"/>
      <c r="I99" s="12"/>
      <c r="J99" s="10"/>
      <c r="K99" s="10"/>
      <c r="L99" s="10"/>
      <c r="M99" s="10"/>
      <c r="N99" s="12"/>
      <c r="O99" s="12"/>
      <c r="P99" s="12"/>
      <c r="Q99" s="12"/>
      <c r="R99" s="12"/>
      <c r="S99" s="12"/>
      <c r="T99" s="12"/>
      <c r="U99" s="12"/>
      <c r="V99" s="14"/>
      <c r="W99" s="15" t="str">
        <f>IFERROR(__xludf.DUMMYFUNCTION("IFERROR(REGEXEXTRACT(J99,""""""ratio"""": (\d+.\d+), """"language"""": """"Python""""""),"""")"),"")</f>
        <v/>
      </c>
      <c r="X99" s="15" t="str">
        <f t="shared" si="1"/>
        <v/>
      </c>
    </row>
    <row r="100">
      <c r="A100" s="10"/>
      <c r="B100" s="10"/>
      <c r="C100" s="10"/>
      <c r="D100" s="10"/>
      <c r="E100" s="10"/>
      <c r="F100" s="10"/>
      <c r="G100" s="10"/>
      <c r="H100" s="12"/>
      <c r="I100" s="12"/>
      <c r="J100" s="10"/>
      <c r="K100" s="10"/>
      <c r="L100" s="10"/>
      <c r="M100" s="10"/>
      <c r="N100" s="12"/>
      <c r="O100" s="12"/>
      <c r="P100" s="12"/>
      <c r="Q100" s="12"/>
      <c r="R100" s="12"/>
      <c r="S100" s="12"/>
      <c r="T100" s="12"/>
      <c r="U100" s="12"/>
      <c r="V100" s="14"/>
      <c r="W100" s="15" t="str">
        <f>IFERROR(__xludf.DUMMYFUNCTION("IFERROR(REGEXEXTRACT(J100,""""""ratio"""": (\d+.\d+), """"language"""": """"Python""""""),"""")"),"")</f>
        <v/>
      </c>
      <c r="X100" s="15" t="str">
        <f t="shared" si="1"/>
        <v/>
      </c>
    </row>
    <row r="101">
      <c r="A101" s="10"/>
      <c r="B101" s="10"/>
      <c r="C101" s="10"/>
      <c r="D101" s="10"/>
      <c r="E101" s="10"/>
      <c r="F101" s="10"/>
      <c r="G101" s="10"/>
      <c r="H101" s="12"/>
      <c r="I101" s="12"/>
      <c r="J101" s="10"/>
      <c r="K101" s="10"/>
      <c r="L101" s="10"/>
      <c r="M101" s="10"/>
      <c r="N101" s="12"/>
      <c r="O101" s="12"/>
      <c r="P101" s="12"/>
      <c r="Q101" s="12"/>
      <c r="R101" s="12"/>
      <c r="S101" s="12"/>
      <c r="T101" s="12"/>
      <c r="U101" s="12"/>
      <c r="V101" s="14"/>
      <c r="W101" s="15" t="str">
        <f>IFERROR(__xludf.DUMMYFUNCTION("IFERROR(REGEXEXTRACT(J101,""""""ratio"""": (\d+.\d+), """"language"""": """"Python""""""),"""")"),"")</f>
        <v/>
      </c>
      <c r="X101" s="15" t="str">
        <f t="shared" si="1"/>
        <v/>
      </c>
    </row>
    <row r="102">
      <c r="A102" s="10"/>
      <c r="B102" s="10"/>
      <c r="C102" s="10"/>
      <c r="D102" s="10"/>
      <c r="E102" s="10"/>
      <c r="F102" s="10"/>
      <c r="G102" s="10"/>
      <c r="H102" s="12"/>
      <c r="I102" s="12"/>
      <c r="J102" s="10"/>
      <c r="K102" s="10"/>
      <c r="L102" s="10"/>
      <c r="M102" s="10"/>
      <c r="N102" s="12"/>
      <c r="O102" s="12"/>
      <c r="P102" s="12"/>
      <c r="Q102" s="12"/>
      <c r="R102" s="12"/>
      <c r="S102" s="12"/>
      <c r="T102" s="12"/>
      <c r="U102" s="12"/>
      <c r="V102" s="14"/>
      <c r="W102" s="15" t="str">
        <f>IFERROR(__xludf.DUMMYFUNCTION("IFERROR(REGEXEXTRACT(J102,""""""ratio"""": (\d+.\d+), """"language"""": """"Python""""""),"""")"),"")</f>
        <v/>
      </c>
      <c r="X102" s="15" t="str">
        <f t="shared" si="1"/>
        <v/>
      </c>
    </row>
    <row r="103">
      <c r="A103" s="10"/>
      <c r="B103" s="10"/>
      <c r="C103" s="10"/>
      <c r="D103" s="10"/>
      <c r="E103" s="10"/>
      <c r="F103" s="10"/>
      <c r="G103" s="10"/>
      <c r="H103" s="12"/>
      <c r="I103" s="12"/>
      <c r="J103" s="10"/>
      <c r="K103" s="10"/>
      <c r="L103" s="10"/>
      <c r="M103" s="10"/>
      <c r="N103" s="12"/>
      <c r="O103" s="12"/>
      <c r="P103" s="12"/>
      <c r="Q103" s="12"/>
      <c r="R103" s="12"/>
      <c r="S103" s="12"/>
      <c r="T103" s="12"/>
      <c r="U103" s="12"/>
      <c r="V103" s="14"/>
      <c r="W103" s="15" t="str">
        <f>IFERROR(__xludf.DUMMYFUNCTION("IFERROR(REGEXEXTRACT(J103,""""""ratio"""": (\d+.\d+), """"language"""": """"Python""""""),"""")"),"")</f>
        <v/>
      </c>
      <c r="X103" s="15" t="str">
        <f t="shared" si="1"/>
        <v/>
      </c>
    </row>
    <row r="104">
      <c r="A104" s="10"/>
      <c r="B104" s="10"/>
      <c r="C104" s="10"/>
      <c r="D104" s="10"/>
      <c r="E104" s="10"/>
      <c r="F104" s="10"/>
      <c r="G104" s="10"/>
      <c r="H104" s="12"/>
      <c r="I104" s="12"/>
      <c r="J104" s="10"/>
      <c r="K104" s="10"/>
      <c r="L104" s="10"/>
      <c r="M104" s="10"/>
      <c r="N104" s="12"/>
      <c r="O104" s="12"/>
      <c r="P104" s="12"/>
      <c r="Q104" s="12"/>
      <c r="R104" s="12"/>
      <c r="S104" s="12"/>
      <c r="T104" s="12"/>
      <c r="U104" s="12"/>
      <c r="V104" s="14"/>
      <c r="W104" s="15" t="str">
        <f>IFERROR(__xludf.DUMMYFUNCTION("IFERROR(REGEXEXTRACT(J104,""""""ratio"""": (\d+.\d+), """"language"""": """"Python""""""),"""")"),"")</f>
        <v/>
      </c>
      <c r="X104" s="15" t="str">
        <f t="shared" si="1"/>
        <v/>
      </c>
    </row>
    <row r="105">
      <c r="A105" s="10"/>
      <c r="B105" s="10"/>
      <c r="C105" s="10"/>
      <c r="D105" s="10"/>
      <c r="E105" s="10"/>
      <c r="F105" s="10"/>
      <c r="G105" s="10"/>
      <c r="H105" s="12"/>
      <c r="I105" s="12"/>
      <c r="J105" s="10"/>
      <c r="K105" s="10"/>
      <c r="L105" s="10"/>
      <c r="M105" s="10"/>
      <c r="N105" s="12"/>
      <c r="O105" s="12"/>
      <c r="P105" s="12"/>
      <c r="Q105" s="12"/>
      <c r="R105" s="12"/>
      <c r="S105" s="12"/>
      <c r="T105" s="12"/>
      <c r="U105" s="12"/>
      <c r="V105" s="14"/>
      <c r="W105" s="15" t="str">
        <f>IFERROR(__xludf.DUMMYFUNCTION("IFERROR(REGEXEXTRACT(J105,""""""ratio"""": (\d+.\d+), """"language"""": """"Python""""""),"""")"),"")</f>
        <v/>
      </c>
      <c r="X105" s="15" t="str">
        <f t="shared" si="1"/>
        <v/>
      </c>
    </row>
    <row r="106">
      <c r="A106" s="10"/>
      <c r="B106" s="10"/>
      <c r="C106" s="10"/>
      <c r="D106" s="10"/>
      <c r="E106" s="10"/>
      <c r="F106" s="10"/>
      <c r="G106" s="10"/>
      <c r="H106" s="12"/>
      <c r="I106" s="12"/>
      <c r="J106" s="10"/>
      <c r="K106" s="10"/>
      <c r="L106" s="10"/>
      <c r="M106" s="10"/>
      <c r="N106" s="12"/>
      <c r="O106" s="12"/>
      <c r="P106" s="12"/>
      <c r="Q106" s="12"/>
      <c r="R106" s="12"/>
      <c r="S106" s="12"/>
      <c r="T106" s="12"/>
      <c r="U106" s="12"/>
      <c r="V106" s="14"/>
      <c r="W106" s="15" t="str">
        <f>IFERROR(__xludf.DUMMYFUNCTION("IFERROR(REGEXEXTRACT(J106,""""""ratio"""": (\d+.\d+), """"language"""": """"Python""""""),"""")"),"")</f>
        <v/>
      </c>
      <c r="X106" s="15" t="str">
        <f t="shared" si="1"/>
        <v/>
      </c>
    </row>
    <row r="107">
      <c r="A107" s="10"/>
      <c r="B107" s="10"/>
      <c r="C107" s="10"/>
      <c r="D107" s="10"/>
      <c r="E107" s="10"/>
      <c r="F107" s="10"/>
      <c r="G107" s="10"/>
      <c r="H107" s="12"/>
      <c r="I107" s="12"/>
      <c r="J107" s="10"/>
      <c r="K107" s="10"/>
      <c r="L107" s="10"/>
      <c r="M107" s="10"/>
      <c r="N107" s="12"/>
      <c r="O107" s="12"/>
      <c r="P107" s="12"/>
      <c r="Q107" s="12"/>
      <c r="R107" s="12"/>
      <c r="S107" s="12"/>
      <c r="T107" s="12"/>
      <c r="U107" s="12"/>
      <c r="V107" s="14"/>
      <c r="W107" s="15" t="str">
        <f>IFERROR(__xludf.DUMMYFUNCTION("IFERROR(REGEXEXTRACT(J107,""""""ratio"""": (\d+.\d+), """"language"""": """"Python""""""),"""")"),"")</f>
        <v/>
      </c>
      <c r="X107" s="15" t="str">
        <f t="shared" si="1"/>
        <v/>
      </c>
    </row>
    <row r="108">
      <c r="A108" s="10"/>
      <c r="B108" s="10"/>
      <c r="C108" s="10"/>
      <c r="D108" s="10"/>
      <c r="E108" s="10"/>
      <c r="F108" s="10"/>
      <c r="G108" s="10"/>
      <c r="H108" s="12"/>
      <c r="I108" s="12"/>
      <c r="J108" s="10"/>
      <c r="K108" s="10"/>
      <c r="L108" s="10"/>
      <c r="M108" s="10"/>
      <c r="N108" s="12"/>
      <c r="O108" s="12"/>
      <c r="P108" s="12"/>
      <c r="Q108" s="12"/>
      <c r="R108" s="12"/>
      <c r="S108" s="12"/>
      <c r="T108" s="12"/>
      <c r="U108" s="12"/>
      <c r="V108" s="14"/>
      <c r="W108" s="15" t="str">
        <f>IFERROR(__xludf.DUMMYFUNCTION("IFERROR(REGEXEXTRACT(J108,""""""ratio"""": (\d+.\d+), """"language"""": """"Python""""""),"""")"),"")</f>
        <v/>
      </c>
      <c r="X108" s="15" t="str">
        <f t="shared" si="1"/>
        <v/>
      </c>
    </row>
    <row r="109">
      <c r="A109" s="10"/>
      <c r="B109" s="10"/>
      <c r="C109" s="10"/>
      <c r="D109" s="10"/>
      <c r="E109" s="10"/>
      <c r="F109" s="10"/>
      <c r="G109" s="10"/>
      <c r="H109" s="12"/>
      <c r="I109" s="12"/>
      <c r="J109" s="10"/>
      <c r="K109" s="10"/>
      <c r="L109" s="10"/>
      <c r="M109" s="10"/>
      <c r="N109" s="12"/>
      <c r="O109" s="12"/>
      <c r="P109" s="12"/>
      <c r="Q109" s="12"/>
      <c r="R109" s="12"/>
      <c r="S109" s="12"/>
      <c r="T109" s="12"/>
      <c r="U109" s="12"/>
      <c r="V109" s="14"/>
      <c r="W109" s="15" t="str">
        <f>IFERROR(__xludf.DUMMYFUNCTION("IFERROR(REGEXEXTRACT(J109,""""""ratio"""": (\d+.\d+), """"language"""": """"Python""""""),"""")"),"")</f>
        <v/>
      </c>
      <c r="X109" s="15" t="str">
        <f t="shared" si="1"/>
        <v/>
      </c>
    </row>
    <row r="110">
      <c r="A110" s="10"/>
      <c r="B110" s="10"/>
      <c r="C110" s="10"/>
      <c r="D110" s="10"/>
      <c r="E110" s="10"/>
      <c r="F110" s="10"/>
      <c r="G110" s="10"/>
      <c r="H110" s="12"/>
      <c r="I110" s="12"/>
      <c r="J110" s="10"/>
      <c r="K110" s="10"/>
      <c r="L110" s="10"/>
      <c r="M110" s="10"/>
      <c r="N110" s="12"/>
      <c r="O110" s="12"/>
      <c r="P110" s="12"/>
      <c r="Q110" s="12"/>
      <c r="R110" s="12"/>
      <c r="S110" s="12"/>
      <c r="T110" s="12"/>
      <c r="U110" s="12"/>
      <c r="V110" s="14"/>
      <c r="W110" s="15" t="str">
        <f>IFERROR(__xludf.DUMMYFUNCTION("IFERROR(REGEXEXTRACT(J110,""""""ratio"""": (\d+.\d+), """"language"""": """"Python""""""),"""")"),"")</f>
        <v/>
      </c>
      <c r="X110" s="15" t="str">
        <f t="shared" si="1"/>
        <v/>
      </c>
    </row>
    <row r="111">
      <c r="A111" s="10"/>
      <c r="B111" s="10"/>
      <c r="C111" s="10"/>
      <c r="D111" s="10"/>
      <c r="E111" s="10"/>
      <c r="F111" s="10"/>
      <c r="G111" s="10"/>
      <c r="H111" s="12"/>
      <c r="I111" s="12"/>
      <c r="J111" s="10"/>
      <c r="K111" s="10"/>
      <c r="L111" s="10"/>
      <c r="M111" s="10"/>
      <c r="N111" s="12"/>
      <c r="O111" s="12"/>
      <c r="P111" s="12"/>
      <c r="Q111" s="12"/>
      <c r="R111" s="12"/>
      <c r="S111" s="12"/>
      <c r="T111" s="12"/>
      <c r="U111" s="12"/>
      <c r="V111" s="14"/>
      <c r="W111" s="15" t="str">
        <f>IFERROR(__xludf.DUMMYFUNCTION("IFERROR(REGEXEXTRACT(J111,""""""ratio"""": (\d+.\d+), """"language"""": """"Python""""""),"""")"),"")</f>
        <v/>
      </c>
      <c r="X111" s="15" t="str">
        <f t="shared" si="1"/>
        <v/>
      </c>
    </row>
    <row r="112">
      <c r="A112" s="10"/>
      <c r="B112" s="10"/>
      <c r="C112" s="10"/>
      <c r="D112" s="10"/>
      <c r="E112" s="10"/>
      <c r="F112" s="10"/>
      <c r="G112" s="10"/>
      <c r="H112" s="12"/>
      <c r="I112" s="12"/>
      <c r="J112" s="10"/>
      <c r="K112" s="10"/>
      <c r="L112" s="10"/>
      <c r="M112" s="10"/>
      <c r="N112" s="12"/>
      <c r="O112" s="12"/>
      <c r="P112" s="12"/>
      <c r="Q112" s="12"/>
      <c r="R112" s="12"/>
      <c r="S112" s="12"/>
      <c r="T112" s="12"/>
      <c r="U112" s="12"/>
      <c r="V112" s="14"/>
      <c r="W112" s="15" t="str">
        <f>IFERROR(__xludf.DUMMYFUNCTION("IFERROR(REGEXEXTRACT(J112,""""""ratio"""": (\d+.\d+), """"language"""": """"Python""""""),"""")"),"")</f>
        <v/>
      </c>
      <c r="X112" s="15" t="str">
        <f t="shared" si="1"/>
        <v/>
      </c>
    </row>
    <row r="113">
      <c r="A113" s="10"/>
      <c r="B113" s="10"/>
      <c r="C113" s="10"/>
      <c r="D113" s="10"/>
      <c r="E113" s="10"/>
      <c r="F113" s="10"/>
      <c r="G113" s="10"/>
      <c r="H113" s="12"/>
      <c r="I113" s="12"/>
      <c r="J113" s="10"/>
      <c r="K113" s="10"/>
      <c r="L113" s="10"/>
      <c r="M113" s="10"/>
      <c r="N113" s="12"/>
      <c r="O113" s="12"/>
      <c r="P113" s="12"/>
      <c r="Q113" s="12"/>
      <c r="R113" s="12"/>
      <c r="S113" s="12"/>
      <c r="T113" s="12"/>
      <c r="U113" s="12"/>
      <c r="V113" s="14"/>
      <c r="W113" s="15" t="str">
        <f>IFERROR(__xludf.DUMMYFUNCTION("IFERROR(REGEXEXTRACT(J113,""""""ratio"""": (\d+.\d+), """"language"""": """"Python""""""),"""")"),"")</f>
        <v/>
      </c>
      <c r="X113" s="15" t="str">
        <f t="shared" si="1"/>
        <v/>
      </c>
    </row>
    <row r="114">
      <c r="A114" s="10"/>
      <c r="B114" s="10"/>
      <c r="C114" s="10"/>
      <c r="D114" s="10"/>
      <c r="E114" s="10"/>
      <c r="F114" s="10"/>
      <c r="G114" s="10"/>
      <c r="H114" s="12"/>
      <c r="I114" s="12"/>
      <c r="J114" s="10"/>
      <c r="K114" s="10"/>
      <c r="L114" s="10"/>
      <c r="M114" s="10"/>
      <c r="N114" s="12"/>
      <c r="O114" s="12"/>
      <c r="P114" s="12"/>
      <c r="Q114" s="12"/>
      <c r="R114" s="12"/>
      <c r="S114" s="12"/>
      <c r="T114" s="12"/>
      <c r="U114" s="12"/>
      <c r="V114" s="14"/>
      <c r="W114" s="15" t="str">
        <f>IFERROR(__xludf.DUMMYFUNCTION("IFERROR(REGEXEXTRACT(J114,""""""ratio"""": (\d+.\d+), """"language"""": """"Python""""""),"""")"),"")</f>
        <v/>
      </c>
      <c r="X114" s="15" t="str">
        <f t="shared" si="1"/>
        <v/>
      </c>
    </row>
    <row r="115">
      <c r="A115" s="10"/>
      <c r="B115" s="10"/>
      <c r="C115" s="10"/>
      <c r="D115" s="10"/>
      <c r="E115" s="10"/>
      <c r="F115" s="10"/>
      <c r="G115" s="10"/>
      <c r="H115" s="12"/>
      <c r="I115" s="12"/>
      <c r="J115" s="10"/>
      <c r="K115" s="10"/>
      <c r="L115" s="10"/>
      <c r="M115" s="10"/>
      <c r="N115" s="12"/>
      <c r="O115" s="12"/>
      <c r="P115" s="12"/>
      <c r="Q115" s="12"/>
      <c r="R115" s="12"/>
      <c r="S115" s="12"/>
      <c r="T115" s="12"/>
      <c r="U115" s="12"/>
      <c r="V115" s="14"/>
      <c r="W115" s="15" t="str">
        <f>IFERROR(__xludf.DUMMYFUNCTION("IFERROR(REGEXEXTRACT(J115,""""""ratio"""": (\d+.\d+), """"language"""": """"Python""""""),"""")"),"")</f>
        <v/>
      </c>
      <c r="X115" s="15" t="str">
        <f t="shared" si="1"/>
        <v/>
      </c>
    </row>
    <row r="116">
      <c r="A116" s="10"/>
      <c r="B116" s="10"/>
      <c r="C116" s="10"/>
      <c r="D116" s="10"/>
      <c r="E116" s="10"/>
      <c r="F116" s="10"/>
      <c r="G116" s="10"/>
      <c r="H116" s="12"/>
      <c r="I116" s="12"/>
      <c r="J116" s="10"/>
      <c r="K116" s="10"/>
      <c r="L116" s="10"/>
      <c r="M116" s="10"/>
      <c r="N116" s="12"/>
      <c r="O116" s="12"/>
      <c r="P116" s="12"/>
      <c r="Q116" s="12"/>
      <c r="R116" s="12"/>
      <c r="S116" s="12"/>
      <c r="T116" s="12"/>
      <c r="U116" s="12"/>
      <c r="V116" s="14"/>
      <c r="W116" s="15" t="str">
        <f>IFERROR(__xludf.DUMMYFUNCTION("IFERROR(REGEXEXTRACT(J116,""""""ratio"""": (\d+.\d+), """"language"""": """"Python""""""),"""")"),"")</f>
        <v/>
      </c>
      <c r="X116" s="15" t="str">
        <f t="shared" si="1"/>
        <v/>
      </c>
    </row>
    <row r="117">
      <c r="A117" s="10"/>
      <c r="B117" s="10"/>
      <c r="C117" s="10"/>
      <c r="D117" s="10"/>
      <c r="E117" s="10"/>
      <c r="F117" s="10"/>
      <c r="G117" s="10"/>
      <c r="H117" s="12"/>
      <c r="I117" s="12"/>
      <c r="J117" s="10"/>
      <c r="K117" s="10"/>
      <c r="L117" s="10"/>
      <c r="M117" s="10"/>
      <c r="N117" s="12"/>
      <c r="O117" s="12"/>
      <c r="P117" s="12"/>
      <c r="Q117" s="12"/>
      <c r="R117" s="12"/>
      <c r="S117" s="12"/>
      <c r="T117" s="12"/>
      <c r="U117" s="12"/>
      <c r="V117" s="14"/>
      <c r="W117" s="15" t="str">
        <f>IFERROR(__xludf.DUMMYFUNCTION("IFERROR(REGEXEXTRACT(J117,""""""ratio"""": (\d+.\d+), """"language"""": """"Python""""""),"""")"),"")</f>
        <v/>
      </c>
      <c r="X117" s="15" t="str">
        <f t="shared" si="1"/>
        <v/>
      </c>
    </row>
    <row r="118">
      <c r="A118" s="10"/>
      <c r="B118" s="10"/>
      <c r="C118" s="10"/>
      <c r="D118" s="10"/>
      <c r="E118" s="10"/>
      <c r="F118" s="10"/>
      <c r="G118" s="10"/>
      <c r="H118" s="12"/>
      <c r="I118" s="12"/>
      <c r="J118" s="10"/>
      <c r="K118" s="10"/>
      <c r="L118" s="10"/>
      <c r="M118" s="10"/>
      <c r="N118" s="12"/>
      <c r="O118" s="12"/>
      <c r="P118" s="12"/>
      <c r="Q118" s="12"/>
      <c r="R118" s="12"/>
      <c r="S118" s="12"/>
      <c r="T118" s="12"/>
      <c r="U118" s="12"/>
      <c r="V118" s="14"/>
      <c r="W118" s="15" t="str">
        <f>IFERROR(__xludf.DUMMYFUNCTION("IFERROR(REGEXEXTRACT(J118,""""""ratio"""": (\d+.\d+), """"language"""": """"Python""""""),"""")"),"")</f>
        <v/>
      </c>
      <c r="X118" s="15" t="str">
        <f t="shared" si="1"/>
        <v/>
      </c>
    </row>
    <row r="119">
      <c r="A119" s="10"/>
      <c r="B119" s="10"/>
      <c r="C119" s="10"/>
      <c r="D119" s="10"/>
      <c r="E119" s="10"/>
      <c r="F119" s="10"/>
      <c r="G119" s="10"/>
      <c r="H119" s="12"/>
      <c r="I119" s="12"/>
      <c r="J119" s="10"/>
      <c r="K119" s="10"/>
      <c r="L119" s="10"/>
      <c r="M119" s="10"/>
      <c r="N119" s="12"/>
      <c r="O119" s="12"/>
      <c r="P119" s="12"/>
      <c r="Q119" s="12"/>
      <c r="R119" s="12"/>
      <c r="S119" s="12"/>
      <c r="T119" s="12"/>
      <c r="U119" s="12"/>
      <c r="V119" s="14"/>
      <c r="W119" s="15" t="str">
        <f>IFERROR(__xludf.DUMMYFUNCTION("IFERROR(REGEXEXTRACT(J119,""""""ratio"""": (\d+.\d+), """"language"""": """"Python""""""),"""")"),"")</f>
        <v/>
      </c>
      <c r="X119" s="15" t="str">
        <f t="shared" si="1"/>
        <v/>
      </c>
    </row>
    <row r="120">
      <c r="A120" s="10"/>
      <c r="B120" s="10"/>
      <c r="C120" s="10"/>
      <c r="D120" s="10"/>
      <c r="E120" s="10"/>
      <c r="F120" s="10"/>
      <c r="G120" s="10"/>
      <c r="H120" s="12"/>
      <c r="I120" s="12"/>
      <c r="J120" s="10"/>
      <c r="K120" s="10"/>
      <c r="L120" s="10"/>
      <c r="M120" s="10"/>
      <c r="N120" s="12"/>
      <c r="O120" s="12"/>
      <c r="P120" s="12"/>
      <c r="Q120" s="12"/>
      <c r="R120" s="12"/>
      <c r="S120" s="12"/>
      <c r="T120" s="12"/>
      <c r="U120" s="12"/>
      <c r="V120" s="14"/>
      <c r="W120" s="15" t="str">
        <f>IFERROR(__xludf.DUMMYFUNCTION("IFERROR(REGEXEXTRACT(J120,""""""ratio"""": (\d+.\d+), """"language"""": """"Python""""""),"""")"),"")</f>
        <v/>
      </c>
      <c r="X120" s="15" t="str">
        <f t="shared" si="1"/>
        <v/>
      </c>
    </row>
    <row r="121">
      <c r="A121" s="10"/>
      <c r="B121" s="10"/>
      <c r="C121" s="10"/>
      <c r="D121" s="10"/>
      <c r="E121" s="10"/>
      <c r="F121" s="10"/>
      <c r="G121" s="10"/>
      <c r="H121" s="12"/>
      <c r="I121" s="12"/>
      <c r="J121" s="10"/>
      <c r="K121" s="10"/>
      <c r="L121" s="10"/>
      <c r="M121" s="10"/>
      <c r="N121" s="12"/>
      <c r="O121" s="12"/>
      <c r="P121" s="12"/>
      <c r="Q121" s="12"/>
      <c r="R121" s="12"/>
      <c r="S121" s="12"/>
      <c r="T121" s="12"/>
      <c r="U121" s="12"/>
      <c r="V121" s="14"/>
      <c r="W121" s="15" t="str">
        <f>IFERROR(__xludf.DUMMYFUNCTION("IFERROR(REGEXEXTRACT(J121,""""""ratio"""": (\d+.\d+), """"language"""": """"Python""""""),"""")"),"")</f>
        <v/>
      </c>
      <c r="X121" s="15" t="str">
        <f t="shared" si="1"/>
        <v/>
      </c>
    </row>
    <row r="122">
      <c r="A122" s="10"/>
      <c r="B122" s="10"/>
      <c r="C122" s="10"/>
      <c r="D122" s="10"/>
      <c r="E122" s="10"/>
      <c r="F122" s="10"/>
      <c r="G122" s="10"/>
      <c r="H122" s="12"/>
      <c r="I122" s="12"/>
      <c r="J122" s="10"/>
      <c r="K122" s="10"/>
      <c r="L122" s="10"/>
      <c r="M122" s="10"/>
      <c r="N122" s="12"/>
      <c r="O122" s="12"/>
      <c r="P122" s="12"/>
      <c r="Q122" s="12"/>
      <c r="R122" s="12"/>
      <c r="S122" s="12"/>
      <c r="T122" s="12"/>
      <c r="U122" s="12"/>
      <c r="V122" s="14"/>
      <c r="W122" s="15" t="str">
        <f>IFERROR(__xludf.DUMMYFUNCTION("IFERROR(REGEXEXTRACT(J122,""""""ratio"""": (\d+.\d+), """"language"""": """"Python""""""),"""")"),"")</f>
        <v/>
      </c>
      <c r="X122" s="15" t="str">
        <f t="shared" si="1"/>
        <v/>
      </c>
    </row>
    <row r="123">
      <c r="A123" s="10"/>
      <c r="B123" s="10"/>
      <c r="C123" s="10"/>
      <c r="D123" s="10"/>
      <c r="E123" s="10"/>
      <c r="F123" s="10"/>
      <c r="G123" s="10"/>
      <c r="H123" s="12"/>
      <c r="I123" s="12"/>
      <c r="J123" s="10"/>
      <c r="K123" s="10"/>
      <c r="L123" s="10"/>
      <c r="M123" s="10"/>
      <c r="N123" s="12"/>
      <c r="O123" s="12"/>
      <c r="P123" s="12"/>
      <c r="Q123" s="12"/>
      <c r="R123" s="12"/>
      <c r="S123" s="12"/>
      <c r="T123" s="12"/>
      <c r="U123" s="12"/>
      <c r="V123" s="14"/>
      <c r="W123" s="15" t="str">
        <f>IFERROR(__xludf.DUMMYFUNCTION("IFERROR(REGEXEXTRACT(J123,""""""ratio"""": (\d+.\d+), """"language"""": """"Python""""""),"""")"),"")</f>
        <v/>
      </c>
      <c r="X123" s="15" t="str">
        <f t="shared" si="1"/>
        <v/>
      </c>
    </row>
    <row r="124">
      <c r="A124" s="10"/>
      <c r="B124" s="10"/>
      <c r="C124" s="10"/>
      <c r="D124" s="10"/>
      <c r="E124" s="10"/>
      <c r="F124" s="10"/>
      <c r="G124" s="10"/>
      <c r="H124" s="12"/>
      <c r="I124" s="12"/>
      <c r="J124" s="10"/>
      <c r="K124" s="10"/>
      <c r="L124" s="10"/>
      <c r="M124" s="10"/>
      <c r="N124" s="12"/>
      <c r="O124" s="12"/>
      <c r="P124" s="12"/>
      <c r="Q124" s="12"/>
      <c r="R124" s="12"/>
      <c r="S124" s="12"/>
      <c r="T124" s="12"/>
      <c r="U124" s="12"/>
      <c r="V124" s="14"/>
      <c r="W124" s="15" t="str">
        <f>IFERROR(__xludf.DUMMYFUNCTION("IFERROR(REGEXEXTRACT(J124,""""""ratio"""": (\d+.\d+), """"language"""": """"Python""""""),"""")"),"")</f>
        <v/>
      </c>
      <c r="X124" s="15" t="str">
        <f t="shared" si="1"/>
        <v/>
      </c>
    </row>
    <row r="125">
      <c r="A125" s="10"/>
      <c r="B125" s="10"/>
      <c r="C125" s="10"/>
      <c r="D125" s="10"/>
      <c r="E125" s="10"/>
      <c r="F125" s="10"/>
      <c r="G125" s="10"/>
      <c r="H125" s="12"/>
      <c r="I125" s="12"/>
      <c r="J125" s="10"/>
      <c r="K125" s="10"/>
      <c r="L125" s="10"/>
      <c r="M125" s="10"/>
      <c r="N125" s="12"/>
      <c r="O125" s="12"/>
      <c r="P125" s="12"/>
      <c r="Q125" s="12"/>
      <c r="R125" s="12"/>
      <c r="S125" s="12"/>
      <c r="T125" s="12"/>
      <c r="U125" s="12"/>
      <c r="V125" s="14"/>
      <c r="W125" s="15" t="str">
        <f>IFERROR(__xludf.DUMMYFUNCTION("IFERROR(REGEXEXTRACT(J125,""""""ratio"""": (\d+.\d+), """"language"""": """"Python""""""),"""")"),"")</f>
        <v/>
      </c>
      <c r="X125" s="15" t="str">
        <f t="shared" si="1"/>
        <v/>
      </c>
    </row>
    <row r="126">
      <c r="A126" s="10"/>
      <c r="B126" s="10"/>
      <c r="C126" s="10"/>
      <c r="D126" s="10"/>
      <c r="E126" s="10"/>
      <c r="F126" s="10"/>
      <c r="G126" s="10"/>
      <c r="H126" s="12"/>
      <c r="I126" s="12"/>
      <c r="J126" s="10"/>
      <c r="K126" s="10"/>
      <c r="L126" s="10"/>
      <c r="M126" s="10"/>
      <c r="N126" s="12"/>
      <c r="O126" s="12"/>
      <c r="P126" s="12"/>
      <c r="Q126" s="12"/>
      <c r="R126" s="12"/>
      <c r="S126" s="12"/>
      <c r="T126" s="12"/>
      <c r="U126" s="12"/>
      <c r="V126" s="14"/>
      <c r="W126" s="15" t="str">
        <f>IFERROR(__xludf.DUMMYFUNCTION("IFERROR(REGEXEXTRACT(J126,""""""ratio"""": (\d+.\d+), """"language"""": """"Python""""""),"""")"),"")</f>
        <v/>
      </c>
      <c r="X126" s="15" t="str">
        <f t="shared" si="1"/>
        <v/>
      </c>
    </row>
    <row r="127">
      <c r="A127" s="10"/>
      <c r="B127" s="10"/>
      <c r="C127" s="10"/>
      <c r="D127" s="10"/>
      <c r="E127" s="10"/>
      <c r="F127" s="10"/>
      <c r="G127" s="10"/>
      <c r="H127" s="12"/>
      <c r="I127" s="12"/>
      <c r="J127" s="10"/>
      <c r="K127" s="10"/>
      <c r="L127" s="10"/>
      <c r="M127" s="10"/>
      <c r="N127" s="12"/>
      <c r="O127" s="12"/>
      <c r="P127" s="12"/>
      <c r="Q127" s="12"/>
      <c r="R127" s="12"/>
      <c r="S127" s="12"/>
      <c r="T127" s="12"/>
      <c r="U127" s="12"/>
      <c r="V127" s="14"/>
      <c r="W127" s="15" t="str">
        <f>IFERROR(__xludf.DUMMYFUNCTION("IFERROR(REGEXEXTRACT(J127,""""""ratio"""": (\d+.\d+), """"language"""": """"Python""""""),"""")"),"")</f>
        <v/>
      </c>
      <c r="X127" s="15" t="str">
        <f t="shared" si="1"/>
        <v/>
      </c>
    </row>
    <row r="128">
      <c r="A128" s="10"/>
      <c r="B128" s="10"/>
      <c r="C128" s="10"/>
      <c r="D128" s="10"/>
      <c r="E128" s="10"/>
      <c r="F128" s="10"/>
      <c r="G128" s="10"/>
      <c r="H128" s="12"/>
      <c r="I128" s="12"/>
      <c r="J128" s="10"/>
      <c r="K128" s="10"/>
      <c r="L128" s="10"/>
      <c r="M128" s="10"/>
      <c r="N128" s="12"/>
      <c r="O128" s="12"/>
      <c r="P128" s="12"/>
      <c r="Q128" s="12"/>
      <c r="R128" s="12"/>
      <c r="S128" s="12"/>
      <c r="T128" s="12"/>
      <c r="U128" s="12"/>
      <c r="V128" s="14"/>
      <c r="W128" s="15" t="str">
        <f>IFERROR(__xludf.DUMMYFUNCTION("IFERROR(REGEXEXTRACT(J128,""""""ratio"""": (\d+.\d+), """"language"""": """"Python""""""),"""")"),"")</f>
        <v/>
      </c>
      <c r="X128" s="15" t="str">
        <f t="shared" si="1"/>
        <v/>
      </c>
    </row>
    <row r="129">
      <c r="A129" s="10"/>
      <c r="B129" s="10"/>
      <c r="C129" s="10"/>
      <c r="D129" s="10"/>
      <c r="E129" s="10"/>
      <c r="F129" s="10"/>
      <c r="G129" s="10"/>
      <c r="H129" s="12"/>
      <c r="I129" s="12"/>
      <c r="J129" s="10"/>
      <c r="K129" s="10"/>
      <c r="L129" s="10"/>
      <c r="M129" s="10"/>
      <c r="N129" s="12"/>
      <c r="O129" s="12"/>
      <c r="P129" s="12"/>
      <c r="Q129" s="12"/>
      <c r="R129" s="12"/>
      <c r="S129" s="12"/>
      <c r="T129" s="12"/>
      <c r="U129" s="12"/>
      <c r="V129" s="14"/>
      <c r="W129" s="15" t="str">
        <f>IFERROR(__xludf.DUMMYFUNCTION("IFERROR(REGEXEXTRACT(J129,""""""ratio"""": (\d+.\d+), """"language"""": """"Python""""""),"""")"),"")</f>
        <v/>
      </c>
      <c r="X129" s="15" t="str">
        <f t="shared" si="1"/>
        <v/>
      </c>
    </row>
    <row r="130">
      <c r="A130" s="10"/>
      <c r="B130" s="10"/>
      <c r="C130" s="10"/>
      <c r="D130" s="10"/>
      <c r="E130" s="10"/>
      <c r="F130" s="10"/>
      <c r="G130" s="10"/>
      <c r="H130" s="12"/>
      <c r="I130" s="12"/>
      <c r="J130" s="10"/>
      <c r="K130" s="10"/>
      <c r="L130" s="10"/>
      <c r="M130" s="10"/>
      <c r="N130" s="12"/>
      <c r="O130" s="12"/>
      <c r="P130" s="12"/>
      <c r="Q130" s="12"/>
      <c r="R130" s="12"/>
      <c r="S130" s="12"/>
      <c r="T130" s="12"/>
      <c r="U130" s="12"/>
      <c r="V130" s="14"/>
      <c r="W130" s="15" t="str">
        <f>IFERROR(__xludf.DUMMYFUNCTION("IFERROR(REGEXEXTRACT(J130,""""""ratio"""": (\d+.\d+), """"language"""": """"Python""""""),"""")"),"")</f>
        <v/>
      </c>
      <c r="X130" s="15" t="str">
        <f t="shared" si="1"/>
        <v/>
      </c>
    </row>
    <row r="131">
      <c r="A131" s="10"/>
      <c r="B131" s="10"/>
      <c r="C131" s="10"/>
      <c r="D131" s="10"/>
      <c r="E131" s="10"/>
      <c r="F131" s="10"/>
      <c r="G131" s="10"/>
      <c r="H131" s="12"/>
      <c r="I131" s="12"/>
      <c r="J131" s="10"/>
      <c r="K131" s="10"/>
      <c r="L131" s="10"/>
      <c r="M131" s="10"/>
      <c r="N131" s="12"/>
      <c r="O131" s="12"/>
      <c r="P131" s="12"/>
      <c r="Q131" s="12"/>
      <c r="R131" s="12"/>
      <c r="S131" s="12"/>
      <c r="T131" s="12"/>
      <c r="U131" s="12"/>
      <c r="V131" s="14"/>
      <c r="W131" s="15" t="str">
        <f>IFERROR(__xludf.DUMMYFUNCTION("IFERROR(REGEXEXTRACT(J131,""""""ratio"""": (\d+.\d+), """"language"""": """"Python""""""),"""")"),"")</f>
        <v/>
      </c>
      <c r="X131" s="15" t="str">
        <f t="shared" si="1"/>
        <v/>
      </c>
    </row>
    <row r="132">
      <c r="A132" s="10"/>
      <c r="B132" s="10"/>
      <c r="C132" s="10"/>
      <c r="D132" s="10"/>
      <c r="E132" s="10"/>
      <c r="F132" s="10"/>
      <c r="G132" s="10"/>
      <c r="H132" s="12"/>
      <c r="I132" s="12"/>
      <c r="J132" s="10"/>
      <c r="K132" s="10"/>
      <c r="L132" s="10"/>
      <c r="M132" s="10"/>
      <c r="N132" s="12"/>
      <c r="O132" s="12"/>
      <c r="P132" s="12"/>
      <c r="Q132" s="12"/>
      <c r="R132" s="12"/>
      <c r="S132" s="12"/>
      <c r="T132" s="12"/>
      <c r="U132" s="12"/>
      <c r="V132" s="14"/>
      <c r="W132" s="15" t="str">
        <f>IFERROR(__xludf.DUMMYFUNCTION("IFERROR(REGEXEXTRACT(J132,""""""ratio"""": (\d+.\d+), """"language"""": """"Python""""""),"""")"),"")</f>
        <v/>
      </c>
      <c r="X132" s="15" t="str">
        <f t="shared" si="1"/>
        <v/>
      </c>
    </row>
    <row r="133">
      <c r="A133" s="10"/>
      <c r="B133" s="10"/>
      <c r="C133" s="10"/>
      <c r="D133" s="10"/>
      <c r="E133" s="10"/>
      <c r="F133" s="10"/>
      <c r="G133" s="10"/>
      <c r="H133" s="12"/>
      <c r="I133" s="12"/>
      <c r="J133" s="10"/>
      <c r="K133" s="10"/>
      <c r="L133" s="10"/>
      <c r="M133" s="10"/>
      <c r="N133" s="12"/>
      <c r="O133" s="12"/>
      <c r="P133" s="12"/>
      <c r="Q133" s="12"/>
      <c r="R133" s="12"/>
      <c r="S133" s="12"/>
      <c r="T133" s="12"/>
      <c r="U133" s="12"/>
      <c r="V133" s="14"/>
      <c r="W133" s="15" t="str">
        <f>IFERROR(__xludf.DUMMYFUNCTION("IFERROR(REGEXEXTRACT(J133,""""""ratio"""": (\d+.\d+), """"language"""": """"Python""""""),"""")"),"")</f>
        <v/>
      </c>
      <c r="X133" s="15" t="str">
        <f t="shared" si="1"/>
        <v/>
      </c>
    </row>
    <row r="134">
      <c r="A134" s="10"/>
      <c r="B134" s="10"/>
      <c r="C134" s="10"/>
      <c r="D134" s="10"/>
      <c r="E134" s="10"/>
      <c r="F134" s="10"/>
      <c r="G134" s="10"/>
      <c r="H134" s="12"/>
      <c r="I134" s="12"/>
      <c r="J134" s="10"/>
      <c r="K134" s="10"/>
      <c r="L134" s="10"/>
      <c r="M134" s="10"/>
      <c r="N134" s="12"/>
      <c r="O134" s="12"/>
      <c r="P134" s="12"/>
      <c r="Q134" s="12"/>
      <c r="R134" s="12"/>
      <c r="S134" s="12"/>
      <c r="T134" s="12"/>
      <c r="U134" s="12"/>
      <c r="V134" s="14"/>
      <c r="W134" s="15" t="str">
        <f>IFERROR(__xludf.DUMMYFUNCTION("IFERROR(REGEXEXTRACT(J134,""""""ratio"""": (\d+.\d+), """"language"""": """"Python""""""),"""")"),"")</f>
        <v/>
      </c>
      <c r="X134" s="15" t="str">
        <f t="shared" si="1"/>
        <v/>
      </c>
    </row>
  </sheetData>
  <customSheetViews>
    <customSheetView guid="{AA28E2F1-A5FE-4B5D-9798-9B6838474341}" filter="1" showAutoFilter="1">
      <autoFilter ref="$V$1:$V$134">
        <filterColumn colId="0">
          <customFilters>
            <customFilter operator="greaterThanOrEqual" val="85"/>
          </customFilters>
        </filterColumn>
      </autoFilter>
    </customSheetView>
  </customSheetView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s>
  <drawing r:id="rId48"/>
  <legacyDrawing r:id="rId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7"/>
    <col customWidth="1" min="2" max="2" width="41.57"/>
    <col customWidth="1" min="3" max="3" width="47.57"/>
    <col customWidth="1" min="4" max="4" width="28.71"/>
    <col customWidth="1" min="5" max="6" width="19.57"/>
  </cols>
  <sheetData>
    <row r="1">
      <c r="A1" s="16" t="s">
        <v>22</v>
      </c>
      <c r="B1" s="17" t="s">
        <v>23</v>
      </c>
      <c r="C1" s="17" t="s">
        <v>24</v>
      </c>
      <c r="D1" s="18" t="s">
        <v>25</v>
      </c>
      <c r="E1" s="19" t="str">
        <f>CONCATENATE(E2*100, "TH PERCENTILE")</f>
        <v>20TH PERCENTILE</v>
      </c>
      <c r="F1" s="19" t="s">
        <v>26</v>
      </c>
    </row>
    <row r="2">
      <c r="A2" s="20"/>
      <c r="B2" s="21"/>
      <c r="C2" s="21"/>
      <c r="D2" s="22"/>
      <c r="E2" s="23">
        <v>0.2</v>
      </c>
      <c r="F2" s="19"/>
    </row>
    <row r="3">
      <c r="A3" s="24" t="s">
        <v>27</v>
      </c>
      <c r="B3" s="25" t="s">
        <v>28</v>
      </c>
      <c r="C3" s="26" t="str">
        <f>CONCATENATE(D3, " commits or more [", E2*100, "th Percentile]")</f>
        <v>2968 commits or more [20th Percentile]</v>
      </c>
      <c r="D3" s="27">
        <v>2968.0</v>
      </c>
      <c r="E3" s="28">
        <f>'﹪ Commits'!E2</f>
        <v>2968</v>
      </c>
      <c r="F3" s="19">
        <v>1500.0</v>
      </c>
    </row>
    <row r="4">
      <c r="A4" s="29" t="s">
        <v>29</v>
      </c>
      <c r="B4" s="30" t="s">
        <v>30</v>
      </c>
      <c r="C4" s="31" t="str">
        <f>CONCATENATE(D4, " contributors or more [", E2*100, "th Percentile]")</f>
        <v>90 contributors or more [20th Percentile]</v>
      </c>
      <c r="D4" s="32">
        <v>90.0</v>
      </c>
      <c r="E4" s="28">
        <f>'﹪ Contributors'!E2</f>
        <v>90.4</v>
      </c>
      <c r="F4" s="19">
        <v>100.0</v>
      </c>
    </row>
    <row r="5">
      <c r="A5" s="29" t="s">
        <v>31</v>
      </c>
      <c r="B5" s="30" t="s">
        <v>32</v>
      </c>
      <c r="C5" s="33" t="str">
        <f>CONCATENATE(80, "% Python or higher")</f>
        <v>80% Python or higher</v>
      </c>
      <c r="D5" s="34" t="s">
        <v>33</v>
      </c>
      <c r="E5" s="35"/>
      <c r="F5" s="35" t="s">
        <v>34</v>
      </c>
    </row>
    <row r="6">
      <c r="A6" s="29" t="s">
        <v>35</v>
      </c>
      <c r="B6" s="30" t="s">
        <v>36</v>
      </c>
      <c r="C6" s="31" t="str">
        <f>CONCATENATE(D6, " releases or more [", E2*100, "th Percentile]")</f>
        <v>44 releases or more [20th Percentile]</v>
      </c>
      <c r="D6" s="32">
        <v>44.0</v>
      </c>
      <c r="E6" s="28">
        <f>'﹪ Releases'!E2</f>
        <v>44</v>
      </c>
      <c r="F6" s="19">
        <v>25.0</v>
      </c>
    </row>
    <row r="7">
      <c r="A7" s="36" t="s">
        <v>37</v>
      </c>
      <c r="B7" s="37" t="s">
        <v>38</v>
      </c>
      <c r="C7" s="38" t="str">
        <f>CONCATENATE(D7, " months or older (", D7/12, " years) [", E2*100, "th Percentile]")</f>
        <v>66 months or older (5.5 years) [20th Percentile]</v>
      </c>
      <c r="D7" s="39">
        <v>66.0</v>
      </c>
      <c r="E7" s="28">
        <f>'﹪ Age'!E2</f>
        <v>66.4</v>
      </c>
      <c r="F7" s="19">
        <v>84.0</v>
      </c>
    </row>
    <row r="8">
      <c r="A8" s="40"/>
      <c r="B8" s="41" t="s">
        <v>39</v>
      </c>
      <c r="C8" s="41" t="s">
        <v>40</v>
      </c>
      <c r="D8" s="41"/>
      <c r="E8" s="19"/>
      <c r="F8" s="19"/>
    </row>
    <row r="9">
      <c r="A9" s="20" t="s">
        <v>41</v>
      </c>
      <c r="B9" s="21" t="s">
        <v>42</v>
      </c>
      <c r="C9" s="21" t="s">
        <v>43</v>
      </c>
      <c r="D9" s="21"/>
      <c r="E9" s="19"/>
      <c r="F9" s="1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7" width="32.57"/>
  </cols>
  <sheetData>
    <row r="1">
      <c r="A1" s="42" t="s">
        <v>44</v>
      </c>
      <c r="B1" s="43" t="str">
        <f>CONCATENATE('✅ Filter Rules'!D3, " or more commits")</f>
        <v>2968 or more commits</v>
      </c>
      <c r="C1" s="43" t="str">
        <f>CONCATENATE('✅ Filter Rules'!D4, " or more contributors")</f>
        <v>90 or more contributors</v>
      </c>
      <c r="D1" s="44" t="s">
        <v>45</v>
      </c>
      <c r="E1" s="43" t="str">
        <f>CONCATENATE('✅ Filter Rules'!D6, " or more releases")</f>
        <v>44 or more releases</v>
      </c>
      <c r="F1" s="43" t="str">
        <f>CONCATENATE('✅ Filter Rules'!D7, " months or older")</f>
        <v>66 months or older</v>
      </c>
      <c r="G1" s="44" t="s">
        <v>46</v>
      </c>
    </row>
    <row r="2">
      <c r="A2" s="45" t="str">
        <f>IFERROR(__xludf.DUMMYFUNCTION("filter(
'Original Set'!A3:A135, 
'Original Set'!H3:H135&gt;='✅ Filter Rules'!D3,
'Original Set'!I3:I135&gt;='✅ Filter Rules'!D4,
REGEXMATCH('Original Set'!J3:J135, """"""ratio"""": (0.[89]\d*)|(1.0), """"language"""": """"Python""""""),
'Original Set'!N3:N135&gt;"&amp;"='✅ Filter Rules'!D6,
'Original Set'!V3:V135&gt;='✅ Filter Rules'!D7
)"),"ansible/ansible")</f>
        <v>ansible/ansible</v>
      </c>
      <c r="B2" s="46" t="str">
        <f>IFERROR(__xludf.DUMMYFUNCTION("filter('Original Set'!A3:A135, 'Original Set'!H3:H135&gt;='✅ Filter Rules'!D3)"),"ansible/ansible")</f>
        <v>ansible/ansible</v>
      </c>
      <c r="C2" s="46" t="str">
        <f>IFERROR(__xludf.DUMMYFUNCTION("filter('Original Set'!A3:A135, 'Original Set'!I3:I135&gt;='✅ Filter Rules'!D4)"),"ansible/ansible")</f>
        <v>ansible/ansible</v>
      </c>
      <c r="D2" s="46" t="str">
        <f>IFERROR(__xludf.DUMMYFUNCTION("filter('Original Set'!A3:A135, REGEXMATCH('Original Set'!J3:J135, """"""ratio"""": (0.[89]\d*)|(1.0), """"language"""": """"Python""""""))"),"ansible/ansible")</f>
        <v>ansible/ansible</v>
      </c>
      <c r="E2" s="46" t="str">
        <f>IFERROR(__xludf.DUMMYFUNCTION("filter('Original Set'!A3:A135,'Original Set'!N3:N135&gt;='✅ Filter Rules'!D6)"),"ajenti/ajenti")</f>
        <v>ajenti/ajenti</v>
      </c>
      <c r="F2" s="46" t="str">
        <f>IFERROR(__xludf.DUMMYFUNCTION("filter('Original Set'!A3:A135,'Original Set'!V3:V135&gt;='✅ Filter Rules'!D7)"),"ajenti/ajenti")</f>
        <v>ajenti/ajenti</v>
      </c>
      <c r="G2" s="46" t="str">
        <f>IFERROR(__xludf.DUMMYFUNCTION("filter('Original Set'!A3:A136, REGEXMATCH('Original Set'!G3:G136, ""\\""""(\w+\-?\w+\-?\w+)\\""""""))"),"ajenti/ajenti")</f>
        <v>ajenti/ajenti</v>
      </c>
    </row>
    <row r="3">
      <c r="A3" s="45" t="str">
        <f>IFERROR(__xludf.DUMMYFUNCTION("""COMPUTED_VALUE"""),"astropy/astropy")</f>
        <v>astropy/astropy</v>
      </c>
      <c r="B3" s="46" t="str">
        <f>IFERROR(__xludf.DUMMYFUNCTION("""COMPUTED_VALUE"""),"astropy/astropy")</f>
        <v>astropy/astropy</v>
      </c>
      <c r="C3" s="46" t="str">
        <f>IFERROR(__xludf.DUMMYFUNCTION("""COMPUTED_VALUE"""),"astropy/astropy")</f>
        <v>astropy/astropy</v>
      </c>
      <c r="D3" s="46" t="str">
        <f>IFERROR(__xludf.DUMMYFUNCTION("""COMPUTED_VALUE"""),"astropy/astropy")</f>
        <v>astropy/astropy</v>
      </c>
      <c r="E3" s="46" t="str">
        <f>IFERROR(__xludf.DUMMYFUNCTION("""COMPUTED_VALUE"""),"ansible/ansible")</f>
        <v>ansible/ansible</v>
      </c>
      <c r="F3" s="46" t="str">
        <f>IFERROR(__xludf.DUMMYFUNCTION("""COMPUTED_VALUE"""),"ansible/ansible")</f>
        <v>ansible/ansible</v>
      </c>
      <c r="G3" s="46" t="str">
        <f>IFERROR(__xludf.DUMMYFUNCTION("""COMPUTED_VALUE"""),"ansible/ansible")</f>
        <v>ansible/ansible</v>
      </c>
    </row>
    <row r="4">
      <c r="A4" s="45" t="str">
        <f>IFERROR(__xludf.DUMMYFUNCTION("""COMPUTED_VALUE"""),"crossbario/autobahn-python")</f>
        <v>crossbario/autobahn-python</v>
      </c>
      <c r="B4" s="46" t="str">
        <f>IFERROR(__xludf.DUMMYFUNCTION("""COMPUTED_VALUE"""),"crossbario/autobahn-python")</f>
        <v>crossbario/autobahn-python</v>
      </c>
      <c r="C4" s="46" t="str">
        <f>IFERROR(__xludf.DUMMYFUNCTION("""COMPUTED_VALUE"""),"crossbario/autobahn-python")</f>
        <v>crossbario/autobahn-python</v>
      </c>
      <c r="D4" s="46" t="str">
        <f>IFERROR(__xludf.DUMMYFUNCTION("""COMPUTED_VALUE"""),"crossbario/autobahn-python")</f>
        <v>crossbario/autobahn-python</v>
      </c>
      <c r="E4" s="46" t="str">
        <f>IFERROR(__xludf.DUMMYFUNCTION("""COMPUTED_VALUE"""),"astropy/astropy")</f>
        <v>astropy/astropy</v>
      </c>
      <c r="F4" s="46" t="str">
        <f>IFERROR(__xludf.DUMMYFUNCTION("""COMPUTED_VALUE"""),"astropy/astropy")</f>
        <v>astropy/astropy</v>
      </c>
      <c r="G4" s="46" t="str">
        <f>IFERROR(__xludf.DUMMYFUNCTION("""COMPUTED_VALUE"""),"astropy/astropy")</f>
        <v>astropy/astropy</v>
      </c>
    </row>
    <row r="5">
      <c r="A5" s="45" t="str">
        <f>IFERROR(__xludf.DUMMYFUNCTION("""COMPUTED_VALUE"""),"aws/aws-cli")</f>
        <v>aws/aws-cli</v>
      </c>
      <c r="B5" s="46" t="str">
        <f>IFERROR(__xludf.DUMMYFUNCTION("""COMPUTED_VALUE"""),"aws/aws-cli")</f>
        <v>aws/aws-cli</v>
      </c>
      <c r="C5" s="46" t="str">
        <f>IFERROR(__xludf.DUMMYFUNCTION("""COMPUTED_VALUE"""),"aws/aws-cli")</f>
        <v>aws/aws-cli</v>
      </c>
      <c r="D5" s="46" t="str">
        <f>IFERROR(__xludf.DUMMYFUNCTION("""COMPUTED_VALUE"""),"aws/aws-cli")</f>
        <v>aws/aws-cli</v>
      </c>
      <c r="E5" s="46" t="str">
        <f>IFERROR(__xludf.DUMMYFUNCTION("""COMPUTED_VALUE"""),"crossbario/autobahn-python")</f>
        <v>crossbario/autobahn-python</v>
      </c>
      <c r="F5" s="46" t="str">
        <f>IFERROR(__xludf.DUMMYFUNCTION("""COMPUTED_VALUE"""),"crossbario/autobahn-python")</f>
        <v>crossbario/autobahn-python</v>
      </c>
      <c r="G5" s="46" t="str">
        <f>IFERROR(__xludf.DUMMYFUNCTION("""COMPUTED_VALUE"""),"crossbario/autobahn-python")</f>
        <v>crossbario/autobahn-python</v>
      </c>
    </row>
    <row r="6">
      <c r="A6" s="45" t="str">
        <f>IFERROR(__xludf.DUMMYFUNCTION("""COMPUTED_VALUE"""),"beetbox/beets")</f>
        <v>beetbox/beets</v>
      </c>
      <c r="B6" s="46" t="str">
        <f>IFERROR(__xludf.DUMMYFUNCTION("""COMPUTED_VALUE"""),"beetbox/beets")</f>
        <v>beetbox/beets</v>
      </c>
      <c r="C6" s="46" t="str">
        <f>IFERROR(__xludf.DUMMYFUNCTION("""COMPUTED_VALUE"""),"beetbox/beets")</f>
        <v>beetbox/beets</v>
      </c>
      <c r="D6" s="46" t="str">
        <f>IFERROR(__xludf.DUMMYFUNCTION("""COMPUTED_VALUE"""),"beetbox/beets")</f>
        <v>beetbox/beets</v>
      </c>
      <c r="E6" s="46" t="str">
        <f>IFERROR(__xludf.DUMMYFUNCTION("""COMPUTED_VALUE"""),"aws/aws-cli")</f>
        <v>aws/aws-cli</v>
      </c>
      <c r="F6" s="46" t="str">
        <f>IFERROR(__xludf.DUMMYFUNCTION("""COMPUTED_VALUE"""),"aws/aws-cli")</f>
        <v>aws/aws-cli</v>
      </c>
      <c r="G6" s="46" t="str">
        <f>IFERROR(__xludf.DUMMYFUNCTION("""COMPUTED_VALUE"""),"aws/aws-cli")</f>
        <v>aws/aws-cli</v>
      </c>
    </row>
    <row r="7">
      <c r="A7" s="45" t="str">
        <f>IFERROR(__xludf.DUMMYFUNCTION("""COMPUTED_VALUE"""),"biopython/biopython")</f>
        <v>biopython/biopython</v>
      </c>
      <c r="B7" s="46" t="str">
        <f>IFERROR(__xludf.DUMMYFUNCTION("""COMPUTED_VALUE"""),"biopython/biopython")</f>
        <v>biopython/biopython</v>
      </c>
      <c r="C7" s="46" t="str">
        <f>IFERROR(__xludf.DUMMYFUNCTION("""COMPUTED_VALUE"""),"biopython/biopython")</f>
        <v>biopython/biopython</v>
      </c>
      <c r="D7" s="46" t="str">
        <f>IFERROR(__xludf.DUMMYFUNCTION("""COMPUTED_VALUE"""),"biopython/biopython")</f>
        <v>biopython/biopython</v>
      </c>
      <c r="E7" s="46" t="str">
        <f>IFERROR(__xludf.DUMMYFUNCTION("""COMPUTED_VALUE"""),"beetbox/beets")</f>
        <v>beetbox/beets</v>
      </c>
      <c r="F7" s="46" t="str">
        <f>IFERROR(__xludf.DUMMYFUNCTION("""COMPUTED_VALUE"""),"beetbox/beets")</f>
        <v>beetbox/beets</v>
      </c>
      <c r="G7" s="46" t="str">
        <f>IFERROR(__xludf.DUMMYFUNCTION("""COMPUTED_VALUE"""),"beetbox/beets")</f>
        <v>beetbox/beets</v>
      </c>
    </row>
    <row r="8">
      <c r="A8" s="45" t="str">
        <f>IFERROR(__xludf.DUMMYFUNCTION("""COMPUTED_VALUE"""),"boto/boto")</f>
        <v>boto/boto</v>
      </c>
      <c r="B8" s="46" t="str">
        <f>IFERROR(__xludf.DUMMYFUNCTION("""COMPUTED_VALUE"""),"blaze/blaze")</f>
        <v>blaze/blaze</v>
      </c>
      <c r="C8" s="46" t="str">
        <f>IFERROR(__xludf.DUMMYFUNCTION("""COMPUTED_VALUE"""),"bokeh/bokeh")</f>
        <v>bokeh/bokeh</v>
      </c>
      <c r="D8" s="46" t="str">
        <f>IFERROR(__xludf.DUMMYFUNCTION("""COMPUTED_VALUE"""),"blaze/blaze")</f>
        <v>blaze/blaze</v>
      </c>
      <c r="E8" s="46" t="str">
        <f>IFERROR(__xludf.DUMMYFUNCTION("""COMPUTED_VALUE"""),"biopython/biopython")</f>
        <v>biopython/biopython</v>
      </c>
      <c r="F8" s="46" t="str">
        <f>IFERROR(__xludf.DUMMYFUNCTION("""COMPUTED_VALUE"""),"biopython/biopython")</f>
        <v>biopython/biopython</v>
      </c>
      <c r="G8" s="46" t="str">
        <f>IFERROR(__xludf.DUMMYFUNCTION("""COMPUTED_VALUE"""),"bokeh/bokeh")</f>
        <v>bokeh/bokeh</v>
      </c>
    </row>
    <row r="9">
      <c r="A9" s="45" t="str">
        <f>IFERROR(__xludf.DUMMYFUNCTION("""COMPUTED_VALUE"""),"buildbot/buildbot")</f>
        <v>buildbot/buildbot</v>
      </c>
      <c r="B9" s="46" t="str">
        <f>IFERROR(__xludf.DUMMYFUNCTION("""COMPUTED_VALUE"""),"bokeh/bokeh")</f>
        <v>bokeh/bokeh</v>
      </c>
      <c r="C9" s="46" t="str">
        <f>IFERROR(__xludf.DUMMYFUNCTION("""COMPUTED_VALUE"""),"boto/boto")</f>
        <v>boto/boto</v>
      </c>
      <c r="D9" s="46" t="str">
        <f>IFERROR(__xludf.DUMMYFUNCTION("""COMPUTED_VALUE"""),"boto/boto")</f>
        <v>boto/boto</v>
      </c>
      <c r="E9" s="46" t="str">
        <f>IFERROR(__xludf.DUMMYFUNCTION("""COMPUTED_VALUE"""),"blaze/blaze")</f>
        <v>blaze/blaze</v>
      </c>
      <c r="F9" s="46" t="str">
        <f>IFERROR(__xludf.DUMMYFUNCTION("""COMPUTED_VALUE"""),"blaze/blaze")</f>
        <v>blaze/blaze</v>
      </c>
      <c r="G9" s="46" t="str">
        <f>IFERROR(__xludf.DUMMYFUNCTION("""COMPUTED_VALUE"""),"boto/boto3")</f>
        <v>boto/boto3</v>
      </c>
    </row>
    <row r="10">
      <c r="A10" s="45" t="str">
        <f>IFERROR(__xludf.DUMMYFUNCTION("""COMPUTED_VALUE"""),"celery/celery")</f>
        <v>celery/celery</v>
      </c>
      <c r="B10" s="46" t="str">
        <f>IFERROR(__xludf.DUMMYFUNCTION("""COMPUTED_VALUE"""),"boto/boto")</f>
        <v>boto/boto</v>
      </c>
      <c r="C10" s="46" t="str">
        <f>IFERROR(__xludf.DUMMYFUNCTION("""COMPUTED_VALUE"""),"buildbot/buildbot")</f>
        <v>buildbot/buildbot</v>
      </c>
      <c r="D10" s="46" t="str">
        <f>IFERROR(__xludf.DUMMYFUNCTION("""COMPUTED_VALUE"""),"boto/boto3")</f>
        <v>boto/boto3</v>
      </c>
      <c r="E10" s="46" t="str">
        <f>IFERROR(__xludf.DUMMYFUNCTION("""COMPUTED_VALUE"""),"bokeh/bokeh")</f>
        <v>bokeh/bokeh</v>
      </c>
      <c r="F10" s="46" t="str">
        <f>IFERROR(__xludf.DUMMYFUNCTION("""COMPUTED_VALUE"""),"bokeh/bokeh")</f>
        <v>bokeh/bokeh</v>
      </c>
      <c r="G10" s="46" t="str">
        <f>IFERROR(__xludf.DUMMYFUNCTION("""COMPUTED_VALUE"""),"buildbot/buildbot")</f>
        <v>buildbot/buildbot</v>
      </c>
    </row>
    <row r="11">
      <c r="A11" s="45" t="str">
        <f>IFERROR(__xludf.DUMMYFUNCTION("""COMPUTED_VALUE"""),"cobbler/cobbler")</f>
        <v>cobbler/cobbler</v>
      </c>
      <c r="B11" s="46" t="str">
        <f>IFERROR(__xludf.DUMMYFUNCTION("""COMPUTED_VALUE"""),"buildbot/buildbot")</f>
        <v>buildbot/buildbot</v>
      </c>
      <c r="C11" s="46" t="str">
        <f>IFERROR(__xludf.DUMMYFUNCTION("""COMPUTED_VALUE"""),"kovidgoyal/calibre")</f>
        <v>kovidgoyal/calibre</v>
      </c>
      <c r="D11" s="46" t="str">
        <f>IFERROR(__xludf.DUMMYFUNCTION("""COMPUTED_VALUE"""),"buildbot/buildbot")</f>
        <v>buildbot/buildbot</v>
      </c>
      <c r="E11" s="46" t="str">
        <f>IFERROR(__xludf.DUMMYFUNCTION("""COMPUTED_VALUE"""),"boto/boto")</f>
        <v>boto/boto</v>
      </c>
      <c r="F11" s="46" t="str">
        <f>IFERROR(__xludf.DUMMYFUNCTION("""COMPUTED_VALUE"""),"boto/boto")</f>
        <v>boto/boto</v>
      </c>
      <c r="G11" s="46" t="str">
        <f>IFERROR(__xludf.DUMMYFUNCTION("""COMPUTED_VALUE"""),"kovidgoyal/calibre")</f>
        <v>kovidgoyal/calibre</v>
      </c>
    </row>
    <row r="12">
      <c r="A12" s="45" t="str">
        <f>IFERROR(__xludf.DUMMYFUNCTION("""COMPUTED_VALUE"""),"conda/conda")</f>
        <v>conda/conda</v>
      </c>
      <c r="B12" s="46" t="str">
        <f>IFERROR(__xludf.DUMMYFUNCTION("""COMPUTED_VALUE"""),"kovidgoyal/calibre")</f>
        <v>kovidgoyal/calibre</v>
      </c>
      <c r="C12" s="46" t="str">
        <f>IFERROR(__xludf.DUMMYFUNCTION("""COMPUTED_VALUE"""),"celery/celery")</f>
        <v>celery/celery</v>
      </c>
      <c r="D12" s="46" t="str">
        <f>IFERROR(__xludf.DUMMYFUNCTION("""COMPUTED_VALUE"""),"celery/celery")</f>
        <v>celery/celery</v>
      </c>
      <c r="E12" s="46" t="str">
        <f>IFERROR(__xludf.DUMMYFUNCTION("""COMPUTED_VALUE"""),"boto/boto3")</f>
        <v>boto/boto3</v>
      </c>
      <c r="F12" s="46" t="str">
        <f>IFERROR(__xludf.DUMMYFUNCTION("""COMPUTED_VALUE"""),"buildbot/buildbot")</f>
        <v>buildbot/buildbot</v>
      </c>
      <c r="G12" s="46" t="str">
        <f>IFERROR(__xludf.DUMMYFUNCTION("""COMPUTED_VALUE"""),"celery/celery")</f>
        <v>celery/celery</v>
      </c>
    </row>
    <row r="13">
      <c r="A13" s="45" t="str">
        <f>IFERROR(__xludf.DUMMYFUNCTION("""COMPUTED_VALUE"""),"cython/cython")</f>
        <v>cython/cython</v>
      </c>
      <c r="B13" s="46" t="str">
        <f>IFERROR(__xludf.DUMMYFUNCTION("""COMPUTED_VALUE"""),"celery/celery")</f>
        <v>celery/celery</v>
      </c>
      <c r="C13" s="46" t="str">
        <f>IFERROR(__xludf.DUMMYFUNCTION("""COMPUTED_VALUE"""),"certbot/certbot")</f>
        <v>certbot/certbot</v>
      </c>
      <c r="D13" s="46" t="str">
        <f>IFERROR(__xludf.DUMMYFUNCTION("""COMPUTED_VALUE"""),"certbot/certbot")</f>
        <v>certbot/certbot</v>
      </c>
      <c r="E13" s="46" t="str">
        <f>IFERROR(__xludf.DUMMYFUNCTION("""COMPUTED_VALUE"""),"buildbot/buildbot")</f>
        <v>buildbot/buildbot</v>
      </c>
      <c r="F13" s="46" t="str">
        <f>IFERROR(__xludf.DUMMYFUNCTION("""COMPUTED_VALUE"""),"bup/bup")</f>
        <v>bup/bup</v>
      </c>
      <c r="G13" s="46" t="str">
        <f>IFERROR(__xludf.DUMMYFUNCTION("""COMPUTED_VALUE"""),"certbot/certbot")</f>
        <v>certbot/certbot</v>
      </c>
    </row>
    <row r="14">
      <c r="A14" s="45" t="str">
        <f>IFERROR(__xludf.DUMMYFUNCTION("""COMPUTED_VALUE"""),"django/django")</f>
        <v>django/django</v>
      </c>
      <c r="B14" s="46" t="str">
        <f>IFERROR(__xludf.DUMMYFUNCTION("""COMPUTED_VALUE"""),"certbot/certbot")</f>
        <v>certbot/certbot</v>
      </c>
      <c r="C14" s="46" t="str">
        <f>IFERROR(__xludf.DUMMYFUNCTION("""COMPUTED_VALUE"""),"ckan/ckan")</f>
        <v>ckan/ckan</v>
      </c>
      <c r="D14" s="46" t="str">
        <f>IFERROR(__xludf.DUMMYFUNCTION("""COMPUTED_VALUE"""),"cobbler/cobbler")</f>
        <v>cobbler/cobbler</v>
      </c>
      <c r="E14" s="46" t="str">
        <f>IFERROR(__xludf.DUMMYFUNCTION("""COMPUTED_VALUE"""),"bup/bup")</f>
        <v>bup/bup</v>
      </c>
      <c r="F14" s="46" t="str">
        <f>IFERROR(__xludf.DUMMYFUNCTION("""COMPUTED_VALUE"""),"kovidgoyal/calibre")</f>
        <v>kovidgoyal/calibre</v>
      </c>
      <c r="G14" s="46" t="str">
        <f>IFERROR(__xludf.DUMMYFUNCTION("""COMPUTED_VALUE"""),"ckan/ckan")</f>
        <v>ckan/ckan</v>
      </c>
    </row>
    <row r="15">
      <c r="A15" s="45" t="str">
        <f>IFERROR(__xludf.DUMMYFUNCTION("""COMPUTED_VALUE"""),"encode/django-rest-framework")</f>
        <v>encode/django-rest-framework</v>
      </c>
      <c r="B15" s="46" t="str">
        <f>IFERROR(__xludf.DUMMYFUNCTION("""COMPUTED_VALUE"""),"ckan/ckan")</f>
        <v>ckan/ckan</v>
      </c>
      <c r="C15" s="46" t="str">
        <f>IFERROR(__xludf.DUMMYFUNCTION("""COMPUTED_VALUE"""),"cobbler/cobbler")</f>
        <v>cobbler/cobbler</v>
      </c>
      <c r="D15" s="46" t="str">
        <f>IFERROR(__xludf.DUMMYFUNCTION("""COMPUTED_VALUE"""),"elastic/curator")</f>
        <v>elastic/curator</v>
      </c>
      <c r="E15" s="46" t="str">
        <f>IFERROR(__xludf.DUMMYFUNCTION("""COMPUTED_VALUE"""),"kovidgoyal/calibre")</f>
        <v>kovidgoyal/calibre</v>
      </c>
      <c r="F15" s="46" t="str">
        <f>IFERROR(__xludf.DUMMYFUNCTION("""COMPUTED_VALUE"""),"celery/celery")</f>
        <v>celery/celery</v>
      </c>
      <c r="G15" s="46" t="str">
        <f>IFERROR(__xludf.DUMMYFUNCTION("""COMPUTED_VALUE"""),"cobbler/cobbler")</f>
        <v>cobbler/cobbler</v>
      </c>
    </row>
    <row r="16">
      <c r="A16" s="45" t="str">
        <f>IFERROR(__xludf.DUMMYFUNCTION("""COMPUTED_VALUE"""),"spesmilo/electrum")</f>
        <v>spesmilo/electrum</v>
      </c>
      <c r="B16" s="46" t="str">
        <f>IFERROR(__xludf.DUMMYFUNCTION("""COMPUTED_VALUE"""),"cobbler/cobbler")</f>
        <v>cobbler/cobbler</v>
      </c>
      <c r="C16" s="46" t="str">
        <f>IFERROR(__xludf.DUMMYFUNCTION("""COMPUTED_VALUE"""),"docker/compose")</f>
        <v>docker/compose</v>
      </c>
      <c r="D16" s="46" t="str">
        <f>IFERROR(__xludf.DUMMYFUNCTION("""COMPUTED_VALUE"""),"docker/compose")</f>
        <v>docker/compose</v>
      </c>
      <c r="E16" s="46" t="str">
        <f>IFERROR(__xludf.DUMMYFUNCTION("""COMPUTED_VALUE"""),"celery/celery")</f>
        <v>celery/celery</v>
      </c>
      <c r="F16" s="46" t="str">
        <f>IFERROR(__xludf.DUMMYFUNCTION("""COMPUTED_VALUE"""),"ckan/ckan")</f>
        <v>ckan/ckan</v>
      </c>
      <c r="G16" s="46" t="str">
        <f>IFERROR(__xludf.DUMMYFUNCTION("""COMPUTED_VALUE"""),"docker/compose")</f>
        <v>docker/compose</v>
      </c>
    </row>
    <row r="17">
      <c r="A17" s="45" t="str">
        <f>IFERROR(__xludf.DUMMYFUNCTION("""COMPUTED_VALUE"""),"fail2ban/fail2ban")</f>
        <v>fail2ban/fail2ban</v>
      </c>
      <c r="B17" s="46" t="str">
        <f>IFERROR(__xludf.DUMMYFUNCTION("""COMPUTED_VALUE"""),"docker/compose")</f>
        <v>docker/compose</v>
      </c>
      <c r="C17" s="46" t="str">
        <f>IFERROR(__xludf.DUMMYFUNCTION("""COMPUTED_VALUE"""),"conda/conda")</f>
        <v>conda/conda</v>
      </c>
      <c r="D17" s="46" t="str">
        <f>IFERROR(__xludf.DUMMYFUNCTION("""COMPUTED_VALUE"""),"conda/conda")</f>
        <v>conda/conda</v>
      </c>
      <c r="E17" s="46" t="str">
        <f>IFERROR(__xludf.DUMMYFUNCTION("""COMPUTED_VALUE"""),"certbot/certbot")</f>
        <v>certbot/certbot</v>
      </c>
      <c r="F17" s="46" t="str">
        <f>IFERROR(__xludf.DUMMYFUNCTION("""COMPUTED_VALUE"""),"cobbler/cobbler")</f>
        <v>cobbler/cobbler</v>
      </c>
      <c r="G17" s="46" t="str">
        <f>IFERROR(__xludf.DUMMYFUNCTION("""COMPUTED_VALUE"""),"conda/conda")</f>
        <v>conda/conda</v>
      </c>
    </row>
    <row r="18">
      <c r="A18" s="45" t="str">
        <f>IFERROR(__xludf.DUMMYFUNCTION("""COMPUTED_VALUE"""),"RaRe-Technologies/gensim")</f>
        <v>RaRe-Technologies/gensim</v>
      </c>
      <c r="B18" s="46" t="str">
        <f>IFERROR(__xludf.DUMMYFUNCTION("""COMPUTED_VALUE"""),"conda/conda")</f>
        <v>conda/conda</v>
      </c>
      <c r="C18" s="46" t="str">
        <f>IFERROR(__xludf.DUMMYFUNCTION("""COMPUTED_VALUE"""),"CouchPotato/CouchPotatoServer")</f>
        <v>CouchPotato/CouchPotatoServer</v>
      </c>
      <c r="D18" s="46" t="str">
        <f>IFERROR(__xludf.DUMMYFUNCTION("""COMPUTED_VALUE"""),"CouchPotato/CouchPotatoServer")</f>
        <v>CouchPotato/CouchPotatoServer</v>
      </c>
      <c r="E18" s="46" t="str">
        <f>IFERROR(__xludf.DUMMYFUNCTION("""COMPUTED_VALUE"""),"ckan/ckan")</f>
        <v>ckan/ckan</v>
      </c>
      <c r="F18" s="46" t="str">
        <f>IFERROR(__xludf.DUMMYFUNCTION("""COMPUTED_VALUE"""),"conda/conda")</f>
        <v>conda/conda</v>
      </c>
      <c r="G18" s="46" t="str">
        <f>IFERROR(__xludf.DUMMYFUNCTION("""COMPUTED_VALUE"""),"pyca/cryptography")</f>
        <v>pyca/cryptography</v>
      </c>
    </row>
    <row r="19">
      <c r="A19" s="45" t="str">
        <f>IFERROR(__xludf.DUMMYFUNCTION("""COMPUTED_VALUE"""),"spotify/luigi")</f>
        <v>spotify/luigi</v>
      </c>
      <c r="B19" s="46" t="str">
        <f>IFERROR(__xludf.DUMMYFUNCTION("""COMPUTED_VALUE"""),"CouchPotato/CouchPotatoServer")</f>
        <v>CouchPotato/CouchPotatoServer</v>
      </c>
      <c r="C19" s="46" t="str">
        <f>IFERROR(__xludf.DUMMYFUNCTION("""COMPUTED_VALUE"""),"pyca/cryptography")</f>
        <v>pyca/cryptography</v>
      </c>
      <c r="D19" s="46" t="str">
        <f>IFERROR(__xludf.DUMMYFUNCTION("""COMPUTED_VALUE"""),"pyca/cryptography")</f>
        <v>pyca/cryptography</v>
      </c>
      <c r="E19" s="46" t="str">
        <f>IFERROR(__xludf.DUMMYFUNCTION("""COMPUTED_VALUE"""),"cobbler/cobbler")</f>
        <v>cobbler/cobbler</v>
      </c>
      <c r="F19" s="46" t="str">
        <f>IFERROR(__xludf.DUMMYFUNCTION("""COMPUTED_VALUE"""),"CouchPotato/CouchPotatoServer")</f>
        <v>CouchPotato/CouchPotatoServer</v>
      </c>
      <c r="G19" s="46" t="str">
        <f>IFERROR(__xludf.DUMMYFUNCTION("""COMPUTED_VALUE"""),"cython/cython")</f>
        <v>cython/cython</v>
      </c>
    </row>
    <row r="20">
      <c r="A20" s="45" t="str">
        <f>IFERROR(__xludf.DUMMYFUNCTION("""COMPUTED_VALUE"""),"matplotlib/matplotlib")</f>
        <v>matplotlib/matplotlib</v>
      </c>
      <c r="B20" s="46" t="str">
        <f>IFERROR(__xludf.DUMMYFUNCTION("""COMPUTED_VALUE"""),"pyca/cryptography")</f>
        <v>pyca/cryptography</v>
      </c>
      <c r="C20" s="46" t="str">
        <f>IFERROR(__xludf.DUMMYFUNCTION("""COMPUTED_VALUE"""),"cython/cython")</f>
        <v>cython/cython</v>
      </c>
      <c r="D20" s="46" t="str">
        <f>IFERROR(__xludf.DUMMYFUNCTION("""COMPUTED_VALUE"""),"cython/cython")</f>
        <v>cython/cython</v>
      </c>
      <c r="E20" s="46" t="str">
        <f>IFERROR(__xludf.DUMMYFUNCTION("""COMPUTED_VALUE"""),"elastic/curator")</f>
        <v>elastic/curator</v>
      </c>
      <c r="F20" s="46" t="str">
        <f>IFERROR(__xludf.DUMMYFUNCTION("""COMPUTED_VALUE"""),"cython/cython")</f>
        <v>cython/cython</v>
      </c>
      <c r="G20" s="46" t="str">
        <f>IFERROR(__xludf.DUMMYFUNCTION("""COMPUTED_VALUE"""),"django/django")</f>
        <v>django/django</v>
      </c>
    </row>
    <row r="21">
      <c r="A21" s="45" t="str">
        <f>IFERROR(__xludf.DUMMYFUNCTION("""COMPUTED_VALUE"""),"MongoEngine/mongoengine")</f>
        <v>MongoEngine/mongoengine</v>
      </c>
      <c r="B21" s="46" t="str">
        <f>IFERROR(__xludf.DUMMYFUNCTION("""COMPUTED_VALUE"""),"cython/cython")</f>
        <v>cython/cython</v>
      </c>
      <c r="C21" s="46" t="str">
        <f>IFERROR(__xludf.DUMMYFUNCTION("""COMPUTED_VALUE"""),"django/django")</f>
        <v>django/django</v>
      </c>
      <c r="D21" s="46" t="str">
        <f>IFERROR(__xludf.DUMMYFUNCTION("""COMPUTED_VALUE"""),"django/django")</f>
        <v>django/django</v>
      </c>
      <c r="E21" s="46" t="str">
        <f>IFERROR(__xludf.DUMMYFUNCTION("""COMPUTED_VALUE"""),"docker/compose")</f>
        <v>docker/compose</v>
      </c>
      <c r="F21" s="46" t="str">
        <f>IFERROR(__xludf.DUMMYFUNCTION("""COMPUTED_VALUE"""),"django/django")</f>
        <v>django/django</v>
      </c>
      <c r="G21" s="46" t="str">
        <f>IFERROR(__xludf.DUMMYFUNCTION("""COMPUTED_VALUE"""),"Fantomas42/django-blog-zinnia")</f>
        <v>Fantomas42/django-blog-zinnia</v>
      </c>
    </row>
    <row r="22">
      <c r="A22" s="45" t="str">
        <f>IFERROR(__xludf.DUMMYFUNCTION("""COMPUTED_VALUE"""),"mitmproxy/mitmproxy")</f>
        <v>mitmproxy/mitmproxy</v>
      </c>
      <c r="B22" s="46" t="str">
        <f>IFERROR(__xludf.DUMMYFUNCTION("""COMPUTED_VALUE"""),"django/django")</f>
        <v>django/django</v>
      </c>
      <c r="C22" s="46" t="str">
        <f>IFERROR(__xludf.DUMMYFUNCTION("""COMPUTED_VALUE"""),"pennersr/django-allauth")</f>
        <v>pennersr/django-allauth</v>
      </c>
      <c r="D22" s="46" t="str">
        <f>IFERROR(__xludf.DUMMYFUNCTION("""COMPUTED_VALUE"""),"pennersr/django-allauth")</f>
        <v>pennersr/django-allauth</v>
      </c>
      <c r="E22" s="46" t="str">
        <f>IFERROR(__xludf.DUMMYFUNCTION("""COMPUTED_VALUE"""),"conda/conda")</f>
        <v>conda/conda</v>
      </c>
      <c r="F22" s="46" t="str">
        <f>IFERROR(__xludf.DUMMYFUNCTION("""COMPUTED_VALUE"""),"pennersr/django-allauth")</f>
        <v>pennersr/django-allauth</v>
      </c>
      <c r="G22" s="46" t="str">
        <f>IFERROR(__xludf.DUMMYFUNCTION("""COMPUTED_VALUE"""),"divio/django-cms")</f>
        <v>divio/django-cms</v>
      </c>
    </row>
    <row r="23">
      <c r="A23" s="45" t="str">
        <f>IFERROR(__xludf.DUMMYFUNCTION("""COMPUTED_VALUE"""),"mongodb/mongo-python-driver")</f>
        <v>mongodb/mongo-python-driver</v>
      </c>
      <c r="B23" s="46" t="str">
        <f>IFERROR(__xludf.DUMMYFUNCTION("""COMPUTED_VALUE"""),"Fantomas42/django-blog-zinnia")</f>
        <v>Fantomas42/django-blog-zinnia</v>
      </c>
      <c r="C23" s="46" t="str">
        <f>IFERROR(__xludf.DUMMYFUNCTION("""COMPUTED_VALUE"""),"divio/django-cms")</f>
        <v>divio/django-cms</v>
      </c>
      <c r="D23" s="46" t="str">
        <f>IFERROR(__xludf.DUMMYFUNCTION("""COMPUTED_VALUE"""),"django-extensions/django-extensions")</f>
        <v>django-extensions/django-extensions</v>
      </c>
      <c r="E23" s="46" t="str">
        <f>IFERROR(__xludf.DUMMYFUNCTION("""COMPUTED_VALUE"""),"pyca/cryptography")</f>
        <v>pyca/cryptography</v>
      </c>
      <c r="F23" s="46" t="str">
        <f>IFERROR(__xludf.DUMMYFUNCTION("""COMPUTED_VALUE"""),"Fantomas42/django-blog-zinnia")</f>
        <v>Fantomas42/django-blog-zinnia</v>
      </c>
      <c r="G23" s="46" t="str">
        <f>IFERROR(__xludf.DUMMYFUNCTION("""COMPUTED_VALUE"""),"django-oscar/django-oscar")</f>
        <v>django-oscar/django-oscar</v>
      </c>
    </row>
    <row r="24">
      <c r="A24" s="45" t="str">
        <f>IFERROR(__xludf.DUMMYFUNCTION("""COMPUTED_VALUE"""),"mopidy/mopidy")</f>
        <v>mopidy/mopidy</v>
      </c>
      <c r="B24" s="46" t="str">
        <f>IFERROR(__xludf.DUMMYFUNCTION("""COMPUTED_VALUE"""),"divio/django-cms")</f>
        <v>divio/django-cms</v>
      </c>
      <c r="C24" s="46" t="str">
        <f>IFERROR(__xludf.DUMMYFUNCTION("""COMPUTED_VALUE"""),"django-extensions/django-extensions")</f>
        <v>django-extensions/django-extensions</v>
      </c>
      <c r="D24" s="46" t="str">
        <f>IFERROR(__xludf.DUMMYFUNCTION("""COMPUTED_VALUE"""),"django-haystack/django-haystack")</f>
        <v>django-haystack/django-haystack</v>
      </c>
      <c r="E24" s="46" t="str">
        <f>IFERROR(__xludf.DUMMYFUNCTION("""COMPUTED_VALUE"""),"cython/cython")</f>
        <v>cython/cython</v>
      </c>
      <c r="F24" s="46" t="str">
        <f>IFERROR(__xludf.DUMMYFUNCTION("""COMPUTED_VALUE"""),"divio/django-cms")</f>
        <v>divio/django-cms</v>
      </c>
      <c r="G24" s="46" t="str">
        <f>IFERROR(__xludf.DUMMYFUNCTION("""COMPUTED_VALUE"""),"encode/django-rest-framework")</f>
        <v>encode/django-rest-framework</v>
      </c>
    </row>
    <row r="25">
      <c r="A25" s="45" t="str">
        <f>IFERROR(__xludf.DUMMYFUNCTION("""COMPUTED_VALUE"""),"networkx/networkx")</f>
        <v>networkx/networkx</v>
      </c>
      <c r="B25" s="46" t="str">
        <f>IFERROR(__xludf.DUMMYFUNCTION("""COMPUTED_VALUE"""),"django-oscar/django-oscar")</f>
        <v>django-oscar/django-oscar</v>
      </c>
      <c r="C25" s="46" t="str">
        <f>IFERROR(__xludf.DUMMYFUNCTION("""COMPUTED_VALUE"""),"django-haystack/django-haystack")</f>
        <v>django-haystack/django-haystack</v>
      </c>
      <c r="D25" s="46" t="str">
        <f>IFERROR(__xludf.DUMMYFUNCTION("""COMPUTED_VALUE"""),"encode/django-rest-framework")</f>
        <v>encode/django-rest-framework</v>
      </c>
      <c r="E25" s="46" t="str">
        <f>IFERROR(__xludf.DUMMYFUNCTION("""COMPUTED_VALUE"""),"django/django")</f>
        <v>django/django</v>
      </c>
      <c r="F25" s="46" t="str">
        <f>IFERROR(__xludf.DUMMYFUNCTION("""COMPUTED_VALUE"""),"django-extensions/django-extensions")</f>
        <v>django-extensions/django-extensions</v>
      </c>
      <c r="G25" s="46" t="str">
        <f>IFERROR(__xludf.DUMMYFUNCTION("""COMPUTED_VALUE"""),"docker/docker-py")</f>
        <v>docker/docker-py</v>
      </c>
    </row>
    <row r="26">
      <c r="A26" s="45" t="str">
        <f>IFERROR(__xludf.DUMMYFUNCTION("""COMPUTED_VALUE"""),"paramiko/paramiko")</f>
        <v>paramiko/paramiko</v>
      </c>
      <c r="B26" s="46" t="str">
        <f>IFERROR(__xludf.DUMMYFUNCTION("""COMPUTED_VALUE"""),"encode/django-rest-framework")</f>
        <v>encode/django-rest-framework</v>
      </c>
      <c r="C26" s="46" t="str">
        <f>IFERROR(__xludf.DUMMYFUNCTION("""COMPUTED_VALUE"""),"django-oscar/django-oscar")</f>
        <v>django-oscar/django-oscar</v>
      </c>
      <c r="D26" s="46" t="str">
        <f>IFERROR(__xludf.DUMMYFUNCTION("""COMPUTED_VALUE"""),"awesto/django-shop")</f>
        <v>awesto/django-shop</v>
      </c>
      <c r="E26" s="46" t="str">
        <f>IFERROR(__xludf.DUMMYFUNCTION("""COMPUTED_VALUE"""),"divio/django-cms")</f>
        <v>divio/django-cms</v>
      </c>
      <c r="F26" s="46" t="str">
        <f>IFERROR(__xludf.DUMMYFUNCTION("""COMPUTED_VALUE"""),"django-haystack/django-haystack")</f>
        <v>django-haystack/django-haystack</v>
      </c>
      <c r="G26" s="46" t="str">
        <f>IFERROR(__xludf.DUMMYFUNCTION("""COMPUTED_VALUE"""),"frappe/erpnext")</f>
        <v>frappe/erpnext</v>
      </c>
    </row>
    <row r="27">
      <c r="A27" s="45" t="str">
        <f>IFERROR(__xludf.DUMMYFUNCTION("""COMPUTED_VALUE"""),"openstack/nova")</f>
        <v>openstack/nova</v>
      </c>
      <c r="B27" s="46" t="str">
        <f>IFERROR(__xludf.DUMMYFUNCTION("""COMPUTED_VALUE"""),"awesto/django-shop")</f>
        <v>awesto/django-shop</v>
      </c>
      <c r="C27" s="46" t="str">
        <f>IFERROR(__xludf.DUMMYFUNCTION("""COMPUTED_VALUE"""),"encode/django-rest-framework")</f>
        <v>encode/django-rest-framework</v>
      </c>
      <c r="D27" s="46" t="str">
        <f>IFERROR(__xludf.DUMMYFUNCTION("""COMPUTED_VALUE"""),"django-tastypie/django-tastypie")</f>
        <v>django-tastypie/django-tastypie</v>
      </c>
      <c r="E27" s="46" t="str">
        <f>IFERROR(__xludf.DUMMYFUNCTION("""COMPUTED_VALUE"""),"django-extensions/django-extensions")</f>
        <v>django-extensions/django-extensions</v>
      </c>
      <c r="F27" s="46" t="str">
        <f>IFERROR(__xludf.DUMMYFUNCTION("""COMPUTED_VALUE"""),"django-oscar/django-oscar")</f>
        <v>django-oscar/django-oscar</v>
      </c>
      <c r="G27" s="46" t="str">
        <f>IFERROR(__xludf.DUMMYFUNCTION("""COMPUTED_VALUE"""),"pyeve/eve")</f>
        <v>pyeve/eve</v>
      </c>
    </row>
    <row r="28">
      <c r="A28" s="45" t="str">
        <f>IFERROR(__xludf.DUMMYFUNCTION("""COMPUTED_VALUE"""),"numba/numba")</f>
        <v>numba/numba</v>
      </c>
      <c r="B28" s="46" t="str">
        <f>IFERROR(__xludf.DUMMYFUNCTION("""COMPUTED_VALUE"""),"edx/edx-platform")</f>
        <v>edx/edx-platform</v>
      </c>
      <c r="C28" s="46" t="str">
        <f>IFERROR(__xludf.DUMMYFUNCTION("""COMPUTED_VALUE"""),"django-tastypie/django-tastypie")</f>
        <v>django-tastypie/django-tastypie</v>
      </c>
      <c r="D28" s="46" t="str">
        <f>IFERROR(__xludf.DUMMYFUNCTION("""COMPUTED_VALUE"""),"docker/docker-py")</f>
        <v>docker/docker-py</v>
      </c>
      <c r="E28" s="46" t="str">
        <f>IFERROR(__xludf.DUMMYFUNCTION("""COMPUTED_VALUE"""),"django-oscar/django-oscar")</f>
        <v>django-oscar/django-oscar</v>
      </c>
      <c r="F28" s="46" t="str">
        <f>IFERROR(__xludf.DUMMYFUNCTION("""COMPUTED_VALUE"""),"encode/django-rest-framework")</f>
        <v>encode/django-rest-framework</v>
      </c>
      <c r="G28" s="46" t="str">
        <f>IFERROR(__xludf.DUMMYFUNCTION("""COMPUTED_VALUE"""),"fail2ban/fail2ban")</f>
        <v>fail2ban/fail2ban</v>
      </c>
    </row>
    <row r="29">
      <c r="A29" s="45" t="str">
        <f>IFERROR(__xludf.DUMMYFUNCTION("""COMPUTED_VALUE"""),"pandas-dev/pandas")</f>
        <v>pandas-dev/pandas</v>
      </c>
      <c r="B29" s="46" t="str">
        <f>IFERROR(__xludf.DUMMYFUNCTION("""COMPUTED_VALUE"""),"spesmilo/electrum")</f>
        <v>spesmilo/electrum</v>
      </c>
      <c r="C29" s="46" t="str">
        <f>IFERROR(__xludf.DUMMYFUNCTION("""COMPUTED_VALUE"""),"docker/docker-py")</f>
        <v>docker/docker-py</v>
      </c>
      <c r="D29" s="46" t="str">
        <f>IFERROR(__xludf.DUMMYFUNCTION("""COMPUTED_VALUE"""),"Yelp/elastalert")</f>
        <v>Yelp/elastalert</v>
      </c>
      <c r="E29" s="46" t="str">
        <f>IFERROR(__xludf.DUMMYFUNCTION("""COMPUTED_VALUE"""),"encode/django-rest-framework")</f>
        <v>encode/django-rest-framework</v>
      </c>
      <c r="F29" s="46" t="str">
        <f>IFERROR(__xludf.DUMMYFUNCTION("""COMPUTED_VALUE"""),"awesto/django-shop")</f>
        <v>awesto/django-shop</v>
      </c>
      <c r="G29" s="46" t="str">
        <f>IFERROR(__xludf.DUMMYFUNCTION("""COMPUTED_VALUE"""),"joke2k/faker")</f>
        <v>joke2k/faker</v>
      </c>
    </row>
    <row r="30">
      <c r="A30" s="45" t="str">
        <f>IFERROR(__xludf.DUMMYFUNCTION("""COMPUTED_VALUE"""),"coleifer/peewee")</f>
        <v>coleifer/peewee</v>
      </c>
      <c r="B30" s="46" t="str">
        <f>IFERROR(__xludf.DUMMYFUNCTION("""COMPUTED_VALUE"""),"frappe/erpnext")</f>
        <v>frappe/erpnext</v>
      </c>
      <c r="C30" s="46" t="str">
        <f>IFERROR(__xludf.DUMMYFUNCTION("""COMPUTED_VALUE"""),"edx/edx-platform")</f>
        <v>edx/edx-platform</v>
      </c>
      <c r="D30" s="46" t="str">
        <f>IFERROR(__xludf.DUMMYFUNCTION("""COMPUTED_VALUE"""),"spesmilo/electrum")</f>
        <v>spesmilo/electrum</v>
      </c>
      <c r="E30" s="46" t="str">
        <f>IFERROR(__xludf.DUMMYFUNCTION("""COMPUTED_VALUE"""),"docker/docker-py")</f>
        <v>docker/docker-py</v>
      </c>
      <c r="F30" s="46" t="str">
        <f>IFERROR(__xludf.DUMMYFUNCTION("""COMPUTED_VALUE"""),"django-tastypie/django-tastypie")</f>
        <v>django-tastypie/django-tastypie</v>
      </c>
      <c r="G30" s="46" t="str">
        <f>IFERROR(__xludf.DUMMYFUNCTION("""COMPUTED_VALUE"""),"falconry/falcon")</f>
        <v>falconry/falcon</v>
      </c>
    </row>
    <row r="31">
      <c r="A31" s="45" t="str">
        <f>IFERROR(__xludf.DUMMYFUNCTION("""COMPUTED_VALUE"""),"getpelican/pelican")</f>
        <v>getpelican/pelican</v>
      </c>
      <c r="B31" s="46" t="str">
        <f>IFERROR(__xludf.DUMMYFUNCTION("""COMPUTED_VALUE"""),"fail2ban/fail2ban")</f>
        <v>fail2ban/fail2ban</v>
      </c>
      <c r="C31" s="46" t="str">
        <f>IFERROR(__xludf.DUMMYFUNCTION("""COMPUTED_VALUE"""),"Yelp/elastalert")</f>
        <v>Yelp/elastalert</v>
      </c>
      <c r="D31" s="46" t="str">
        <f>IFERROR(__xludf.DUMMYFUNCTION("""COMPUTED_VALUE"""),"pyeve/eve")</f>
        <v>pyeve/eve</v>
      </c>
      <c r="E31" s="46" t="str">
        <f>IFERROR(__xludf.DUMMYFUNCTION("""COMPUTED_VALUE"""),"edx/edx-platform")</f>
        <v>edx/edx-platform</v>
      </c>
      <c r="F31" s="46" t="str">
        <f>IFERROR(__xludf.DUMMYFUNCTION("""COMPUTED_VALUE"""),"docker/docker-py")</f>
        <v>docker/docker-py</v>
      </c>
      <c r="G31" s="46" t="str">
        <f>IFERROR(__xludf.DUMMYFUNCTION("""COMPUTED_VALUE"""),"pallets/flask")</f>
        <v>pallets/flask</v>
      </c>
    </row>
    <row r="32">
      <c r="A32" s="45" t="str">
        <f>IFERROR(__xludf.DUMMYFUNCTION("""COMPUTED_VALUE"""),"pypa/pip")</f>
        <v>pypa/pip</v>
      </c>
      <c r="B32" s="46" t="str">
        <f>IFERROR(__xludf.DUMMYFUNCTION("""COMPUTED_VALUE"""),"pallets/flask")</f>
        <v>pallets/flask</v>
      </c>
      <c r="C32" s="46" t="str">
        <f>IFERROR(__xludf.DUMMYFUNCTION("""COMPUTED_VALUE"""),"spesmilo/electrum")</f>
        <v>spesmilo/electrum</v>
      </c>
      <c r="D32" s="46" t="str">
        <f>IFERROR(__xludf.DUMMYFUNCTION("""COMPUTED_VALUE"""),"fail2ban/fail2ban")</f>
        <v>fail2ban/fail2ban</v>
      </c>
      <c r="E32" s="46" t="str">
        <f>IFERROR(__xludf.DUMMYFUNCTION("""COMPUTED_VALUE"""),"Yelp/elastalert")</f>
        <v>Yelp/elastalert</v>
      </c>
      <c r="F32" s="46" t="str">
        <f>IFERROR(__xludf.DUMMYFUNCTION("""COMPUTED_VALUE"""),"edx/edx-platform")</f>
        <v>edx/edx-platform</v>
      </c>
      <c r="G32" s="46" t="str">
        <f>IFERROR(__xludf.DUMMYFUNCTION("""COMPUTED_VALUE"""),"RaRe-Technologies/gensim")</f>
        <v>RaRe-Technologies/gensim</v>
      </c>
    </row>
    <row r="33">
      <c r="A33" s="45" t="str">
        <f>IFERROR(__xludf.DUMMYFUNCTION("""COMPUTED_VALUE"""),"Pylons/pyramid")</f>
        <v>Pylons/pyramid</v>
      </c>
      <c r="B33" s="46" t="str">
        <f>IFERROR(__xludf.DUMMYFUNCTION("""COMPUTED_VALUE"""),"fonttools/fonttools")</f>
        <v>fonttools/fonttools</v>
      </c>
      <c r="C33" s="46" t="str">
        <f>IFERROR(__xludf.DUMMYFUNCTION("""COMPUTED_VALUE"""),"frappe/erpnext")</f>
        <v>frappe/erpnext</v>
      </c>
      <c r="D33" s="46" t="str">
        <f>IFERROR(__xludf.DUMMYFUNCTION("""COMPUTED_VALUE"""),"joke2k/faker")</f>
        <v>joke2k/faker</v>
      </c>
      <c r="E33" s="46" t="str">
        <f>IFERROR(__xludf.DUMMYFUNCTION("""COMPUTED_VALUE"""),"spesmilo/electrum")</f>
        <v>spesmilo/electrum</v>
      </c>
      <c r="F33" s="46" t="str">
        <f>IFERROR(__xludf.DUMMYFUNCTION("""COMPUTED_VALUE"""),"spesmilo/electrum")</f>
        <v>spesmilo/electrum</v>
      </c>
      <c r="G33" s="46" t="str">
        <f>IFERROR(__xludf.DUMMYFUNCTION("""COMPUTED_VALUE"""),"gevent/gevent")</f>
        <v>gevent/gevent</v>
      </c>
    </row>
    <row r="34">
      <c r="A34" s="45" t="str">
        <f>IFERROR(__xludf.DUMMYFUNCTION("""COMPUTED_VALUE"""),"ranger/ranger")</f>
        <v>ranger/ranger</v>
      </c>
      <c r="B34" s="46" t="str">
        <f>IFERROR(__xludf.DUMMYFUNCTION("""COMPUTED_VALUE"""),"RaRe-Technologies/gensim")</f>
        <v>RaRe-Technologies/gensim</v>
      </c>
      <c r="C34" s="46" t="str">
        <f>IFERROR(__xludf.DUMMYFUNCTION("""COMPUTED_VALUE"""),"pyeve/eve")</f>
        <v>pyeve/eve</v>
      </c>
      <c r="D34" s="46" t="str">
        <f>IFERROR(__xludf.DUMMYFUNCTION("""COMPUTED_VALUE"""),"falconry/falcon")</f>
        <v>falconry/falcon</v>
      </c>
      <c r="E34" s="46" t="str">
        <f>IFERROR(__xludf.DUMMYFUNCTION("""COMPUTED_VALUE"""),"frappe/erpnext")</f>
        <v>frappe/erpnext</v>
      </c>
      <c r="F34" s="46" t="str">
        <f>IFERROR(__xludf.DUMMYFUNCTION("""COMPUTED_VALUE"""),"frappe/erpnext")</f>
        <v>frappe/erpnext</v>
      </c>
      <c r="G34" s="46" t="str">
        <f>IFERROR(__xludf.DUMMYFUNCTION("""COMPUTED_VALUE"""),"nicolargo/glances")</f>
        <v>nicolargo/glances</v>
      </c>
    </row>
    <row r="35">
      <c r="A35" s="45" t="str">
        <f>IFERROR(__xludf.DUMMYFUNCTION("""COMPUTED_VALUE"""),"getsentry/raven-python")</f>
        <v>getsentry/raven-python</v>
      </c>
      <c r="B35" s="46" t="str">
        <f>IFERROR(__xludf.DUMMYFUNCTION("""COMPUTED_VALUE"""),"gevent/gevent")</f>
        <v>gevent/gevent</v>
      </c>
      <c r="C35" s="46" t="str">
        <f>IFERROR(__xludf.DUMMYFUNCTION("""COMPUTED_VALUE"""),"fail2ban/fail2ban")</f>
        <v>fail2ban/fail2ban</v>
      </c>
      <c r="D35" s="46" t="str">
        <f>IFERROR(__xludf.DUMMYFUNCTION("""COMPUTED_VALUE"""),"pallets/flask")</f>
        <v>pallets/flask</v>
      </c>
      <c r="E35" s="46" t="str">
        <f>IFERROR(__xludf.DUMMYFUNCTION("""COMPUTED_VALUE"""),"fail2ban/fail2ban")</f>
        <v>fail2ban/fail2ban</v>
      </c>
      <c r="F35" s="46" t="str">
        <f>IFERROR(__xludf.DUMMYFUNCTION("""COMPUTED_VALUE"""),"pyeve/eve")</f>
        <v>pyeve/eve</v>
      </c>
      <c r="G35" s="46" t="str">
        <f>IFERROR(__xludf.DUMMYFUNCTION("""COMPUTED_VALUE"""),"home-assistant/home-assistant")</f>
        <v>home-assistant/home-assistant</v>
      </c>
    </row>
    <row r="36">
      <c r="A36" s="45" t="str">
        <f>IFERROR(__xludf.DUMMYFUNCTION("""COMPUTED_VALUE"""),"saltstack/salt")</f>
        <v>saltstack/salt</v>
      </c>
      <c r="B36" s="46" t="str">
        <f>IFERROR(__xludf.DUMMYFUNCTION("""COMPUTED_VALUE"""),"nicolargo/glances")</f>
        <v>nicolargo/glances</v>
      </c>
      <c r="C36" s="46" t="str">
        <f>IFERROR(__xludf.DUMMYFUNCTION("""COMPUTED_VALUE"""),"joke2k/faker")</f>
        <v>joke2k/faker</v>
      </c>
      <c r="D36" s="46" t="str">
        <f>IFERROR(__xludf.DUMMYFUNCTION("""COMPUTED_VALUE"""),"fonttools/fonttools")</f>
        <v>fonttools/fonttools</v>
      </c>
      <c r="E36" s="46" t="str">
        <f>IFERROR(__xludf.DUMMYFUNCTION("""COMPUTED_VALUE"""),"joke2k/faker")</f>
        <v>joke2k/faker</v>
      </c>
      <c r="F36" s="46" t="str">
        <f>IFERROR(__xludf.DUMMYFUNCTION("""COMPUTED_VALUE"""),"fail2ban/fail2ban")</f>
        <v>fail2ban/fail2ban</v>
      </c>
      <c r="G36" s="46" t="str">
        <f>IFERROR(__xludf.DUMMYFUNCTION("""COMPUTED_VALUE"""),"cloudera/hue")</f>
        <v>cloudera/hue</v>
      </c>
    </row>
    <row r="37">
      <c r="A37" s="45" t="str">
        <f>IFERROR(__xludf.DUMMYFUNCTION("""COMPUTED_VALUE"""),"scikit-image/scikit-image")</f>
        <v>scikit-image/scikit-image</v>
      </c>
      <c r="B37" s="46" t="str">
        <f>IFERROR(__xludf.DUMMYFUNCTION("""COMPUTED_VALUE"""),"googleapis/google-cloud-python")</f>
        <v>googleapis/google-cloud-python</v>
      </c>
      <c r="C37" s="46" t="str">
        <f>IFERROR(__xludf.DUMMYFUNCTION("""COMPUTED_VALUE"""),"falconry/falcon")</f>
        <v>falconry/falcon</v>
      </c>
      <c r="D37" s="46" t="str">
        <f>IFERROR(__xludf.DUMMYFUNCTION("""COMPUTED_VALUE"""),"RaRe-Technologies/gensim")</f>
        <v>RaRe-Technologies/gensim</v>
      </c>
      <c r="E37" s="46" t="str">
        <f>IFERROR(__xludf.DUMMYFUNCTION("""COMPUTED_VALUE"""),"fonttools/fonttools")</f>
        <v>fonttools/fonttools</v>
      </c>
      <c r="F37" s="46" t="str">
        <f>IFERROR(__xludf.DUMMYFUNCTION("""COMPUTED_VALUE"""),"joke2k/faker")</f>
        <v>joke2k/faker</v>
      </c>
      <c r="G37" s="46" t="str">
        <f>IFERROR(__xludf.DUMMYFUNCTION("""COMPUTED_VALUE"""),"ipython/ipython")</f>
        <v>ipython/ipython</v>
      </c>
    </row>
    <row r="38">
      <c r="A38" s="45" t="str">
        <f>IFERROR(__xludf.DUMMYFUNCTION("""COMPUTED_VALUE"""),"scikit-learn/scikit-learn")</f>
        <v>scikit-learn/scikit-learn</v>
      </c>
      <c r="B38" s="46" t="str">
        <f>IFERROR(__xludf.DUMMYFUNCTION("""COMPUTED_VALUE"""),"home-assistant/home-assistant")</f>
        <v>home-assistant/home-assistant</v>
      </c>
      <c r="C38" s="46" t="str">
        <f>IFERROR(__xludf.DUMMYFUNCTION("""COMPUTED_VALUE"""),"pallets/flask")</f>
        <v>pallets/flask</v>
      </c>
      <c r="D38" s="46" t="str">
        <f>IFERROR(__xludf.DUMMYFUNCTION("""COMPUTED_VALUE"""),"gevent/gevent")</f>
        <v>gevent/gevent</v>
      </c>
      <c r="E38" s="46" t="str">
        <f>IFERROR(__xludf.DUMMYFUNCTION("""COMPUTED_VALUE"""),"RaRe-Technologies/gensim")</f>
        <v>RaRe-Technologies/gensim</v>
      </c>
      <c r="F38" s="46" t="str">
        <f>IFERROR(__xludf.DUMMYFUNCTION("""COMPUTED_VALUE"""),"falconry/falcon")</f>
        <v>falconry/falcon</v>
      </c>
      <c r="G38" s="46" t="str">
        <f>IFERROR(__xludf.DUMMYFUNCTION("""COMPUTED_VALUE"""),"pallets/jinja")</f>
        <v>pallets/jinja</v>
      </c>
    </row>
    <row r="39">
      <c r="A39" s="45" t="str">
        <f>IFERROR(__xludf.DUMMYFUNCTION("""COMPUTED_VALUE"""),"scrapy/scrapy")</f>
        <v>scrapy/scrapy</v>
      </c>
      <c r="B39" s="46" t="str">
        <f>IFERROR(__xludf.DUMMYFUNCTION("""COMPUTED_VALUE"""),"cloudera/hue")</f>
        <v>cloudera/hue</v>
      </c>
      <c r="C39" s="46" t="str">
        <f>IFERROR(__xludf.DUMMYFUNCTION("""COMPUTED_VALUE"""),"RaRe-Technologies/gensim")</f>
        <v>RaRe-Technologies/gensim</v>
      </c>
      <c r="D39" s="46" t="str">
        <f>IFERROR(__xludf.DUMMYFUNCTION("""COMPUTED_VALUE"""),"nicolargo/glances")</f>
        <v>nicolargo/glances</v>
      </c>
      <c r="E39" s="46" t="str">
        <f>IFERROR(__xludf.DUMMYFUNCTION("""COMPUTED_VALUE"""),"gevent/gevent")</f>
        <v>gevent/gevent</v>
      </c>
      <c r="F39" s="46" t="str">
        <f>IFERROR(__xludf.DUMMYFUNCTION("""COMPUTED_VALUE"""),"pallets/flask")</f>
        <v>pallets/flask</v>
      </c>
      <c r="G39" s="46" t="str">
        <f>IFERROR(__xludf.DUMMYFUNCTION("""COMPUTED_VALUE"""),"jupyterhub/jupyterhub")</f>
        <v>jupyterhub/jupyterhub</v>
      </c>
    </row>
    <row r="40">
      <c r="A40" s="45" t="str">
        <f>IFERROR(__xludf.DUMMYFUNCTION("""COMPUTED_VALUE"""),"getsentry/sentry")</f>
        <v>getsentry/sentry</v>
      </c>
      <c r="B40" s="46" t="str">
        <f>IFERROR(__xludf.DUMMYFUNCTION("""COMPUTED_VALUE"""),"ipython/ipython")</f>
        <v>ipython/ipython</v>
      </c>
      <c r="C40" s="46" t="str">
        <f>IFERROR(__xludf.DUMMYFUNCTION("""COMPUTED_VALUE"""),"googleapis/google-cloud-python")</f>
        <v>googleapis/google-cloud-python</v>
      </c>
      <c r="D40" s="46" t="str">
        <f>IFERROR(__xludf.DUMMYFUNCTION("""COMPUTED_VALUE"""),"googleapis/google-cloud-python")</f>
        <v>googleapis/google-cloud-python</v>
      </c>
      <c r="E40" s="46" t="str">
        <f>IFERROR(__xludf.DUMMYFUNCTION("""COMPUTED_VALUE"""),"nicolargo/glances")</f>
        <v>nicolargo/glances</v>
      </c>
      <c r="F40" s="46" t="str">
        <f>IFERROR(__xludf.DUMMYFUNCTION("""COMPUTED_VALUE"""),"RaRe-Technologies/gensim")</f>
        <v>RaRe-Technologies/gensim</v>
      </c>
      <c r="G40" s="46" t="str">
        <f>IFERROR(__xludf.DUMMYFUNCTION("""COMPUTED_VALUE"""),"kivy/kivy")</f>
        <v>kivy/kivy</v>
      </c>
    </row>
    <row r="41">
      <c r="A41" s="45" t="str">
        <f>IFERROR(__xludf.DUMMYFUNCTION("""COMPUTED_VALUE"""),"zzzeek/sqlalchemy")</f>
        <v>zzzeek/sqlalchemy</v>
      </c>
      <c r="B41" s="46" t="str">
        <f>IFERROR(__xludf.DUMMYFUNCTION("""COMPUTED_VALUE"""),"jupyterhub/jupyterhub")</f>
        <v>jupyterhub/jupyterhub</v>
      </c>
      <c r="C41" s="46" t="str">
        <f>IFERROR(__xludf.DUMMYFUNCTION("""COMPUTED_VALUE"""),"rembo10/headphones")</f>
        <v>rembo10/headphones</v>
      </c>
      <c r="D41" s="46" t="str">
        <f>IFERROR(__xludf.DUMMYFUNCTION("""COMPUTED_VALUE"""),"rembo10/headphones")</f>
        <v>rembo10/headphones</v>
      </c>
      <c r="E41" s="46" t="str">
        <f>IFERROR(__xludf.DUMMYFUNCTION("""COMPUTED_VALUE"""),"googleapis/google-cloud-python")</f>
        <v>googleapis/google-cloud-python</v>
      </c>
      <c r="F41" s="46" t="str">
        <f>IFERROR(__xludf.DUMMYFUNCTION("""COMPUTED_VALUE"""),"gevent/gevent")</f>
        <v>gevent/gevent</v>
      </c>
      <c r="G41" s="46" t="str">
        <f>IFERROR(__xludf.DUMMYFUNCTION("""COMPUTED_VALUE"""),"spotify/luigi")</f>
        <v>spotify/luigi</v>
      </c>
    </row>
    <row r="42">
      <c r="A42" s="45" t="str">
        <f>IFERROR(__xludf.DUMMYFUNCTION("""COMPUTED_VALUE"""),"openstack/swift")</f>
        <v>openstack/swift</v>
      </c>
      <c r="B42" s="46" t="str">
        <f>IFERROR(__xludf.DUMMYFUNCTION("""COMPUTED_VALUE"""),"kivy/kivy")</f>
        <v>kivy/kivy</v>
      </c>
      <c r="C42" s="46" t="str">
        <f>IFERROR(__xludf.DUMMYFUNCTION("""COMPUTED_VALUE"""),"home-assistant/home-assistant")</f>
        <v>home-assistant/home-assistant</v>
      </c>
      <c r="D42" s="46" t="str">
        <f>IFERROR(__xludf.DUMMYFUNCTION("""COMPUTED_VALUE"""),"home-assistant/home-assistant")</f>
        <v>home-assistant/home-assistant</v>
      </c>
      <c r="E42" s="46" t="str">
        <f>IFERROR(__xludf.DUMMYFUNCTION("""COMPUTED_VALUE"""),"home-assistant/home-assistant")</f>
        <v>home-assistant/home-assistant</v>
      </c>
      <c r="F42" s="46" t="str">
        <f>IFERROR(__xludf.DUMMYFUNCTION("""COMPUTED_VALUE"""),"nicolargo/glances")</f>
        <v>nicolargo/glances</v>
      </c>
      <c r="G42" s="46" t="str">
        <f>IFERROR(__xludf.DUMMYFUNCTION("""COMPUTED_VALUE"""),"MongoEngine/mongoengine")</f>
        <v>MongoEngine/mongoengine</v>
      </c>
    </row>
    <row r="43">
      <c r="A43" s="45" t="str">
        <f>IFERROR(__xludf.DUMMYFUNCTION("""COMPUTED_VALUE"""),"sympy/sympy")</f>
        <v>sympy/sympy</v>
      </c>
      <c r="B43" s="46" t="str">
        <f>IFERROR(__xludf.DUMMYFUNCTION("""COMPUTED_VALUE"""),"spotify/luigi")</f>
        <v>spotify/luigi</v>
      </c>
      <c r="C43" s="46" t="str">
        <f>IFERROR(__xludf.DUMMYFUNCTION("""COMPUTED_VALUE"""),"cloudera/hue")</f>
        <v>cloudera/hue</v>
      </c>
      <c r="D43" s="46" t="str">
        <f>IFERROR(__xludf.DUMMYFUNCTION("""COMPUTED_VALUE"""),"pallets/jinja")</f>
        <v>pallets/jinja</v>
      </c>
      <c r="E43" s="46" t="str">
        <f>IFERROR(__xludf.DUMMYFUNCTION("""COMPUTED_VALUE"""),"cloudera/hue")</f>
        <v>cloudera/hue</v>
      </c>
      <c r="F43" s="46" t="str">
        <f>IFERROR(__xludf.DUMMYFUNCTION("""COMPUTED_VALUE"""),"rembo10/headphones")</f>
        <v>rembo10/headphones</v>
      </c>
      <c r="G43" s="46" t="str">
        <f>IFERROR(__xludf.DUMMYFUNCTION("""COMPUTED_VALUE"""),"mitmproxy/mitmproxy")</f>
        <v>mitmproxy/mitmproxy</v>
      </c>
    </row>
    <row r="44">
      <c r="A44" s="45" t="str">
        <f>IFERROR(__xludf.DUMMYFUNCTION("""COMPUTED_VALUE"""),"tornadoweb/tornado")</f>
        <v>tornadoweb/tornado</v>
      </c>
      <c r="B44" s="46" t="str">
        <f>IFERROR(__xludf.DUMMYFUNCTION("""COMPUTED_VALUE"""),"matplotlib/matplotlib")</f>
        <v>matplotlib/matplotlib</v>
      </c>
      <c r="C44" s="46" t="str">
        <f>IFERROR(__xludf.DUMMYFUNCTION("""COMPUTED_VALUE"""),"ipython/ipython")</f>
        <v>ipython/ipython</v>
      </c>
      <c r="D44" s="46" t="str">
        <f>IFERROR(__xludf.DUMMYFUNCTION("""COMPUTED_VALUE"""),"jupyterhub/jupyterhub")</f>
        <v>jupyterhub/jupyterhub</v>
      </c>
      <c r="E44" s="46" t="str">
        <f>IFERROR(__xludf.DUMMYFUNCTION("""COMPUTED_VALUE"""),"ipython/ipython")</f>
        <v>ipython/ipython</v>
      </c>
      <c r="F44" s="46" t="str">
        <f>IFERROR(__xludf.DUMMYFUNCTION("""COMPUTED_VALUE"""),"cloudera/hue")</f>
        <v>cloudera/hue</v>
      </c>
      <c r="G44" s="46" t="str">
        <f>IFERROR(__xludf.DUMMYFUNCTION("""COMPUTED_VALUE"""),"mopidy/mopidy")</f>
        <v>mopidy/mopidy</v>
      </c>
    </row>
    <row r="45">
      <c r="A45" s="45" t="str">
        <f>IFERROR(__xludf.DUMMYFUNCTION("""COMPUTED_VALUE"""),"web2py/web2py")</f>
        <v>web2py/web2py</v>
      </c>
      <c r="B45" s="46" t="str">
        <f>IFERROR(__xludf.DUMMYFUNCTION("""COMPUTED_VALUE"""),"MongoEngine/mongoengine")</f>
        <v>MongoEngine/mongoengine</v>
      </c>
      <c r="C45" s="46" t="str">
        <f>IFERROR(__xludf.DUMMYFUNCTION("""COMPUTED_VALUE"""),"pallets/jinja")</f>
        <v>pallets/jinja</v>
      </c>
      <c r="D45" s="46" t="str">
        <f>IFERROR(__xludf.DUMMYFUNCTION("""COMPUTED_VALUE"""),"dpkp/kafka-python")</f>
        <v>dpkp/kafka-python</v>
      </c>
      <c r="E45" s="46" t="str">
        <f>IFERROR(__xludf.DUMMYFUNCTION("""COMPUTED_VALUE"""),"spotify/luigi")</f>
        <v>spotify/luigi</v>
      </c>
      <c r="F45" s="46" t="str">
        <f>IFERROR(__xludf.DUMMYFUNCTION("""COMPUTED_VALUE"""),"ipython/ipython")</f>
        <v>ipython/ipython</v>
      </c>
      <c r="G45" s="46" t="str">
        <f>IFERROR(__xludf.DUMMYFUNCTION("""COMPUTED_VALUE"""),"python/mypy")</f>
        <v>python/mypy</v>
      </c>
    </row>
    <row r="46">
      <c r="A46" s="45" t="str">
        <f>IFERROR(__xludf.DUMMYFUNCTION("""COMPUTED_VALUE"""),"pallets/werkzeug")</f>
        <v>pallets/werkzeug</v>
      </c>
      <c r="B46" s="46" t="str">
        <f>IFERROR(__xludf.DUMMYFUNCTION("""COMPUTED_VALUE"""),"stephenmcd/mezzanine")</f>
        <v>stephenmcd/mezzanine</v>
      </c>
      <c r="C46" s="46" t="str">
        <f>IFERROR(__xludf.DUMMYFUNCTION("""COMPUTED_VALUE"""),"jupyterhub/jupyterhub")</f>
        <v>jupyterhub/jupyterhub</v>
      </c>
      <c r="D46" s="46" t="str">
        <f>IFERROR(__xludf.DUMMYFUNCTION("""COMPUTED_VALUE"""),"kivy/kivy")</f>
        <v>kivy/kivy</v>
      </c>
      <c r="E46" s="46" t="str">
        <f>IFERROR(__xludf.DUMMYFUNCTION("""COMPUTED_VALUE"""),"matplotlib/matplotlib")</f>
        <v>matplotlib/matplotlib</v>
      </c>
      <c r="F46" s="46" t="str">
        <f>IFERROR(__xludf.DUMMYFUNCTION("""COMPUTED_VALUE"""),"pallets/jinja")</f>
        <v>pallets/jinja</v>
      </c>
      <c r="G46" s="46" t="str">
        <f>IFERROR(__xludf.DUMMYFUNCTION("""COMPUTED_VALUE"""),"networkx/networkx")</f>
        <v>networkx/networkx</v>
      </c>
    </row>
    <row r="47">
      <c r="A47" s="45" t="str">
        <f>IFERROR(__xludf.DUMMYFUNCTION("""COMPUTED_VALUE"""),"rg3/youtube-dl")</f>
        <v>rg3/youtube-dl</v>
      </c>
      <c r="B47" s="46" t="str">
        <f>IFERROR(__xludf.DUMMYFUNCTION("""COMPUTED_VALUE"""),"mitmproxy/mitmproxy")</f>
        <v>mitmproxy/mitmproxy</v>
      </c>
      <c r="C47" s="46" t="str">
        <f>IFERROR(__xludf.DUMMYFUNCTION("""COMPUTED_VALUE"""),"dpkp/kafka-python")</f>
        <v>dpkp/kafka-python</v>
      </c>
      <c r="D47" s="46" t="str">
        <f>IFERROR(__xludf.DUMMYFUNCTION("""COMPUTED_VALUE"""),"chrippa/livestreamer")</f>
        <v>chrippa/livestreamer</v>
      </c>
      <c r="E47" s="46" t="str">
        <f>IFERROR(__xludf.DUMMYFUNCTION("""COMPUTED_VALUE"""),"MongoEngine/mongoengine")</f>
        <v>MongoEngine/mongoengine</v>
      </c>
      <c r="F47" s="46" t="str">
        <f>IFERROR(__xludf.DUMMYFUNCTION("""COMPUTED_VALUE"""),"dpkp/kafka-python")</f>
        <v>dpkp/kafka-python</v>
      </c>
      <c r="G47" s="46" t="str">
        <f>IFERROR(__xludf.DUMMYFUNCTION("""COMPUTED_VALUE"""),"openstack/nova")</f>
        <v>openstack/nova</v>
      </c>
    </row>
    <row r="48">
      <c r="A48" s="45"/>
      <c r="B48" s="46" t="str">
        <f>IFERROR(__xludf.DUMMYFUNCTION("""COMPUTED_VALUE"""),"mongodb/mongo-python-driver")</f>
        <v>mongodb/mongo-python-driver</v>
      </c>
      <c r="C48" s="46" t="str">
        <f>IFERROR(__xludf.DUMMYFUNCTION("""COMPUTED_VALUE"""),"kivy/kivy")</f>
        <v>kivy/kivy</v>
      </c>
      <c r="D48" s="46" t="str">
        <f>IFERROR(__xludf.DUMMYFUNCTION("""COMPUTED_VALUE"""),"spotify/luigi")</f>
        <v>spotify/luigi</v>
      </c>
      <c r="E48" s="46" t="str">
        <f>IFERROR(__xludf.DUMMYFUNCTION("""COMPUTED_VALUE"""),"stephenmcd/mezzanine")</f>
        <v>stephenmcd/mezzanine</v>
      </c>
      <c r="F48" s="46" t="str">
        <f>IFERROR(__xludf.DUMMYFUNCTION("""COMPUTED_VALUE"""),"kivy/kivy")</f>
        <v>kivy/kivy</v>
      </c>
      <c r="G48" s="46" t="str">
        <f>IFERROR(__xludf.DUMMYFUNCTION("""COMPUTED_VALUE"""),"numenta/nupic")</f>
        <v>numenta/nupic</v>
      </c>
    </row>
    <row r="49">
      <c r="A49" s="45"/>
      <c r="B49" s="46" t="str">
        <f>IFERROR(__xludf.DUMMYFUNCTION("""COMPUTED_VALUE"""),"mopidy/mopidy")</f>
        <v>mopidy/mopidy</v>
      </c>
      <c r="C49" s="46" t="str">
        <f>IFERROR(__xludf.DUMMYFUNCTION("""COMPUTED_VALUE"""),"spotify/luigi")</f>
        <v>spotify/luigi</v>
      </c>
      <c r="D49" s="46" t="str">
        <f>IFERROR(__xludf.DUMMYFUNCTION("""COMPUTED_VALUE"""),"matplotlib/matplotlib")</f>
        <v>matplotlib/matplotlib</v>
      </c>
      <c r="E49" s="46" t="str">
        <f>IFERROR(__xludf.DUMMYFUNCTION("""COMPUTED_VALUE"""),"mitmproxy/mitmproxy")</f>
        <v>mitmproxy/mitmproxy</v>
      </c>
      <c r="F49" s="46" t="str">
        <f>IFERROR(__xludf.DUMMYFUNCTION("""COMPUTED_VALUE"""),"chrippa/livestreamer")</f>
        <v>chrippa/livestreamer</v>
      </c>
      <c r="G49" s="46" t="str">
        <f>IFERROR(__xludf.DUMMYFUNCTION("""COMPUTED_VALUE"""),"biolab/orange3")</f>
        <v>biolab/orange3</v>
      </c>
    </row>
    <row r="50">
      <c r="A50" s="45"/>
      <c r="B50" s="47" t="str">
        <f>IFERROR(__xludf.DUMMYFUNCTION("""COMPUTED_VALUE"""),"Yelp/mrjob")</f>
        <v>Yelp/mrjob</v>
      </c>
      <c r="C50" s="47" t="str">
        <f>IFERROR(__xludf.DUMMYFUNCTION("""COMPUTED_VALUE"""),"matplotlib/matplotlib")</f>
        <v>matplotlib/matplotlib</v>
      </c>
      <c r="D50" s="47" t="str">
        <f>IFERROR(__xludf.DUMMYFUNCTION("""COMPUTED_VALUE"""),"MongoEngine/mongoengine")</f>
        <v>MongoEngine/mongoengine</v>
      </c>
      <c r="E50" s="47" t="str">
        <f>IFERROR(__xludf.DUMMYFUNCTION("""COMPUTED_VALUE"""),"mongodb/mongo-python-driver")</f>
        <v>mongodb/mongo-python-driver</v>
      </c>
      <c r="F50" s="47" t="str">
        <f>IFERROR(__xludf.DUMMYFUNCTION("""COMPUTED_VALUE"""),"spotify/luigi")</f>
        <v>spotify/luigi</v>
      </c>
      <c r="G50" s="46" t="str">
        <f>IFERROR(__xludf.DUMMYFUNCTION("""COMPUTED_VALUE"""),"pandas-dev/pandas")</f>
        <v>pandas-dev/pandas</v>
      </c>
    </row>
    <row r="51">
      <c r="A51" s="48"/>
      <c r="B51" s="49" t="str">
        <f>IFERROR(__xludf.DUMMYFUNCTION("""COMPUTED_VALUE"""),"munki/munki")</f>
        <v>munki/munki</v>
      </c>
      <c r="C51" s="49" t="str">
        <f>IFERROR(__xludf.DUMMYFUNCTION("""COMPUTED_VALUE"""),"MongoEngine/mongoengine")</f>
        <v>MongoEngine/mongoengine</v>
      </c>
      <c r="D51" s="49" t="str">
        <f>IFERROR(__xludf.DUMMYFUNCTION("""COMPUTED_VALUE"""),"mitmproxy/mitmproxy")</f>
        <v>mitmproxy/mitmproxy</v>
      </c>
      <c r="E51" s="49" t="str">
        <f>IFERROR(__xludf.DUMMYFUNCTION("""COMPUTED_VALUE"""),"mopidy/mopidy")</f>
        <v>mopidy/mopidy</v>
      </c>
      <c r="F51" s="49" t="str">
        <f>IFERROR(__xludf.DUMMYFUNCTION("""COMPUTED_VALUE"""),"matplotlib/matplotlib")</f>
        <v>matplotlib/matplotlib</v>
      </c>
      <c r="G51" s="49" t="str">
        <f>IFERROR(__xludf.DUMMYFUNCTION("""COMPUTED_VALUE"""),"coleifer/peewee")</f>
        <v>coleifer/peewee</v>
      </c>
    </row>
    <row r="52">
      <c r="A52" s="48"/>
      <c r="B52" s="49" t="str">
        <f>IFERROR(__xludf.DUMMYFUNCTION("""COMPUTED_VALUE"""),"python/mypy")</f>
        <v>python/mypy</v>
      </c>
      <c r="C52" s="49" t="str">
        <f>IFERROR(__xludf.DUMMYFUNCTION("""COMPUTED_VALUE"""),"stephenmcd/mezzanine")</f>
        <v>stephenmcd/mezzanine</v>
      </c>
      <c r="D52" s="49" t="str">
        <f>IFERROR(__xludf.DUMMYFUNCTION("""COMPUTED_VALUE"""),"mongodb/mongo-python-driver")</f>
        <v>mongodb/mongo-python-driver</v>
      </c>
      <c r="E52" s="49" t="str">
        <f>IFERROR(__xludf.DUMMYFUNCTION("""COMPUTED_VALUE"""),"Yelp/mrjob")</f>
        <v>Yelp/mrjob</v>
      </c>
      <c r="F52" s="49" t="str">
        <f>IFERROR(__xludf.DUMMYFUNCTION("""COMPUTED_VALUE"""),"MongoEngine/mongoengine")</f>
        <v>MongoEngine/mongoengine</v>
      </c>
      <c r="G52" s="49" t="str">
        <f>IFERROR(__xludf.DUMMYFUNCTION("""COMPUTED_VALUE"""),"getpelican/pelican")</f>
        <v>getpelican/pelican</v>
      </c>
    </row>
    <row r="53">
      <c r="A53" s="48"/>
      <c r="B53" s="49" t="str">
        <f>IFERROR(__xludf.DUMMYFUNCTION("""COMPUTED_VALUE"""),"networkx/networkx")</f>
        <v>networkx/networkx</v>
      </c>
      <c r="C53" s="49" t="str">
        <f>IFERROR(__xludf.DUMMYFUNCTION("""COMPUTED_VALUE"""),"mitmproxy/mitmproxy")</f>
        <v>mitmproxy/mitmproxy</v>
      </c>
      <c r="D53" s="49" t="str">
        <f>IFERROR(__xludf.DUMMYFUNCTION("""COMPUTED_VALUE"""),"mopidy/mopidy")</f>
        <v>mopidy/mopidy</v>
      </c>
      <c r="E53" s="49" t="str">
        <f>IFERROR(__xludf.DUMMYFUNCTION("""COMPUTED_VALUE"""),"munki/munki")</f>
        <v>munki/munki</v>
      </c>
      <c r="F53" s="49" t="str">
        <f>IFERROR(__xludf.DUMMYFUNCTION("""COMPUTED_VALUE"""),"stephenmcd/mezzanine")</f>
        <v>stephenmcd/mezzanine</v>
      </c>
      <c r="G53" s="49" t="str">
        <f>IFERROR(__xludf.DUMMYFUNCTION("""COMPUTED_VALUE"""),"metabrainz/picard")</f>
        <v>metabrainz/picard</v>
      </c>
    </row>
    <row r="54">
      <c r="A54" s="48"/>
      <c r="B54" s="49" t="str">
        <f>IFERROR(__xludf.DUMMYFUNCTION("""COMPUTED_VALUE"""),"paramiko/paramiko")</f>
        <v>paramiko/paramiko</v>
      </c>
      <c r="C54" s="49" t="str">
        <f>IFERROR(__xludf.DUMMYFUNCTION("""COMPUTED_VALUE"""),"mongodb/mongo-python-driver")</f>
        <v>mongodb/mongo-python-driver</v>
      </c>
      <c r="D54" s="49" t="str">
        <f>IFERROR(__xludf.DUMMYFUNCTION("""COMPUTED_VALUE"""),"Yelp/mrjob")</f>
        <v>Yelp/mrjob</v>
      </c>
      <c r="E54" s="49" t="str">
        <f>IFERROR(__xludf.DUMMYFUNCTION("""COMPUTED_VALUE"""),"networkx/networkx")</f>
        <v>networkx/networkx</v>
      </c>
      <c r="F54" s="49" t="str">
        <f>IFERROR(__xludf.DUMMYFUNCTION("""COMPUTED_VALUE"""),"mitmproxy/mitmproxy")</f>
        <v>mitmproxy/mitmproxy</v>
      </c>
      <c r="G54" s="49" t="str">
        <f>IFERROR(__xludf.DUMMYFUNCTION("""COMPUTED_VALUE"""),"pika/pika")</f>
        <v>pika/pika</v>
      </c>
    </row>
    <row r="55">
      <c r="A55" s="48"/>
      <c r="B55" s="49" t="str">
        <f>IFERROR(__xludf.DUMMYFUNCTION("""COMPUTED_VALUE"""),"openstack/nova")</f>
        <v>openstack/nova</v>
      </c>
      <c r="C55" s="49" t="str">
        <f>IFERROR(__xludf.DUMMYFUNCTION("""COMPUTED_VALUE"""),"mopidy/mopidy")</f>
        <v>mopidy/mopidy</v>
      </c>
      <c r="D55" s="49" t="str">
        <f>IFERROR(__xludf.DUMMYFUNCTION("""COMPUTED_VALUE"""),"munki/munki")</f>
        <v>munki/munki</v>
      </c>
      <c r="E55" s="49" t="str">
        <f>IFERROR(__xludf.DUMMYFUNCTION("""COMPUTED_VALUE"""),"paramiko/paramiko")</f>
        <v>paramiko/paramiko</v>
      </c>
      <c r="F55" s="49" t="str">
        <f>IFERROR(__xludf.DUMMYFUNCTION("""COMPUTED_VALUE"""),"mongodb/mongo-python-driver")</f>
        <v>mongodb/mongo-python-driver</v>
      </c>
      <c r="G55" s="49" t="str">
        <f>IFERROR(__xludf.DUMMYFUNCTION("""COMPUTED_VALUE"""),"python-pillow/Pillow")</f>
        <v>python-pillow/Pillow</v>
      </c>
    </row>
    <row r="56">
      <c r="A56" s="48"/>
      <c r="B56" s="49" t="str">
        <f>IFERROR(__xludf.DUMMYFUNCTION("""COMPUTED_VALUE"""),"numba/numba")</f>
        <v>numba/numba</v>
      </c>
      <c r="C56" s="49" t="str">
        <f>IFERROR(__xludf.DUMMYFUNCTION("""COMPUTED_VALUE"""),"python/mypy")</f>
        <v>python/mypy</v>
      </c>
      <c r="D56" s="49" t="str">
        <f>IFERROR(__xludf.DUMMYFUNCTION("""COMPUTED_VALUE"""),"python/mypy")</f>
        <v>python/mypy</v>
      </c>
      <c r="E56" s="49" t="str">
        <f>IFERROR(__xludf.DUMMYFUNCTION("""COMPUTED_VALUE"""),"openstack/nova")</f>
        <v>openstack/nova</v>
      </c>
      <c r="F56" s="49" t="str">
        <f>IFERROR(__xludf.DUMMYFUNCTION("""COMPUTED_VALUE"""),"mopidy/mopidy")</f>
        <v>mopidy/mopidy</v>
      </c>
      <c r="G56" s="49" t="str">
        <f>IFERROR(__xludf.DUMMYFUNCTION("""COMPUTED_VALUE"""),"pypa/pip")</f>
        <v>pypa/pip</v>
      </c>
    </row>
    <row r="57">
      <c r="A57" s="48"/>
      <c r="B57" s="49" t="str">
        <f>IFERROR(__xludf.DUMMYFUNCTION("""COMPUTED_VALUE"""),"numenta/nupic")</f>
        <v>numenta/nupic</v>
      </c>
      <c r="C57" s="49" t="str">
        <f>IFERROR(__xludf.DUMMYFUNCTION("""COMPUTED_VALUE"""),"networkx/networkx")</f>
        <v>networkx/networkx</v>
      </c>
      <c r="D57" s="49" t="str">
        <f>IFERROR(__xludf.DUMMYFUNCTION("""COMPUTED_VALUE"""),"networkx/networkx")</f>
        <v>networkx/networkx</v>
      </c>
      <c r="E57" s="49" t="str">
        <f>IFERROR(__xludf.DUMMYFUNCTION("""COMPUTED_VALUE"""),"numba/numba")</f>
        <v>numba/numba</v>
      </c>
      <c r="F57" s="49" t="str">
        <f>IFERROR(__xludf.DUMMYFUNCTION("""COMPUTED_VALUE"""),"Yelp/mrjob")</f>
        <v>Yelp/mrjob</v>
      </c>
      <c r="G57" s="49" t="str">
        <f>IFERROR(__xludf.DUMMYFUNCTION("""COMPUTED_VALUE"""),"giampaolo/psutil")</f>
        <v>giampaolo/psutil</v>
      </c>
    </row>
    <row r="58">
      <c r="A58" s="48"/>
      <c r="B58" s="49" t="str">
        <f>IFERROR(__xludf.DUMMYFUNCTION("""COMPUTED_VALUE"""),"foosel/OctoPrint")</f>
        <v>foosel/OctoPrint</v>
      </c>
      <c r="C58" s="49" t="str">
        <f>IFERROR(__xludf.DUMMYFUNCTION("""COMPUTED_VALUE"""),"paramiko/paramiko")</f>
        <v>paramiko/paramiko</v>
      </c>
      <c r="D58" s="49" t="str">
        <f>IFERROR(__xludf.DUMMYFUNCTION("""COMPUTED_VALUE"""),"paramiko/paramiko")</f>
        <v>paramiko/paramiko</v>
      </c>
      <c r="E58" s="49" t="str">
        <f>IFERROR(__xludf.DUMMYFUNCTION("""COMPUTED_VALUE"""),"numenta/nupic")</f>
        <v>numenta/nupic</v>
      </c>
      <c r="F58" s="49" t="str">
        <f>IFERROR(__xludf.DUMMYFUNCTION("""COMPUTED_VALUE"""),"python/mypy")</f>
        <v>python/mypy</v>
      </c>
      <c r="G58" s="49" t="str">
        <f>IFERROR(__xludf.DUMMYFUNCTION("""COMPUTED_VALUE"""),"Gallopsled/pwntools")</f>
        <v>Gallopsled/pwntools</v>
      </c>
    </row>
    <row r="59">
      <c r="A59" s="48"/>
      <c r="B59" s="49" t="str">
        <f>IFERROR(__xludf.DUMMYFUNCTION("""COMPUTED_VALUE"""),"biolab/orange3")</f>
        <v>biolab/orange3</v>
      </c>
      <c r="C59" s="49" t="str">
        <f>IFERROR(__xludf.DUMMYFUNCTION("""COMPUTED_VALUE"""),"openstack/nova")</f>
        <v>openstack/nova</v>
      </c>
      <c r="D59" s="49" t="str">
        <f>IFERROR(__xludf.DUMMYFUNCTION("""COMPUTED_VALUE"""),"openstack/nova")</f>
        <v>openstack/nova</v>
      </c>
      <c r="E59" s="49" t="str">
        <f>IFERROR(__xludf.DUMMYFUNCTION("""COMPUTED_VALUE"""),"foosel/OctoPrint")</f>
        <v>foosel/OctoPrint</v>
      </c>
      <c r="F59" s="49" t="str">
        <f>IFERROR(__xludf.DUMMYFUNCTION("""COMPUTED_VALUE"""),"networkx/networkx")</f>
        <v>networkx/networkx</v>
      </c>
      <c r="G59" s="49" t="str">
        <f>IFERROR(__xludf.DUMMYFUNCTION("""COMPUTED_VALUE"""),"pyinstaller/pyinstaller")</f>
        <v>pyinstaller/pyinstaller</v>
      </c>
    </row>
    <row r="60">
      <c r="A60" s="48"/>
      <c r="B60" s="49" t="str">
        <f>IFERROR(__xludf.DUMMYFUNCTION("""COMPUTED_VALUE"""),"pandas-dev/pandas")</f>
        <v>pandas-dev/pandas</v>
      </c>
      <c r="C60" s="49" t="str">
        <f>IFERROR(__xludf.DUMMYFUNCTION("""COMPUTED_VALUE"""),"numba/numba")</f>
        <v>numba/numba</v>
      </c>
      <c r="D60" s="49" t="str">
        <f>IFERROR(__xludf.DUMMYFUNCTION("""COMPUTED_VALUE"""),"numba/numba")</f>
        <v>numba/numba</v>
      </c>
      <c r="E60" s="49" t="str">
        <f>IFERROR(__xludf.DUMMYFUNCTION("""COMPUTED_VALUE"""),"pandas-dev/pandas")</f>
        <v>pandas-dev/pandas</v>
      </c>
      <c r="F60" s="49" t="str">
        <f>IFERROR(__xludf.DUMMYFUNCTION("""COMPUTED_VALUE"""),"paramiko/paramiko")</f>
        <v>paramiko/paramiko</v>
      </c>
      <c r="G60" s="49" t="str">
        <f>IFERROR(__xludf.DUMMYFUNCTION("""COMPUTED_VALUE"""),"pymc-devs/pymc3")</f>
        <v>pymc-devs/pymc3</v>
      </c>
    </row>
    <row r="61">
      <c r="A61" s="48"/>
      <c r="B61" s="49" t="str">
        <f>IFERROR(__xludf.DUMMYFUNCTION("""COMPUTED_VALUE"""),"coleifer/peewee")</f>
        <v>coleifer/peewee</v>
      </c>
      <c r="C61" s="49" t="str">
        <f>IFERROR(__xludf.DUMMYFUNCTION("""COMPUTED_VALUE"""),"foosel/OctoPrint")</f>
        <v>foosel/OctoPrint</v>
      </c>
      <c r="D61" s="49" t="str">
        <f>IFERROR(__xludf.DUMMYFUNCTION("""COMPUTED_VALUE"""),"numenta/nupic")</f>
        <v>numenta/nupic</v>
      </c>
      <c r="E61" s="49" t="str">
        <f>IFERROR(__xludf.DUMMYFUNCTION("""COMPUTED_VALUE"""),"coleifer/peewee")</f>
        <v>coleifer/peewee</v>
      </c>
      <c r="F61" s="49" t="str">
        <f>IFERROR(__xludf.DUMMYFUNCTION("""COMPUTED_VALUE"""),"openstack/nova")</f>
        <v>openstack/nova</v>
      </c>
      <c r="G61" s="49" t="str">
        <f>IFERROR(__xludf.DUMMYFUNCTION("""COMPUTED_VALUE"""),"Pylons/pyramid")</f>
        <v>Pylons/pyramid</v>
      </c>
    </row>
    <row r="62">
      <c r="A62" s="48"/>
      <c r="B62" s="49" t="str">
        <f>IFERROR(__xludf.DUMMYFUNCTION("""COMPUTED_VALUE"""),"getpelican/pelican")</f>
        <v>getpelican/pelican</v>
      </c>
      <c r="C62" s="49" t="str">
        <f>IFERROR(__xludf.DUMMYFUNCTION("""COMPUTED_VALUE"""),"pandas-dev/pandas")</f>
        <v>pandas-dev/pandas</v>
      </c>
      <c r="D62" s="49" t="str">
        <f>IFERROR(__xludf.DUMMYFUNCTION("""COMPUTED_VALUE"""),"biolab/orange3")</f>
        <v>biolab/orange3</v>
      </c>
      <c r="E62" s="49" t="str">
        <f>IFERROR(__xludf.DUMMYFUNCTION("""COMPUTED_VALUE"""),"getpelican/pelican")</f>
        <v>getpelican/pelican</v>
      </c>
      <c r="F62" s="49" t="str">
        <f>IFERROR(__xludf.DUMMYFUNCTION("""COMPUTED_VALUE"""),"numba/numba")</f>
        <v>numba/numba</v>
      </c>
      <c r="G62" s="49" t="str">
        <f>IFERROR(__xludf.DUMMYFUNCTION("""COMPUTED_VALUE"""),"qutebrowser/qutebrowser")</f>
        <v>qutebrowser/qutebrowser</v>
      </c>
    </row>
    <row r="63">
      <c r="A63" s="48"/>
      <c r="B63" s="49" t="str">
        <f>IFERROR(__xludf.DUMMYFUNCTION("""COMPUTED_VALUE"""),"metabrainz/picard")</f>
        <v>metabrainz/picard</v>
      </c>
      <c r="C63" s="49" t="str">
        <f>IFERROR(__xludf.DUMMYFUNCTION("""COMPUTED_VALUE"""),"coleifer/peewee")</f>
        <v>coleifer/peewee</v>
      </c>
      <c r="D63" s="49" t="str">
        <f>IFERROR(__xludf.DUMMYFUNCTION("""COMPUTED_VALUE"""),"pandas-dev/pandas")</f>
        <v>pandas-dev/pandas</v>
      </c>
      <c r="E63" s="49" t="str">
        <f>IFERROR(__xludf.DUMMYFUNCTION("""COMPUTED_VALUE"""),"metabrainz/picard")</f>
        <v>metabrainz/picard</v>
      </c>
      <c r="F63" s="49" t="str">
        <f>IFERROR(__xludf.DUMMYFUNCTION("""COMPUTED_VALUE"""),"numenta/nupic")</f>
        <v>numenta/nupic</v>
      </c>
      <c r="G63" s="49" t="str">
        <f>IFERROR(__xludf.DUMMYFUNCTION("""COMPUTED_VALUE"""),"ranger/ranger")</f>
        <v>ranger/ranger</v>
      </c>
    </row>
    <row r="64">
      <c r="A64" s="48"/>
      <c r="B64" s="49" t="str">
        <f>IFERROR(__xludf.DUMMYFUNCTION("""COMPUTED_VALUE"""),"python-pillow/Pillow")</f>
        <v>python-pillow/Pillow</v>
      </c>
      <c r="C64" s="49" t="str">
        <f>IFERROR(__xludf.DUMMYFUNCTION("""COMPUTED_VALUE"""),"getpelican/pelican")</f>
        <v>getpelican/pelican</v>
      </c>
      <c r="D64" s="49" t="str">
        <f>IFERROR(__xludf.DUMMYFUNCTION("""COMPUTED_VALUE"""),"coleifer/peewee")</f>
        <v>coleifer/peewee</v>
      </c>
      <c r="E64" s="49" t="str">
        <f>IFERROR(__xludf.DUMMYFUNCTION("""COMPUTED_VALUE"""),"pika/pika")</f>
        <v>pika/pika</v>
      </c>
      <c r="F64" s="49" t="str">
        <f>IFERROR(__xludf.DUMMYFUNCTION("""COMPUTED_VALUE"""),"foosel/OctoPrint")</f>
        <v>foosel/OctoPrint</v>
      </c>
      <c r="G64" s="49" t="str">
        <f>IFERROR(__xludf.DUMMYFUNCTION("""COMPUTED_VALUE"""),"getsentry/raven-python")</f>
        <v>getsentry/raven-python</v>
      </c>
    </row>
    <row r="65">
      <c r="A65" s="48"/>
      <c r="B65" s="49" t="str">
        <f>IFERROR(__xludf.DUMMYFUNCTION("""COMPUTED_VALUE"""),"pypa/pip")</f>
        <v>pypa/pip</v>
      </c>
      <c r="C65" s="49" t="str">
        <f>IFERROR(__xludf.DUMMYFUNCTION("""COMPUTED_VALUE"""),"pika/pika")</f>
        <v>pika/pika</v>
      </c>
      <c r="D65" s="49" t="str">
        <f>IFERROR(__xludf.DUMMYFUNCTION("""COMPUTED_VALUE"""),"getpelican/pelican")</f>
        <v>getpelican/pelican</v>
      </c>
      <c r="E65" s="49" t="str">
        <f>IFERROR(__xludf.DUMMYFUNCTION("""COMPUTED_VALUE"""),"python-pillow/Pillow")</f>
        <v>python-pillow/Pillow</v>
      </c>
      <c r="F65" s="49" t="str">
        <f>IFERROR(__xludf.DUMMYFUNCTION("""COMPUTED_VALUE"""),"biolab/orange3")</f>
        <v>biolab/orange3</v>
      </c>
      <c r="G65" s="49" t="str">
        <f>IFERROR(__xludf.DUMMYFUNCTION("""COMPUTED_VALUE"""),"rtfd/readthedocs.org")</f>
        <v>rtfd/readthedocs.org</v>
      </c>
    </row>
    <row r="66">
      <c r="A66" s="48"/>
      <c r="B66" s="49" t="str">
        <f>IFERROR(__xludf.DUMMYFUNCTION("""COMPUTED_VALUE"""),"aosp-mirror/platform_development")</f>
        <v>aosp-mirror/platform_development</v>
      </c>
      <c r="C66" s="49" t="str">
        <f>IFERROR(__xludf.DUMMYFUNCTION("""COMPUTED_VALUE"""),"python-pillow/Pillow")</f>
        <v>python-pillow/Pillow</v>
      </c>
      <c r="D66" s="49" t="str">
        <f>IFERROR(__xludf.DUMMYFUNCTION("""COMPUTED_VALUE"""),"metabrainz/picard")</f>
        <v>metabrainz/picard</v>
      </c>
      <c r="E66" s="49" t="str">
        <f>IFERROR(__xludf.DUMMYFUNCTION("""COMPUTED_VALUE"""),"pypa/pip")</f>
        <v>pypa/pip</v>
      </c>
      <c r="F66" s="49" t="str">
        <f>IFERROR(__xludf.DUMMYFUNCTION("""COMPUTED_VALUE"""),"pandas-dev/pandas")</f>
        <v>pandas-dev/pandas</v>
      </c>
      <c r="G66" s="49" t="str">
        <f>IFERROR(__xludf.DUMMYFUNCTION("""COMPUTED_VALUE"""),"getredash/redash")</f>
        <v>getredash/redash</v>
      </c>
    </row>
    <row r="67">
      <c r="A67" s="48"/>
      <c r="B67" s="49" t="str">
        <f>IFERROR(__xludf.DUMMYFUNCTION("""COMPUTED_VALUE"""),"playframework/play1")</f>
        <v>playframework/play1</v>
      </c>
      <c r="C67" s="49" t="str">
        <f>IFERROR(__xludf.DUMMYFUNCTION("""COMPUTED_VALUE"""),"pypa/pip")</f>
        <v>pypa/pip</v>
      </c>
      <c r="D67" s="49" t="str">
        <f>IFERROR(__xludf.DUMMYFUNCTION("""COMPUTED_VALUE"""),"pika/pika")</f>
        <v>pika/pika</v>
      </c>
      <c r="E67" s="49" t="str">
        <f>IFERROR(__xludf.DUMMYFUNCTION("""COMPUTED_VALUE"""),"aosp-mirror/platform_development")</f>
        <v>aosp-mirror/platform_development</v>
      </c>
      <c r="F67" s="49" t="str">
        <f>IFERROR(__xludf.DUMMYFUNCTION("""COMPUTED_VALUE"""),"coleifer/peewee")</f>
        <v>coleifer/peewee</v>
      </c>
      <c r="G67" s="49" t="str">
        <f>IFERROR(__xludf.DUMMYFUNCTION("""COMPUTED_VALUE"""),"robotframework/robotframework")</f>
        <v>robotframework/robotframework</v>
      </c>
    </row>
    <row r="68">
      <c r="A68" s="48"/>
      <c r="B68" s="49" t="str">
        <f>IFERROR(__xludf.DUMMYFUNCTION("""COMPUTED_VALUE"""),"giampaolo/psutil")</f>
        <v>giampaolo/psutil</v>
      </c>
      <c r="C68" s="49" t="str">
        <f>IFERROR(__xludf.DUMMYFUNCTION("""COMPUTED_VALUE"""),"aosp-mirror/platform_development")</f>
        <v>aosp-mirror/platform_development</v>
      </c>
      <c r="D68" s="49" t="str">
        <f>IFERROR(__xludf.DUMMYFUNCTION("""COMPUTED_VALUE"""),"pypa/pip")</f>
        <v>pypa/pip</v>
      </c>
      <c r="E68" s="49" t="str">
        <f>IFERROR(__xludf.DUMMYFUNCTION("""COMPUTED_VALUE"""),"playframework/play1")</f>
        <v>playframework/play1</v>
      </c>
      <c r="F68" s="49" t="str">
        <f>IFERROR(__xludf.DUMMYFUNCTION("""COMPUTED_VALUE"""),"getpelican/pelican")</f>
        <v>getpelican/pelican</v>
      </c>
      <c r="G68" s="49" t="str">
        <f>IFERROR(__xludf.DUMMYFUNCTION("""COMPUTED_VALUE"""),"mirumee/saleor")</f>
        <v>mirumee/saleor</v>
      </c>
    </row>
    <row r="69">
      <c r="A69" s="48"/>
      <c r="B69" s="49" t="str">
        <f>IFERROR(__xludf.DUMMYFUNCTION("""COMPUTED_VALUE"""),"Gallopsled/pwntools")</f>
        <v>Gallopsled/pwntools</v>
      </c>
      <c r="C69" s="49" t="str">
        <f>IFERROR(__xludf.DUMMYFUNCTION("""COMPUTED_VALUE"""),"playframework/play1")</f>
        <v>playframework/play1</v>
      </c>
      <c r="D69" s="49" t="str">
        <f>IFERROR(__xludf.DUMMYFUNCTION("""COMPUTED_VALUE"""),"ethereum/pyethereum")</f>
        <v>ethereum/pyethereum</v>
      </c>
      <c r="E69" s="49" t="str">
        <f>IFERROR(__xludf.DUMMYFUNCTION("""COMPUTED_VALUE"""),"giampaolo/psutil")</f>
        <v>giampaolo/psutil</v>
      </c>
      <c r="F69" s="49" t="str">
        <f>IFERROR(__xludf.DUMMYFUNCTION("""COMPUTED_VALUE"""),"metabrainz/picard")</f>
        <v>metabrainz/picard</v>
      </c>
      <c r="G69" s="49" t="str">
        <f>IFERROR(__xludf.DUMMYFUNCTION("""COMPUTED_VALUE"""),"saltstack/salt")</f>
        <v>saltstack/salt</v>
      </c>
    </row>
    <row r="70">
      <c r="A70" s="48"/>
      <c r="B70" s="49" t="str">
        <f>IFERROR(__xludf.DUMMYFUNCTION("""COMPUTED_VALUE"""),"ethereum/pyethereum")</f>
        <v>ethereum/pyethereum</v>
      </c>
      <c r="C70" s="49" t="str">
        <f>IFERROR(__xludf.DUMMYFUNCTION("""COMPUTED_VALUE"""),"pyinstaller/pyinstaller")</f>
        <v>pyinstaller/pyinstaller</v>
      </c>
      <c r="D70" s="49" t="str">
        <f>IFERROR(__xludf.DUMMYFUNCTION("""COMPUTED_VALUE"""),"pymc-devs/pymc3")</f>
        <v>pymc-devs/pymc3</v>
      </c>
      <c r="E70" s="49" t="str">
        <f>IFERROR(__xludf.DUMMYFUNCTION("""COMPUTED_VALUE"""),"Gallopsled/pwntools")</f>
        <v>Gallopsled/pwntools</v>
      </c>
      <c r="F70" s="49" t="str">
        <f>IFERROR(__xludf.DUMMYFUNCTION("""COMPUTED_VALUE"""),"pika/pika")</f>
        <v>pika/pika</v>
      </c>
      <c r="G70" s="49" t="str">
        <f>IFERROR(__xludf.DUMMYFUNCTION("""COMPUTED_VALUE"""),"scikit-image/scikit-image")</f>
        <v>scikit-image/scikit-image</v>
      </c>
    </row>
    <row r="71">
      <c r="A71" s="48"/>
      <c r="B71" s="49" t="str">
        <f>IFERROR(__xludf.DUMMYFUNCTION("""COMPUTED_VALUE"""),"pyinstaller/pyinstaller")</f>
        <v>pyinstaller/pyinstaller</v>
      </c>
      <c r="C71" s="49" t="str">
        <f>IFERROR(__xludf.DUMMYFUNCTION("""COMPUTED_VALUE"""),"pymc-devs/pymc3")</f>
        <v>pymc-devs/pymc3</v>
      </c>
      <c r="D71" s="49" t="str">
        <f>IFERROR(__xludf.DUMMYFUNCTION("""COMPUTED_VALUE"""),"Pylons/pyramid")</f>
        <v>Pylons/pyramid</v>
      </c>
      <c r="E71" s="49" t="str">
        <f>IFERROR(__xludf.DUMMYFUNCTION("""COMPUTED_VALUE"""),"Pylons/pyramid")</f>
        <v>Pylons/pyramid</v>
      </c>
      <c r="F71" s="49" t="str">
        <f>IFERROR(__xludf.DUMMYFUNCTION("""COMPUTED_VALUE"""),"python-pillow/Pillow")</f>
        <v>python-pillow/Pillow</v>
      </c>
      <c r="G71" s="49" t="str">
        <f>IFERROR(__xludf.DUMMYFUNCTION("""COMPUTED_VALUE"""),"scikit-learn/scikit-learn")</f>
        <v>scikit-learn/scikit-learn</v>
      </c>
    </row>
    <row r="72">
      <c r="A72" s="48"/>
      <c r="B72" s="49" t="str">
        <f>IFERROR(__xludf.DUMMYFUNCTION("""COMPUTED_VALUE"""),"pymc-devs/pymc3")</f>
        <v>pymc-devs/pymc3</v>
      </c>
      <c r="C72" s="49" t="str">
        <f>IFERROR(__xludf.DUMMYFUNCTION("""COMPUTED_VALUE"""),"Pylons/pyramid")</f>
        <v>Pylons/pyramid</v>
      </c>
      <c r="D72" s="49" t="str">
        <f>IFERROR(__xludf.DUMMYFUNCTION("""COMPUTED_VALUE"""),"ranger/ranger")</f>
        <v>ranger/ranger</v>
      </c>
      <c r="E72" s="49" t="str">
        <f>IFERROR(__xludf.DUMMYFUNCTION("""COMPUTED_VALUE"""),"zeromq/pyzmq")</f>
        <v>zeromq/pyzmq</v>
      </c>
      <c r="F72" s="49" t="str">
        <f>IFERROR(__xludf.DUMMYFUNCTION("""COMPUTED_VALUE"""),"pypa/pip")</f>
        <v>pypa/pip</v>
      </c>
      <c r="G72" s="49" t="str">
        <f>IFERROR(__xludf.DUMMYFUNCTION("""COMPUTED_VALUE"""),"scrapy/scrapy")</f>
        <v>scrapy/scrapy</v>
      </c>
    </row>
    <row r="73">
      <c r="A73" s="48"/>
      <c r="B73" s="49" t="str">
        <f>IFERROR(__xludf.DUMMYFUNCTION("""COMPUTED_VALUE"""),"Pylons/pyramid")</f>
        <v>Pylons/pyramid</v>
      </c>
      <c r="C73" s="49" t="str">
        <f>IFERROR(__xludf.DUMMYFUNCTION("""COMPUTED_VALUE"""),"zeromq/pyzmq")</f>
        <v>zeromq/pyzmq</v>
      </c>
      <c r="D73" s="49" t="str">
        <f>IFERROR(__xludf.DUMMYFUNCTION("""COMPUTED_VALUE"""),"getsentry/raven-python")</f>
        <v>getsentry/raven-python</v>
      </c>
      <c r="E73" s="49" t="str">
        <f>IFERROR(__xludf.DUMMYFUNCTION("""COMPUTED_VALUE"""),"qutebrowser/qutebrowser")</f>
        <v>qutebrowser/qutebrowser</v>
      </c>
      <c r="F73" s="49" t="str">
        <f>IFERROR(__xludf.DUMMYFUNCTION("""COMPUTED_VALUE"""),"aosp-mirror/platform_development")</f>
        <v>aosp-mirror/platform_development</v>
      </c>
      <c r="G73" s="49" t="str">
        <f>IFERROR(__xludf.DUMMYFUNCTION("""COMPUTED_VALUE"""),"freedomofpress/securedrop")</f>
        <v>freedomofpress/securedrop</v>
      </c>
    </row>
    <row r="74">
      <c r="A74" s="48"/>
      <c r="B74" s="49" t="str">
        <f>IFERROR(__xludf.DUMMYFUNCTION("""COMPUTED_VALUE"""),"qutebrowser/qutebrowser")</f>
        <v>qutebrowser/qutebrowser</v>
      </c>
      <c r="C74" s="49" t="str">
        <f>IFERROR(__xludf.DUMMYFUNCTION("""COMPUTED_VALUE"""),"qutebrowser/qutebrowser")</f>
        <v>qutebrowser/qutebrowser</v>
      </c>
      <c r="D74" s="49" t="str">
        <f>IFERROR(__xludf.DUMMYFUNCTION("""COMPUTED_VALUE"""),"soimort/you-get")</f>
        <v>soimort/you-get</v>
      </c>
      <c r="E74" s="49" t="str">
        <f>IFERROR(__xludf.DUMMYFUNCTION("""COMPUTED_VALUE"""),"ranger/ranger")</f>
        <v>ranger/ranger</v>
      </c>
      <c r="F74" s="49" t="str">
        <f>IFERROR(__xludf.DUMMYFUNCTION("""COMPUTED_VALUE"""),"playframework/play1")</f>
        <v>playframework/play1</v>
      </c>
      <c r="G74" s="49" t="str">
        <f>IFERROR(__xludf.DUMMYFUNCTION("""COMPUTED_VALUE"""),"Netflix/security_monkey")</f>
        <v>Netflix/security_monkey</v>
      </c>
    </row>
    <row r="75">
      <c r="A75" s="48"/>
      <c r="B75" s="49" t="str">
        <f>IFERROR(__xludf.DUMMYFUNCTION("""COMPUTED_VALUE"""),"ranger/ranger")</f>
        <v>ranger/ranger</v>
      </c>
      <c r="C75" s="49" t="str">
        <f>IFERROR(__xludf.DUMMYFUNCTION("""COMPUTED_VALUE"""),"ranger/ranger")</f>
        <v>ranger/ranger</v>
      </c>
      <c r="D75" s="49" t="str">
        <f>IFERROR(__xludf.DUMMYFUNCTION("""COMPUTED_VALUE"""),"s3tools/s3cmd")</f>
        <v>s3tools/s3cmd</v>
      </c>
      <c r="E75" s="49" t="str">
        <f>IFERROR(__xludf.DUMMYFUNCTION("""COMPUTED_VALUE"""),"getsentry/raven-python")</f>
        <v>getsentry/raven-python</v>
      </c>
      <c r="F75" s="49" t="str">
        <f>IFERROR(__xludf.DUMMYFUNCTION("""COMPUTED_VALUE"""),"Gallopsled/pwntools")</f>
        <v>Gallopsled/pwntools</v>
      </c>
      <c r="G75" s="49" t="str">
        <f>IFERROR(__xludf.DUMMYFUNCTION("""COMPUTED_VALUE"""),"getsentry/sentry")</f>
        <v>getsentry/sentry</v>
      </c>
    </row>
    <row r="76">
      <c r="A76" s="48"/>
      <c r="B76" s="49" t="str">
        <f>IFERROR(__xludf.DUMMYFUNCTION("""COMPUTED_VALUE"""),"getsentry/raven-python")</f>
        <v>getsentry/raven-python</v>
      </c>
      <c r="C76" s="49" t="str">
        <f>IFERROR(__xludf.DUMMYFUNCTION("""COMPUTED_VALUE"""),"getsentry/raven-python")</f>
        <v>getsentry/raven-python</v>
      </c>
      <c r="D76" s="49" t="str">
        <f>IFERROR(__xludf.DUMMYFUNCTION("""COMPUTED_VALUE"""),"saltstack/salt")</f>
        <v>saltstack/salt</v>
      </c>
      <c r="E76" s="49" t="str">
        <f>IFERROR(__xludf.DUMMYFUNCTION("""COMPUTED_VALUE"""),"rtfd/readthedocs.org")</f>
        <v>rtfd/readthedocs.org</v>
      </c>
      <c r="F76" s="49" t="str">
        <f>IFERROR(__xludf.DUMMYFUNCTION("""COMPUTED_VALUE"""),"pyinstaller/pyinstaller")</f>
        <v>pyinstaller/pyinstaller</v>
      </c>
      <c r="G76" s="49" t="str">
        <f>IFERROR(__xludf.DUMMYFUNCTION("""COMPUTED_VALUE"""),"SiCKRAGE/SiCKRAGE")</f>
        <v>SiCKRAGE/SiCKRAGE</v>
      </c>
    </row>
    <row r="77">
      <c r="A77" s="48"/>
      <c r="B77" s="49" t="str">
        <f>IFERROR(__xludf.DUMMYFUNCTION("""COMPUTED_VALUE"""),"rtfd/readthedocs.org")</f>
        <v>rtfd/readthedocs.org</v>
      </c>
      <c r="C77" s="49" t="str">
        <f>IFERROR(__xludf.DUMMYFUNCTION("""COMPUTED_VALUE"""),"rtfd/readthedocs.org")</f>
        <v>rtfd/readthedocs.org</v>
      </c>
      <c r="D77" s="49" t="str">
        <f>IFERROR(__xludf.DUMMYFUNCTION("""COMPUTED_VALUE"""),"scikit-image/scikit-image")</f>
        <v>scikit-image/scikit-image</v>
      </c>
      <c r="E77" s="49" t="str">
        <f>IFERROR(__xludf.DUMMYFUNCTION("""COMPUTED_VALUE"""),"getredash/redash")</f>
        <v>getredash/redash</v>
      </c>
      <c r="F77" s="49" t="str">
        <f>IFERROR(__xludf.DUMMYFUNCTION("""COMPUTED_VALUE"""),"pymc-devs/pymc3")</f>
        <v>pymc-devs/pymc3</v>
      </c>
      <c r="G77" s="49" t="str">
        <f>IFERROR(__xludf.DUMMYFUNCTION("""COMPUTED_VALUE"""),"explosion/spaCy")</f>
        <v>explosion/spaCy</v>
      </c>
    </row>
    <row r="78">
      <c r="A78" s="48"/>
      <c r="B78" s="49" t="str">
        <f>IFERROR(__xludf.DUMMYFUNCTION("""COMPUTED_VALUE"""),"getredash/redash")</f>
        <v>getredash/redash</v>
      </c>
      <c r="C78" s="49" t="str">
        <f>IFERROR(__xludf.DUMMYFUNCTION("""COMPUTED_VALUE"""),"getredash/redash")</f>
        <v>getredash/redash</v>
      </c>
      <c r="D78" s="49" t="str">
        <f>IFERROR(__xludf.DUMMYFUNCTION("""COMPUTED_VALUE"""),"scikit-learn/scikit-learn")</f>
        <v>scikit-learn/scikit-learn</v>
      </c>
      <c r="E78" s="49" t="str">
        <f>IFERROR(__xludf.DUMMYFUNCTION("""COMPUTED_VALUE"""),"soimort/you-get")</f>
        <v>soimort/you-get</v>
      </c>
      <c r="F78" s="49" t="str">
        <f>IFERROR(__xludf.DUMMYFUNCTION("""COMPUTED_VALUE"""),"Pylons/pyramid")</f>
        <v>Pylons/pyramid</v>
      </c>
      <c r="G78" s="49" t="str">
        <f>IFERROR(__xludf.DUMMYFUNCTION("""COMPUTED_VALUE"""),"spinnaker/spinnaker")</f>
        <v>spinnaker/spinnaker</v>
      </c>
    </row>
    <row r="79">
      <c r="A79" s="48"/>
      <c r="B79" s="49" t="str">
        <f>IFERROR(__xludf.DUMMYFUNCTION("""COMPUTED_VALUE"""),"robotframework/robotframework")</f>
        <v>robotframework/robotframework</v>
      </c>
      <c r="C79" s="49" t="str">
        <f>IFERROR(__xludf.DUMMYFUNCTION("""COMPUTED_VALUE"""),"soimort/you-get")</f>
        <v>soimort/you-get</v>
      </c>
      <c r="D79" s="49" t="str">
        <f>IFERROR(__xludf.DUMMYFUNCTION("""COMPUTED_VALUE"""),"scrapy/scrapy")</f>
        <v>scrapy/scrapy</v>
      </c>
      <c r="E79" s="49" t="str">
        <f>IFERROR(__xludf.DUMMYFUNCTION("""COMPUTED_VALUE"""),"robotframework/robotframework")</f>
        <v>robotframework/robotframework</v>
      </c>
      <c r="F79" s="49" t="str">
        <f>IFERROR(__xludf.DUMMYFUNCTION("""COMPUTED_VALUE"""),"zeromq/pyzmq")</f>
        <v>zeromq/pyzmq</v>
      </c>
      <c r="G79" s="49" t="str">
        <f>IFERROR(__xludf.DUMMYFUNCTION("""COMPUTED_VALUE"""),"sqlmapproject/sqlmap")</f>
        <v>sqlmapproject/sqlmap</v>
      </c>
    </row>
    <row r="80">
      <c r="A80" s="48"/>
      <c r="B80" s="49" t="str">
        <f>IFERROR(__xludf.DUMMYFUNCTION("""COMPUTED_VALUE"""),"mirumee/saleor")</f>
        <v>mirumee/saleor</v>
      </c>
      <c r="C80" s="49" t="str">
        <f>IFERROR(__xludf.DUMMYFUNCTION("""COMPUTED_VALUE"""),"s3tools/s3cmd")</f>
        <v>s3tools/s3cmd</v>
      </c>
      <c r="D80" s="49" t="str">
        <f>IFERROR(__xludf.DUMMYFUNCTION("""COMPUTED_VALUE"""),"Netflix/security_monkey")</f>
        <v>Netflix/security_monkey</v>
      </c>
      <c r="E80" s="49" t="str">
        <f>IFERROR(__xludf.DUMMYFUNCTION("""COMPUTED_VALUE"""),"mirumee/saleor")</f>
        <v>mirumee/saleor</v>
      </c>
      <c r="F80" s="49" t="str">
        <f>IFERROR(__xludf.DUMMYFUNCTION("""COMPUTED_VALUE"""),"ranger/ranger")</f>
        <v>ranger/ranger</v>
      </c>
      <c r="G80" s="49" t="str">
        <f>IFERROR(__xludf.DUMMYFUNCTION("""COMPUTED_VALUE"""),"StackStorm/st2")</f>
        <v>StackStorm/st2</v>
      </c>
    </row>
    <row r="81">
      <c r="A81" s="48"/>
      <c r="B81" s="49" t="str">
        <f>IFERROR(__xludf.DUMMYFUNCTION("""COMPUTED_VALUE"""),"saltstack/salt")</f>
        <v>saltstack/salt</v>
      </c>
      <c r="C81" s="49" t="str">
        <f>IFERROR(__xludf.DUMMYFUNCTION("""COMPUTED_VALUE"""),"mirumee/saleor")</f>
        <v>mirumee/saleor</v>
      </c>
      <c r="D81" s="49" t="str">
        <f>IFERROR(__xludf.DUMMYFUNCTION("""COMPUTED_VALUE"""),"getsentry/sentry")</f>
        <v>getsentry/sentry</v>
      </c>
      <c r="E81" s="49" t="str">
        <f>IFERROR(__xludf.DUMMYFUNCTION("""COMPUTED_VALUE"""),"saltstack/salt")</f>
        <v>saltstack/salt</v>
      </c>
      <c r="F81" s="49" t="str">
        <f>IFERROR(__xludf.DUMMYFUNCTION("""COMPUTED_VALUE"""),"getsentry/raven-python")</f>
        <v>getsentry/raven-python</v>
      </c>
      <c r="G81" s="49" t="str">
        <f>IFERROR(__xludf.DUMMYFUNCTION("""COMPUTED_VALUE"""),"openstack/swift")</f>
        <v>openstack/swift</v>
      </c>
    </row>
    <row r="82">
      <c r="A82" s="48"/>
      <c r="B82" s="49" t="str">
        <f>IFERROR(__xludf.DUMMYFUNCTION("""COMPUTED_VALUE"""),"scikit-image/scikit-image")</f>
        <v>scikit-image/scikit-image</v>
      </c>
      <c r="C82" s="49" t="str">
        <f>IFERROR(__xludf.DUMMYFUNCTION("""COMPUTED_VALUE"""),"saltstack/salt")</f>
        <v>saltstack/salt</v>
      </c>
      <c r="D82" s="49" t="str">
        <f>IFERROR(__xludf.DUMMYFUNCTION("""COMPUTED_VALUE"""),"midgetspy/Sick-Beard")</f>
        <v>midgetspy/Sick-Beard</v>
      </c>
      <c r="E82" s="49" t="str">
        <f>IFERROR(__xludf.DUMMYFUNCTION("""COMPUTED_VALUE"""),"scikit-image/scikit-image")</f>
        <v>scikit-image/scikit-image</v>
      </c>
      <c r="F82" s="49" t="str">
        <f>IFERROR(__xludf.DUMMYFUNCTION("""COMPUTED_VALUE"""),"rtfd/readthedocs.org")</f>
        <v>rtfd/readthedocs.org</v>
      </c>
      <c r="G82" s="49" t="str">
        <f>IFERROR(__xludf.DUMMYFUNCTION("""COMPUTED_VALUE"""),"sympy/sympy")</f>
        <v>sympy/sympy</v>
      </c>
    </row>
    <row r="83">
      <c r="A83" s="48"/>
      <c r="B83" s="49" t="str">
        <f>IFERROR(__xludf.DUMMYFUNCTION("""COMPUTED_VALUE"""),"scikit-learn/scikit-learn")</f>
        <v>scikit-learn/scikit-learn</v>
      </c>
      <c r="C83" s="49" t="str">
        <f>IFERROR(__xludf.DUMMYFUNCTION("""COMPUTED_VALUE"""),"scikit-image/scikit-image")</f>
        <v>scikit-image/scikit-image</v>
      </c>
      <c r="D83" s="49" t="str">
        <f>IFERROR(__xludf.DUMMYFUNCTION("""COMPUTED_VALUE"""),"explosion/spaCy")</f>
        <v>explosion/spaCy</v>
      </c>
      <c r="E83" s="49" t="str">
        <f>IFERROR(__xludf.DUMMYFUNCTION("""COMPUTED_VALUE"""),"scikit-learn/scikit-learn")</f>
        <v>scikit-learn/scikit-learn</v>
      </c>
      <c r="F83" s="49" t="str">
        <f>IFERROR(__xludf.DUMMYFUNCTION("""COMPUTED_VALUE"""),"soimort/you-get")</f>
        <v>soimort/you-get</v>
      </c>
      <c r="G83" s="49" t="str">
        <f>IFERROR(__xludf.DUMMYFUNCTION("""COMPUTED_VALUE"""),"matrix-org/synapse")</f>
        <v>matrix-org/synapse</v>
      </c>
    </row>
    <row r="84">
      <c r="A84" s="48"/>
      <c r="B84" s="49" t="str">
        <f>IFERROR(__xludf.DUMMYFUNCTION("""COMPUTED_VALUE"""),"scipy/scipy")</f>
        <v>scipy/scipy</v>
      </c>
      <c r="C84" s="49" t="str">
        <f>IFERROR(__xludf.DUMMYFUNCTION("""COMPUTED_VALUE"""),"scikit-learn/scikit-learn")</f>
        <v>scikit-learn/scikit-learn</v>
      </c>
      <c r="D84" s="49" t="str">
        <f>IFERROR(__xludf.DUMMYFUNCTION("""COMPUTED_VALUE"""),"spinnaker/spinnaker")</f>
        <v>spinnaker/spinnaker</v>
      </c>
      <c r="E84" s="49" t="str">
        <f>IFERROR(__xludf.DUMMYFUNCTION("""COMPUTED_VALUE"""),"scipy/scipy")</f>
        <v>scipy/scipy</v>
      </c>
      <c r="F84" s="49" t="str">
        <f>IFERROR(__xludf.DUMMYFUNCTION("""COMPUTED_VALUE"""),"s3tools/s3cmd")</f>
        <v>s3tools/s3cmd</v>
      </c>
      <c r="G84" s="49" t="str">
        <f>IFERROR(__xludf.DUMMYFUNCTION("""COMPUTED_VALUE"""),"tornadoweb/tornado")</f>
        <v>tornadoweb/tornado</v>
      </c>
    </row>
    <row r="85">
      <c r="A85" s="48"/>
      <c r="B85" s="49" t="str">
        <f>IFERROR(__xludf.DUMMYFUNCTION("""COMPUTED_VALUE"""),"scrapy/scrapy")</f>
        <v>scrapy/scrapy</v>
      </c>
      <c r="C85" s="49" t="str">
        <f>IFERROR(__xludf.DUMMYFUNCTION("""COMPUTED_VALUE"""),"scipy/scipy")</f>
        <v>scipy/scipy</v>
      </c>
      <c r="D85" s="49" t="str">
        <f>IFERROR(__xludf.DUMMYFUNCTION("""COMPUTED_VALUE"""),"zzzeek/sqlalchemy")</f>
        <v>zzzeek/sqlalchemy</v>
      </c>
      <c r="E85" s="49" t="str">
        <f>IFERROR(__xludf.DUMMYFUNCTION("""COMPUTED_VALUE"""),"scrapy/scrapy")</f>
        <v>scrapy/scrapy</v>
      </c>
      <c r="F85" s="49" t="str">
        <f>IFERROR(__xludf.DUMMYFUNCTION("""COMPUTED_VALUE"""),"mirumee/saleor")</f>
        <v>mirumee/saleor</v>
      </c>
      <c r="G85" s="49" t="str">
        <f>IFERROR(__xludf.DUMMYFUNCTION("""COMPUTED_VALUE"""),"Tribler/tribler")</f>
        <v>Tribler/tribler</v>
      </c>
    </row>
    <row r="86">
      <c r="A86" s="48"/>
      <c r="B86" s="49" t="str">
        <f>IFERROR(__xludf.DUMMYFUNCTION("""COMPUTED_VALUE"""),"freedomofpress/securedrop")</f>
        <v>freedomofpress/securedrop</v>
      </c>
      <c r="C86" s="49" t="str">
        <f>IFERROR(__xludf.DUMMYFUNCTION("""COMPUTED_VALUE"""),"scrapy/scrapy")</f>
        <v>scrapy/scrapy</v>
      </c>
      <c r="D86" s="49" t="str">
        <f>IFERROR(__xludf.DUMMYFUNCTION("""COMPUTED_VALUE"""),"sqlmapproject/sqlmap")</f>
        <v>sqlmapproject/sqlmap</v>
      </c>
      <c r="E86" s="49" t="str">
        <f>IFERROR(__xludf.DUMMYFUNCTION("""COMPUTED_VALUE"""),"freedomofpress/securedrop")</f>
        <v>freedomofpress/securedrop</v>
      </c>
      <c r="F86" s="49" t="str">
        <f>IFERROR(__xludf.DUMMYFUNCTION("""COMPUTED_VALUE"""),"saltstack/salt")</f>
        <v>saltstack/salt</v>
      </c>
      <c r="G86" s="49" t="str">
        <f>IFERROR(__xludf.DUMMYFUNCTION("""COMPUTED_VALUE"""),"cloudtools/troposphere")</f>
        <v>cloudtools/troposphere</v>
      </c>
    </row>
    <row r="87">
      <c r="A87" s="48"/>
      <c r="B87" s="49" t="str">
        <f>IFERROR(__xludf.DUMMYFUNCTION("""COMPUTED_VALUE"""),"getsentry/sentry")</f>
        <v>getsentry/sentry</v>
      </c>
      <c r="C87" s="49" t="str">
        <f>IFERROR(__xludf.DUMMYFUNCTION("""COMPUTED_VALUE"""),"freedomofpress/securedrop")</f>
        <v>freedomofpress/securedrop</v>
      </c>
      <c r="D87" s="49" t="str">
        <f>IFERROR(__xludf.DUMMYFUNCTION("""COMPUTED_VALUE"""),"StackStorm/st2")</f>
        <v>StackStorm/st2</v>
      </c>
      <c r="E87" s="49" t="str">
        <f>IFERROR(__xludf.DUMMYFUNCTION("""COMPUTED_VALUE"""),"Netflix/security_monkey")</f>
        <v>Netflix/security_monkey</v>
      </c>
      <c r="F87" s="49" t="str">
        <f>IFERROR(__xludf.DUMMYFUNCTION("""COMPUTED_VALUE"""),"scikit-image/scikit-image")</f>
        <v>scikit-image/scikit-image</v>
      </c>
      <c r="G87" s="49" t="str">
        <f>IFERROR(__xludf.DUMMYFUNCTION("""COMPUTED_VALUE"""),"twisted/twisted")</f>
        <v>twisted/twisted</v>
      </c>
    </row>
    <row r="88">
      <c r="A88" s="48"/>
      <c r="B88" s="49" t="str">
        <f>IFERROR(__xludf.DUMMYFUNCTION("""COMPUTED_VALUE"""),"midgetspy/Sick-Beard")</f>
        <v>midgetspy/Sick-Beard</v>
      </c>
      <c r="C88" s="49" t="str">
        <f>IFERROR(__xludf.DUMMYFUNCTION("""COMPUTED_VALUE"""),"Netflix/security_monkey")</f>
        <v>Netflix/security_monkey</v>
      </c>
      <c r="D88" s="49" t="str">
        <f>IFERROR(__xludf.DUMMYFUNCTION("""COMPUTED_VALUE"""),"Supervisor/supervisor")</f>
        <v>Supervisor/supervisor</v>
      </c>
      <c r="E88" s="49" t="str">
        <f>IFERROR(__xludf.DUMMYFUNCTION("""COMPUTED_VALUE"""),"getsentry/sentry")</f>
        <v>getsentry/sentry</v>
      </c>
      <c r="F88" s="49" t="str">
        <f>IFERROR(__xludf.DUMMYFUNCTION("""COMPUTED_VALUE"""),"scikit-learn/scikit-learn")</f>
        <v>scikit-learn/scikit-learn</v>
      </c>
      <c r="G88" s="49" t="str">
        <f>IFERROR(__xludf.DUMMYFUNCTION("""COMPUTED_VALUE"""),"andresriancho/w3af")</f>
        <v>andresriancho/w3af</v>
      </c>
    </row>
    <row r="89">
      <c r="A89" s="48"/>
      <c r="B89" s="49" t="str">
        <f>IFERROR(__xludf.DUMMYFUNCTION("""COMPUTED_VALUE"""),"SiCKRAGE/SiCKRAGE")</f>
        <v>SiCKRAGE/SiCKRAGE</v>
      </c>
      <c r="C89" s="49" t="str">
        <f>IFERROR(__xludf.DUMMYFUNCTION("""COMPUTED_VALUE"""),"getsentry/sentry")</f>
        <v>getsentry/sentry</v>
      </c>
      <c r="D89" s="49" t="str">
        <f>IFERROR(__xludf.DUMMYFUNCTION("""COMPUTED_VALUE"""),"openstack/swift")</f>
        <v>openstack/swift</v>
      </c>
      <c r="E89" s="49" t="str">
        <f>IFERROR(__xludf.DUMMYFUNCTION("""COMPUTED_VALUE"""),"SiCKRAGE/SiCKRAGE")</f>
        <v>SiCKRAGE/SiCKRAGE</v>
      </c>
      <c r="F89" s="49" t="str">
        <f>IFERROR(__xludf.DUMMYFUNCTION("""COMPUTED_VALUE"""),"scipy/scipy")</f>
        <v>scipy/scipy</v>
      </c>
      <c r="G89" s="49" t="str">
        <f>IFERROR(__xludf.DUMMYFUNCTION("""COMPUTED_VALUE"""),"wagtail/wagtail")</f>
        <v>wagtail/wagtail</v>
      </c>
    </row>
    <row r="90">
      <c r="A90" s="48"/>
      <c r="B90" s="49" t="str">
        <f>IFERROR(__xludf.DUMMYFUNCTION("""COMPUTED_VALUE"""),"explosion/spaCy")</f>
        <v>explosion/spaCy</v>
      </c>
      <c r="C90" s="49" t="str">
        <f>IFERROR(__xludf.DUMMYFUNCTION("""COMPUTED_VALUE"""),"midgetspy/Sick-Beard")</f>
        <v>midgetspy/Sick-Beard</v>
      </c>
      <c r="D90" s="49" t="str">
        <f>IFERROR(__xludf.DUMMYFUNCTION("""COMPUTED_VALUE"""),"sympy/sympy")</f>
        <v>sympy/sympy</v>
      </c>
      <c r="E90" s="49" t="str">
        <f>IFERROR(__xludf.DUMMYFUNCTION("""COMPUTED_VALUE"""),"explosion/spaCy")</f>
        <v>explosion/spaCy</v>
      </c>
      <c r="F90" s="49" t="str">
        <f>IFERROR(__xludf.DUMMYFUNCTION("""COMPUTED_VALUE"""),"scrapy/scrapy")</f>
        <v>scrapy/scrapy</v>
      </c>
      <c r="G90" s="49" t="str">
        <f>IFERROR(__xludf.DUMMYFUNCTION("""COMPUTED_VALUE"""),"Kozea/WeasyPrint")</f>
        <v>Kozea/WeasyPrint</v>
      </c>
    </row>
    <row r="91">
      <c r="A91" s="48"/>
      <c r="B91" s="49" t="str">
        <f>IFERROR(__xludf.DUMMYFUNCTION("""COMPUTED_VALUE"""),"zzzeek/sqlalchemy")</f>
        <v>zzzeek/sqlalchemy</v>
      </c>
      <c r="C91" s="49" t="str">
        <f>IFERROR(__xludf.DUMMYFUNCTION("""COMPUTED_VALUE"""),"SiCKRAGE/SiCKRAGE")</f>
        <v>SiCKRAGE/SiCKRAGE</v>
      </c>
      <c r="D91" s="49" t="str">
        <f>IFERROR(__xludf.DUMMYFUNCTION("""COMPUTED_VALUE"""),"matrix-org/synapse")</f>
        <v>matrix-org/synapse</v>
      </c>
      <c r="E91" s="49" t="str">
        <f>IFERROR(__xludf.DUMMYFUNCTION("""COMPUTED_VALUE"""),"spinnaker/spinnaker")</f>
        <v>spinnaker/spinnaker</v>
      </c>
      <c r="F91" s="49" t="str">
        <f>IFERROR(__xludf.DUMMYFUNCTION("""COMPUTED_VALUE"""),"freedomofpress/securedrop")</f>
        <v>freedomofpress/securedrop</v>
      </c>
      <c r="G91" s="49" t="str">
        <f>IFERROR(__xludf.DUMMYFUNCTION("""COMPUTED_VALUE"""),"aio-libs/aiohttp")</f>
        <v>aio-libs/aiohttp</v>
      </c>
    </row>
    <row r="92">
      <c r="A92" s="48"/>
      <c r="B92" s="49" t="str">
        <f>IFERROR(__xludf.DUMMYFUNCTION("""COMPUTED_VALUE"""),"sqlmapproject/sqlmap")</f>
        <v>sqlmapproject/sqlmap</v>
      </c>
      <c r="C92" s="49" t="str">
        <f>IFERROR(__xludf.DUMMYFUNCTION("""COMPUTED_VALUE"""),"explosion/spaCy")</f>
        <v>explosion/spaCy</v>
      </c>
      <c r="D92" s="49" t="str">
        <f>IFERROR(__xludf.DUMMYFUNCTION("""COMPUTED_VALUE"""),"Theano/Theano")</f>
        <v>Theano/Theano</v>
      </c>
      <c r="E92" s="49" t="str">
        <f>IFERROR(__xludf.DUMMYFUNCTION("""COMPUTED_VALUE"""),"zzzeek/sqlalchemy")</f>
        <v>zzzeek/sqlalchemy</v>
      </c>
      <c r="F92" s="49" t="str">
        <f>IFERROR(__xludf.DUMMYFUNCTION("""COMPUTED_VALUE"""),"getsentry/sentry")</f>
        <v>getsentry/sentry</v>
      </c>
      <c r="G92" s="49" t="str">
        <f>IFERROR(__xludf.DUMMYFUNCTION("""COMPUTED_VALUE"""),"pallets/werkzeug")</f>
        <v>pallets/werkzeug</v>
      </c>
    </row>
    <row r="93">
      <c r="A93" s="48"/>
      <c r="B93" s="49" t="str">
        <f>IFERROR(__xludf.DUMMYFUNCTION("""COMPUTED_VALUE"""),"StackStorm/st2")</f>
        <v>StackStorm/st2</v>
      </c>
      <c r="C93" s="49" t="str">
        <f>IFERROR(__xludf.DUMMYFUNCTION("""COMPUTED_VALUE"""),"zzzeek/sqlalchemy")</f>
        <v>zzzeek/sqlalchemy</v>
      </c>
      <c r="D93" s="49" t="str">
        <f>IFERROR(__xludf.DUMMYFUNCTION("""COMPUTED_VALUE"""),"thumbor/thumbor")</f>
        <v>thumbor/thumbor</v>
      </c>
      <c r="E93" s="49" t="str">
        <f>IFERROR(__xludf.DUMMYFUNCTION("""COMPUTED_VALUE"""),"sqlmapproject/sqlmap")</f>
        <v>sqlmapproject/sqlmap</v>
      </c>
      <c r="F93" s="49" t="str">
        <f>IFERROR(__xludf.DUMMYFUNCTION("""COMPUTED_VALUE"""),"midgetspy/Sick-Beard")</f>
        <v>midgetspy/Sick-Beard</v>
      </c>
      <c r="G93" s="49" t="str">
        <f>IFERROR(__xludf.DUMMYFUNCTION("""COMPUTED_VALUE"""),"quantopian/zipline")</f>
        <v>quantopian/zipline</v>
      </c>
    </row>
    <row r="94">
      <c r="A94" s="48"/>
      <c r="B94" s="49" t="str">
        <f>IFERROR(__xludf.DUMMYFUNCTION("""COMPUTED_VALUE"""),"openstack/swift")</f>
        <v>openstack/swift</v>
      </c>
      <c r="C94" s="49" t="str">
        <f>IFERROR(__xludf.DUMMYFUNCTION("""COMPUTED_VALUE"""),"StackStorm/st2")</f>
        <v>StackStorm/st2</v>
      </c>
      <c r="D94" s="49" t="str">
        <f>IFERROR(__xludf.DUMMYFUNCTION("""COMPUTED_VALUE"""),"tornadoweb/tornado")</f>
        <v>tornadoweb/tornado</v>
      </c>
      <c r="E94" s="49" t="str">
        <f>IFERROR(__xludf.DUMMYFUNCTION("""COMPUTED_VALUE"""),"StackStorm/st2")</f>
        <v>StackStorm/st2</v>
      </c>
      <c r="F94" s="49" t="str">
        <f>IFERROR(__xludf.DUMMYFUNCTION("""COMPUTED_VALUE"""),"zzzeek/sqlalchemy")</f>
        <v>zzzeek/sqlalchemy</v>
      </c>
      <c r="G94" s="49"/>
    </row>
    <row r="95">
      <c r="A95" s="48"/>
      <c r="B95" s="49" t="str">
        <f>IFERROR(__xludf.DUMMYFUNCTION("""COMPUTED_VALUE"""),"sympy/sympy")</f>
        <v>sympy/sympy</v>
      </c>
      <c r="C95" s="49" t="str">
        <f>IFERROR(__xludf.DUMMYFUNCTION("""COMPUTED_VALUE"""),"Supervisor/supervisor")</f>
        <v>Supervisor/supervisor</v>
      </c>
      <c r="D95" s="49" t="str">
        <f>IFERROR(__xludf.DUMMYFUNCTION("""COMPUTED_VALUE"""),"Tribler/tribler")</f>
        <v>Tribler/tribler</v>
      </c>
      <c r="E95" s="49" t="str">
        <f>IFERROR(__xludf.DUMMYFUNCTION("""COMPUTED_VALUE"""),"openstack/swift")</f>
        <v>openstack/swift</v>
      </c>
      <c r="F95" s="49" t="str">
        <f>IFERROR(__xludf.DUMMYFUNCTION("""COMPUTED_VALUE"""),"sqlmapproject/sqlmap")</f>
        <v>sqlmapproject/sqlmap</v>
      </c>
      <c r="G95" s="49"/>
    </row>
    <row r="96">
      <c r="A96" s="48"/>
      <c r="B96" s="49" t="str">
        <f>IFERROR(__xludf.DUMMYFUNCTION("""COMPUTED_VALUE"""),"matrix-org/synapse")</f>
        <v>matrix-org/synapse</v>
      </c>
      <c r="C96" s="49" t="str">
        <f>IFERROR(__xludf.DUMMYFUNCTION("""COMPUTED_VALUE"""),"openstack/swift")</f>
        <v>openstack/swift</v>
      </c>
      <c r="D96" s="49" t="str">
        <f>IFERROR(__xludf.DUMMYFUNCTION("""COMPUTED_VALUE"""),"cloudtools/troposphere")</f>
        <v>cloudtools/troposphere</v>
      </c>
      <c r="E96" s="49" t="str">
        <f>IFERROR(__xludf.DUMMYFUNCTION("""COMPUTED_VALUE"""),"sympy/sympy")</f>
        <v>sympy/sympy</v>
      </c>
      <c r="F96" s="49" t="str">
        <f>IFERROR(__xludf.DUMMYFUNCTION("""COMPUTED_VALUE"""),"Supervisor/supervisor")</f>
        <v>Supervisor/supervisor</v>
      </c>
      <c r="G96" s="49"/>
    </row>
    <row r="97">
      <c r="A97" s="48"/>
      <c r="B97" s="49" t="str">
        <f>IFERROR(__xludf.DUMMYFUNCTION("""COMPUTED_VALUE"""),"Theano/Theano")</f>
        <v>Theano/Theano</v>
      </c>
      <c r="C97" s="49" t="str">
        <f>IFERROR(__xludf.DUMMYFUNCTION("""COMPUTED_VALUE"""),"sympy/sympy")</f>
        <v>sympy/sympy</v>
      </c>
      <c r="D97" s="49" t="str">
        <f>IFERROR(__xludf.DUMMYFUNCTION("""COMPUTED_VALUE"""),"twisted/twisted")</f>
        <v>twisted/twisted</v>
      </c>
      <c r="E97" s="49" t="str">
        <f>IFERROR(__xludf.DUMMYFUNCTION("""COMPUTED_VALUE"""),"matrix-org/synapse")</f>
        <v>matrix-org/synapse</v>
      </c>
      <c r="F97" s="49" t="str">
        <f>IFERROR(__xludf.DUMMYFUNCTION("""COMPUTED_VALUE"""),"openstack/swift")</f>
        <v>openstack/swift</v>
      </c>
      <c r="G97" s="49"/>
    </row>
    <row r="98">
      <c r="A98" s="48"/>
      <c r="B98" s="49" t="str">
        <f>IFERROR(__xludf.DUMMYFUNCTION("""COMPUTED_VALUE"""),"tornadoweb/tornado")</f>
        <v>tornadoweb/tornado</v>
      </c>
      <c r="C98" s="49" t="str">
        <f>IFERROR(__xludf.DUMMYFUNCTION("""COMPUTED_VALUE"""),"matrix-org/synapse")</f>
        <v>matrix-org/synapse</v>
      </c>
      <c r="D98" s="49" t="str">
        <f>IFERROR(__xludf.DUMMYFUNCTION("""COMPUTED_VALUE"""),"wagtail/wagtail")</f>
        <v>wagtail/wagtail</v>
      </c>
      <c r="E98" s="49" t="str">
        <f>IFERROR(__xludf.DUMMYFUNCTION("""COMPUTED_VALUE"""),"thumbor/thumbor")</f>
        <v>thumbor/thumbor</v>
      </c>
      <c r="F98" s="49" t="str">
        <f>IFERROR(__xludf.DUMMYFUNCTION("""COMPUTED_VALUE"""),"sympy/sympy")</f>
        <v>sympy/sympy</v>
      </c>
      <c r="G98" s="49"/>
    </row>
    <row r="99">
      <c r="A99" s="48"/>
      <c r="B99" s="49" t="str">
        <f>IFERROR(__xludf.DUMMYFUNCTION("""COMPUTED_VALUE"""),"Tribler/tribler")</f>
        <v>Tribler/tribler</v>
      </c>
      <c r="C99" s="49" t="str">
        <f>IFERROR(__xludf.DUMMYFUNCTION("""COMPUTED_VALUE"""),"Theano/Theano")</f>
        <v>Theano/Theano</v>
      </c>
      <c r="D99" s="49" t="str">
        <f>IFERROR(__xludf.DUMMYFUNCTION("""COMPUTED_VALUE"""),"Kozea/WeasyPrint")</f>
        <v>Kozea/WeasyPrint</v>
      </c>
      <c r="E99" s="49" t="str">
        <f>IFERROR(__xludf.DUMMYFUNCTION("""COMPUTED_VALUE"""),"tornadoweb/tornado")</f>
        <v>tornadoweb/tornado</v>
      </c>
      <c r="F99" s="49" t="str">
        <f>IFERROR(__xludf.DUMMYFUNCTION("""COMPUTED_VALUE"""),"Theano/Theano")</f>
        <v>Theano/Theano</v>
      </c>
      <c r="G99" s="49"/>
    </row>
    <row r="100">
      <c r="A100" s="48"/>
      <c r="B100" s="49" t="str">
        <f>IFERROR(__xludf.DUMMYFUNCTION("""COMPUTED_VALUE"""),"twisted/twisted")</f>
        <v>twisted/twisted</v>
      </c>
      <c r="C100" s="49" t="str">
        <f>IFERROR(__xludf.DUMMYFUNCTION("""COMPUTED_VALUE"""),"thumbor/thumbor")</f>
        <v>thumbor/thumbor</v>
      </c>
      <c r="D100" s="49" t="str">
        <f>IFERROR(__xludf.DUMMYFUNCTION("""COMPUTED_VALUE"""),"web2py/web2py")</f>
        <v>web2py/web2py</v>
      </c>
      <c r="E100" s="49" t="str">
        <f>IFERROR(__xludf.DUMMYFUNCTION("""COMPUTED_VALUE"""),"Tribler/tribler")</f>
        <v>Tribler/tribler</v>
      </c>
      <c r="F100" s="49" t="str">
        <f>IFERROR(__xludf.DUMMYFUNCTION("""COMPUTED_VALUE"""),"thumbor/thumbor")</f>
        <v>thumbor/thumbor</v>
      </c>
      <c r="G100" s="49"/>
    </row>
    <row r="101">
      <c r="A101" s="48"/>
      <c r="B101" s="49" t="str">
        <f>IFERROR(__xludf.DUMMYFUNCTION("""COMPUTED_VALUE"""),"andresriancho/w3af")</f>
        <v>andresriancho/w3af</v>
      </c>
      <c r="C101" s="49" t="str">
        <f>IFERROR(__xludf.DUMMYFUNCTION("""COMPUTED_VALUE"""),"tornadoweb/tornado")</f>
        <v>tornadoweb/tornado</v>
      </c>
      <c r="D101" s="49" t="str">
        <f>IFERROR(__xludf.DUMMYFUNCTION("""COMPUTED_VALUE"""),"aio-libs/aiohttp")</f>
        <v>aio-libs/aiohttp</v>
      </c>
      <c r="E101" s="49" t="str">
        <f>IFERROR(__xludf.DUMMYFUNCTION("""COMPUTED_VALUE"""),"cloudtools/troposphere")</f>
        <v>cloudtools/troposphere</v>
      </c>
      <c r="F101" s="49" t="str">
        <f>IFERROR(__xludf.DUMMYFUNCTION("""COMPUTED_VALUE"""),"tornadoweb/tornado")</f>
        <v>tornadoweb/tornado</v>
      </c>
      <c r="G101" s="49"/>
    </row>
    <row r="102">
      <c r="A102" s="48"/>
      <c r="B102" s="49" t="str">
        <f>IFERROR(__xludf.DUMMYFUNCTION("""COMPUTED_VALUE"""),"wagtail/wagtail")</f>
        <v>wagtail/wagtail</v>
      </c>
      <c r="C102" s="49" t="str">
        <f>IFERROR(__xludf.DUMMYFUNCTION("""COMPUTED_VALUE"""),"cloudtools/troposphere")</f>
        <v>cloudtools/troposphere</v>
      </c>
      <c r="D102" s="49" t="str">
        <f>IFERROR(__xludf.DUMMYFUNCTION("""COMPUTED_VALUE"""),"pallets/werkzeug")</f>
        <v>pallets/werkzeug</v>
      </c>
      <c r="E102" s="49" t="str">
        <f>IFERROR(__xludf.DUMMYFUNCTION("""COMPUTED_VALUE"""),"twisted/twisted")</f>
        <v>twisted/twisted</v>
      </c>
      <c r="F102" s="49" t="str">
        <f>IFERROR(__xludf.DUMMYFUNCTION("""COMPUTED_VALUE"""),"Tribler/tribler")</f>
        <v>Tribler/tribler</v>
      </c>
      <c r="G102" s="49"/>
    </row>
    <row r="103">
      <c r="A103" s="48"/>
      <c r="B103" s="49" t="str">
        <f>IFERROR(__xludf.DUMMYFUNCTION("""COMPUTED_VALUE"""),"web2py/web2py")</f>
        <v>web2py/web2py</v>
      </c>
      <c r="C103" s="49" t="str">
        <f>IFERROR(__xludf.DUMMYFUNCTION("""COMPUTED_VALUE"""),"wagtail/wagtail")</f>
        <v>wagtail/wagtail</v>
      </c>
      <c r="D103" s="49" t="str">
        <f>IFERROR(__xludf.DUMMYFUNCTION("""COMPUTED_VALUE"""),"rg3/youtube-dl")</f>
        <v>rg3/youtube-dl</v>
      </c>
      <c r="E103" s="49" t="str">
        <f>IFERROR(__xludf.DUMMYFUNCTION("""COMPUTED_VALUE"""),"wagtail/wagtail")</f>
        <v>wagtail/wagtail</v>
      </c>
      <c r="F103" s="49" t="str">
        <f>IFERROR(__xludf.DUMMYFUNCTION("""COMPUTED_VALUE"""),"cloudtools/troposphere")</f>
        <v>cloudtools/troposphere</v>
      </c>
      <c r="G103" s="49"/>
    </row>
    <row r="104">
      <c r="A104" s="48"/>
      <c r="B104" s="49" t="str">
        <f>IFERROR(__xludf.DUMMYFUNCTION("""COMPUTED_VALUE"""),"aio-libs/aiohttp")</f>
        <v>aio-libs/aiohttp</v>
      </c>
      <c r="C104" s="49" t="str">
        <f>IFERROR(__xludf.DUMMYFUNCTION("""COMPUTED_VALUE"""),"web2py/web2py")</f>
        <v>web2py/web2py</v>
      </c>
      <c r="D104" s="49" t="str">
        <f>IFERROR(__xludf.DUMMYFUNCTION("""COMPUTED_VALUE"""),"quantopian/zipline")</f>
        <v>quantopian/zipline</v>
      </c>
      <c r="E104" s="49" t="str">
        <f>IFERROR(__xludf.DUMMYFUNCTION("""COMPUTED_VALUE"""),"Kozea/WeasyPrint")</f>
        <v>Kozea/WeasyPrint</v>
      </c>
      <c r="F104" s="49" t="str">
        <f>IFERROR(__xludf.DUMMYFUNCTION("""COMPUTED_VALUE"""),"twisted/twisted")</f>
        <v>twisted/twisted</v>
      </c>
      <c r="G104" s="49"/>
    </row>
    <row r="105">
      <c r="A105" s="48"/>
      <c r="B105" s="49" t="str">
        <f>IFERROR(__xludf.DUMMYFUNCTION("""COMPUTED_VALUE"""),"pallets/werkzeug")</f>
        <v>pallets/werkzeug</v>
      </c>
      <c r="C105" s="49" t="str">
        <f>IFERROR(__xludf.DUMMYFUNCTION("""COMPUTED_VALUE"""),"aio-libs/aiohttp")</f>
        <v>aio-libs/aiohttp</v>
      </c>
      <c r="D105" s="49"/>
      <c r="E105" s="49" t="str">
        <f>IFERROR(__xludf.DUMMYFUNCTION("""COMPUTED_VALUE"""),"web2py/web2py")</f>
        <v>web2py/web2py</v>
      </c>
      <c r="F105" s="49" t="str">
        <f>IFERROR(__xludf.DUMMYFUNCTION("""COMPUTED_VALUE"""),"andresriancho/w3af")</f>
        <v>andresriancho/w3af</v>
      </c>
      <c r="G105" s="49"/>
    </row>
    <row r="106">
      <c r="A106" s="48"/>
      <c r="B106" s="49" t="str">
        <f>IFERROR(__xludf.DUMMYFUNCTION("""COMPUTED_VALUE"""),"rg3/youtube-dl")</f>
        <v>rg3/youtube-dl</v>
      </c>
      <c r="C106" s="49" t="str">
        <f>IFERROR(__xludf.DUMMYFUNCTION("""COMPUTED_VALUE"""),"pallets/werkzeug")</f>
        <v>pallets/werkzeug</v>
      </c>
      <c r="D106" s="49"/>
      <c r="E106" s="49" t="str">
        <f>IFERROR(__xludf.DUMMYFUNCTION("""COMPUTED_VALUE"""),"aio-libs/aiohttp")</f>
        <v>aio-libs/aiohttp</v>
      </c>
      <c r="F106" s="49" t="str">
        <f>IFERROR(__xludf.DUMMYFUNCTION("""COMPUTED_VALUE"""),"Kozea/WeasyPrint")</f>
        <v>Kozea/WeasyPrint</v>
      </c>
      <c r="G106" s="49"/>
    </row>
    <row r="107">
      <c r="A107" s="48"/>
      <c r="B107" s="49" t="str">
        <f>IFERROR(__xludf.DUMMYFUNCTION("""COMPUTED_VALUE"""),"quantopian/zipline")</f>
        <v>quantopian/zipline</v>
      </c>
      <c r="C107" s="49" t="str">
        <f>IFERROR(__xludf.DUMMYFUNCTION("""COMPUTED_VALUE"""),"rg3/youtube-dl")</f>
        <v>rg3/youtube-dl</v>
      </c>
      <c r="D107" s="49"/>
      <c r="E107" s="49" t="str">
        <f>IFERROR(__xludf.DUMMYFUNCTION("""COMPUTED_VALUE"""),"pallets/werkzeug")</f>
        <v>pallets/werkzeug</v>
      </c>
      <c r="F107" s="49" t="str">
        <f>IFERROR(__xludf.DUMMYFUNCTION("""COMPUTED_VALUE"""),"web2py/web2py")</f>
        <v>web2py/web2py</v>
      </c>
      <c r="G107" s="49"/>
    </row>
    <row r="108">
      <c r="A108" s="48"/>
      <c r="B108" s="49"/>
      <c r="C108" s="49" t="str">
        <f>IFERROR(__xludf.DUMMYFUNCTION("""COMPUTED_VALUE"""),"quantopian/zipline")</f>
        <v>quantopian/zipline</v>
      </c>
      <c r="D108" s="49"/>
      <c r="E108" s="49" t="str">
        <f>IFERROR(__xludf.DUMMYFUNCTION("""COMPUTED_VALUE"""),"rg3/youtube-dl")</f>
        <v>rg3/youtube-dl</v>
      </c>
      <c r="F108" s="49" t="str">
        <f>IFERROR(__xludf.DUMMYFUNCTION("""COMPUTED_VALUE"""),"pallets/werkzeug")</f>
        <v>pallets/werkzeug</v>
      </c>
      <c r="G108" s="49"/>
    </row>
    <row r="109">
      <c r="A109" s="48"/>
      <c r="B109" s="49"/>
      <c r="C109" s="49"/>
      <c r="D109" s="49"/>
      <c r="E109" s="49"/>
      <c r="F109" s="49" t="str">
        <f>IFERROR(__xludf.DUMMYFUNCTION("""COMPUTED_VALUE"""),"rg3/youtube-dl")</f>
        <v>rg3/youtube-dl</v>
      </c>
      <c r="G109" s="49"/>
    </row>
    <row r="110">
      <c r="A110" s="48"/>
      <c r="B110" s="49"/>
      <c r="C110" s="49"/>
      <c r="D110" s="49"/>
      <c r="E110" s="49"/>
      <c r="F110" s="49" t="str">
        <f>IFERROR(__xludf.DUMMYFUNCTION("""COMPUTED_VALUE"""),"quantopian/zipline")</f>
        <v>quantopian/zipline</v>
      </c>
      <c r="G110" s="49"/>
    </row>
    <row r="111">
      <c r="A111" s="48"/>
      <c r="B111" s="49"/>
      <c r="C111" s="49"/>
      <c r="D111" s="49"/>
      <c r="E111" s="49"/>
      <c r="F111" s="49"/>
      <c r="G111" s="49"/>
    </row>
    <row r="112">
      <c r="A112" s="48"/>
      <c r="B112" s="49"/>
      <c r="C112" s="49"/>
      <c r="D112" s="49"/>
      <c r="E112" s="49"/>
      <c r="F112" s="49"/>
      <c r="G112" s="49"/>
    </row>
    <row r="113">
      <c r="A113" s="48"/>
      <c r="B113" s="49"/>
      <c r="C113" s="49"/>
      <c r="D113" s="49"/>
      <c r="E113" s="49"/>
      <c r="F113" s="49"/>
      <c r="G113" s="49"/>
    </row>
    <row r="114">
      <c r="A114" s="48"/>
      <c r="B114" s="49"/>
      <c r="C114" s="49"/>
      <c r="D114" s="49"/>
      <c r="E114" s="49"/>
      <c r="F114" s="49"/>
      <c r="G114" s="49"/>
    </row>
    <row r="115">
      <c r="A115" s="48"/>
      <c r="B115" s="49"/>
      <c r="C115" s="49"/>
      <c r="D115" s="49"/>
      <c r="E115" s="49"/>
      <c r="F115" s="49"/>
      <c r="G115" s="49"/>
    </row>
    <row r="116">
      <c r="A116" s="48"/>
      <c r="B116" s="49"/>
      <c r="C116" s="49"/>
      <c r="D116" s="49"/>
      <c r="E116" s="49"/>
      <c r="F116" s="49"/>
      <c r="G116" s="49"/>
    </row>
    <row r="117">
      <c r="A117" s="48"/>
      <c r="B117" s="49"/>
      <c r="C117" s="49"/>
      <c r="D117" s="49"/>
      <c r="E117" s="49"/>
      <c r="F117" s="49"/>
      <c r="G117" s="49"/>
    </row>
    <row r="118">
      <c r="A118" s="48"/>
      <c r="B118" s="49"/>
      <c r="C118" s="49"/>
      <c r="D118" s="49"/>
      <c r="E118" s="49"/>
      <c r="F118" s="49"/>
      <c r="G118" s="49"/>
    </row>
    <row r="119">
      <c r="A119" s="48"/>
      <c r="B119" s="49"/>
      <c r="C119" s="49"/>
      <c r="D119" s="49"/>
      <c r="E119" s="49"/>
      <c r="F119" s="49"/>
      <c r="G119" s="49"/>
    </row>
    <row r="120">
      <c r="A120" s="48"/>
      <c r="B120" s="49"/>
      <c r="C120" s="49"/>
      <c r="D120" s="49"/>
      <c r="E120" s="49"/>
      <c r="F120" s="49"/>
      <c r="G120" s="49"/>
    </row>
    <row r="121">
      <c r="A121" s="48"/>
      <c r="B121" s="49"/>
      <c r="C121" s="49"/>
      <c r="D121" s="49"/>
      <c r="E121" s="49"/>
      <c r="F121" s="49"/>
      <c r="G121" s="49"/>
    </row>
    <row r="122">
      <c r="A122" s="48"/>
      <c r="B122" s="49"/>
      <c r="C122" s="49"/>
      <c r="D122" s="49"/>
      <c r="E122" s="49"/>
      <c r="F122" s="49"/>
      <c r="G122" s="49"/>
    </row>
    <row r="123">
      <c r="A123" s="48"/>
      <c r="B123" s="49"/>
      <c r="C123" s="49"/>
      <c r="D123" s="49"/>
      <c r="E123" s="49"/>
      <c r="F123" s="49"/>
      <c r="G123" s="49"/>
    </row>
    <row r="124">
      <c r="A124" s="48"/>
      <c r="B124" s="49"/>
      <c r="C124" s="49"/>
      <c r="D124" s="49"/>
      <c r="E124" s="49"/>
      <c r="F124" s="49"/>
      <c r="G124" s="49"/>
    </row>
    <row r="125">
      <c r="A125" s="48"/>
      <c r="B125" s="49"/>
      <c r="C125" s="49"/>
      <c r="D125" s="49"/>
      <c r="E125" s="49"/>
      <c r="F125" s="49"/>
      <c r="G125" s="49"/>
    </row>
    <row r="126">
      <c r="A126" s="48"/>
      <c r="B126" s="49"/>
      <c r="C126" s="49"/>
      <c r="D126" s="49"/>
      <c r="E126" s="49"/>
      <c r="F126" s="49"/>
      <c r="G126" s="49"/>
    </row>
    <row r="127">
      <c r="A127" s="48"/>
      <c r="B127" s="49"/>
      <c r="C127" s="49"/>
      <c r="D127" s="49"/>
      <c r="E127" s="49"/>
      <c r="F127" s="49"/>
      <c r="G127" s="49"/>
    </row>
    <row r="128">
      <c r="A128" s="48"/>
      <c r="B128" s="49"/>
      <c r="C128" s="49"/>
      <c r="D128" s="49"/>
      <c r="E128" s="49"/>
      <c r="F128" s="49"/>
      <c r="G128" s="49"/>
    </row>
    <row r="129">
      <c r="A129" s="48"/>
      <c r="B129" s="49"/>
      <c r="C129" s="49"/>
      <c r="D129" s="49"/>
      <c r="E129" s="49"/>
      <c r="F129" s="49"/>
      <c r="G129" s="49"/>
    </row>
    <row r="130">
      <c r="A130" s="48"/>
      <c r="B130" s="49"/>
      <c r="C130" s="49"/>
      <c r="D130" s="49"/>
      <c r="E130" s="49"/>
      <c r="F130" s="49"/>
      <c r="G130" s="49"/>
    </row>
    <row r="131">
      <c r="A131" s="48"/>
      <c r="B131" s="49"/>
      <c r="C131" s="49"/>
      <c r="D131" s="49"/>
      <c r="E131" s="49"/>
      <c r="F131" s="49"/>
      <c r="G131" s="49"/>
    </row>
    <row r="132">
      <c r="A132" s="48"/>
      <c r="B132" s="49"/>
      <c r="C132" s="49"/>
      <c r="D132" s="49"/>
      <c r="E132" s="49"/>
      <c r="F132" s="49"/>
      <c r="G132" s="49"/>
    </row>
    <row r="133">
      <c r="A133" s="48"/>
      <c r="B133" s="49"/>
      <c r="C133" s="49"/>
      <c r="D133" s="49"/>
      <c r="E133" s="49"/>
      <c r="F133" s="49"/>
      <c r="G133" s="49"/>
    </row>
    <row r="134">
      <c r="A134" s="48"/>
      <c r="B134" s="49"/>
      <c r="C134" s="49"/>
      <c r="D134" s="49"/>
      <c r="E134" s="49"/>
      <c r="F134" s="49"/>
      <c r="G134" s="4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32.71"/>
    <col customWidth="1" min="7" max="7" width="31.86"/>
    <col customWidth="1" min="8" max="8" width="19.86"/>
    <col customWidth="1" min="9" max="9" width="23.0"/>
    <col customWidth="1" min="10" max="10" width="39.71"/>
  </cols>
  <sheetData>
    <row r="1">
      <c r="A1" s="50" t="s">
        <v>47</v>
      </c>
      <c r="B1" s="50" t="s">
        <v>48</v>
      </c>
      <c r="C1" s="50" t="s">
        <v>49</v>
      </c>
      <c r="D1" s="50" t="s">
        <v>50</v>
      </c>
      <c r="E1" s="50" t="s">
        <v>51</v>
      </c>
      <c r="F1" s="50" t="s">
        <v>52</v>
      </c>
      <c r="G1" s="50" t="s">
        <v>53</v>
      </c>
      <c r="H1" s="50" t="s">
        <v>54</v>
      </c>
      <c r="I1" s="50" t="s">
        <v>55</v>
      </c>
      <c r="J1" s="50" t="s">
        <v>56</v>
      </c>
      <c r="K1" s="50" t="s">
        <v>57</v>
      </c>
      <c r="L1" s="50" t="s">
        <v>58</v>
      </c>
      <c r="M1" s="50" t="s">
        <v>59</v>
      </c>
      <c r="N1" s="50" t="s">
        <v>60</v>
      </c>
      <c r="O1" s="50" t="s">
        <v>61</v>
      </c>
      <c r="P1" s="50" t="s">
        <v>62</v>
      </c>
      <c r="Q1" s="50" t="s">
        <v>63</v>
      </c>
      <c r="R1" s="50" t="s">
        <v>64</v>
      </c>
      <c r="S1" s="50" t="s">
        <v>65</v>
      </c>
      <c r="T1" s="51"/>
      <c r="U1" s="51"/>
      <c r="V1" s="50" t="s">
        <v>66</v>
      </c>
      <c r="W1" s="51"/>
      <c r="X1" s="51"/>
      <c r="Y1" s="51"/>
      <c r="Z1" s="51"/>
    </row>
    <row r="2">
      <c r="A2" s="52"/>
      <c r="B2" s="52"/>
      <c r="C2" s="52"/>
      <c r="D2" s="53">
        <f>PERCENTILE(D3:D135, '✅ Filter Rules'!E2)</f>
        <v>2548.2</v>
      </c>
      <c r="E2" s="53">
        <f>PERCENTILE(E3:E135, '✅ Filter Rules'!E2)</f>
        <v>162.4</v>
      </c>
      <c r="F2" s="53">
        <f>PERCENTILE(F3:F135, '✅ Filter Rules'!E2)</f>
        <v>6993.4</v>
      </c>
      <c r="G2" s="52"/>
      <c r="H2" s="53">
        <f>PERCENTILE(H3:H135, '✅ Filter Rules'!E2)</f>
        <v>2968</v>
      </c>
      <c r="I2" s="53">
        <f>PERCENTILE(I3:I135, '✅ Filter Rules'!E2)</f>
        <v>90.4</v>
      </c>
      <c r="J2" s="52"/>
      <c r="K2" s="54"/>
      <c r="L2" s="54"/>
      <c r="M2" s="53">
        <f>PERCENTILE(M3:M135, '✅ Filter Rules'!E2)</f>
        <v>77.4</v>
      </c>
      <c r="N2" s="53">
        <f>PERCENTILE(N3:N135, '✅ Filter Rules'!E2)</f>
        <v>44</v>
      </c>
      <c r="O2" s="52"/>
      <c r="P2" s="52"/>
      <c r="Q2" s="52"/>
      <c r="R2" s="52"/>
      <c r="S2" s="52"/>
      <c r="T2" s="52"/>
      <c r="U2" s="52"/>
      <c r="V2" s="53">
        <f>PERCENTILE(V3:V135, '✅ Filter Rules'!E2)</f>
        <v>66.4</v>
      </c>
    </row>
    <row r="3">
      <c r="A3" s="52" t="s">
        <v>67</v>
      </c>
      <c r="B3" s="52" t="s">
        <v>68</v>
      </c>
      <c r="C3" s="55" t="s">
        <v>69</v>
      </c>
      <c r="D3" s="52">
        <v>5457.0</v>
      </c>
      <c r="E3" s="52">
        <v>275.0</v>
      </c>
      <c r="F3" s="52">
        <v>25837.0</v>
      </c>
      <c r="G3" s="52" t="s">
        <v>70</v>
      </c>
      <c r="H3" s="52">
        <v>2599.0</v>
      </c>
      <c r="I3" s="52">
        <v>54.0</v>
      </c>
      <c r="J3" s="52" t="s">
        <v>71</v>
      </c>
      <c r="K3" s="54">
        <v>40240.0</v>
      </c>
      <c r="L3" s="54">
        <v>43444.0</v>
      </c>
      <c r="M3" s="52">
        <v>450.0</v>
      </c>
      <c r="N3" s="52">
        <v>135.0</v>
      </c>
      <c r="O3" s="52" t="s">
        <v>72</v>
      </c>
      <c r="P3" s="52" t="s">
        <v>73</v>
      </c>
      <c r="Q3" s="52" t="s">
        <v>74</v>
      </c>
      <c r="R3" s="52" t="s">
        <v>75</v>
      </c>
      <c r="S3" s="52" t="s">
        <v>76</v>
      </c>
      <c r="T3" s="52">
        <v>0.501460693</v>
      </c>
      <c r="U3" s="52">
        <v>603527.0</v>
      </c>
      <c r="V3" s="52">
        <v>105.0</v>
      </c>
    </row>
    <row r="4">
      <c r="A4" s="52" t="s">
        <v>77</v>
      </c>
      <c r="B4" s="52" t="s">
        <v>78</v>
      </c>
      <c r="C4" s="55" t="s">
        <v>79</v>
      </c>
      <c r="D4" s="52">
        <v>34454.0</v>
      </c>
      <c r="E4" s="52">
        <v>2047.0</v>
      </c>
      <c r="F4" s="52">
        <v>148936.0</v>
      </c>
      <c r="G4" s="52" t="s">
        <v>80</v>
      </c>
      <c r="H4" s="52">
        <v>41785.0</v>
      </c>
      <c r="I4" s="52">
        <v>394.0</v>
      </c>
      <c r="J4" s="52" t="s">
        <v>81</v>
      </c>
      <c r="K4" s="54">
        <v>40974.0</v>
      </c>
      <c r="L4" s="54">
        <v>43458.0</v>
      </c>
      <c r="M4" s="52">
        <v>5531.0</v>
      </c>
      <c r="N4" s="52">
        <v>252.0</v>
      </c>
      <c r="O4" s="52" t="s">
        <v>82</v>
      </c>
      <c r="P4" s="52" t="s">
        <v>83</v>
      </c>
      <c r="Q4" s="52" t="s">
        <v>84</v>
      </c>
      <c r="R4" s="52" t="s">
        <v>85</v>
      </c>
      <c r="S4" s="52" t="s">
        <v>86</v>
      </c>
      <c r="T4" s="52">
        <v>0.96639096</v>
      </c>
      <c r="U4" s="52">
        <v>4.1633174E7</v>
      </c>
      <c r="V4" s="52">
        <v>81.0</v>
      </c>
    </row>
    <row r="5">
      <c r="A5" s="52" t="s">
        <v>87</v>
      </c>
      <c r="B5" s="52" t="s">
        <v>88</v>
      </c>
      <c r="C5" s="55" t="s">
        <v>89</v>
      </c>
      <c r="D5" s="52">
        <v>1954.0</v>
      </c>
      <c r="E5" s="52">
        <v>177.0</v>
      </c>
      <c r="F5" s="52">
        <v>77648.0</v>
      </c>
      <c r="G5" s="52" t="s">
        <v>90</v>
      </c>
      <c r="H5" s="52">
        <v>23638.0</v>
      </c>
      <c r="I5" s="52">
        <v>274.0</v>
      </c>
      <c r="J5" s="52" t="s">
        <v>91</v>
      </c>
      <c r="K5" s="54">
        <v>40745.0</v>
      </c>
      <c r="L5" s="54">
        <v>43458.0</v>
      </c>
      <c r="M5" s="52">
        <v>966.0</v>
      </c>
      <c r="N5" s="52">
        <v>80.0</v>
      </c>
      <c r="O5" s="52" t="s">
        <v>92</v>
      </c>
      <c r="P5" s="52" t="s">
        <v>93</v>
      </c>
      <c r="Q5" s="52" t="s">
        <v>94</v>
      </c>
      <c r="R5" s="52" t="s">
        <v>95</v>
      </c>
      <c r="S5" s="52" t="s">
        <v>96</v>
      </c>
      <c r="T5" s="52">
        <v>0.954069938</v>
      </c>
      <c r="U5" s="52">
        <v>8946476.0</v>
      </c>
      <c r="V5" s="52">
        <v>89.0</v>
      </c>
    </row>
    <row r="6">
      <c r="A6" s="52" t="s">
        <v>97</v>
      </c>
      <c r="B6" s="52" t="s">
        <v>98</v>
      </c>
      <c r="C6" s="55" t="s">
        <v>99</v>
      </c>
      <c r="D6" s="52">
        <v>1933.0</v>
      </c>
      <c r="E6" s="52">
        <v>109.0</v>
      </c>
      <c r="F6" s="52">
        <v>12528.0</v>
      </c>
      <c r="G6" s="52" t="s">
        <v>100</v>
      </c>
      <c r="H6" s="52">
        <v>2995.0</v>
      </c>
      <c r="I6" s="52">
        <v>91.0</v>
      </c>
      <c r="J6" s="52" t="s">
        <v>101</v>
      </c>
      <c r="K6" s="54">
        <v>40751.0</v>
      </c>
      <c r="L6" s="54">
        <v>43451.0</v>
      </c>
      <c r="M6" s="52">
        <v>103.0</v>
      </c>
      <c r="N6" s="52">
        <v>105.0</v>
      </c>
      <c r="O6" s="52" t="s">
        <v>102</v>
      </c>
      <c r="P6" s="52" t="s">
        <v>103</v>
      </c>
      <c r="Q6" s="52" t="s">
        <v>104</v>
      </c>
      <c r="R6" s="52" t="s">
        <v>105</v>
      </c>
      <c r="S6" s="52" t="s">
        <v>106</v>
      </c>
      <c r="T6" s="52">
        <v>0.958900267</v>
      </c>
      <c r="U6" s="52">
        <v>1391161.0</v>
      </c>
      <c r="V6" s="52">
        <v>88.0</v>
      </c>
    </row>
    <row r="7">
      <c r="A7" s="52" t="s">
        <v>107</v>
      </c>
      <c r="B7" s="52" t="s">
        <v>108</v>
      </c>
      <c r="C7" s="55" t="s">
        <v>109</v>
      </c>
      <c r="D7" s="52">
        <v>7340.0</v>
      </c>
      <c r="E7" s="52">
        <v>576.0</v>
      </c>
      <c r="F7" s="52">
        <v>17717.0</v>
      </c>
      <c r="G7" s="52" t="s">
        <v>110</v>
      </c>
      <c r="H7" s="52">
        <v>6512.0</v>
      </c>
      <c r="I7" s="52">
        <v>183.0</v>
      </c>
      <c r="J7" s="52" t="s">
        <v>111</v>
      </c>
      <c r="K7" s="54">
        <v>41233.0</v>
      </c>
      <c r="L7" s="54">
        <v>43455.0</v>
      </c>
      <c r="M7" s="52">
        <v>480.0</v>
      </c>
      <c r="N7" s="52">
        <v>686.0</v>
      </c>
      <c r="O7" s="52" t="s">
        <v>112</v>
      </c>
      <c r="P7" s="52" t="s">
        <v>113</v>
      </c>
      <c r="Q7" s="52" t="s">
        <v>114</v>
      </c>
      <c r="R7" s="52" t="s">
        <v>115</v>
      </c>
      <c r="S7" s="52" t="s">
        <v>116</v>
      </c>
      <c r="T7" s="52">
        <v>0.999087976</v>
      </c>
      <c r="U7" s="52">
        <v>3548203.0</v>
      </c>
      <c r="V7" s="52">
        <v>73.0</v>
      </c>
    </row>
    <row r="8">
      <c r="A8" s="52" t="s">
        <v>117</v>
      </c>
      <c r="B8" s="52" t="s">
        <v>118</v>
      </c>
      <c r="C8" s="55" t="s">
        <v>119</v>
      </c>
      <c r="D8" s="52">
        <v>8410.0</v>
      </c>
      <c r="E8" s="52">
        <v>471.0</v>
      </c>
      <c r="F8" s="52">
        <v>17991.0</v>
      </c>
      <c r="G8" s="52" t="s">
        <v>120</v>
      </c>
      <c r="H8" s="52">
        <v>8359.0</v>
      </c>
      <c r="I8" s="52">
        <v>298.0</v>
      </c>
      <c r="J8" s="52" t="s">
        <v>121</v>
      </c>
      <c r="K8" s="54">
        <v>40399.0</v>
      </c>
      <c r="L8" s="54">
        <v>43455.0</v>
      </c>
      <c r="M8" s="52">
        <v>631.0</v>
      </c>
      <c r="N8" s="52">
        <v>52.0</v>
      </c>
      <c r="O8" s="52" t="s">
        <v>122</v>
      </c>
      <c r="P8" s="52" t="s">
        <v>123</v>
      </c>
      <c r="Q8" s="52" t="s">
        <v>104</v>
      </c>
      <c r="R8" s="52" t="s">
        <v>124</v>
      </c>
      <c r="S8" s="52" t="s">
        <v>125</v>
      </c>
      <c r="T8" s="52">
        <v>0.951209147</v>
      </c>
      <c r="U8" s="52">
        <v>1942780.0</v>
      </c>
      <c r="V8" s="52">
        <v>100.0</v>
      </c>
    </row>
    <row r="9">
      <c r="A9" s="52" t="s">
        <v>126</v>
      </c>
      <c r="B9" s="52" t="s">
        <v>127</v>
      </c>
      <c r="C9" s="55" t="s">
        <v>128</v>
      </c>
      <c r="D9" s="52">
        <v>1581.0</v>
      </c>
      <c r="E9" s="52">
        <v>149.0</v>
      </c>
      <c r="F9" s="52">
        <v>47835.0</v>
      </c>
      <c r="G9" s="52" t="s">
        <v>129</v>
      </c>
      <c r="H9" s="52">
        <v>12670.0</v>
      </c>
      <c r="I9" s="52">
        <v>211.0</v>
      </c>
      <c r="J9" s="52" t="s">
        <v>130</v>
      </c>
      <c r="K9" s="54">
        <v>39887.0</v>
      </c>
      <c r="L9" s="54">
        <v>43458.0</v>
      </c>
      <c r="M9" s="52">
        <v>334.0</v>
      </c>
      <c r="N9" s="52">
        <v>56.0</v>
      </c>
      <c r="O9" s="52" t="s">
        <v>131</v>
      </c>
      <c r="P9" s="52" t="s">
        <v>132</v>
      </c>
      <c r="Q9" s="52" t="s">
        <v>114</v>
      </c>
      <c r="R9" s="52" t="s">
        <v>133</v>
      </c>
      <c r="S9" s="52" t="s">
        <v>134</v>
      </c>
      <c r="T9" s="52">
        <v>0.90810527</v>
      </c>
      <c r="U9" s="52">
        <v>1.1778623E7</v>
      </c>
      <c r="V9" s="52">
        <v>117.0</v>
      </c>
    </row>
    <row r="10">
      <c r="A10" s="52" t="s">
        <v>135</v>
      </c>
      <c r="B10" s="52" t="s">
        <v>136</v>
      </c>
      <c r="C10" s="55" t="s">
        <v>137</v>
      </c>
      <c r="D10" s="52">
        <v>2558.0</v>
      </c>
      <c r="E10" s="52">
        <v>208.0</v>
      </c>
      <c r="F10" s="52">
        <v>22935.0</v>
      </c>
      <c r="G10" s="52" t="s">
        <v>129</v>
      </c>
      <c r="H10" s="52">
        <v>7494.0</v>
      </c>
      <c r="I10" s="52">
        <v>50.0</v>
      </c>
      <c r="J10" s="52" t="s">
        <v>138</v>
      </c>
      <c r="K10" s="54">
        <v>41208.0</v>
      </c>
      <c r="L10" s="54">
        <v>43332.0</v>
      </c>
      <c r="M10" s="52">
        <v>253.0</v>
      </c>
      <c r="N10" s="52">
        <v>49.0</v>
      </c>
      <c r="O10" s="52" t="s">
        <v>139</v>
      </c>
      <c r="P10" s="52" t="s">
        <v>140</v>
      </c>
      <c r="Q10" s="52" t="s">
        <v>114</v>
      </c>
      <c r="R10" s="52" t="s">
        <v>141</v>
      </c>
      <c r="S10" s="52" t="s">
        <v>142</v>
      </c>
      <c r="T10" s="52">
        <v>0.999926099</v>
      </c>
      <c r="U10" s="52">
        <v>974207.0</v>
      </c>
      <c r="V10" s="52">
        <v>69.0</v>
      </c>
    </row>
    <row r="11">
      <c r="A11" s="52" t="s">
        <v>143</v>
      </c>
      <c r="B11" s="52" t="s">
        <v>144</v>
      </c>
      <c r="C11" s="55" t="s">
        <v>145</v>
      </c>
      <c r="D11" s="52">
        <v>8722.0</v>
      </c>
      <c r="E11" s="52">
        <v>399.0</v>
      </c>
      <c r="F11" s="52">
        <v>146771.0</v>
      </c>
      <c r="G11" s="52" t="s">
        <v>146</v>
      </c>
      <c r="H11" s="52">
        <v>17402.0</v>
      </c>
      <c r="I11" s="52">
        <v>338.0</v>
      </c>
      <c r="J11" s="52" t="s">
        <v>147</v>
      </c>
      <c r="K11" s="54">
        <v>40994.0</v>
      </c>
      <c r="L11" s="54">
        <v>43458.0</v>
      </c>
      <c r="M11" s="52">
        <v>473.0</v>
      </c>
      <c r="N11" s="52">
        <v>77.0</v>
      </c>
      <c r="O11" s="52" t="s">
        <v>148</v>
      </c>
      <c r="P11" s="52" t="s">
        <v>149</v>
      </c>
      <c r="Q11" s="52" t="s">
        <v>94</v>
      </c>
      <c r="R11" s="52" t="s">
        <v>150</v>
      </c>
      <c r="S11" s="52" t="s">
        <v>151</v>
      </c>
      <c r="T11" s="52">
        <v>0.612623308</v>
      </c>
      <c r="U11" s="52">
        <v>3542403.0</v>
      </c>
      <c r="V11" s="52">
        <v>80.0</v>
      </c>
    </row>
    <row r="12">
      <c r="A12" s="52" t="s">
        <v>152</v>
      </c>
      <c r="B12" s="52" t="s">
        <v>153</v>
      </c>
      <c r="C12" s="55" t="s">
        <v>154</v>
      </c>
      <c r="D12" s="52">
        <v>6258.0</v>
      </c>
      <c r="E12" s="52">
        <v>309.0</v>
      </c>
      <c r="F12" s="52">
        <v>15822.0</v>
      </c>
      <c r="G12" s="52" t="s">
        <v>129</v>
      </c>
      <c r="H12" s="52">
        <v>7144.0</v>
      </c>
      <c r="I12" s="52">
        <v>347.0</v>
      </c>
      <c r="J12" s="52" t="s">
        <v>155</v>
      </c>
      <c r="K12" s="54">
        <v>40371.0</v>
      </c>
      <c r="L12" s="54">
        <v>43408.0</v>
      </c>
      <c r="M12" s="52">
        <v>1161.0</v>
      </c>
      <c r="N12" s="52">
        <v>89.0</v>
      </c>
      <c r="O12" s="52" t="s">
        <v>156</v>
      </c>
      <c r="P12" s="52" t="s">
        <v>157</v>
      </c>
      <c r="Q12" s="52" t="s">
        <v>114</v>
      </c>
      <c r="R12" s="52" t="s">
        <v>158</v>
      </c>
      <c r="S12" s="52" t="s">
        <v>159</v>
      </c>
      <c r="T12" s="52">
        <v>1.0</v>
      </c>
      <c r="U12" s="52">
        <v>6684894.0</v>
      </c>
      <c r="V12" s="52">
        <v>99.0</v>
      </c>
    </row>
    <row r="13">
      <c r="A13" s="52" t="s">
        <v>160</v>
      </c>
      <c r="B13" s="52" t="s">
        <v>161</v>
      </c>
      <c r="C13" s="55" t="s">
        <v>162</v>
      </c>
      <c r="D13" s="52">
        <v>3997.0</v>
      </c>
      <c r="E13" s="52">
        <v>207.0</v>
      </c>
      <c r="F13" s="52">
        <v>6127.0</v>
      </c>
      <c r="G13" s="52" t="s">
        <v>163</v>
      </c>
      <c r="H13" s="52">
        <v>1740.0</v>
      </c>
      <c r="I13" s="52">
        <v>70.0</v>
      </c>
      <c r="J13" s="52" t="s">
        <v>164</v>
      </c>
      <c r="K13" s="54">
        <v>41915.0</v>
      </c>
      <c r="L13" s="54">
        <v>43458.0</v>
      </c>
      <c r="M13" s="52">
        <v>313.0</v>
      </c>
      <c r="N13" s="52">
        <v>275.0</v>
      </c>
      <c r="O13" s="52" t="s">
        <v>165</v>
      </c>
      <c r="P13" s="52" t="s">
        <v>166</v>
      </c>
      <c r="Q13" s="52" t="s">
        <v>114</v>
      </c>
      <c r="R13" s="52" t="s">
        <v>167</v>
      </c>
      <c r="S13" s="52" t="s">
        <v>168</v>
      </c>
      <c r="T13" s="52">
        <v>1.0</v>
      </c>
      <c r="U13" s="52">
        <v>655066.0</v>
      </c>
      <c r="V13" s="52">
        <v>50.0</v>
      </c>
    </row>
    <row r="14">
      <c r="A14" s="52" t="s">
        <v>169</v>
      </c>
      <c r="B14" s="52" t="s">
        <v>170</v>
      </c>
      <c r="C14" s="55" t="s">
        <v>171</v>
      </c>
      <c r="D14" s="52">
        <v>3705.0</v>
      </c>
      <c r="E14" s="52">
        <v>205.0</v>
      </c>
      <c r="F14" s="52">
        <v>48804.0</v>
      </c>
      <c r="G14" s="52" t="s">
        <v>172</v>
      </c>
      <c r="H14" s="52">
        <v>18139.0</v>
      </c>
      <c r="I14" s="52">
        <v>337.0</v>
      </c>
      <c r="J14" s="52" t="s">
        <v>173</v>
      </c>
      <c r="K14" s="54">
        <v>40365.0</v>
      </c>
      <c r="L14" s="54">
        <v>43458.0</v>
      </c>
      <c r="M14" s="52">
        <v>481.0</v>
      </c>
      <c r="N14" s="52">
        <v>118.0</v>
      </c>
      <c r="O14" s="52" t="s">
        <v>174</v>
      </c>
      <c r="P14" s="52" t="s">
        <v>175</v>
      </c>
      <c r="Q14" s="52" t="s">
        <v>176</v>
      </c>
      <c r="R14" s="52" t="s">
        <v>177</v>
      </c>
      <c r="S14" s="52" t="s">
        <v>178</v>
      </c>
      <c r="T14" s="52">
        <v>0.925606301</v>
      </c>
      <c r="U14" s="52">
        <v>6760895.0</v>
      </c>
      <c r="V14" s="52">
        <v>101.0</v>
      </c>
    </row>
    <row r="15">
      <c r="A15" s="52" t="s">
        <v>179</v>
      </c>
      <c r="B15" s="52" t="s">
        <v>180</v>
      </c>
      <c r="C15" s="55" t="s">
        <v>181</v>
      </c>
      <c r="D15" s="52">
        <v>5733.0</v>
      </c>
      <c r="E15" s="52">
        <v>255.0</v>
      </c>
      <c r="F15" s="52">
        <v>4733.0</v>
      </c>
      <c r="G15" s="52" t="s">
        <v>129</v>
      </c>
      <c r="H15" s="52">
        <v>1610.0</v>
      </c>
      <c r="I15" s="52">
        <v>76.0</v>
      </c>
      <c r="J15" s="52" t="s">
        <v>182</v>
      </c>
      <c r="K15" s="54">
        <v>41155.0</v>
      </c>
      <c r="L15" s="54">
        <v>43442.0</v>
      </c>
      <c r="M15" s="52">
        <v>11.0</v>
      </c>
      <c r="N15" s="52">
        <v>69.0</v>
      </c>
      <c r="O15" s="52" t="s">
        <v>183</v>
      </c>
      <c r="P15" s="52" t="s">
        <v>184</v>
      </c>
      <c r="Q15" s="52" t="s">
        <v>114</v>
      </c>
      <c r="R15" s="52" t="s">
        <v>185</v>
      </c>
      <c r="S15" s="52" t="s">
        <v>186</v>
      </c>
      <c r="T15" s="52">
        <v>0.699803119</v>
      </c>
      <c r="U15" s="52">
        <v>580796.0</v>
      </c>
      <c r="V15" s="52">
        <v>75.0</v>
      </c>
    </row>
    <row r="16">
      <c r="A16" s="52" t="s">
        <v>187</v>
      </c>
      <c r="B16" s="52" t="s">
        <v>188</v>
      </c>
      <c r="C16" s="55" t="s">
        <v>189</v>
      </c>
      <c r="D16" s="52">
        <v>5117.0</v>
      </c>
      <c r="E16" s="52">
        <v>313.0</v>
      </c>
      <c r="F16" s="52">
        <v>247250.0</v>
      </c>
      <c r="G16" s="52" t="s">
        <v>190</v>
      </c>
      <c r="H16" s="52">
        <v>37183.0</v>
      </c>
      <c r="I16" s="52">
        <v>177.0</v>
      </c>
      <c r="J16" s="52" t="s">
        <v>191</v>
      </c>
      <c r="K16" s="54">
        <v>41422.0</v>
      </c>
      <c r="L16" s="54">
        <v>43458.0</v>
      </c>
      <c r="M16" s="52">
        <v>4.0</v>
      </c>
      <c r="N16" s="52">
        <v>202.0</v>
      </c>
      <c r="O16" s="52" t="s">
        <v>192</v>
      </c>
      <c r="P16" s="52" t="s">
        <v>193</v>
      </c>
      <c r="Q16" s="52" t="s">
        <v>114</v>
      </c>
      <c r="R16" s="52" t="s">
        <v>194</v>
      </c>
      <c r="S16" s="52" t="s">
        <v>195</v>
      </c>
      <c r="T16" s="52">
        <v>0.687875252</v>
      </c>
      <c r="U16" s="52">
        <v>1.9596757E7</v>
      </c>
      <c r="V16" s="52">
        <v>66.0</v>
      </c>
    </row>
    <row r="17">
      <c r="A17" s="52" t="s">
        <v>196</v>
      </c>
      <c r="B17" s="52" t="s">
        <v>197</v>
      </c>
      <c r="C17" s="55" t="s">
        <v>198</v>
      </c>
      <c r="D17" s="52">
        <v>11242.0</v>
      </c>
      <c r="E17" s="52">
        <v>473.0</v>
      </c>
      <c r="F17" s="52">
        <v>28195.0</v>
      </c>
      <c r="G17" s="52" t="s">
        <v>199</v>
      </c>
      <c r="H17" s="52">
        <v>10717.0</v>
      </c>
      <c r="I17" s="52">
        <v>403.0</v>
      </c>
      <c r="J17" s="52" t="s">
        <v>200</v>
      </c>
      <c r="K17" s="54">
        <v>39927.0</v>
      </c>
      <c r="L17" s="54">
        <v>43456.0</v>
      </c>
      <c r="M17" s="52">
        <v>431.0</v>
      </c>
      <c r="N17" s="52">
        <v>176.0</v>
      </c>
      <c r="O17" s="52" t="s">
        <v>201</v>
      </c>
      <c r="P17" s="52" t="s">
        <v>202</v>
      </c>
      <c r="Q17" s="52" t="s">
        <v>114</v>
      </c>
      <c r="R17" s="52" t="s">
        <v>203</v>
      </c>
      <c r="S17" s="52" t="s">
        <v>204</v>
      </c>
      <c r="T17" s="52">
        <v>0.979570537</v>
      </c>
      <c r="U17" s="52">
        <v>2221569.0</v>
      </c>
      <c r="V17" s="52">
        <v>115.0</v>
      </c>
    </row>
    <row r="18">
      <c r="A18" s="52" t="s">
        <v>205</v>
      </c>
      <c r="B18" s="52" t="s">
        <v>206</v>
      </c>
      <c r="C18" s="55" t="s">
        <v>207</v>
      </c>
      <c r="D18" s="52">
        <v>23876.0</v>
      </c>
      <c r="E18" s="52">
        <v>888.0</v>
      </c>
      <c r="F18" s="52">
        <v>20506.0</v>
      </c>
      <c r="G18" s="52" t="s">
        <v>208</v>
      </c>
      <c r="H18" s="52">
        <v>8920.0</v>
      </c>
      <c r="I18" s="52">
        <v>342.0</v>
      </c>
      <c r="J18" s="52" t="s">
        <v>209</v>
      </c>
      <c r="K18" s="54">
        <v>41955.0</v>
      </c>
      <c r="L18" s="54">
        <v>43458.0</v>
      </c>
      <c r="M18" s="52">
        <v>905.0</v>
      </c>
      <c r="N18" s="52">
        <v>63.0</v>
      </c>
      <c r="O18" s="52" t="s">
        <v>210</v>
      </c>
      <c r="P18" s="52" t="s">
        <v>211</v>
      </c>
      <c r="Q18" s="52" t="s">
        <v>114</v>
      </c>
      <c r="R18" s="52" t="s">
        <v>212</v>
      </c>
      <c r="S18" s="52" t="s">
        <v>213</v>
      </c>
      <c r="T18" s="52">
        <v>0.863151576</v>
      </c>
      <c r="U18" s="52">
        <v>2527786.0</v>
      </c>
      <c r="V18" s="52">
        <v>49.0</v>
      </c>
    </row>
    <row r="19">
      <c r="A19" s="52" t="s">
        <v>214</v>
      </c>
      <c r="B19" s="52" t="s">
        <v>215</v>
      </c>
      <c r="C19" s="55" t="s">
        <v>216</v>
      </c>
      <c r="D19" s="52">
        <v>2137.0</v>
      </c>
      <c r="E19" s="52">
        <v>186.0</v>
      </c>
      <c r="F19" s="52">
        <v>149186.0</v>
      </c>
      <c r="G19" s="52" t="s">
        <v>217</v>
      </c>
      <c r="H19" s="52">
        <v>19101.0</v>
      </c>
      <c r="I19" s="52">
        <v>202.0</v>
      </c>
      <c r="J19" s="52" t="s">
        <v>218</v>
      </c>
      <c r="K19" s="54">
        <v>40857.0</v>
      </c>
      <c r="L19" s="54">
        <v>43458.0</v>
      </c>
      <c r="M19" s="52">
        <v>365.0</v>
      </c>
      <c r="N19" s="52">
        <v>83.0</v>
      </c>
      <c r="O19" s="52" t="s">
        <v>219</v>
      </c>
      <c r="P19" s="52" t="s">
        <v>220</v>
      </c>
      <c r="Q19" s="52" t="s">
        <v>114</v>
      </c>
      <c r="R19" s="52" t="s">
        <v>221</v>
      </c>
      <c r="S19" s="52" t="s">
        <v>222</v>
      </c>
      <c r="T19" s="52">
        <v>0.490739282</v>
      </c>
      <c r="U19" s="52">
        <v>3970202.0</v>
      </c>
      <c r="V19" s="52">
        <v>85.0</v>
      </c>
    </row>
    <row r="20">
      <c r="A20" s="52" t="s">
        <v>223</v>
      </c>
      <c r="B20" s="52" t="s">
        <v>224</v>
      </c>
      <c r="C20" s="55" t="s">
        <v>225</v>
      </c>
      <c r="D20" s="52">
        <v>1668.0</v>
      </c>
      <c r="E20" s="52">
        <v>149.0</v>
      </c>
      <c r="F20" s="52">
        <v>17881.0</v>
      </c>
      <c r="G20" s="52" t="s">
        <v>226</v>
      </c>
      <c r="H20" s="52">
        <v>6855.0</v>
      </c>
      <c r="I20" s="52">
        <v>181.0</v>
      </c>
      <c r="J20" s="52" t="s">
        <v>227</v>
      </c>
      <c r="K20" s="54">
        <v>40855.0</v>
      </c>
      <c r="L20" s="54">
        <v>43457.0</v>
      </c>
      <c r="M20" s="52">
        <v>215.0</v>
      </c>
      <c r="N20" s="52">
        <v>94.0</v>
      </c>
      <c r="O20" s="52" t="s">
        <v>228</v>
      </c>
      <c r="P20" s="52" t="s">
        <v>229</v>
      </c>
      <c r="Q20" s="52" t="s">
        <v>176</v>
      </c>
      <c r="R20" s="52" t="s">
        <v>230</v>
      </c>
      <c r="S20" s="52" t="s">
        <v>231</v>
      </c>
      <c r="T20" s="52">
        <v>0.955489423</v>
      </c>
      <c r="U20" s="52">
        <v>1052785.0</v>
      </c>
      <c r="V20" s="52">
        <v>85.0</v>
      </c>
    </row>
    <row r="21">
      <c r="A21" s="52" t="s">
        <v>232</v>
      </c>
      <c r="B21" s="52" t="s">
        <v>233</v>
      </c>
      <c r="C21" s="55" t="s">
        <v>234</v>
      </c>
      <c r="D21" s="52">
        <v>2190.0</v>
      </c>
      <c r="E21" s="52">
        <v>272.0</v>
      </c>
      <c r="F21" s="52">
        <v>2840.0</v>
      </c>
      <c r="G21" s="52" t="s">
        <v>129</v>
      </c>
      <c r="H21" s="52">
        <v>1503.0</v>
      </c>
      <c r="I21" s="52">
        <v>83.0</v>
      </c>
      <c r="J21" s="52" t="s">
        <v>235</v>
      </c>
      <c r="K21" s="54">
        <v>41506.0</v>
      </c>
      <c r="L21" s="54">
        <v>43453.0</v>
      </c>
      <c r="M21" s="52">
        <v>78.0</v>
      </c>
      <c r="N21" s="52">
        <v>92.0</v>
      </c>
      <c r="O21" s="52" t="s">
        <v>236</v>
      </c>
      <c r="P21" s="52" t="s">
        <v>237</v>
      </c>
      <c r="Q21" s="52" t="s">
        <v>114</v>
      </c>
      <c r="R21" s="52" t="s">
        <v>238</v>
      </c>
      <c r="S21" s="52" t="s">
        <v>239</v>
      </c>
      <c r="T21" s="52">
        <v>0.979542869</v>
      </c>
      <c r="U21" s="52">
        <v>845465.0</v>
      </c>
      <c r="V21" s="52">
        <v>63.0</v>
      </c>
    </row>
    <row r="22">
      <c r="A22" s="52" t="s">
        <v>240</v>
      </c>
      <c r="B22" s="52" t="s">
        <v>241</v>
      </c>
      <c r="C22" s="55" t="s">
        <v>242</v>
      </c>
      <c r="D22" s="52">
        <v>14702.0</v>
      </c>
      <c r="E22" s="52">
        <v>646.0</v>
      </c>
      <c r="F22" s="52">
        <v>10501.0</v>
      </c>
      <c r="G22" s="52" t="s">
        <v>243</v>
      </c>
      <c r="H22" s="52">
        <v>5210.0</v>
      </c>
      <c r="I22" s="52">
        <v>291.0</v>
      </c>
      <c r="J22" s="52" t="s">
        <v>244</v>
      </c>
      <c r="K22" s="54">
        <v>41617.0</v>
      </c>
      <c r="L22" s="54">
        <v>43455.0</v>
      </c>
      <c r="M22" s="52">
        <v>605.0</v>
      </c>
      <c r="N22" s="52">
        <v>119.0</v>
      </c>
      <c r="O22" s="52" t="s">
        <v>245</v>
      </c>
      <c r="P22" s="52" t="s">
        <v>246</v>
      </c>
      <c r="Q22" s="52" t="s">
        <v>247</v>
      </c>
      <c r="R22" s="52" t="s">
        <v>248</v>
      </c>
      <c r="S22" s="52" t="s">
        <v>249</v>
      </c>
      <c r="T22" s="52">
        <v>0.962877367</v>
      </c>
      <c r="U22" s="52">
        <v>1033671.0</v>
      </c>
      <c r="V22" s="52">
        <v>60.0</v>
      </c>
    </row>
    <row r="23">
      <c r="A23" s="52" t="s">
        <v>250</v>
      </c>
      <c r="B23" s="52" t="s">
        <v>251</v>
      </c>
      <c r="C23" s="55" t="s">
        <v>252</v>
      </c>
      <c r="D23" s="52">
        <v>2600.0</v>
      </c>
      <c r="E23" s="52">
        <v>176.0</v>
      </c>
      <c r="F23" s="52">
        <v>46461.0</v>
      </c>
      <c r="G23" s="52" t="s">
        <v>253</v>
      </c>
      <c r="H23" s="52">
        <v>13283.0</v>
      </c>
      <c r="I23" s="52">
        <v>207.0</v>
      </c>
      <c r="J23" s="52" t="s">
        <v>254</v>
      </c>
      <c r="K23" s="54">
        <v>41197.0</v>
      </c>
      <c r="L23" s="54">
        <v>43454.0</v>
      </c>
      <c r="M23" s="52">
        <v>796.0</v>
      </c>
      <c r="N23" s="52">
        <v>223.0</v>
      </c>
      <c r="O23" s="52" t="s">
        <v>255</v>
      </c>
      <c r="P23" s="52" t="s">
        <v>256</v>
      </c>
      <c r="Q23" s="52" t="s">
        <v>114</v>
      </c>
      <c r="R23" s="52" t="s">
        <v>257</v>
      </c>
      <c r="S23" s="52" t="s">
        <v>258</v>
      </c>
      <c r="T23" s="52">
        <v>0.980819602</v>
      </c>
      <c r="U23" s="52">
        <v>2254611.0</v>
      </c>
      <c r="V23" s="52">
        <v>74.0</v>
      </c>
    </row>
    <row r="24">
      <c r="A24" s="52" t="s">
        <v>259</v>
      </c>
      <c r="B24" s="52" t="s">
        <v>260</v>
      </c>
      <c r="C24" s="55" t="s">
        <v>261</v>
      </c>
      <c r="D24" s="52">
        <v>3402.0</v>
      </c>
      <c r="E24" s="52">
        <v>310.0</v>
      </c>
      <c r="F24" s="52">
        <v>22914.0</v>
      </c>
      <c r="G24" s="52" t="s">
        <v>129</v>
      </c>
      <c r="H24" s="52">
        <v>5181.0</v>
      </c>
      <c r="I24" s="52">
        <v>208.0</v>
      </c>
      <c r="J24" s="52" t="s">
        <v>262</v>
      </c>
      <c r="K24" s="54">
        <v>40580.0</v>
      </c>
      <c r="L24" s="54">
        <v>43440.0</v>
      </c>
      <c r="M24" s="52">
        <v>1309.0</v>
      </c>
      <c r="N24" s="52">
        <v>27.0</v>
      </c>
      <c r="O24" s="52" t="s">
        <v>263</v>
      </c>
      <c r="P24" s="52" t="s">
        <v>264</v>
      </c>
      <c r="Q24" s="52" t="s">
        <v>84</v>
      </c>
      <c r="R24" s="52" t="s">
        <v>265</v>
      </c>
      <c r="S24" s="52" t="s">
        <v>266</v>
      </c>
      <c r="T24" s="52">
        <v>0.955857356</v>
      </c>
      <c r="U24" s="52">
        <v>6524321.0</v>
      </c>
      <c r="V24" s="52">
        <v>94.0</v>
      </c>
    </row>
    <row r="25">
      <c r="A25" s="52" t="s">
        <v>267</v>
      </c>
      <c r="B25" s="52" t="s">
        <v>268</v>
      </c>
      <c r="C25" s="55" t="s">
        <v>269</v>
      </c>
      <c r="D25" s="52">
        <v>2524.0</v>
      </c>
      <c r="E25" s="52">
        <v>122.0</v>
      </c>
      <c r="F25" s="52">
        <v>45683.0</v>
      </c>
      <c r="G25" s="52" t="s">
        <v>270</v>
      </c>
      <c r="H25" s="52">
        <v>7509.0</v>
      </c>
      <c r="I25" s="52">
        <v>159.0</v>
      </c>
      <c r="J25" s="52" t="s">
        <v>271</v>
      </c>
      <c r="K25" s="54">
        <v>41493.0</v>
      </c>
      <c r="L25" s="54">
        <v>43458.0</v>
      </c>
      <c r="M25" s="52">
        <v>55.0</v>
      </c>
      <c r="N25" s="52">
        <v>68.0</v>
      </c>
      <c r="O25" s="52" t="s">
        <v>272</v>
      </c>
      <c r="P25" s="52" t="s">
        <v>273</v>
      </c>
      <c r="Q25" s="52" t="s">
        <v>114</v>
      </c>
      <c r="R25" s="52" t="s">
        <v>274</v>
      </c>
      <c r="S25" s="52" t="s">
        <v>275</v>
      </c>
      <c r="T25" s="52">
        <v>0.982165176</v>
      </c>
      <c r="U25" s="52">
        <v>1928444.0</v>
      </c>
      <c r="V25" s="52">
        <v>64.0</v>
      </c>
    </row>
    <row r="26">
      <c r="A26" s="52" t="s">
        <v>276</v>
      </c>
      <c r="B26" s="52" t="s">
        <v>277</v>
      </c>
      <c r="C26" s="55" t="s">
        <v>278</v>
      </c>
      <c r="D26" s="52">
        <v>3718.0</v>
      </c>
      <c r="E26" s="52">
        <v>217.0</v>
      </c>
      <c r="F26" s="52">
        <v>53058.0</v>
      </c>
      <c r="G26" s="52" t="s">
        <v>279</v>
      </c>
      <c r="H26" s="52">
        <v>14562.0</v>
      </c>
      <c r="I26" s="52">
        <v>267.0</v>
      </c>
      <c r="J26" s="52" t="s">
        <v>280</v>
      </c>
      <c r="K26" s="54">
        <v>40503.0</v>
      </c>
      <c r="L26" s="54">
        <v>43458.0</v>
      </c>
      <c r="M26" s="52">
        <v>614.0</v>
      </c>
      <c r="N26" s="52">
        <v>141.0</v>
      </c>
      <c r="O26" s="52" t="s">
        <v>281</v>
      </c>
      <c r="P26" s="52" t="s">
        <v>282</v>
      </c>
      <c r="Q26" s="52" t="s">
        <v>114</v>
      </c>
      <c r="R26" s="52" t="s">
        <v>283</v>
      </c>
      <c r="S26" s="52" t="s">
        <v>284</v>
      </c>
      <c r="T26" s="52">
        <v>0.900356839</v>
      </c>
      <c r="U26" s="52">
        <v>6136536.0</v>
      </c>
      <c r="V26" s="52">
        <v>97.0</v>
      </c>
    </row>
    <row r="27">
      <c r="A27" s="52" t="s">
        <v>285</v>
      </c>
      <c r="B27" s="52" t="s">
        <v>286</v>
      </c>
      <c r="C27" s="55" t="s">
        <v>287</v>
      </c>
      <c r="D27" s="52">
        <v>38408.0</v>
      </c>
      <c r="E27" s="52">
        <v>2138.0</v>
      </c>
      <c r="F27" s="52">
        <v>184771.0</v>
      </c>
      <c r="G27" s="52" t="s">
        <v>288</v>
      </c>
      <c r="H27" s="52">
        <v>26430.0</v>
      </c>
      <c r="I27" s="52">
        <v>402.0</v>
      </c>
      <c r="J27" s="52" t="s">
        <v>289</v>
      </c>
      <c r="K27" s="54">
        <v>41027.0</v>
      </c>
      <c r="L27" s="54">
        <v>43458.0</v>
      </c>
      <c r="M27" s="52">
        <v>187.0</v>
      </c>
      <c r="N27" s="52">
        <v>202.0</v>
      </c>
      <c r="O27" s="52" t="s">
        <v>290</v>
      </c>
      <c r="P27" s="52" t="s">
        <v>291</v>
      </c>
      <c r="Q27" s="52" t="s">
        <v>114</v>
      </c>
      <c r="R27" s="52" t="s">
        <v>292</v>
      </c>
      <c r="S27" s="52" t="s">
        <v>293</v>
      </c>
      <c r="T27" s="52">
        <v>0.957766965</v>
      </c>
      <c r="U27" s="52">
        <v>1.2868737E7</v>
      </c>
      <c r="V27" s="52">
        <v>79.0</v>
      </c>
    </row>
    <row r="28">
      <c r="A28" s="52" t="s">
        <v>294</v>
      </c>
      <c r="B28" s="52" t="s">
        <v>295</v>
      </c>
      <c r="C28" s="55" t="s">
        <v>296</v>
      </c>
      <c r="D28" s="52">
        <v>4229.0</v>
      </c>
      <c r="E28" s="52">
        <v>198.0</v>
      </c>
      <c r="F28" s="52">
        <v>5217.0</v>
      </c>
      <c r="G28" s="52" t="s">
        <v>129</v>
      </c>
      <c r="H28" s="52">
        <v>2039.0</v>
      </c>
      <c r="I28" s="52">
        <v>376.0</v>
      </c>
      <c r="J28" s="52" t="s">
        <v>297</v>
      </c>
      <c r="K28" s="54">
        <v>40461.0</v>
      </c>
      <c r="L28" s="54">
        <v>43455.0</v>
      </c>
      <c r="M28" s="52">
        <v>223.0</v>
      </c>
      <c r="N28" s="52">
        <v>40.0</v>
      </c>
      <c r="O28" s="52" t="s">
        <v>298</v>
      </c>
      <c r="P28" s="52" t="s">
        <v>299</v>
      </c>
      <c r="Q28" s="52" t="s">
        <v>104</v>
      </c>
      <c r="R28" s="52" t="s">
        <v>300</v>
      </c>
      <c r="S28" s="52" t="s">
        <v>301</v>
      </c>
      <c r="T28" s="52">
        <v>0.939918871</v>
      </c>
      <c r="U28" s="52">
        <v>718067.0</v>
      </c>
      <c r="V28" s="52">
        <v>98.0</v>
      </c>
    </row>
    <row r="29">
      <c r="A29" s="52" t="s">
        <v>302</v>
      </c>
      <c r="B29" s="52" t="s">
        <v>303</v>
      </c>
      <c r="C29" s="55" t="s">
        <v>304</v>
      </c>
      <c r="D29" s="52">
        <v>1827.0</v>
      </c>
      <c r="E29" s="52">
        <v>137.0</v>
      </c>
      <c r="F29" s="52">
        <v>7958.0</v>
      </c>
      <c r="G29" s="52" t="s">
        <v>305</v>
      </c>
      <c r="H29" s="52">
        <v>3131.0</v>
      </c>
      <c r="I29" s="52">
        <v>56.0</v>
      </c>
      <c r="J29" s="52" t="s">
        <v>306</v>
      </c>
      <c r="K29" s="54">
        <v>40007.0</v>
      </c>
      <c r="L29" s="54">
        <v>43449.0</v>
      </c>
      <c r="M29" s="52">
        <v>22.0</v>
      </c>
      <c r="N29" s="52">
        <v>27.0</v>
      </c>
      <c r="O29" s="52" t="s">
        <v>307</v>
      </c>
      <c r="P29" s="52" t="s">
        <v>308</v>
      </c>
      <c r="Q29" s="52" t="s">
        <v>94</v>
      </c>
      <c r="R29" s="52" t="s">
        <v>309</v>
      </c>
      <c r="S29" s="52" t="s">
        <v>310</v>
      </c>
      <c r="T29" s="52">
        <v>0.660189717</v>
      </c>
      <c r="U29" s="52">
        <v>543486.0</v>
      </c>
      <c r="V29" s="52">
        <v>113.0</v>
      </c>
    </row>
    <row r="30">
      <c r="A30" s="52" t="s">
        <v>311</v>
      </c>
      <c r="B30" s="52" t="s">
        <v>312</v>
      </c>
      <c r="C30" s="55" t="s">
        <v>313</v>
      </c>
      <c r="D30" s="52">
        <v>6410.0</v>
      </c>
      <c r="E30" s="52">
        <v>426.0</v>
      </c>
      <c r="F30" s="52">
        <v>82150.0</v>
      </c>
      <c r="G30" s="52" t="s">
        <v>314</v>
      </c>
      <c r="H30" s="52">
        <v>15775.0</v>
      </c>
      <c r="I30" s="52">
        <v>331.0</v>
      </c>
      <c r="J30" s="52" t="s">
        <v>315</v>
      </c>
      <c r="K30" s="54">
        <v>39877.0</v>
      </c>
      <c r="L30" s="54">
        <v>43454.0</v>
      </c>
      <c r="M30" s="52">
        <v>266.0</v>
      </c>
      <c r="N30" s="52">
        <v>118.0</v>
      </c>
      <c r="O30" s="52" t="s">
        <v>316</v>
      </c>
      <c r="P30" s="52" t="s">
        <v>317</v>
      </c>
      <c r="Q30" s="52" t="s">
        <v>94</v>
      </c>
      <c r="R30" s="52" t="s">
        <v>318</v>
      </c>
      <c r="S30" s="52" t="s">
        <v>319</v>
      </c>
      <c r="T30" s="52">
        <v>0.599297566</v>
      </c>
      <c r="U30" s="52">
        <v>2350662.0</v>
      </c>
      <c r="V30" s="52">
        <v>117.0</v>
      </c>
    </row>
    <row r="31">
      <c r="A31" s="52" t="s">
        <v>320</v>
      </c>
      <c r="B31" s="52" t="s">
        <v>321</v>
      </c>
      <c r="C31" s="55" t="s">
        <v>322</v>
      </c>
      <c r="D31" s="52">
        <v>4011.0</v>
      </c>
      <c r="E31" s="52">
        <v>111.0</v>
      </c>
      <c r="F31" s="52">
        <v>2881.0</v>
      </c>
      <c r="G31" s="52" t="s">
        <v>129</v>
      </c>
      <c r="H31" s="52">
        <v>2740.0</v>
      </c>
      <c r="I31" s="52">
        <v>365.0</v>
      </c>
      <c r="J31" s="52" t="s">
        <v>323</v>
      </c>
      <c r="K31" s="54">
        <v>39893.0</v>
      </c>
      <c r="L31" s="54">
        <v>43448.0</v>
      </c>
      <c r="M31" s="52">
        <v>44.0</v>
      </c>
      <c r="N31" s="52">
        <v>94.0</v>
      </c>
      <c r="O31" s="52" t="s">
        <v>290</v>
      </c>
      <c r="P31" s="52" t="s">
        <v>324</v>
      </c>
      <c r="Q31" s="52" t="s">
        <v>104</v>
      </c>
      <c r="R31" s="52" t="s">
        <v>325</v>
      </c>
      <c r="S31" s="52" t="s">
        <v>326</v>
      </c>
      <c r="T31" s="52">
        <v>0.932018303</v>
      </c>
      <c r="U31" s="52">
        <v>624922.0</v>
      </c>
      <c r="V31" s="52">
        <v>116.0</v>
      </c>
    </row>
    <row r="32">
      <c r="A32" s="52" t="s">
        <v>327</v>
      </c>
      <c r="B32" s="52" t="s">
        <v>328</v>
      </c>
      <c r="C32" s="55" t="s">
        <v>329</v>
      </c>
      <c r="D32" s="52">
        <v>2602.0</v>
      </c>
      <c r="E32" s="52">
        <v>120.0</v>
      </c>
      <c r="F32" s="52">
        <v>3789.0</v>
      </c>
      <c r="G32" s="52" t="s">
        <v>129</v>
      </c>
      <c r="H32" s="52">
        <v>1581.0</v>
      </c>
      <c r="I32" s="52">
        <v>143.0</v>
      </c>
      <c r="J32" s="52" t="s">
        <v>330</v>
      </c>
      <c r="K32" s="54">
        <v>39842.0</v>
      </c>
      <c r="L32" s="54">
        <v>43453.0</v>
      </c>
      <c r="M32" s="52">
        <v>541.0</v>
      </c>
      <c r="N32" s="52">
        <v>33.0</v>
      </c>
      <c r="O32" s="52" t="s">
        <v>331</v>
      </c>
      <c r="P32" s="52" t="s">
        <v>332</v>
      </c>
      <c r="Q32" s="52" t="s">
        <v>114</v>
      </c>
      <c r="R32" s="52" t="s">
        <v>333</v>
      </c>
      <c r="S32" s="52" t="s">
        <v>334</v>
      </c>
      <c r="T32" s="52">
        <v>0.99653864</v>
      </c>
      <c r="U32" s="52">
        <v>1023786.0</v>
      </c>
      <c r="V32" s="52">
        <v>118.0</v>
      </c>
    </row>
    <row r="33">
      <c r="A33" s="52" t="s">
        <v>335</v>
      </c>
      <c r="B33" s="52" t="s">
        <v>336</v>
      </c>
      <c r="C33" s="55" t="s">
        <v>337</v>
      </c>
      <c r="D33" s="52">
        <v>3496.0</v>
      </c>
      <c r="E33" s="52">
        <v>261.0</v>
      </c>
      <c r="F33" s="52">
        <v>93194.0</v>
      </c>
      <c r="G33" s="52" t="s">
        <v>338</v>
      </c>
      <c r="H33" s="52">
        <v>7827.0</v>
      </c>
      <c r="I33" s="52">
        <v>204.0</v>
      </c>
      <c r="J33" s="52" t="s">
        <v>339</v>
      </c>
      <c r="K33" s="54">
        <v>40520.0</v>
      </c>
      <c r="L33" s="54">
        <v>43455.0</v>
      </c>
      <c r="M33" s="52">
        <v>119.0</v>
      </c>
      <c r="N33" s="52">
        <v>100.0</v>
      </c>
      <c r="O33" s="52" t="s">
        <v>340</v>
      </c>
      <c r="P33" s="52" t="s">
        <v>341</v>
      </c>
      <c r="Q33" s="52" t="s">
        <v>114</v>
      </c>
      <c r="R33" s="52" t="s">
        <v>342</v>
      </c>
      <c r="S33" s="52" t="s">
        <v>343</v>
      </c>
      <c r="T33" s="52">
        <v>0.608597754</v>
      </c>
      <c r="U33" s="52">
        <v>1989332.0</v>
      </c>
      <c r="V33" s="52">
        <v>96.0</v>
      </c>
    </row>
    <row r="34">
      <c r="A34" s="52" t="s">
        <v>344</v>
      </c>
      <c r="B34" s="52" t="s">
        <v>345</v>
      </c>
      <c r="C34" s="55" t="s">
        <v>346</v>
      </c>
      <c r="D34" s="52">
        <v>12575.0</v>
      </c>
      <c r="E34" s="52">
        <v>522.0</v>
      </c>
      <c r="F34" s="52">
        <v>41001.0</v>
      </c>
      <c r="G34" s="52" t="s">
        <v>347</v>
      </c>
      <c r="H34" s="52">
        <v>7879.0</v>
      </c>
      <c r="I34" s="52">
        <v>396.0</v>
      </c>
      <c r="J34" s="52" t="s">
        <v>348</v>
      </c>
      <c r="K34" s="54">
        <v>40604.0</v>
      </c>
      <c r="L34" s="54">
        <v>43458.0</v>
      </c>
      <c r="M34" s="52">
        <v>197.0</v>
      </c>
      <c r="N34" s="52">
        <v>110.0</v>
      </c>
      <c r="O34" s="52" t="s">
        <v>349</v>
      </c>
      <c r="P34" s="52" t="s">
        <v>350</v>
      </c>
      <c r="Q34" s="52" t="s">
        <v>114</v>
      </c>
      <c r="R34" s="52" t="s">
        <v>351</v>
      </c>
      <c r="S34" s="52" t="s">
        <v>352</v>
      </c>
      <c r="T34" s="52">
        <v>0.899871004</v>
      </c>
      <c r="U34" s="52">
        <v>1294037.0</v>
      </c>
      <c r="V34" s="52">
        <v>93.0</v>
      </c>
    </row>
    <row r="35">
      <c r="A35" s="52" t="s">
        <v>353</v>
      </c>
      <c r="B35" s="52" t="s">
        <v>354</v>
      </c>
      <c r="C35" s="55" t="s">
        <v>355</v>
      </c>
      <c r="D35" s="52">
        <v>1732.0</v>
      </c>
      <c r="E35" s="52">
        <v>130.0</v>
      </c>
      <c r="F35" s="52">
        <v>8325.0</v>
      </c>
      <c r="G35" s="52" t="s">
        <v>129</v>
      </c>
      <c r="H35" s="52">
        <v>4613.0</v>
      </c>
      <c r="I35" s="52">
        <v>65.0</v>
      </c>
      <c r="J35" s="52" t="s">
        <v>356</v>
      </c>
      <c r="K35" s="54">
        <v>40501.0</v>
      </c>
      <c r="L35" s="54">
        <v>43458.0</v>
      </c>
      <c r="M35" s="52">
        <v>66.0</v>
      </c>
      <c r="N35" s="52">
        <v>36.0</v>
      </c>
      <c r="O35" s="52" t="s">
        <v>357</v>
      </c>
      <c r="P35" s="52" t="s">
        <v>358</v>
      </c>
      <c r="Q35" s="52" t="s">
        <v>94</v>
      </c>
      <c r="R35" s="52" t="s">
        <v>359</v>
      </c>
      <c r="S35" s="52" t="s">
        <v>360</v>
      </c>
      <c r="T35" s="52">
        <v>0.821351206</v>
      </c>
      <c r="U35" s="52">
        <v>782967.0</v>
      </c>
      <c r="V35" s="52">
        <v>97.0</v>
      </c>
    </row>
    <row r="36">
      <c r="A36" s="52" t="s">
        <v>361</v>
      </c>
      <c r="B36" s="52" t="s">
        <v>362</v>
      </c>
      <c r="C36" s="55" t="s">
        <v>363</v>
      </c>
      <c r="D36" s="52">
        <v>3443.0</v>
      </c>
      <c r="E36" s="52">
        <v>141.0</v>
      </c>
      <c r="F36" s="52">
        <v>2863.0</v>
      </c>
      <c r="G36" s="52" t="s">
        <v>129</v>
      </c>
      <c r="H36" s="52">
        <v>1261.0</v>
      </c>
      <c r="I36" s="52">
        <v>166.0</v>
      </c>
      <c r="J36" s="52" t="s">
        <v>364</v>
      </c>
      <c r="K36" s="54">
        <v>40266.0</v>
      </c>
      <c r="L36" s="54">
        <v>43431.0</v>
      </c>
      <c r="M36" s="52">
        <v>421.0</v>
      </c>
      <c r="N36" s="52">
        <v>26.0</v>
      </c>
      <c r="O36" s="52" t="s">
        <v>365</v>
      </c>
      <c r="P36" s="52" t="s">
        <v>366</v>
      </c>
      <c r="Q36" s="52" t="s">
        <v>114</v>
      </c>
      <c r="R36" s="52" t="s">
        <v>367</v>
      </c>
      <c r="S36" s="52" t="s">
        <v>368</v>
      </c>
      <c r="T36" s="52">
        <v>0.997326439</v>
      </c>
      <c r="U36" s="52">
        <v>835967.0</v>
      </c>
      <c r="V36" s="52">
        <v>103.0</v>
      </c>
    </row>
    <row r="37">
      <c r="A37" s="52" t="s">
        <v>369</v>
      </c>
      <c r="B37" s="52" t="s">
        <v>370</v>
      </c>
      <c r="C37" s="55" t="s">
        <v>371</v>
      </c>
      <c r="D37" s="52">
        <v>3522.0</v>
      </c>
      <c r="E37" s="52">
        <v>197.0</v>
      </c>
      <c r="F37" s="52">
        <v>4321.0</v>
      </c>
      <c r="G37" s="52" t="s">
        <v>372</v>
      </c>
      <c r="H37" s="52">
        <v>2749.0</v>
      </c>
      <c r="I37" s="52">
        <v>298.0</v>
      </c>
      <c r="J37" s="52" t="s">
        <v>373</v>
      </c>
      <c r="K37" s="54">
        <v>41417.0</v>
      </c>
      <c r="L37" s="54">
        <v>43458.0</v>
      </c>
      <c r="M37" s="52">
        <v>173.0</v>
      </c>
      <c r="N37" s="52">
        <v>93.0</v>
      </c>
      <c r="O37" s="52" t="s">
        <v>374</v>
      </c>
      <c r="P37" s="52" t="s">
        <v>375</v>
      </c>
      <c r="Q37" s="52" t="s">
        <v>247</v>
      </c>
      <c r="R37" s="52" t="s">
        <v>376</v>
      </c>
      <c r="S37" s="52" t="s">
        <v>377</v>
      </c>
      <c r="T37" s="52">
        <v>0.994612378</v>
      </c>
      <c r="U37" s="52">
        <v>943545.0</v>
      </c>
      <c r="V37" s="52">
        <v>67.0</v>
      </c>
    </row>
    <row r="38">
      <c r="A38" s="52" t="s">
        <v>378</v>
      </c>
      <c r="B38" s="52" t="s">
        <v>379</v>
      </c>
      <c r="C38" s="55" t="s">
        <v>380</v>
      </c>
      <c r="D38" s="52">
        <v>4021.0</v>
      </c>
      <c r="E38" s="52">
        <v>396.0</v>
      </c>
      <c r="F38" s="52">
        <v>994554.0</v>
      </c>
      <c r="G38" s="52" t="s">
        <v>129</v>
      </c>
      <c r="H38" s="52">
        <v>48118.0</v>
      </c>
      <c r="I38" s="52">
        <v>237.0</v>
      </c>
      <c r="J38" s="52" t="s">
        <v>381</v>
      </c>
      <c r="K38" s="54">
        <v>41424.0</v>
      </c>
      <c r="L38" s="54">
        <v>43458.0</v>
      </c>
      <c r="M38" s="52">
        <v>210.0</v>
      </c>
      <c r="N38" s="52">
        <v>1114.0</v>
      </c>
      <c r="O38" s="52" t="s">
        <v>382</v>
      </c>
      <c r="P38" s="52" t="s">
        <v>383</v>
      </c>
      <c r="Q38" s="52" t="s">
        <v>384</v>
      </c>
      <c r="R38" s="52" t="s">
        <v>385</v>
      </c>
      <c r="S38" s="52" t="s">
        <v>386</v>
      </c>
      <c r="T38" s="52">
        <v>0.57388534</v>
      </c>
      <c r="U38" s="52">
        <v>2.3279167E7</v>
      </c>
      <c r="V38" s="52">
        <v>66.0</v>
      </c>
    </row>
    <row r="39">
      <c r="A39" s="52" t="s">
        <v>387</v>
      </c>
      <c r="B39" s="52" t="s">
        <v>388</v>
      </c>
      <c r="C39" s="55" t="s">
        <v>389</v>
      </c>
      <c r="D39" s="52">
        <v>5264.0</v>
      </c>
      <c r="E39" s="52">
        <v>245.0</v>
      </c>
      <c r="F39" s="52">
        <v>3379.0</v>
      </c>
      <c r="G39" s="52" t="s">
        <v>129</v>
      </c>
      <c r="H39" s="52">
        <v>1835.0</v>
      </c>
      <c r="I39" s="52">
        <v>167.0</v>
      </c>
      <c r="J39" s="52" t="s">
        <v>390</v>
      </c>
      <c r="K39" s="54">
        <v>41967.0</v>
      </c>
      <c r="L39" s="54">
        <v>43453.0</v>
      </c>
      <c r="M39" s="52">
        <v>722.0</v>
      </c>
      <c r="N39" s="52">
        <v>123.0</v>
      </c>
      <c r="O39" s="52" t="s">
        <v>391</v>
      </c>
      <c r="P39" s="52" t="s">
        <v>392</v>
      </c>
      <c r="Q39" s="52" t="s">
        <v>247</v>
      </c>
      <c r="R39" s="52" t="s">
        <v>393</v>
      </c>
      <c r="S39" s="52" t="s">
        <v>394</v>
      </c>
      <c r="T39" s="52">
        <v>0.999114336</v>
      </c>
      <c r="U39" s="52">
        <v>541486.0</v>
      </c>
      <c r="V39" s="52">
        <v>48.0</v>
      </c>
    </row>
    <row r="40">
      <c r="A40" s="52" t="s">
        <v>395</v>
      </c>
      <c r="B40" s="52" t="s">
        <v>396</v>
      </c>
      <c r="C40" s="55" t="s">
        <v>397</v>
      </c>
      <c r="D40" s="52">
        <v>3142.0</v>
      </c>
      <c r="E40" s="52">
        <v>261.0</v>
      </c>
      <c r="F40" s="52">
        <v>28418.0</v>
      </c>
      <c r="G40" s="52" t="s">
        <v>129</v>
      </c>
      <c r="H40" s="52">
        <v>9929.0</v>
      </c>
      <c r="I40" s="52">
        <v>225.0</v>
      </c>
      <c r="J40" s="52" t="s">
        <v>398</v>
      </c>
      <c r="K40" s="54">
        <v>41123.0</v>
      </c>
      <c r="L40" s="54">
        <v>43458.0</v>
      </c>
      <c r="M40" s="52">
        <v>467.0</v>
      </c>
      <c r="N40" s="52">
        <v>125.0</v>
      </c>
      <c r="O40" s="52" t="s">
        <v>399</v>
      </c>
      <c r="P40" s="52" t="s">
        <v>400</v>
      </c>
      <c r="Q40" s="52" t="s">
        <v>104</v>
      </c>
      <c r="R40" s="52" t="s">
        <v>401</v>
      </c>
      <c r="S40" s="52" t="s">
        <v>402</v>
      </c>
      <c r="T40" s="52">
        <v>0.982357982</v>
      </c>
      <c r="U40" s="52">
        <v>2298310.0</v>
      </c>
      <c r="V40" s="52">
        <v>76.0</v>
      </c>
    </row>
    <row r="41">
      <c r="A41" s="52" t="s">
        <v>403</v>
      </c>
      <c r="B41" s="52" t="s">
        <v>404</v>
      </c>
      <c r="C41" s="55" t="s">
        <v>405</v>
      </c>
      <c r="D41" s="52">
        <v>4067.0</v>
      </c>
      <c r="E41" s="52">
        <v>455.0</v>
      </c>
      <c r="F41" s="52">
        <v>712467.0</v>
      </c>
      <c r="G41" s="52" t="s">
        <v>406</v>
      </c>
      <c r="H41" s="52">
        <v>24675.0</v>
      </c>
      <c r="I41" s="52">
        <v>255.0</v>
      </c>
      <c r="J41" s="52" t="s">
        <v>407</v>
      </c>
      <c r="K41" s="54">
        <v>40702.0</v>
      </c>
      <c r="L41" s="54">
        <v>43458.0</v>
      </c>
      <c r="M41" s="52">
        <v>1699.0</v>
      </c>
      <c r="N41" s="52">
        <v>733.0</v>
      </c>
      <c r="O41" s="52" t="s">
        <v>408</v>
      </c>
      <c r="P41" s="52" t="s">
        <v>409</v>
      </c>
      <c r="Q41" s="52" t="s">
        <v>84</v>
      </c>
      <c r="R41" s="52" t="s">
        <v>410</v>
      </c>
      <c r="S41" s="52" t="s">
        <v>411</v>
      </c>
      <c r="T41" s="52">
        <v>0.689363762</v>
      </c>
      <c r="U41" s="52">
        <v>4377362.0</v>
      </c>
      <c r="V41" s="52">
        <v>90.0</v>
      </c>
    </row>
    <row r="42">
      <c r="A42" s="52" t="s">
        <v>412</v>
      </c>
      <c r="B42" s="52" t="s">
        <v>413</v>
      </c>
      <c r="C42" s="55" t="s">
        <v>414</v>
      </c>
      <c r="D42" s="52">
        <v>5387.0</v>
      </c>
      <c r="E42" s="52">
        <v>262.0</v>
      </c>
      <c r="F42" s="52">
        <v>16402.0</v>
      </c>
      <c r="G42" s="52" t="s">
        <v>415</v>
      </c>
      <c r="H42" s="52">
        <v>2910.0</v>
      </c>
      <c r="I42" s="52">
        <v>136.0</v>
      </c>
      <c r="J42" s="52" t="s">
        <v>416</v>
      </c>
      <c r="K42" s="54">
        <v>41204.0</v>
      </c>
      <c r="L42" s="54">
        <v>43444.0</v>
      </c>
      <c r="M42" s="52">
        <v>27.0</v>
      </c>
      <c r="N42" s="52">
        <v>33.0</v>
      </c>
      <c r="O42" s="52" t="s">
        <v>417</v>
      </c>
      <c r="P42" s="52" t="s">
        <v>418</v>
      </c>
      <c r="Q42" s="52" t="s">
        <v>114</v>
      </c>
      <c r="R42" s="52" t="s">
        <v>419</v>
      </c>
      <c r="S42" s="52" t="s">
        <v>420</v>
      </c>
      <c r="T42" s="52">
        <v>0.999240789</v>
      </c>
      <c r="U42" s="52">
        <v>823914.0</v>
      </c>
      <c r="V42" s="52">
        <v>73.0</v>
      </c>
    </row>
    <row r="43">
      <c r="A43" s="52" t="s">
        <v>421</v>
      </c>
      <c r="B43" s="52" t="s">
        <v>422</v>
      </c>
      <c r="C43" s="55" t="s">
        <v>423</v>
      </c>
      <c r="D43" s="52">
        <v>3640.0</v>
      </c>
      <c r="E43" s="52">
        <v>240.0</v>
      </c>
      <c r="F43" s="52">
        <v>10145.0</v>
      </c>
      <c r="G43" s="52" t="s">
        <v>424</v>
      </c>
      <c r="H43" s="52">
        <v>4864.0</v>
      </c>
      <c r="I43" s="52">
        <v>168.0</v>
      </c>
      <c r="J43" s="52" t="s">
        <v>425</v>
      </c>
      <c r="K43" s="54">
        <v>40814.0</v>
      </c>
      <c r="L43" s="54">
        <v>43453.0</v>
      </c>
      <c r="M43" s="52">
        <v>132.0</v>
      </c>
      <c r="N43" s="52">
        <v>222.0</v>
      </c>
      <c r="O43" s="52" t="s">
        <v>426</v>
      </c>
      <c r="P43" s="52" t="s">
        <v>427</v>
      </c>
      <c r="Q43" s="52" t="s">
        <v>176</v>
      </c>
      <c r="R43" s="52" t="s">
        <v>428</v>
      </c>
      <c r="S43" s="52" t="s">
        <v>429</v>
      </c>
      <c r="T43" s="52">
        <v>0.953461605</v>
      </c>
      <c r="U43" s="52">
        <v>994060.0</v>
      </c>
      <c r="V43" s="52">
        <v>86.0</v>
      </c>
    </row>
    <row r="44">
      <c r="A44" s="52" t="s">
        <v>430</v>
      </c>
      <c r="B44" s="52" t="s">
        <v>431</v>
      </c>
      <c r="C44" s="55" t="s">
        <v>432</v>
      </c>
      <c r="D44" s="52">
        <v>7071.0</v>
      </c>
      <c r="E44" s="52">
        <v>163.0</v>
      </c>
      <c r="F44" s="52">
        <v>3758.0</v>
      </c>
      <c r="G44" s="52" t="s">
        <v>433</v>
      </c>
      <c r="H44" s="52">
        <v>2056.0</v>
      </c>
      <c r="I44" s="52">
        <v>226.0</v>
      </c>
      <c r="J44" s="52" t="s">
        <v>434</v>
      </c>
      <c r="K44" s="54">
        <v>41225.0</v>
      </c>
      <c r="L44" s="54">
        <v>43456.0</v>
      </c>
      <c r="M44" s="52">
        <v>84.0</v>
      </c>
      <c r="N44" s="52">
        <v>61.0</v>
      </c>
      <c r="O44" s="52" t="s">
        <v>435</v>
      </c>
      <c r="P44" s="52" t="s">
        <v>436</v>
      </c>
      <c r="Q44" s="52" t="s">
        <v>104</v>
      </c>
      <c r="R44" s="52" t="s">
        <v>437</v>
      </c>
      <c r="S44" s="52" t="s">
        <v>438</v>
      </c>
      <c r="T44" s="52">
        <v>0.999940477</v>
      </c>
      <c r="U44" s="52">
        <v>2990272.0</v>
      </c>
      <c r="V44" s="52">
        <v>73.0</v>
      </c>
    </row>
    <row r="45">
      <c r="A45" s="52" t="s">
        <v>439</v>
      </c>
      <c r="B45" s="52" t="s">
        <v>440</v>
      </c>
      <c r="C45" s="55" t="s">
        <v>441</v>
      </c>
      <c r="D45" s="52">
        <v>5998.0</v>
      </c>
      <c r="E45" s="52">
        <v>289.0</v>
      </c>
      <c r="F45" s="52">
        <v>4828.0</v>
      </c>
      <c r="G45" s="52" t="s">
        <v>442</v>
      </c>
      <c r="H45" s="52">
        <v>1447.0</v>
      </c>
      <c r="I45" s="52">
        <v>112.0</v>
      </c>
      <c r="J45" s="52" t="s">
        <v>443</v>
      </c>
      <c r="K45" s="54">
        <v>41249.0</v>
      </c>
      <c r="L45" s="54">
        <v>43457.0</v>
      </c>
      <c r="M45" s="52">
        <v>224.0</v>
      </c>
      <c r="N45" s="52">
        <v>43.0</v>
      </c>
      <c r="O45" s="52" t="s">
        <v>444</v>
      </c>
      <c r="P45" s="52" t="s">
        <v>445</v>
      </c>
      <c r="Q45" s="52" t="s">
        <v>114</v>
      </c>
      <c r="R45" s="52" t="s">
        <v>446</v>
      </c>
      <c r="S45" s="52" t="s">
        <v>447</v>
      </c>
      <c r="T45" s="52">
        <v>0.989223032</v>
      </c>
      <c r="U45" s="52">
        <v>803901.0</v>
      </c>
      <c r="V45" s="52">
        <v>72.0</v>
      </c>
    </row>
    <row r="46">
      <c r="A46" s="52" t="s">
        <v>448</v>
      </c>
      <c r="B46" s="52" t="s">
        <v>449</v>
      </c>
      <c r="C46" s="55" t="s">
        <v>450</v>
      </c>
      <c r="D46" s="52">
        <v>40833.0</v>
      </c>
      <c r="E46" s="52">
        <v>2238.0</v>
      </c>
      <c r="F46" s="52">
        <v>6407.0</v>
      </c>
      <c r="G46" s="52" t="s">
        <v>451</v>
      </c>
      <c r="H46" s="52">
        <v>3427.0</v>
      </c>
      <c r="I46" s="52">
        <v>404.0</v>
      </c>
      <c r="J46" s="52" t="s">
        <v>452</v>
      </c>
      <c r="K46" s="54">
        <v>40274.0</v>
      </c>
      <c r="L46" s="54">
        <v>43458.0</v>
      </c>
      <c r="M46" s="52">
        <v>71.0</v>
      </c>
      <c r="N46" s="52">
        <v>26.0</v>
      </c>
      <c r="O46" s="52" t="s">
        <v>148</v>
      </c>
      <c r="P46" s="52" t="s">
        <v>453</v>
      </c>
      <c r="Q46" s="52" t="s">
        <v>114</v>
      </c>
      <c r="R46" s="52" t="s">
        <v>454</v>
      </c>
      <c r="S46" s="52" t="s">
        <v>455</v>
      </c>
      <c r="T46" s="52">
        <v>0.998049015</v>
      </c>
      <c r="U46" s="52">
        <v>497238.0</v>
      </c>
      <c r="V46" s="52">
        <v>104.0</v>
      </c>
    </row>
    <row r="47">
      <c r="A47" s="52" t="s">
        <v>456</v>
      </c>
      <c r="B47" s="52" t="s">
        <v>457</v>
      </c>
      <c r="C47" s="55" t="s">
        <v>458</v>
      </c>
      <c r="D47" s="52">
        <v>1463.0</v>
      </c>
      <c r="E47" s="52">
        <v>121.0</v>
      </c>
      <c r="F47" s="52">
        <v>14271.0</v>
      </c>
      <c r="G47" s="52" t="s">
        <v>129</v>
      </c>
      <c r="H47" s="52">
        <v>6433.0</v>
      </c>
      <c r="I47" s="52">
        <v>67.0</v>
      </c>
      <c r="J47" s="52" t="s">
        <v>459</v>
      </c>
      <c r="K47" s="54">
        <v>41479.0</v>
      </c>
      <c r="L47" s="54">
        <v>43458.0</v>
      </c>
      <c r="M47" s="52">
        <v>270.0</v>
      </c>
      <c r="N47" s="52">
        <v>70.0</v>
      </c>
      <c r="O47" s="52" t="s">
        <v>460</v>
      </c>
      <c r="P47" s="52" t="s">
        <v>461</v>
      </c>
      <c r="Q47" s="52" t="s">
        <v>114</v>
      </c>
      <c r="R47" s="52" t="s">
        <v>462</v>
      </c>
      <c r="S47" s="52" t="s">
        <v>463</v>
      </c>
      <c r="T47" s="52">
        <v>0.999308241</v>
      </c>
      <c r="U47" s="52">
        <v>3796381.0</v>
      </c>
      <c r="V47" s="52">
        <v>65.0</v>
      </c>
    </row>
    <row r="48">
      <c r="A48" s="52" t="s">
        <v>464</v>
      </c>
      <c r="B48" s="52" t="s">
        <v>465</v>
      </c>
      <c r="C48" s="55" t="s">
        <v>466</v>
      </c>
      <c r="D48" s="52">
        <v>8343.0</v>
      </c>
      <c r="E48" s="52">
        <v>468.0</v>
      </c>
      <c r="F48" s="52">
        <v>63281.0</v>
      </c>
      <c r="G48" s="52" t="s">
        <v>467</v>
      </c>
      <c r="H48" s="52">
        <v>3689.0</v>
      </c>
      <c r="I48" s="52">
        <v>301.0</v>
      </c>
      <c r="J48" s="52" t="s">
        <v>468</v>
      </c>
      <c r="K48" s="54">
        <v>40584.0</v>
      </c>
      <c r="L48" s="54">
        <v>43458.0</v>
      </c>
      <c r="M48" s="52">
        <v>232.0</v>
      </c>
      <c r="N48" s="52">
        <v>54.0</v>
      </c>
      <c r="O48" s="52">
        <v>8.6</v>
      </c>
      <c r="P48" s="52" t="s">
        <v>469</v>
      </c>
      <c r="Q48" s="52" t="s">
        <v>470</v>
      </c>
      <c r="R48" s="52" t="s">
        <v>471</v>
      </c>
      <c r="S48" s="52" t="s">
        <v>472</v>
      </c>
      <c r="T48" s="52">
        <v>0.986620791</v>
      </c>
      <c r="U48" s="52">
        <v>2815059.0</v>
      </c>
      <c r="V48" s="52">
        <v>94.0</v>
      </c>
    </row>
    <row r="49">
      <c r="A49" s="52" t="s">
        <v>473</v>
      </c>
      <c r="B49" s="52" t="s">
        <v>474</v>
      </c>
      <c r="C49" s="55" t="s">
        <v>475</v>
      </c>
      <c r="D49" s="52">
        <v>4467.0</v>
      </c>
      <c r="E49" s="52">
        <v>263.0</v>
      </c>
      <c r="F49" s="52">
        <v>15111.0</v>
      </c>
      <c r="G49" s="52" t="s">
        <v>476</v>
      </c>
      <c r="H49" s="52">
        <v>4986.0</v>
      </c>
      <c r="I49" s="52">
        <v>71.0</v>
      </c>
      <c r="J49" s="52" t="s">
        <v>477</v>
      </c>
      <c r="K49" s="54">
        <v>41165.0</v>
      </c>
      <c r="L49" s="54">
        <v>43458.0</v>
      </c>
      <c r="M49" s="52">
        <v>34.0</v>
      </c>
      <c r="N49" s="52">
        <v>73.0</v>
      </c>
      <c r="O49" s="52" t="s">
        <v>478</v>
      </c>
      <c r="P49" s="52" t="s">
        <v>479</v>
      </c>
      <c r="Q49" s="52" t="s">
        <v>114</v>
      </c>
      <c r="R49" s="52" t="s">
        <v>480</v>
      </c>
      <c r="S49" s="52" t="s">
        <v>481</v>
      </c>
      <c r="T49" s="52">
        <v>0.9885927</v>
      </c>
      <c r="U49" s="52">
        <v>7163837.0</v>
      </c>
      <c r="V49" s="52">
        <v>75.0</v>
      </c>
    </row>
    <row r="50">
      <c r="A50" s="52" t="s">
        <v>482</v>
      </c>
      <c r="B50" s="52" t="s">
        <v>483</v>
      </c>
      <c r="C50" s="55" t="s">
        <v>484</v>
      </c>
      <c r="D50" s="52">
        <v>12465.0</v>
      </c>
      <c r="E50" s="52">
        <v>503.0</v>
      </c>
      <c r="F50" s="52">
        <v>27832.0</v>
      </c>
      <c r="G50" s="52" t="s">
        <v>485</v>
      </c>
      <c r="H50" s="52">
        <v>3394.0</v>
      </c>
      <c r="I50" s="52">
        <v>85.0</v>
      </c>
      <c r="J50" s="52" t="s">
        <v>486</v>
      </c>
      <c r="K50" s="54">
        <v>40881.0</v>
      </c>
      <c r="L50" s="54">
        <v>43457.0</v>
      </c>
      <c r="M50" s="52">
        <v>77.0</v>
      </c>
      <c r="N50" s="52">
        <v>68.0</v>
      </c>
      <c r="O50" s="52" t="s">
        <v>487</v>
      </c>
      <c r="P50" s="52" t="s">
        <v>488</v>
      </c>
      <c r="Q50" s="52" t="s">
        <v>489</v>
      </c>
      <c r="R50" s="52" t="s">
        <v>490</v>
      </c>
      <c r="S50" s="52" t="s">
        <v>491</v>
      </c>
      <c r="T50" s="52">
        <v>0.866047393</v>
      </c>
      <c r="U50" s="52">
        <v>718078.0</v>
      </c>
      <c r="V50" s="52">
        <v>84.0</v>
      </c>
    </row>
    <row r="51">
      <c r="A51" s="52" t="s">
        <v>492</v>
      </c>
      <c r="B51" s="52" t="s">
        <v>493</v>
      </c>
      <c r="C51" s="55" t="s">
        <v>494</v>
      </c>
      <c r="D51" s="52">
        <v>1983.0</v>
      </c>
      <c r="E51" s="52">
        <v>249.0</v>
      </c>
      <c r="F51" s="52">
        <v>672921.0</v>
      </c>
      <c r="G51" s="52" t="s">
        <v>129</v>
      </c>
      <c r="H51" s="52">
        <v>7115.0</v>
      </c>
      <c r="I51" s="52">
        <v>190.0</v>
      </c>
      <c r="J51" s="52" t="s">
        <v>495</v>
      </c>
      <c r="K51" s="54">
        <v>41667.0</v>
      </c>
      <c r="L51" s="54">
        <v>43458.0</v>
      </c>
      <c r="M51" s="52">
        <v>176.0</v>
      </c>
      <c r="N51" s="52">
        <v>445.0</v>
      </c>
      <c r="O51" s="52" t="s">
        <v>496</v>
      </c>
      <c r="P51" s="52" t="s">
        <v>497</v>
      </c>
      <c r="Q51" s="52" t="s">
        <v>247</v>
      </c>
      <c r="R51" s="52" t="s">
        <v>498</v>
      </c>
      <c r="S51" s="52" t="s">
        <v>499</v>
      </c>
      <c r="T51" s="52">
        <v>0.999172746</v>
      </c>
      <c r="U51" s="52">
        <v>1.3673717E7</v>
      </c>
      <c r="V51" s="52">
        <v>58.0</v>
      </c>
    </row>
    <row r="52">
      <c r="A52" s="52" t="s">
        <v>500</v>
      </c>
      <c r="B52" s="52" t="s">
        <v>501</v>
      </c>
      <c r="C52" s="55" t="s">
        <v>502</v>
      </c>
      <c r="D52" s="52">
        <v>2703.0</v>
      </c>
      <c r="E52" s="52">
        <v>230.0</v>
      </c>
      <c r="F52" s="52">
        <v>14467.0</v>
      </c>
      <c r="G52" s="52" t="s">
        <v>129</v>
      </c>
      <c r="H52" s="52">
        <v>2788.0</v>
      </c>
      <c r="I52" s="52">
        <v>128.0</v>
      </c>
      <c r="J52" s="52" t="s">
        <v>503</v>
      </c>
      <c r="K52" s="54">
        <v>40684.0</v>
      </c>
      <c r="L52" s="54">
        <v>43455.0</v>
      </c>
      <c r="M52" s="52">
        <v>448.0</v>
      </c>
      <c r="N52" s="52">
        <v>34.0</v>
      </c>
      <c r="O52" s="52" t="s">
        <v>504</v>
      </c>
      <c r="P52" s="52" t="s">
        <v>505</v>
      </c>
      <c r="Q52" s="52" t="s">
        <v>84</v>
      </c>
      <c r="R52" s="52" t="s">
        <v>506</v>
      </c>
      <c r="S52" s="52" t="s">
        <v>507</v>
      </c>
      <c r="T52" s="52">
        <v>0.945710468</v>
      </c>
      <c r="U52" s="52">
        <v>7015842.0</v>
      </c>
      <c r="V52" s="52">
        <v>91.0</v>
      </c>
    </row>
    <row r="53">
      <c r="A53" s="52" t="s">
        <v>508</v>
      </c>
      <c r="B53" s="52" t="s">
        <v>509</v>
      </c>
      <c r="C53" s="55" t="s">
        <v>510</v>
      </c>
      <c r="D53" s="52">
        <v>19552.0</v>
      </c>
      <c r="E53" s="52">
        <v>1003.0</v>
      </c>
      <c r="F53" s="52">
        <v>96144.0</v>
      </c>
      <c r="G53" s="52" t="s">
        <v>511</v>
      </c>
      <c r="H53" s="52">
        <v>16599.0</v>
      </c>
      <c r="I53" s="52">
        <v>413.0</v>
      </c>
      <c r="J53" s="52" t="s">
        <v>512</v>
      </c>
      <c r="K53" s="54">
        <v>41534.0</v>
      </c>
      <c r="L53" s="54">
        <v>43458.0</v>
      </c>
      <c r="M53" s="52">
        <v>924.0</v>
      </c>
      <c r="N53" s="52">
        <v>325.0</v>
      </c>
      <c r="O53" s="52" t="s">
        <v>513</v>
      </c>
      <c r="P53" s="52" t="s">
        <v>514</v>
      </c>
      <c r="Q53" s="52" t="s">
        <v>247</v>
      </c>
      <c r="R53" s="52" t="s">
        <v>515</v>
      </c>
      <c r="S53" s="52" t="s">
        <v>516</v>
      </c>
      <c r="T53" s="52">
        <v>0.998467017</v>
      </c>
      <c r="U53" s="52">
        <v>1.3128065E7</v>
      </c>
      <c r="V53" s="52">
        <v>63.0</v>
      </c>
    </row>
    <row r="54">
      <c r="A54" s="52" t="s">
        <v>517</v>
      </c>
      <c r="B54" s="52" t="s">
        <v>518</v>
      </c>
      <c r="C54" s="55" t="s">
        <v>519</v>
      </c>
      <c r="D54" s="52">
        <v>3229.0</v>
      </c>
      <c r="E54" s="52">
        <v>343.0</v>
      </c>
      <c r="F54" s="52">
        <v>312403.0</v>
      </c>
      <c r="G54" s="52" t="s">
        <v>520</v>
      </c>
      <c r="H54" s="52">
        <v>15512.0</v>
      </c>
      <c r="I54" s="52">
        <v>142.0</v>
      </c>
      <c r="J54" s="52" t="s">
        <v>521</v>
      </c>
      <c r="K54" s="54">
        <v>40350.0</v>
      </c>
      <c r="L54" s="54">
        <v>43457.0</v>
      </c>
      <c r="M54" s="52">
        <v>180.0</v>
      </c>
      <c r="N54" s="52">
        <v>442.0</v>
      </c>
      <c r="O54" s="52" t="s">
        <v>522</v>
      </c>
      <c r="P54" s="52" t="s">
        <v>523</v>
      </c>
      <c r="Q54" s="52" t="s">
        <v>247</v>
      </c>
      <c r="R54" s="52" t="s">
        <v>524</v>
      </c>
      <c r="S54" s="52" t="s">
        <v>525</v>
      </c>
      <c r="T54" s="52">
        <v>0.556254455</v>
      </c>
      <c r="U54" s="52">
        <v>6.9473834E7</v>
      </c>
      <c r="V54" s="52">
        <v>102.0</v>
      </c>
    </row>
    <row r="55">
      <c r="A55" s="52" t="s">
        <v>526</v>
      </c>
      <c r="B55" s="52" t="s">
        <v>527</v>
      </c>
      <c r="C55" s="55" t="s">
        <v>528</v>
      </c>
      <c r="D55" s="52">
        <v>13225.0</v>
      </c>
      <c r="E55" s="52">
        <v>849.0</v>
      </c>
      <c r="F55" s="52">
        <v>72143.0</v>
      </c>
      <c r="G55" s="52" t="s">
        <v>529</v>
      </c>
      <c r="H55" s="52">
        <v>23680.0</v>
      </c>
      <c r="I55" s="52">
        <v>431.0</v>
      </c>
      <c r="J55" s="52" t="s">
        <v>530</v>
      </c>
      <c r="K55" s="54">
        <v>40308.0</v>
      </c>
      <c r="L55" s="54">
        <v>43450.0</v>
      </c>
      <c r="M55" s="52">
        <v>1082.0</v>
      </c>
      <c r="N55" s="52">
        <v>88.0</v>
      </c>
      <c r="O55" s="52" t="s">
        <v>531</v>
      </c>
      <c r="P55" s="52" t="s">
        <v>532</v>
      </c>
      <c r="Q55" s="52" t="s">
        <v>114</v>
      </c>
      <c r="R55" s="52" t="s">
        <v>533</v>
      </c>
      <c r="S55" s="52" t="s">
        <v>534</v>
      </c>
      <c r="T55" s="52">
        <v>0.703049636</v>
      </c>
      <c r="U55" s="52">
        <v>2289472.0</v>
      </c>
      <c r="V55" s="52">
        <v>103.0</v>
      </c>
    </row>
    <row r="56">
      <c r="A56" s="52" t="s">
        <v>535</v>
      </c>
      <c r="B56" s="52" t="s">
        <v>536</v>
      </c>
      <c r="C56" s="55" t="s">
        <v>537</v>
      </c>
      <c r="D56" s="52">
        <v>5711.0</v>
      </c>
      <c r="E56" s="52">
        <v>263.0</v>
      </c>
      <c r="F56" s="52">
        <v>4539.0</v>
      </c>
      <c r="G56" s="52" t="s">
        <v>538</v>
      </c>
      <c r="H56" s="52">
        <v>1836.0</v>
      </c>
      <c r="I56" s="52">
        <v>165.0</v>
      </c>
      <c r="J56" s="52" t="s">
        <v>539</v>
      </c>
      <c r="K56" s="54">
        <v>40468.0</v>
      </c>
      <c r="L56" s="54">
        <v>43447.0</v>
      </c>
      <c r="M56" s="52">
        <v>146.0</v>
      </c>
      <c r="N56" s="52">
        <v>30.0</v>
      </c>
      <c r="O56" s="52">
        <v>2.1</v>
      </c>
      <c r="P56" s="52" t="s">
        <v>540</v>
      </c>
      <c r="Q56" s="52" t="s">
        <v>114</v>
      </c>
      <c r="R56" s="52" t="s">
        <v>541</v>
      </c>
      <c r="S56" s="52" t="s">
        <v>542</v>
      </c>
      <c r="T56" s="52">
        <v>0.988475902</v>
      </c>
      <c r="U56" s="52">
        <v>684482.0</v>
      </c>
      <c r="V56" s="52">
        <v>97.0</v>
      </c>
    </row>
    <row r="57">
      <c r="A57" s="52" t="s">
        <v>543</v>
      </c>
      <c r="B57" s="52" t="s">
        <v>544</v>
      </c>
      <c r="C57" s="55" t="s">
        <v>545</v>
      </c>
      <c r="D57" s="52">
        <v>4025.0</v>
      </c>
      <c r="E57" s="52">
        <v>260.0</v>
      </c>
      <c r="F57" s="52">
        <v>4754.0</v>
      </c>
      <c r="G57" s="52" t="s">
        <v>546</v>
      </c>
      <c r="H57" s="52">
        <v>3382.0</v>
      </c>
      <c r="I57" s="52">
        <v>129.0</v>
      </c>
      <c r="J57" s="52" t="s">
        <v>547</v>
      </c>
      <c r="K57" s="54">
        <v>41802.0</v>
      </c>
      <c r="L57" s="54">
        <v>43455.0</v>
      </c>
      <c r="M57" s="52">
        <v>228.0</v>
      </c>
      <c r="N57" s="52">
        <v>29.0</v>
      </c>
      <c r="O57" s="52" t="s">
        <v>548</v>
      </c>
      <c r="P57" s="52" t="s">
        <v>549</v>
      </c>
      <c r="Q57" s="52" t="s">
        <v>114</v>
      </c>
      <c r="R57" s="52" t="s">
        <v>550</v>
      </c>
      <c r="S57" s="52" t="s">
        <v>551</v>
      </c>
      <c r="T57" s="52">
        <v>0.926112535</v>
      </c>
      <c r="U57" s="52">
        <v>735789.0</v>
      </c>
      <c r="V57" s="52">
        <v>54.0</v>
      </c>
    </row>
    <row r="58">
      <c r="A58" s="52" t="s">
        <v>552</v>
      </c>
      <c r="B58" s="52" t="s">
        <v>553</v>
      </c>
      <c r="C58" s="55" t="s">
        <v>554</v>
      </c>
      <c r="D58" s="52">
        <v>2692.0</v>
      </c>
      <c r="E58" s="52">
        <v>144.0</v>
      </c>
      <c r="F58" s="52">
        <v>3915.0</v>
      </c>
      <c r="G58" s="52" t="s">
        <v>129</v>
      </c>
      <c r="H58" s="52">
        <v>1970.0</v>
      </c>
      <c r="I58" s="52">
        <v>132.0</v>
      </c>
      <c r="J58" s="52" t="s">
        <v>555</v>
      </c>
      <c r="K58" s="54">
        <v>41176.0</v>
      </c>
      <c r="L58" s="54">
        <v>43454.0</v>
      </c>
      <c r="M58" s="52">
        <v>154.0</v>
      </c>
      <c r="N58" s="52">
        <v>30.0</v>
      </c>
      <c r="O58" s="52" t="s">
        <v>556</v>
      </c>
      <c r="P58" s="52" t="s">
        <v>557</v>
      </c>
      <c r="Q58" s="52" t="s">
        <v>247</v>
      </c>
      <c r="R58" s="52" t="s">
        <v>558</v>
      </c>
      <c r="S58" s="52" t="s">
        <v>559</v>
      </c>
      <c r="T58" s="52">
        <v>0.996076812</v>
      </c>
      <c r="U58" s="52">
        <v>1165377.0</v>
      </c>
      <c r="V58" s="52">
        <v>74.0</v>
      </c>
    </row>
    <row r="59">
      <c r="A59" s="52" t="s">
        <v>560</v>
      </c>
      <c r="B59" s="52" t="s">
        <v>561</v>
      </c>
      <c r="C59" s="55" t="s">
        <v>562</v>
      </c>
      <c r="D59" s="52">
        <v>8537.0</v>
      </c>
      <c r="E59" s="52">
        <v>548.0</v>
      </c>
      <c r="F59" s="52">
        <v>62066.0</v>
      </c>
      <c r="G59" s="52" t="s">
        <v>563</v>
      </c>
      <c r="H59" s="52">
        <v>11493.0</v>
      </c>
      <c r="I59" s="52">
        <v>332.0</v>
      </c>
      <c r="J59" s="52" t="s">
        <v>564</v>
      </c>
      <c r="K59" s="54">
        <v>40485.0</v>
      </c>
      <c r="L59" s="54">
        <v>43453.0</v>
      </c>
      <c r="M59" s="52">
        <v>676.0</v>
      </c>
      <c r="N59" s="52">
        <v>27.0</v>
      </c>
      <c r="O59" s="52" t="s">
        <v>565</v>
      </c>
      <c r="P59" s="52" t="s">
        <v>566</v>
      </c>
      <c r="Q59" s="52" t="s">
        <v>104</v>
      </c>
      <c r="R59" s="52" t="s">
        <v>567</v>
      </c>
      <c r="S59" s="52" t="s">
        <v>568</v>
      </c>
      <c r="T59" s="52">
        <v>0.915112909</v>
      </c>
      <c r="U59" s="52">
        <v>3980096.0</v>
      </c>
      <c r="V59" s="52">
        <v>97.0</v>
      </c>
    </row>
    <row r="60">
      <c r="A60" s="52" t="s">
        <v>569</v>
      </c>
      <c r="B60" s="52" t="s">
        <v>570</v>
      </c>
      <c r="C60" s="55" t="s">
        <v>571</v>
      </c>
      <c r="D60" s="52">
        <v>3632.0</v>
      </c>
      <c r="E60" s="52">
        <v>228.0</v>
      </c>
      <c r="F60" s="52">
        <v>4772.0</v>
      </c>
      <c r="G60" s="52" t="s">
        <v>129</v>
      </c>
      <c r="H60" s="52">
        <v>1474.0</v>
      </c>
      <c r="I60" s="52">
        <v>77.0</v>
      </c>
      <c r="J60" s="52" t="s">
        <v>572</v>
      </c>
      <c r="K60" s="54">
        <v>40770.0</v>
      </c>
      <c r="L60" s="54">
        <v>43455.0</v>
      </c>
      <c r="M60" s="52">
        <v>664.0</v>
      </c>
      <c r="N60" s="52">
        <v>35.0</v>
      </c>
      <c r="O60" s="52" t="s">
        <v>573</v>
      </c>
      <c r="P60" s="52" t="s">
        <v>574</v>
      </c>
      <c r="Q60" s="52" t="s">
        <v>114</v>
      </c>
      <c r="R60" s="52" t="s">
        <v>575</v>
      </c>
      <c r="S60" s="52" t="s">
        <v>576</v>
      </c>
      <c r="T60" s="52">
        <v>0.965360062</v>
      </c>
      <c r="U60" s="52">
        <v>619682.0</v>
      </c>
      <c r="V60" s="52">
        <v>88.0</v>
      </c>
    </row>
    <row r="61">
      <c r="A61" s="52" t="s">
        <v>577</v>
      </c>
      <c r="B61" s="52" t="s">
        <v>578</v>
      </c>
      <c r="C61" s="55" t="s">
        <v>579</v>
      </c>
      <c r="D61" s="52">
        <v>10661.0</v>
      </c>
      <c r="E61" s="52">
        <v>511.0</v>
      </c>
      <c r="F61" s="52">
        <v>9772.0</v>
      </c>
      <c r="G61" s="52" t="s">
        <v>580</v>
      </c>
      <c r="H61" s="52">
        <v>3722.0</v>
      </c>
      <c r="I61" s="52">
        <v>364.0</v>
      </c>
      <c r="J61" s="52" t="s">
        <v>581</v>
      </c>
      <c r="K61" s="54">
        <v>41172.0</v>
      </c>
      <c r="L61" s="54">
        <v>43454.0</v>
      </c>
      <c r="M61" s="52">
        <v>68.0</v>
      </c>
      <c r="N61" s="52">
        <v>44.0</v>
      </c>
      <c r="O61" s="52" t="s">
        <v>582</v>
      </c>
      <c r="P61" s="52" t="s">
        <v>583</v>
      </c>
      <c r="Q61" s="52" t="s">
        <v>247</v>
      </c>
      <c r="R61" s="52" t="s">
        <v>584</v>
      </c>
      <c r="S61" s="52" t="s">
        <v>585</v>
      </c>
      <c r="T61" s="52">
        <v>0.901384766</v>
      </c>
      <c r="U61" s="52">
        <v>2012803.0</v>
      </c>
      <c r="V61" s="52">
        <v>75.0</v>
      </c>
    </row>
    <row r="62">
      <c r="A62" s="52" t="s">
        <v>586</v>
      </c>
      <c r="B62" s="52" t="s">
        <v>587</v>
      </c>
      <c r="C62" s="55" t="s">
        <v>588</v>
      </c>
      <c r="D62" s="52">
        <v>8404.0</v>
      </c>
      <c r="E62" s="52">
        <v>532.0</v>
      </c>
      <c r="F62" s="52">
        <v>340073.0</v>
      </c>
      <c r="G62" s="52" t="s">
        <v>129</v>
      </c>
      <c r="H62" s="52">
        <v>28144.0</v>
      </c>
      <c r="I62" s="52">
        <v>433.0</v>
      </c>
      <c r="J62" s="52" t="s">
        <v>589</v>
      </c>
      <c r="K62" s="54">
        <v>40593.0</v>
      </c>
      <c r="L62" s="54">
        <v>43458.0</v>
      </c>
      <c r="M62" s="52">
        <v>1493.0</v>
      </c>
      <c r="N62" s="52">
        <v>76.0</v>
      </c>
      <c r="O62" s="52" t="s">
        <v>487</v>
      </c>
      <c r="P62" s="52" t="s">
        <v>590</v>
      </c>
      <c r="Q62" s="52" t="s">
        <v>74</v>
      </c>
      <c r="R62" s="52" t="s">
        <v>591</v>
      </c>
      <c r="S62" s="52" t="s">
        <v>592</v>
      </c>
      <c r="T62" s="52">
        <v>0.879203644</v>
      </c>
      <c r="U62" s="52">
        <v>6329067.0</v>
      </c>
      <c r="V62" s="52">
        <v>94.0</v>
      </c>
    </row>
    <row r="63">
      <c r="A63" s="52" t="s">
        <v>593</v>
      </c>
      <c r="B63" s="52" t="s">
        <v>594</v>
      </c>
      <c r="C63" s="55" t="s">
        <v>595</v>
      </c>
      <c r="D63" s="52">
        <v>2553.0</v>
      </c>
      <c r="E63" s="52">
        <v>142.0</v>
      </c>
      <c r="F63" s="52">
        <v>6430.0</v>
      </c>
      <c r="G63" s="52" t="s">
        <v>596</v>
      </c>
      <c r="H63" s="52">
        <v>3199.0</v>
      </c>
      <c r="I63" s="52">
        <v>257.0</v>
      </c>
      <c r="J63" s="52" t="s">
        <v>597</v>
      </c>
      <c r="K63" s="54">
        <v>40973.0</v>
      </c>
      <c r="L63" s="54">
        <v>43458.0</v>
      </c>
      <c r="M63" s="52">
        <v>320.0</v>
      </c>
      <c r="N63" s="52">
        <v>74.0</v>
      </c>
      <c r="O63" s="52" t="s">
        <v>598</v>
      </c>
      <c r="P63" s="52" t="s">
        <v>599</v>
      </c>
      <c r="Q63" s="52" t="s">
        <v>104</v>
      </c>
      <c r="R63" s="52" t="s">
        <v>600</v>
      </c>
      <c r="S63" s="52" t="s">
        <v>601</v>
      </c>
      <c r="T63" s="52">
        <v>0.99901428</v>
      </c>
      <c r="U63" s="52">
        <v>1201995.0</v>
      </c>
      <c r="V63" s="52">
        <v>81.0</v>
      </c>
    </row>
    <row r="64">
      <c r="A64" s="52" t="s">
        <v>602</v>
      </c>
      <c r="B64" s="52" t="s">
        <v>603</v>
      </c>
      <c r="C64" s="55" t="s">
        <v>604</v>
      </c>
      <c r="D64" s="52">
        <v>3656.0</v>
      </c>
      <c r="E64" s="52">
        <v>263.0</v>
      </c>
      <c r="F64" s="52">
        <v>49184.0</v>
      </c>
      <c r="G64" s="52" t="s">
        <v>129</v>
      </c>
      <c r="H64" s="52">
        <v>5201.0</v>
      </c>
      <c r="I64" s="52">
        <v>257.0</v>
      </c>
      <c r="J64" s="52" t="s">
        <v>605</v>
      </c>
      <c r="K64" s="54">
        <v>40327.0</v>
      </c>
      <c r="L64" s="54">
        <v>43447.0</v>
      </c>
      <c r="M64" s="52">
        <v>52.0</v>
      </c>
      <c r="N64" s="52">
        <v>126.0</v>
      </c>
      <c r="O64" s="52" t="s">
        <v>606</v>
      </c>
      <c r="P64" s="52" t="s">
        <v>607</v>
      </c>
      <c r="Q64" s="52" t="s">
        <v>608</v>
      </c>
      <c r="R64" s="52" t="s">
        <v>609</v>
      </c>
      <c r="S64" s="52" t="s">
        <v>610</v>
      </c>
      <c r="T64" s="52">
        <v>0.54438728</v>
      </c>
      <c r="U64" s="52">
        <v>707894.0</v>
      </c>
      <c r="V64" s="52">
        <v>102.0</v>
      </c>
    </row>
    <row r="65">
      <c r="A65" s="52" t="s">
        <v>611</v>
      </c>
      <c r="B65" s="52" t="s">
        <v>612</v>
      </c>
      <c r="C65" s="55" t="s">
        <v>613</v>
      </c>
      <c r="D65" s="52">
        <v>13531.0</v>
      </c>
      <c r="E65" s="52">
        <v>519.0</v>
      </c>
      <c r="F65" s="52">
        <v>45030.0</v>
      </c>
      <c r="G65" s="52" t="s">
        <v>614</v>
      </c>
      <c r="H65" s="52">
        <v>7984.0</v>
      </c>
      <c r="I65" s="52">
        <v>249.0</v>
      </c>
      <c r="J65" s="52" t="s">
        <v>615</v>
      </c>
      <c r="K65" s="54">
        <v>40225.0</v>
      </c>
      <c r="L65" s="54">
        <v>43453.0</v>
      </c>
      <c r="M65" s="52">
        <v>190.0</v>
      </c>
      <c r="N65" s="52">
        <v>52.0</v>
      </c>
      <c r="O65" s="52" t="s">
        <v>616</v>
      </c>
      <c r="P65" s="52" t="s">
        <v>617</v>
      </c>
      <c r="Q65" s="52" t="s">
        <v>104</v>
      </c>
      <c r="R65" s="52" t="s">
        <v>618</v>
      </c>
      <c r="S65" s="52" t="s">
        <v>619</v>
      </c>
      <c r="T65" s="52">
        <v>0.850290398</v>
      </c>
      <c r="U65" s="52">
        <v>1812002.0</v>
      </c>
      <c r="V65" s="52">
        <v>106.0</v>
      </c>
    </row>
    <row r="66">
      <c r="A66" s="52" t="s">
        <v>620</v>
      </c>
      <c r="B66" s="52" t="s">
        <v>621</v>
      </c>
      <c r="C66" s="55" t="s">
        <v>622</v>
      </c>
      <c r="D66" s="52">
        <v>2605.0</v>
      </c>
      <c r="E66" s="52">
        <v>257.0</v>
      </c>
      <c r="F66" s="52">
        <v>13354.0</v>
      </c>
      <c r="G66" s="52" t="s">
        <v>129</v>
      </c>
      <c r="H66" s="52">
        <v>4181.0</v>
      </c>
      <c r="I66" s="52">
        <v>132.0</v>
      </c>
      <c r="J66" s="52" t="s">
        <v>623</v>
      </c>
      <c r="K66" s="54">
        <v>39828.0</v>
      </c>
      <c r="L66" s="54">
        <v>43458.0</v>
      </c>
      <c r="M66" s="52">
        <v>7.0</v>
      </c>
      <c r="N66" s="52">
        <v>117.0</v>
      </c>
      <c r="O66" s="52" t="s">
        <v>624</v>
      </c>
      <c r="P66" s="52" t="s">
        <v>625</v>
      </c>
      <c r="Q66" s="52" t="s">
        <v>247</v>
      </c>
      <c r="R66" s="52" t="s">
        <v>626</v>
      </c>
      <c r="S66" s="52" t="s">
        <v>627</v>
      </c>
      <c r="T66" s="52">
        <v>0.908537703</v>
      </c>
      <c r="U66" s="52">
        <v>2259526.0</v>
      </c>
      <c r="V66" s="52">
        <v>119.0</v>
      </c>
    </row>
    <row r="67">
      <c r="A67" s="52" t="s">
        <v>628</v>
      </c>
      <c r="B67" s="52" t="s">
        <v>629</v>
      </c>
      <c r="C67" s="55" t="s">
        <v>630</v>
      </c>
      <c r="D67" s="52">
        <v>5564.0</v>
      </c>
      <c r="E67" s="52">
        <v>237.0</v>
      </c>
      <c r="F67" s="52">
        <v>21808.0</v>
      </c>
      <c r="G67" s="52" t="s">
        <v>631</v>
      </c>
      <c r="H67" s="52">
        <v>7715.0</v>
      </c>
      <c r="I67" s="52">
        <v>104.0</v>
      </c>
      <c r="J67" s="52" t="s">
        <v>632</v>
      </c>
      <c r="K67" s="54">
        <v>40170.0</v>
      </c>
      <c r="L67" s="54">
        <v>43457.0</v>
      </c>
      <c r="M67" s="52">
        <v>208.0</v>
      </c>
      <c r="N67" s="52">
        <v>60.0</v>
      </c>
      <c r="O67" s="52" t="s">
        <v>633</v>
      </c>
      <c r="P67" s="52" t="s">
        <v>634</v>
      </c>
      <c r="Q67" s="52" t="s">
        <v>247</v>
      </c>
      <c r="R67" s="52" t="s">
        <v>635</v>
      </c>
      <c r="S67" s="52" t="s">
        <v>636</v>
      </c>
      <c r="T67" s="52">
        <v>0.997971557</v>
      </c>
      <c r="U67" s="52">
        <v>1251620.0</v>
      </c>
      <c r="V67" s="52">
        <v>108.0</v>
      </c>
    </row>
    <row r="68">
      <c r="A68" s="52" t="s">
        <v>637</v>
      </c>
      <c r="B68" s="52" t="s">
        <v>638</v>
      </c>
      <c r="C68" s="55" t="s">
        <v>639</v>
      </c>
      <c r="D68" s="52">
        <v>2345.0</v>
      </c>
      <c r="E68" s="52">
        <v>114.0</v>
      </c>
      <c r="F68" s="52">
        <v>14678.0</v>
      </c>
      <c r="G68" s="52" t="s">
        <v>129</v>
      </c>
      <c r="H68" s="52">
        <v>7294.0</v>
      </c>
      <c r="I68" s="52">
        <v>81.0</v>
      </c>
      <c r="J68" s="52" t="s">
        <v>640</v>
      </c>
      <c r="K68" s="54">
        <v>40464.0</v>
      </c>
      <c r="L68" s="54">
        <v>43456.0</v>
      </c>
      <c r="M68" s="52">
        <v>186.0</v>
      </c>
      <c r="N68" s="52">
        <v>52.0</v>
      </c>
      <c r="O68" s="52" t="s">
        <v>641</v>
      </c>
      <c r="P68" s="52" t="s">
        <v>642</v>
      </c>
      <c r="Q68" s="52" t="s">
        <v>114</v>
      </c>
      <c r="R68" s="52" t="s">
        <v>643</v>
      </c>
      <c r="S68" s="52" t="s">
        <v>644</v>
      </c>
      <c r="T68" s="52">
        <v>0.9974835</v>
      </c>
      <c r="U68" s="52">
        <v>2342986.0</v>
      </c>
      <c r="V68" s="52">
        <v>98.0</v>
      </c>
    </row>
    <row r="69">
      <c r="A69" s="52" t="s">
        <v>645</v>
      </c>
      <c r="B69" s="52" t="s">
        <v>646</v>
      </c>
      <c r="C69" s="55" t="s">
        <v>647</v>
      </c>
      <c r="D69" s="52">
        <v>1628.0</v>
      </c>
      <c r="E69" s="52">
        <v>210.0</v>
      </c>
      <c r="F69" s="52">
        <v>41195.0</v>
      </c>
      <c r="G69" s="52" t="s">
        <v>129</v>
      </c>
      <c r="H69" s="52">
        <v>3148.0</v>
      </c>
      <c r="I69" s="52">
        <v>65.0</v>
      </c>
      <c r="J69" s="52" t="s">
        <v>648</v>
      </c>
      <c r="K69" s="54">
        <v>41901.0</v>
      </c>
      <c r="L69" s="54">
        <v>43455.0</v>
      </c>
      <c r="M69" s="52">
        <v>72.0</v>
      </c>
      <c r="N69" s="52">
        <v>48.0</v>
      </c>
      <c r="O69" s="52" t="s">
        <v>649</v>
      </c>
      <c r="P69" s="52" t="s">
        <v>650</v>
      </c>
      <c r="Q69" s="52" t="s">
        <v>114</v>
      </c>
      <c r="R69" s="52" t="s">
        <v>651</v>
      </c>
      <c r="S69" s="52" t="s">
        <v>652</v>
      </c>
      <c r="T69" s="52">
        <v>0.893400268</v>
      </c>
      <c r="U69" s="52">
        <v>1420510.0</v>
      </c>
      <c r="V69" s="52">
        <v>51.0</v>
      </c>
    </row>
    <row r="70">
      <c r="A70" s="52" t="s">
        <v>653</v>
      </c>
      <c r="B70" s="52" t="s">
        <v>654</v>
      </c>
      <c r="C70" s="55" t="s">
        <v>655</v>
      </c>
      <c r="D70" s="52">
        <v>5153.0</v>
      </c>
      <c r="E70" s="52">
        <v>159.0</v>
      </c>
      <c r="F70" s="52">
        <v>30253.0</v>
      </c>
      <c r="G70" s="52" t="s">
        <v>656</v>
      </c>
      <c r="H70" s="52">
        <v>7245.0</v>
      </c>
      <c r="I70" s="52">
        <v>218.0</v>
      </c>
      <c r="J70" s="52" t="s">
        <v>657</v>
      </c>
      <c r="K70" s="54">
        <v>41250.0</v>
      </c>
      <c r="L70" s="54">
        <v>43458.0</v>
      </c>
      <c r="M70" s="52">
        <v>945.0</v>
      </c>
      <c r="N70" s="52">
        <v>32.0</v>
      </c>
      <c r="O70" s="52" t="s">
        <v>658</v>
      </c>
      <c r="P70" s="52" t="s">
        <v>659</v>
      </c>
      <c r="Q70" s="52" t="s">
        <v>114</v>
      </c>
      <c r="R70" s="52" t="s">
        <v>660</v>
      </c>
      <c r="S70" s="52" t="s">
        <v>661</v>
      </c>
      <c r="T70" s="52">
        <v>0.98919671</v>
      </c>
      <c r="U70" s="52">
        <v>3305383.0</v>
      </c>
      <c r="V70" s="52">
        <v>72.0</v>
      </c>
    </row>
    <row r="71">
      <c r="A71" s="52" t="s">
        <v>662</v>
      </c>
      <c r="B71" s="52" t="s">
        <v>663</v>
      </c>
      <c r="C71" s="55" t="s">
        <v>664</v>
      </c>
      <c r="D71" s="52">
        <v>5014.0</v>
      </c>
      <c r="E71" s="52">
        <v>259.0</v>
      </c>
      <c r="F71" s="52">
        <v>13168.0</v>
      </c>
      <c r="G71" s="52" t="s">
        <v>665</v>
      </c>
      <c r="H71" s="52">
        <v>5642.0</v>
      </c>
      <c r="I71" s="52">
        <v>271.0</v>
      </c>
      <c r="J71" s="52" t="s">
        <v>666</v>
      </c>
      <c r="K71" s="54">
        <v>40427.0</v>
      </c>
      <c r="L71" s="54">
        <v>43458.0</v>
      </c>
      <c r="M71" s="52">
        <v>225.0</v>
      </c>
      <c r="N71" s="52">
        <v>52.0</v>
      </c>
      <c r="O71" s="52" t="s">
        <v>667</v>
      </c>
      <c r="P71" s="52" t="s">
        <v>668</v>
      </c>
      <c r="Q71" s="52" t="s">
        <v>114</v>
      </c>
      <c r="R71" s="52" t="s">
        <v>669</v>
      </c>
      <c r="S71" s="52" t="s">
        <v>670</v>
      </c>
      <c r="T71" s="52">
        <v>0.997484469</v>
      </c>
      <c r="U71" s="52">
        <v>4129467.0</v>
      </c>
      <c r="V71" s="52">
        <v>99.0</v>
      </c>
    </row>
    <row r="72">
      <c r="A72" s="52" t="s">
        <v>671</v>
      </c>
      <c r="B72" s="52" t="s">
        <v>672</v>
      </c>
      <c r="C72" s="55" t="s">
        <v>673</v>
      </c>
      <c r="D72" s="52">
        <v>4913.0</v>
      </c>
      <c r="E72" s="52">
        <v>327.0</v>
      </c>
      <c r="F72" s="52">
        <v>7246.0</v>
      </c>
      <c r="G72" s="52" t="s">
        <v>129</v>
      </c>
      <c r="H72" s="52">
        <v>3230.0</v>
      </c>
      <c r="I72" s="52">
        <v>106.0</v>
      </c>
      <c r="J72" s="52" t="s">
        <v>674</v>
      </c>
      <c r="K72" s="54">
        <v>39846.0</v>
      </c>
      <c r="L72" s="54">
        <v>43457.0</v>
      </c>
      <c r="M72" s="52">
        <v>532.0</v>
      </c>
      <c r="N72" s="52">
        <v>155.0</v>
      </c>
      <c r="O72" s="52" t="s">
        <v>675</v>
      </c>
      <c r="P72" s="52" t="s">
        <v>676</v>
      </c>
      <c r="Q72" s="52" t="s">
        <v>470</v>
      </c>
      <c r="R72" s="52" t="s">
        <v>677</v>
      </c>
      <c r="S72" s="52" t="s">
        <v>678</v>
      </c>
      <c r="T72" s="52">
        <v>1.0</v>
      </c>
      <c r="U72" s="52">
        <v>905481.0</v>
      </c>
      <c r="V72" s="52">
        <v>118.0</v>
      </c>
    </row>
    <row r="73">
      <c r="A73" s="52" t="s">
        <v>679</v>
      </c>
      <c r="B73" s="52" t="s">
        <v>680</v>
      </c>
      <c r="C73" s="55" t="s">
        <v>681</v>
      </c>
      <c r="D73" s="52">
        <v>2379.0</v>
      </c>
      <c r="E73" s="52">
        <v>467.0</v>
      </c>
      <c r="F73" s="52">
        <v>930490.0</v>
      </c>
      <c r="G73" s="52" t="s">
        <v>682</v>
      </c>
      <c r="H73" s="52">
        <v>53102.0</v>
      </c>
      <c r="I73" s="52">
        <v>322.0</v>
      </c>
      <c r="J73" s="52" t="s">
        <v>683</v>
      </c>
      <c r="K73" s="54">
        <v>40381.0</v>
      </c>
      <c r="L73" s="54">
        <v>43459.0</v>
      </c>
      <c r="M73" s="52">
        <v>0.0</v>
      </c>
      <c r="N73" s="52">
        <v>209.0</v>
      </c>
      <c r="O73" s="52" t="s">
        <v>684</v>
      </c>
      <c r="P73" s="52" t="s">
        <v>685</v>
      </c>
      <c r="Q73" s="52" t="s">
        <v>247</v>
      </c>
      <c r="R73" s="52" t="s">
        <v>686</v>
      </c>
      <c r="S73" s="52" t="s">
        <v>687</v>
      </c>
      <c r="T73" s="52">
        <v>0.979859649</v>
      </c>
      <c r="U73" s="52">
        <v>2.277161E7</v>
      </c>
      <c r="V73" s="52">
        <v>101.0</v>
      </c>
    </row>
    <row r="74">
      <c r="A74" s="52" t="s">
        <v>688</v>
      </c>
      <c r="B74" s="52" t="s">
        <v>689</v>
      </c>
      <c r="C74" s="55" t="s">
        <v>690</v>
      </c>
      <c r="D74" s="52">
        <v>3688.0</v>
      </c>
      <c r="E74" s="52">
        <v>194.0</v>
      </c>
      <c r="F74" s="52">
        <v>48888.0</v>
      </c>
      <c r="G74" s="52" t="s">
        <v>129</v>
      </c>
      <c r="H74" s="52">
        <v>12788.0</v>
      </c>
      <c r="I74" s="52">
        <v>107.0</v>
      </c>
      <c r="J74" s="52" t="s">
        <v>691</v>
      </c>
      <c r="K74" s="54">
        <v>40976.0</v>
      </c>
      <c r="L74" s="54">
        <v>43458.0</v>
      </c>
      <c r="M74" s="52">
        <v>654.0</v>
      </c>
      <c r="N74" s="52">
        <v>120.0</v>
      </c>
      <c r="O74" s="52" t="s">
        <v>692</v>
      </c>
      <c r="P74" s="52" t="s">
        <v>693</v>
      </c>
      <c r="Q74" s="52" t="s">
        <v>608</v>
      </c>
      <c r="R74" s="52" t="s">
        <v>694</v>
      </c>
      <c r="S74" s="52" t="s">
        <v>695</v>
      </c>
      <c r="T74" s="52">
        <v>0.921004043</v>
      </c>
      <c r="U74" s="52">
        <v>5866653.0</v>
      </c>
      <c r="V74" s="52">
        <v>81.0</v>
      </c>
    </row>
    <row r="75">
      <c r="A75" s="52" t="s">
        <v>696</v>
      </c>
      <c r="B75" s="52" t="s">
        <v>697</v>
      </c>
      <c r="C75" s="55" t="s">
        <v>698</v>
      </c>
      <c r="D75" s="52">
        <v>5769.0</v>
      </c>
      <c r="E75" s="52">
        <v>640.0</v>
      </c>
      <c r="F75" s="52">
        <v>153009.0</v>
      </c>
      <c r="G75" s="52" t="s">
        <v>699</v>
      </c>
      <c r="H75" s="52">
        <v>6622.0</v>
      </c>
      <c r="I75" s="52">
        <v>85.0</v>
      </c>
      <c r="J75" s="52" t="s">
        <v>700</v>
      </c>
      <c r="K75" s="54">
        <v>41369.0</v>
      </c>
      <c r="L75" s="54">
        <v>43445.0</v>
      </c>
      <c r="M75" s="52">
        <v>442.0</v>
      </c>
      <c r="N75" s="52">
        <v>70.0</v>
      </c>
      <c r="O75" s="52" t="s">
        <v>701</v>
      </c>
      <c r="P75" s="52" t="s">
        <v>702</v>
      </c>
      <c r="Q75" s="52" t="s">
        <v>384</v>
      </c>
      <c r="R75" s="52" t="s">
        <v>703</v>
      </c>
      <c r="S75" s="52" t="s">
        <v>704</v>
      </c>
      <c r="T75" s="52">
        <v>0.975087713</v>
      </c>
      <c r="U75" s="52">
        <v>4279972.0</v>
      </c>
      <c r="V75" s="52">
        <v>68.0</v>
      </c>
    </row>
    <row r="76">
      <c r="A76" s="52" t="s">
        <v>705</v>
      </c>
      <c r="B76" s="52" t="s">
        <v>706</v>
      </c>
      <c r="C76" s="55" t="s">
        <v>707</v>
      </c>
      <c r="D76" s="52">
        <v>3169.0</v>
      </c>
      <c r="E76" s="52">
        <v>353.0</v>
      </c>
      <c r="F76" s="52">
        <v>36524.0</v>
      </c>
      <c r="G76" s="52" t="s">
        <v>129</v>
      </c>
      <c r="H76" s="52">
        <v>5558.0</v>
      </c>
      <c r="I76" s="52">
        <v>117.0</v>
      </c>
      <c r="J76" s="52" t="s">
        <v>708</v>
      </c>
      <c r="K76" s="54">
        <v>41274.0</v>
      </c>
      <c r="L76" s="54">
        <v>43458.0</v>
      </c>
      <c r="M76" s="52">
        <v>326.0</v>
      </c>
      <c r="N76" s="52">
        <v>81.0</v>
      </c>
      <c r="O76" s="52" t="s">
        <v>709</v>
      </c>
      <c r="P76" s="52" t="s">
        <v>710</v>
      </c>
      <c r="Q76" s="52" t="s">
        <v>384</v>
      </c>
      <c r="R76" s="52" t="s">
        <v>711</v>
      </c>
      <c r="S76" s="52" t="s">
        <v>712</v>
      </c>
      <c r="T76" s="52">
        <v>0.47259447</v>
      </c>
      <c r="U76" s="52">
        <v>1946110.0</v>
      </c>
      <c r="V76" s="52">
        <v>71.0</v>
      </c>
    </row>
    <row r="77">
      <c r="A77" s="52" t="s">
        <v>713</v>
      </c>
      <c r="B77" s="52" t="s">
        <v>714</v>
      </c>
      <c r="C77" s="55" t="s">
        <v>715</v>
      </c>
      <c r="D77" s="52">
        <v>1567.0</v>
      </c>
      <c r="E77" s="52">
        <v>156.0</v>
      </c>
      <c r="F77" s="52">
        <v>74658.0</v>
      </c>
      <c r="G77" s="52" t="s">
        <v>716</v>
      </c>
      <c r="H77" s="52">
        <v>10032.0</v>
      </c>
      <c r="I77" s="52">
        <v>69.0</v>
      </c>
      <c r="J77" s="52" t="s">
        <v>717</v>
      </c>
      <c r="K77" s="54">
        <v>41327.0</v>
      </c>
      <c r="L77" s="54">
        <v>43458.0</v>
      </c>
      <c r="M77" s="52">
        <v>242.0</v>
      </c>
      <c r="N77" s="52">
        <v>42.0</v>
      </c>
      <c r="O77" s="52" t="s">
        <v>718</v>
      </c>
      <c r="P77" s="52" t="s">
        <v>719</v>
      </c>
      <c r="Q77" s="52" t="s">
        <v>114</v>
      </c>
      <c r="R77" s="52" t="s">
        <v>720</v>
      </c>
      <c r="S77" s="52" t="s">
        <v>721</v>
      </c>
      <c r="T77" s="52">
        <v>0.973675369</v>
      </c>
      <c r="U77" s="52">
        <v>6082995.0</v>
      </c>
      <c r="V77" s="52">
        <v>70.0</v>
      </c>
    </row>
    <row r="78">
      <c r="A78" s="52" t="s">
        <v>722</v>
      </c>
      <c r="B78" s="52" t="s">
        <v>723</v>
      </c>
      <c r="C78" s="55" t="s">
        <v>724</v>
      </c>
      <c r="D78" s="52">
        <v>17495.0</v>
      </c>
      <c r="E78" s="52">
        <v>961.0</v>
      </c>
      <c r="F78" s="52">
        <v>140964.0</v>
      </c>
      <c r="G78" s="52" t="s">
        <v>725</v>
      </c>
      <c r="H78" s="52">
        <v>18495.0</v>
      </c>
      <c r="I78" s="52">
        <v>405.0</v>
      </c>
      <c r="J78" s="52" t="s">
        <v>726</v>
      </c>
      <c r="K78" s="54">
        <v>40414.0</v>
      </c>
      <c r="L78" s="54">
        <v>43459.0</v>
      </c>
      <c r="M78" s="52">
        <v>2823.0</v>
      </c>
      <c r="N78" s="52">
        <v>97.0</v>
      </c>
      <c r="O78" s="52" t="s">
        <v>727</v>
      </c>
      <c r="P78" s="52" t="s">
        <v>728</v>
      </c>
      <c r="Q78" s="52" t="s">
        <v>94</v>
      </c>
      <c r="R78" s="52" t="s">
        <v>729</v>
      </c>
      <c r="S78" s="52" t="s">
        <v>730</v>
      </c>
      <c r="T78" s="52">
        <v>0.934207292</v>
      </c>
      <c r="U78" s="52">
        <v>1.4617222E7</v>
      </c>
      <c r="V78" s="52">
        <v>100.0</v>
      </c>
    </row>
    <row r="79">
      <c r="A79" s="52" t="s">
        <v>731</v>
      </c>
      <c r="B79" s="52" t="s">
        <v>732</v>
      </c>
      <c r="C79" s="55" t="s">
        <v>733</v>
      </c>
      <c r="D79" s="52">
        <v>5924.0</v>
      </c>
      <c r="E79" s="52">
        <v>201.0</v>
      </c>
      <c r="F79" s="52">
        <v>11814.0</v>
      </c>
      <c r="G79" s="52" t="s">
        <v>734</v>
      </c>
      <c r="H79" s="52">
        <v>3842.0</v>
      </c>
      <c r="I79" s="52">
        <v>102.0</v>
      </c>
      <c r="J79" s="52" t="s">
        <v>735</v>
      </c>
      <c r="K79" s="54">
        <v>40462.0</v>
      </c>
      <c r="L79" s="54">
        <v>43454.0</v>
      </c>
      <c r="M79" s="52">
        <v>2.0</v>
      </c>
      <c r="N79" s="52">
        <v>146.0</v>
      </c>
      <c r="O79" s="52" t="s">
        <v>736</v>
      </c>
      <c r="P79" s="52" t="s">
        <v>737</v>
      </c>
      <c r="Q79" s="52" t="s">
        <v>104</v>
      </c>
      <c r="R79" s="52" t="s">
        <v>738</v>
      </c>
      <c r="S79" s="52" t="s">
        <v>739</v>
      </c>
      <c r="T79" s="52">
        <v>0.960445393</v>
      </c>
      <c r="U79" s="52">
        <v>1247778.0</v>
      </c>
      <c r="V79" s="52">
        <v>98.0</v>
      </c>
    </row>
    <row r="80">
      <c r="A80" s="52" t="s">
        <v>740</v>
      </c>
      <c r="B80" s="52" t="s">
        <v>741</v>
      </c>
      <c r="C80" s="55" t="s">
        <v>742</v>
      </c>
      <c r="D80" s="52">
        <v>8423.0</v>
      </c>
      <c r="E80" s="52">
        <v>365.0</v>
      </c>
      <c r="F80" s="52">
        <v>5643.0</v>
      </c>
      <c r="G80" s="52" t="s">
        <v>743</v>
      </c>
      <c r="H80" s="52">
        <v>3057.0</v>
      </c>
      <c r="I80" s="52">
        <v>335.0</v>
      </c>
      <c r="J80" s="52" t="s">
        <v>744</v>
      </c>
      <c r="K80" s="54">
        <v>40467.0</v>
      </c>
      <c r="L80" s="54">
        <v>43455.0</v>
      </c>
      <c r="M80" s="52">
        <v>142.0</v>
      </c>
      <c r="N80" s="52">
        <v>46.0</v>
      </c>
      <c r="O80" s="52" t="s">
        <v>745</v>
      </c>
      <c r="P80" s="52" t="s">
        <v>746</v>
      </c>
      <c r="Q80" s="52" t="s">
        <v>384</v>
      </c>
      <c r="R80" s="52" t="s">
        <v>747</v>
      </c>
      <c r="S80" s="52" t="s">
        <v>748</v>
      </c>
      <c r="T80" s="52">
        <v>0.906194756</v>
      </c>
      <c r="U80" s="52">
        <v>490564.0</v>
      </c>
      <c r="V80" s="52">
        <v>98.0</v>
      </c>
    </row>
    <row r="81">
      <c r="A81" s="52" t="s">
        <v>749</v>
      </c>
      <c r="B81" s="52" t="s">
        <v>750</v>
      </c>
      <c r="C81" s="55" t="s">
        <v>751</v>
      </c>
      <c r="D81" s="52">
        <v>1585.0</v>
      </c>
      <c r="E81" s="52">
        <v>117.0</v>
      </c>
      <c r="F81" s="52">
        <v>29102.0</v>
      </c>
      <c r="G81" s="52" t="s">
        <v>752</v>
      </c>
      <c r="H81" s="52">
        <v>5788.0</v>
      </c>
      <c r="I81" s="52">
        <v>62.0</v>
      </c>
      <c r="J81" s="52" t="s">
        <v>753</v>
      </c>
      <c r="K81" s="54">
        <v>40771.0</v>
      </c>
      <c r="L81" s="54">
        <v>43455.0</v>
      </c>
      <c r="M81" s="52">
        <v>0.0</v>
      </c>
      <c r="N81" s="52">
        <v>63.0</v>
      </c>
      <c r="O81" s="52" t="s">
        <v>754</v>
      </c>
      <c r="P81" s="52" t="s">
        <v>755</v>
      </c>
      <c r="Q81" s="52" t="s">
        <v>176</v>
      </c>
      <c r="R81" s="52" t="s">
        <v>756</v>
      </c>
      <c r="S81" s="52" t="s">
        <v>757</v>
      </c>
      <c r="T81" s="52">
        <v>0.994886583</v>
      </c>
      <c r="U81" s="52">
        <v>2462012.0</v>
      </c>
      <c r="V81" s="52">
        <v>88.0</v>
      </c>
    </row>
    <row r="82">
      <c r="A82" s="52" t="s">
        <v>758</v>
      </c>
      <c r="B82" s="52" t="s">
        <v>759</v>
      </c>
      <c r="C82" s="55" t="s">
        <v>760</v>
      </c>
      <c r="D82" s="52">
        <v>1821.0</v>
      </c>
      <c r="E82" s="52">
        <v>104.0</v>
      </c>
      <c r="F82" s="52">
        <v>6825.0</v>
      </c>
      <c r="G82" s="52" t="s">
        <v>761</v>
      </c>
      <c r="H82" s="52">
        <v>2091.0</v>
      </c>
      <c r="I82" s="52">
        <v>125.0</v>
      </c>
      <c r="J82" s="52" t="s">
        <v>762</v>
      </c>
      <c r="K82" s="54">
        <v>40105.0</v>
      </c>
      <c r="L82" s="54">
        <v>43453.0</v>
      </c>
      <c r="M82" s="52">
        <v>18.0</v>
      </c>
      <c r="N82" s="52">
        <v>44.0</v>
      </c>
      <c r="O82" s="52" t="s">
        <v>556</v>
      </c>
      <c r="P82" s="52" t="s">
        <v>763</v>
      </c>
      <c r="Q82" s="52" t="s">
        <v>94</v>
      </c>
      <c r="R82" s="52" t="s">
        <v>764</v>
      </c>
      <c r="S82" s="52" t="s">
        <v>765</v>
      </c>
      <c r="T82" s="52">
        <v>0.998982143</v>
      </c>
      <c r="U82" s="52">
        <v>1261171.0</v>
      </c>
      <c r="V82" s="52">
        <v>110.0</v>
      </c>
    </row>
    <row r="83">
      <c r="A83" s="52" t="s">
        <v>766</v>
      </c>
      <c r="B83" s="52" t="s">
        <v>767</v>
      </c>
      <c r="C83" s="55" t="s">
        <v>768</v>
      </c>
      <c r="D83" s="52">
        <v>5640.0</v>
      </c>
      <c r="E83" s="52">
        <v>209.0</v>
      </c>
      <c r="F83" s="52">
        <v>29914.0</v>
      </c>
      <c r="G83" s="52" t="s">
        <v>769</v>
      </c>
      <c r="H83" s="52">
        <v>7914.0</v>
      </c>
      <c r="I83" s="52">
        <v>236.0</v>
      </c>
      <c r="J83" s="52" t="s">
        <v>770</v>
      </c>
      <c r="K83" s="54">
        <v>41114.0</v>
      </c>
      <c r="L83" s="54">
        <v>43459.0</v>
      </c>
      <c r="M83" s="52">
        <v>234.0</v>
      </c>
      <c r="N83" s="52">
        <v>54.0</v>
      </c>
      <c r="O83" s="52" t="s">
        <v>771</v>
      </c>
      <c r="P83" s="52" t="s">
        <v>772</v>
      </c>
      <c r="Q83" s="52" t="s">
        <v>114</v>
      </c>
      <c r="R83" s="52" t="s">
        <v>773</v>
      </c>
      <c r="S83" s="52" t="s">
        <v>774</v>
      </c>
      <c r="T83" s="52">
        <v>0.598037632</v>
      </c>
      <c r="U83" s="52">
        <v>1566492.0</v>
      </c>
      <c r="V83" s="52">
        <v>77.0</v>
      </c>
    </row>
    <row r="84">
      <c r="A84" s="52" t="s">
        <v>775</v>
      </c>
      <c r="B84" s="52" t="s">
        <v>776</v>
      </c>
      <c r="C84" s="55" t="s">
        <v>777</v>
      </c>
      <c r="D84" s="52">
        <v>5068.0</v>
      </c>
      <c r="E84" s="52">
        <v>276.0</v>
      </c>
      <c r="F84" s="52">
        <v>52604.0</v>
      </c>
      <c r="G84" s="52" t="s">
        <v>778</v>
      </c>
      <c r="H84" s="52">
        <v>6776.0</v>
      </c>
      <c r="I84" s="52">
        <v>385.0</v>
      </c>
      <c r="J84" s="52" t="s">
        <v>779</v>
      </c>
      <c r="K84" s="54">
        <v>40608.0</v>
      </c>
      <c r="L84" s="54">
        <v>43458.0</v>
      </c>
      <c r="M84" s="52">
        <v>600.0</v>
      </c>
      <c r="N84" s="52">
        <v>64.0</v>
      </c>
      <c r="O84" s="52">
        <v>18.1</v>
      </c>
      <c r="P84" s="52" t="s">
        <v>780</v>
      </c>
      <c r="Q84" s="52" t="s">
        <v>104</v>
      </c>
      <c r="R84" s="52" t="s">
        <v>781</v>
      </c>
      <c r="S84" s="52" t="s">
        <v>782</v>
      </c>
      <c r="T84" s="52">
        <v>0.995844115</v>
      </c>
      <c r="U84" s="52">
        <v>1224951.0</v>
      </c>
      <c r="V84" s="52">
        <v>93.0</v>
      </c>
    </row>
    <row r="85">
      <c r="A85" s="52" t="s">
        <v>783</v>
      </c>
      <c r="C85" s="55" t="s">
        <v>784</v>
      </c>
      <c r="D85" s="52">
        <v>2221.0</v>
      </c>
      <c r="E85" s="52">
        <v>292.0</v>
      </c>
      <c r="F85" s="52">
        <v>460787.0</v>
      </c>
      <c r="G85" s="52" t="s">
        <v>129</v>
      </c>
      <c r="H85" s="52">
        <v>25472.0</v>
      </c>
      <c r="I85" s="52">
        <v>171.0</v>
      </c>
      <c r="J85" s="52" t="s">
        <v>785</v>
      </c>
      <c r="K85" s="54">
        <v>39742.0</v>
      </c>
      <c r="L85" s="54">
        <v>43348.0</v>
      </c>
      <c r="M85" s="52">
        <v>0.0</v>
      </c>
      <c r="N85" s="52">
        <v>698.0</v>
      </c>
      <c r="O85" s="52" t="s">
        <v>786</v>
      </c>
      <c r="P85" s="52" t="s">
        <v>787</v>
      </c>
      <c r="Q85" s="52" t="s">
        <v>74</v>
      </c>
      <c r="R85" s="52" t="s">
        <v>788</v>
      </c>
      <c r="S85" s="52" t="s">
        <v>789</v>
      </c>
      <c r="T85" s="52">
        <v>0.518350488</v>
      </c>
      <c r="U85" s="52">
        <v>2280286.0</v>
      </c>
      <c r="V85" s="52">
        <v>118.0</v>
      </c>
    </row>
    <row r="86">
      <c r="A86" s="52" t="s">
        <v>790</v>
      </c>
      <c r="B86" s="52" t="s">
        <v>791</v>
      </c>
      <c r="C86" s="55" t="s">
        <v>792</v>
      </c>
      <c r="D86" s="52">
        <v>1565.0</v>
      </c>
      <c r="E86" s="52">
        <v>121.0</v>
      </c>
      <c r="F86" s="52">
        <v>547033.0</v>
      </c>
      <c r="G86" s="52" t="s">
        <v>129</v>
      </c>
      <c r="H86" s="52">
        <v>4153.0</v>
      </c>
      <c r="I86" s="52">
        <v>154.0</v>
      </c>
      <c r="J86" s="52" t="s">
        <v>793</v>
      </c>
      <c r="K86" s="54">
        <v>40403.0</v>
      </c>
      <c r="L86" s="54">
        <v>43453.0</v>
      </c>
      <c r="M86" s="52">
        <v>81.0</v>
      </c>
      <c r="N86" s="52">
        <v>79.0</v>
      </c>
      <c r="O86" s="52" t="s">
        <v>794</v>
      </c>
      <c r="P86" s="52" t="s">
        <v>795</v>
      </c>
      <c r="Q86" s="52" t="s">
        <v>114</v>
      </c>
      <c r="R86" s="52" t="s">
        <v>796</v>
      </c>
      <c r="S86" s="52" t="s">
        <v>797</v>
      </c>
      <c r="T86" s="52">
        <v>0.653586927</v>
      </c>
      <c r="U86" s="52">
        <v>9024776.0</v>
      </c>
      <c r="V86" s="52">
        <v>100.0</v>
      </c>
    </row>
    <row r="87">
      <c r="A87" s="52" t="s">
        <v>798</v>
      </c>
      <c r="B87" s="52" t="s">
        <v>799</v>
      </c>
      <c r="C87" s="55" t="s">
        <v>800</v>
      </c>
      <c r="D87" s="52">
        <v>4359.0</v>
      </c>
      <c r="E87" s="52">
        <v>216.0</v>
      </c>
      <c r="F87" s="52">
        <v>31884.0</v>
      </c>
      <c r="G87" s="52" t="s">
        <v>801</v>
      </c>
      <c r="H87" s="52">
        <v>4961.0</v>
      </c>
      <c r="I87" s="52">
        <v>79.0</v>
      </c>
      <c r="J87" s="52" t="s">
        <v>802</v>
      </c>
      <c r="K87" s="54">
        <v>41782.0</v>
      </c>
      <c r="L87" s="54">
        <v>43449.0</v>
      </c>
      <c r="M87" s="52">
        <v>134.0</v>
      </c>
      <c r="N87" s="52">
        <v>67.0</v>
      </c>
      <c r="O87" s="52" t="s">
        <v>803</v>
      </c>
      <c r="P87" s="52" t="s">
        <v>804</v>
      </c>
      <c r="Q87" s="52" t="s">
        <v>114</v>
      </c>
      <c r="R87" s="52" t="s">
        <v>805</v>
      </c>
      <c r="S87" s="52" t="s">
        <v>806</v>
      </c>
      <c r="T87" s="52">
        <v>0.595717553</v>
      </c>
      <c r="U87" s="52">
        <v>871365.0</v>
      </c>
      <c r="V87" s="52">
        <v>54.0</v>
      </c>
    </row>
    <row r="88">
      <c r="A88" s="52" t="s">
        <v>807</v>
      </c>
      <c r="B88" s="52" t="s">
        <v>808</v>
      </c>
      <c r="C88" s="55" t="s">
        <v>809</v>
      </c>
      <c r="D88" s="52">
        <v>4667.0</v>
      </c>
      <c r="E88" s="52">
        <v>278.0</v>
      </c>
      <c r="F88" s="52">
        <v>21350.0</v>
      </c>
      <c r="G88" s="52" t="s">
        <v>810</v>
      </c>
      <c r="H88" s="52">
        <v>3335.0</v>
      </c>
      <c r="I88" s="52">
        <v>72.0</v>
      </c>
      <c r="J88" s="52" t="s">
        <v>811</v>
      </c>
      <c r="K88" s="54">
        <v>41393.0</v>
      </c>
      <c r="L88" s="54">
        <v>43455.0</v>
      </c>
      <c r="M88" s="52">
        <v>97.0</v>
      </c>
      <c r="N88" s="52">
        <v>69.0</v>
      </c>
      <c r="O88" s="52" t="s">
        <v>812</v>
      </c>
      <c r="P88" s="52" t="s">
        <v>813</v>
      </c>
      <c r="Q88" s="52" t="s">
        <v>114</v>
      </c>
      <c r="R88" s="52" t="s">
        <v>814</v>
      </c>
      <c r="S88" s="52" t="s">
        <v>815</v>
      </c>
      <c r="T88" s="52">
        <v>0.544255821</v>
      </c>
      <c r="U88" s="52">
        <v>1949354.0</v>
      </c>
      <c r="V88" s="52">
        <v>67.0</v>
      </c>
    </row>
    <row r="89">
      <c r="A89" s="52" t="s">
        <v>816</v>
      </c>
      <c r="B89" s="52" t="s">
        <v>817</v>
      </c>
      <c r="C89" s="55" t="s">
        <v>818</v>
      </c>
      <c r="D89" s="52">
        <v>2628.0</v>
      </c>
      <c r="E89" s="52">
        <v>290.0</v>
      </c>
      <c r="F89" s="52">
        <v>5541.0</v>
      </c>
      <c r="G89" s="52" t="s">
        <v>129</v>
      </c>
      <c r="H89" s="52">
        <v>2999.0</v>
      </c>
      <c r="I89" s="52">
        <v>75.0</v>
      </c>
      <c r="J89" s="52" t="s">
        <v>819</v>
      </c>
      <c r="K89" s="54">
        <v>41632.0</v>
      </c>
      <c r="L89" s="54">
        <v>43442.0</v>
      </c>
      <c r="M89" s="52">
        <v>93.0</v>
      </c>
      <c r="N89" s="52">
        <v>43.0</v>
      </c>
      <c r="O89" s="52" t="s">
        <v>820</v>
      </c>
      <c r="P89" s="52" t="s">
        <v>821</v>
      </c>
      <c r="Q89" s="52" t="s">
        <v>104</v>
      </c>
      <c r="R89" s="52" t="s">
        <v>822</v>
      </c>
      <c r="S89" s="52" t="s">
        <v>823</v>
      </c>
      <c r="T89" s="52">
        <v>0.993877649</v>
      </c>
      <c r="U89" s="52">
        <v>720934.0</v>
      </c>
      <c r="V89" s="52">
        <v>59.0</v>
      </c>
    </row>
    <row r="90">
      <c r="A90" s="52" t="s">
        <v>824</v>
      </c>
      <c r="B90" s="52" t="s">
        <v>825</v>
      </c>
      <c r="C90" s="55" t="s">
        <v>826</v>
      </c>
      <c r="D90" s="52">
        <v>4801.0</v>
      </c>
      <c r="E90" s="52">
        <v>214.0</v>
      </c>
      <c r="F90" s="52">
        <v>40120.0</v>
      </c>
      <c r="G90" s="52" t="s">
        <v>827</v>
      </c>
      <c r="H90" s="52">
        <v>6832.0</v>
      </c>
      <c r="I90" s="52">
        <v>239.0</v>
      </c>
      <c r="J90" s="52" t="s">
        <v>828</v>
      </c>
      <c r="K90" s="54">
        <v>40870.0</v>
      </c>
      <c r="L90" s="54">
        <v>43458.0</v>
      </c>
      <c r="M90" s="52">
        <v>564.0</v>
      </c>
      <c r="N90" s="52">
        <v>30.0</v>
      </c>
      <c r="O90" s="52" t="s">
        <v>829</v>
      </c>
      <c r="P90" s="52" t="s">
        <v>830</v>
      </c>
      <c r="Q90" s="52" t="s">
        <v>114</v>
      </c>
      <c r="R90" s="52" t="s">
        <v>831</v>
      </c>
      <c r="S90" s="52" t="s">
        <v>832</v>
      </c>
      <c r="T90" s="52">
        <v>0.772665493</v>
      </c>
      <c r="U90" s="52">
        <v>1914679.0</v>
      </c>
      <c r="V90" s="52">
        <v>85.0</v>
      </c>
    </row>
    <row r="91">
      <c r="A91" s="52" t="s">
        <v>833</v>
      </c>
      <c r="B91" s="52" t="s">
        <v>834</v>
      </c>
      <c r="C91" s="55" t="s">
        <v>835</v>
      </c>
      <c r="D91" s="52">
        <v>3832.0</v>
      </c>
      <c r="E91" s="52">
        <v>256.0</v>
      </c>
      <c r="F91" s="52">
        <v>270832.0</v>
      </c>
      <c r="G91" s="52" t="s">
        <v>836</v>
      </c>
      <c r="H91" s="52">
        <v>6792.0</v>
      </c>
      <c r="I91" s="52">
        <v>195.0</v>
      </c>
      <c r="J91" s="52" t="s">
        <v>837</v>
      </c>
      <c r="K91" s="54">
        <v>39938.0</v>
      </c>
      <c r="L91" s="54">
        <v>43458.0</v>
      </c>
      <c r="M91" s="52">
        <v>130.0</v>
      </c>
      <c r="N91" s="52">
        <v>28.0</v>
      </c>
      <c r="O91" s="52" t="s">
        <v>838</v>
      </c>
      <c r="P91" s="52" t="s">
        <v>839</v>
      </c>
      <c r="Q91" s="52" t="s">
        <v>114</v>
      </c>
      <c r="R91" s="52" t="s">
        <v>840</v>
      </c>
      <c r="S91" s="52" t="s">
        <v>841</v>
      </c>
      <c r="T91" s="52">
        <v>0.996776532</v>
      </c>
      <c r="U91" s="52">
        <v>1545815.0</v>
      </c>
      <c r="V91" s="52">
        <v>115.0</v>
      </c>
    </row>
    <row r="92">
      <c r="A92" s="52" t="s">
        <v>842</v>
      </c>
      <c r="B92" s="52" t="s">
        <v>843</v>
      </c>
      <c r="C92" s="55" t="s">
        <v>844</v>
      </c>
      <c r="D92" s="52">
        <v>3009.0</v>
      </c>
      <c r="E92" s="52">
        <v>176.0</v>
      </c>
      <c r="F92" s="52">
        <v>23199.0</v>
      </c>
      <c r="G92" s="52" t="s">
        <v>845</v>
      </c>
      <c r="H92" s="52">
        <v>11187.0</v>
      </c>
      <c r="I92" s="52">
        <v>258.0</v>
      </c>
      <c r="J92" s="52" t="s">
        <v>846</v>
      </c>
      <c r="K92" s="54">
        <v>40475.0</v>
      </c>
      <c r="L92" s="54">
        <v>43431.0</v>
      </c>
      <c r="M92" s="52">
        <v>71.0</v>
      </c>
      <c r="N92" s="52">
        <v>137.0</v>
      </c>
      <c r="O92" s="52" t="s">
        <v>565</v>
      </c>
      <c r="P92" s="52" t="s">
        <v>847</v>
      </c>
      <c r="Q92" s="52" t="s">
        <v>114</v>
      </c>
      <c r="R92" s="52" t="s">
        <v>848</v>
      </c>
      <c r="S92" s="52" t="s">
        <v>849</v>
      </c>
      <c r="T92" s="52">
        <v>1.0</v>
      </c>
      <c r="U92" s="52">
        <v>2076106.0</v>
      </c>
      <c r="V92" s="52">
        <v>97.0</v>
      </c>
    </row>
    <row r="93">
      <c r="A93" s="52" t="s">
        <v>850</v>
      </c>
      <c r="B93" s="52" t="s">
        <v>851</v>
      </c>
      <c r="C93" s="55" t="s">
        <v>852</v>
      </c>
      <c r="D93" s="52">
        <v>2038.0</v>
      </c>
      <c r="E93" s="52">
        <v>107.0</v>
      </c>
      <c r="F93" s="52">
        <v>6513.0</v>
      </c>
      <c r="G93" s="52" t="s">
        <v>129</v>
      </c>
      <c r="H93" s="52">
        <v>2467.0</v>
      </c>
      <c r="I93" s="52">
        <v>112.0</v>
      </c>
      <c r="J93" s="52" t="s">
        <v>853</v>
      </c>
      <c r="K93" s="54">
        <v>40380.0</v>
      </c>
      <c r="L93" s="54">
        <v>43435.0</v>
      </c>
      <c r="M93" s="52">
        <v>116.0</v>
      </c>
      <c r="N93" s="52">
        <v>47.0</v>
      </c>
      <c r="O93" s="52" t="s">
        <v>854</v>
      </c>
      <c r="P93" s="52" t="s">
        <v>855</v>
      </c>
      <c r="Q93" s="52" t="s">
        <v>114</v>
      </c>
      <c r="R93" s="52" t="s">
        <v>856</v>
      </c>
      <c r="S93" s="52" t="s">
        <v>857</v>
      </c>
      <c r="T93" s="52">
        <v>0.7572208</v>
      </c>
      <c r="U93" s="52">
        <v>722662.0</v>
      </c>
      <c r="V93" s="52">
        <v>100.0</v>
      </c>
    </row>
    <row r="94">
      <c r="A94" s="52" t="s">
        <v>858</v>
      </c>
      <c r="B94" s="52" t="s">
        <v>859</v>
      </c>
      <c r="C94" s="55" t="s">
        <v>860</v>
      </c>
      <c r="D94" s="52">
        <v>4091.0</v>
      </c>
      <c r="E94" s="52">
        <v>175.0</v>
      </c>
      <c r="F94" s="52">
        <v>38145.0</v>
      </c>
      <c r="G94" s="52" t="s">
        <v>861</v>
      </c>
      <c r="H94" s="52">
        <v>17233.0</v>
      </c>
      <c r="I94" s="52">
        <v>242.0</v>
      </c>
      <c r="J94" s="52" t="s">
        <v>862</v>
      </c>
      <c r="K94" s="54">
        <v>41816.0</v>
      </c>
      <c r="L94" s="54">
        <v>43458.0</v>
      </c>
      <c r="M94" s="52">
        <v>660.0</v>
      </c>
      <c r="N94" s="52">
        <v>47.0</v>
      </c>
      <c r="O94" s="52" t="s">
        <v>863</v>
      </c>
      <c r="P94" s="52" t="s">
        <v>864</v>
      </c>
      <c r="Q94" s="52" t="s">
        <v>84</v>
      </c>
      <c r="R94" s="52" t="s">
        <v>865</v>
      </c>
      <c r="S94" s="52" t="s">
        <v>866</v>
      </c>
      <c r="T94" s="52">
        <v>0.745403275</v>
      </c>
      <c r="U94" s="52">
        <v>3595566.0</v>
      </c>
      <c r="V94" s="52">
        <v>53.0</v>
      </c>
    </row>
    <row r="95">
      <c r="A95" s="52" t="s">
        <v>867</v>
      </c>
      <c r="B95" s="52" t="s">
        <v>868</v>
      </c>
      <c r="C95" s="55" t="s">
        <v>869</v>
      </c>
      <c r="D95" s="52">
        <v>4765.0</v>
      </c>
      <c r="E95" s="52">
        <v>142.0</v>
      </c>
      <c r="F95" s="52">
        <v>8430.0</v>
      </c>
      <c r="G95" s="52" t="s">
        <v>870</v>
      </c>
      <c r="H95" s="52">
        <v>3883.0</v>
      </c>
      <c r="I95" s="52">
        <v>124.0</v>
      </c>
      <c r="J95" s="52" t="s">
        <v>871</v>
      </c>
      <c r="K95" s="54">
        <v>39968.0</v>
      </c>
      <c r="L95" s="54">
        <v>43458.0</v>
      </c>
      <c r="M95" s="52">
        <v>297.0</v>
      </c>
      <c r="N95" s="52">
        <v>47.0</v>
      </c>
      <c r="O95" s="52" t="s">
        <v>872</v>
      </c>
      <c r="P95" s="52" t="s">
        <v>873</v>
      </c>
      <c r="Q95" s="52" t="s">
        <v>84</v>
      </c>
      <c r="R95" s="52" t="s">
        <v>874</v>
      </c>
      <c r="S95" s="52" t="s">
        <v>875</v>
      </c>
      <c r="T95" s="52">
        <v>0.978848144</v>
      </c>
      <c r="U95" s="52">
        <v>596883.0</v>
      </c>
      <c r="V95" s="52">
        <v>114.0</v>
      </c>
    </row>
    <row r="96">
      <c r="A96" s="52" t="s">
        <v>876</v>
      </c>
      <c r="B96" s="52" t="s">
        <v>877</v>
      </c>
      <c r="C96" s="55" t="s">
        <v>878</v>
      </c>
      <c r="D96" s="52">
        <v>1585.0</v>
      </c>
      <c r="E96" s="52">
        <v>162.0</v>
      </c>
      <c r="F96" s="52">
        <v>5957.0</v>
      </c>
      <c r="G96" s="52" t="s">
        <v>879</v>
      </c>
      <c r="H96" s="52">
        <v>3582.0</v>
      </c>
      <c r="I96" s="52">
        <v>283.0</v>
      </c>
      <c r="J96" s="52" t="s">
        <v>880</v>
      </c>
      <c r="K96" s="54">
        <v>40822.0</v>
      </c>
      <c r="L96" s="54">
        <v>43453.0</v>
      </c>
      <c r="M96" s="52">
        <v>253.0</v>
      </c>
      <c r="N96" s="52">
        <v>186.0</v>
      </c>
      <c r="O96" s="52" t="s">
        <v>881</v>
      </c>
      <c r="P96" s="52" t="s">
        <v>882</v>
      </c>
      <c r="Q96" s="52" t="s">
        <v>94</v>
      </c>
      <c r="R96" s="52" t="s">
        <v>883</v>
      </c>
      <c r="S96" s="52" t="s">
        <v>884</v>
      </c>
      <c r="T96" s="52">
        <v>0.994474895</v>
      </c>
      <c r="U96" s="52">
        <v>473739.0</v>
      </c>
      <c r="V96" s="52">
        <v>86.0</v>
      </c>
    </row>
    <row r="97">
      <c r="A97" s="52" t="s">
        <v>885</v>
      </c>
      <c r="B97" s="52" t="s">
        <v>886</v>
      </c>
      <c r="C97" s="55" t="s">
        <v>887</v>
      </c>
      <c r="D97" s="52">
        <v>4831.0</v>
      </c>
      <c r="E97" s="52">
        <v>209.0</v>
      </c>
      <c r="F97" s="52">
        <v>54910.0</v>
      </c>
      <c r="G97" s="52" t="s">
        <v>888</v>
      </c>
      <c r="H97" s="52">
        <v>10103.0</v>
      </c>
      <c r="I97" s="52">
        <v>321.0</v>
      </c>
      <c r="J97" s="52" t="s">
        <v>889</v>
      </c>
      <c r="K97" s="54">
        <v>40406.0</v>
      </c>
      <c r="L97" s="54">
        <v>43458.0</v>
      </c>
      <c r="M97" s="52">
        <v>359.0</v>
      </c>
      <c r="N97" s="52">
        <v>87.0</v>
      </c>
      <c r="O97" s="52" t="s">
        <v>890</v>
      </c>
      <c r="P97" s="52" t="s">
        <v>891</v>
      </c>
      <c r="Q97" s="52" t="s">
        <v>104</v>
      </c>
      <c r="R97" s="55" t="s">
        <v>892</v>
      </c>
      <c r="S97" s="52" t="s">
        <v>893</v>
      </c>
      <c r="T97" s="52">
        <v>0.702451061</v>
      </c>
      <c r="U97" s="52">
        <v>1650590.0</v>
      </c>
      <c r="V97" s="52">
        <v>100.0</v>
      </c>
    </row>
    <row r="98">
      <c r="A98" s="52" t="s">
        <v>894</v>
      </c>
      <c r="B98" s="52" t="s">
        <v>895</v>
      </c>
      <c r="C98" s="55" t="s">
        <v>896</v>
      </c>
      <c r="D98" s="52">
        <v>11250.0</v>
      </c>
      <c r="E98" s="52">
        <v>526.0</v>
      </c>
      <c r="F98" s="52">
        <v>12781.0</v>
      </c>
      <c r="G98" s="52" t="s">
        <v>897</v>
      </c>
      <c r="H98" s="52">
        <v>6153.0</v>
      </c>
      <c r="I98" s="52">
        <v>220.0</v>
      </c>
      <c r="J98" s="52" t="s">
        <v>898</v>
      </c>
      <c r="K98" s="54">
        <v>41575.0</v>
      </c>
      <c r="L98" s="54">
        <v>43458.0</v>
      </c>
      <c r="M98" s="52">
        <v>444.0</v>
      </c>
      <c r="N98" s="52">
        <v>292.0</v>
      </c>
      <c r="O98" s="52" t="s">
        <v>899</v>
      </c>
      <c r="P98" s="52" t="s">
        <v>900</v>
      </c>
      <c r="Q98" s="52" t="s">
        <v>608</v>
      </c>
      <c r="R98" s="52" t="s">
        <v>901</v>
      </c>
      <c r="S98" s="52" t="s">
        <v>902</v>
      </c>
      <c r="T98" s="52">
        <v>0.517506802</v>
      </c>
      <c r="U98" s="52">
        <v>874764.0</v>
      </c>
      <c r="V98" s="52">
        <v>61.0</v>
      </c>
    </row>
    <row r="99">
      <c r="A99" s="52" t="s">
        <v>903</v>
      </c>
      <c r="B99" s="52" t="s">
        <v>904</v>
      </c>
      <c r="C99" s="55" t="s">
        <v>905</v>
      </c>
      <c r="D99" s="52">
        <v>21404.0</v>
      </c>
      <c r="E99" s="52">
        <v>1077.0</v>
      </c>
      <c r="F99" s="52">
        <v>3007.0</v>
      </c>
      <c r="G99" s="52" t="s">
        <v>129</v>
      </c>
      <c r="H99" s="52">
        <v>2050.0</v>
      </c>
      <c r="I99" s="52">
        <v>140.0</v>
      </c>
      <c r="J99" s="52" t="s">
        <v>906</v>
      </c>
      <c r="K99" s="54">
        <v>41141.0</v>
      </c>
      <c r="L99" s="54">
        <v>43458.0</v>
      </c>
      <c r="M99" s="52">
        <v>308.0</v>
      </c>
      <c r="N99" s="52">
        <v>128.0</v>
      </c>
      <c r="O99" s="52" t="s">
        <v>907</v>
      </c>
      <c r="P99" s="52" t="s">
        <v>908</v>
      </c>
      <c r="Q99" s="52" t="s">
        <v>114</v>
      </c>
      <c r="R99" s="52" t="s">
        <v>909</v>
      </c>
      <c r="S99" s="52" t="s">
        <v>910</v>
      </c>
      <c r="T99" s="52">
        <v>0.993386499</v>
      </c>
      <c r="U99" s="52">
        <v>518811.0</v>
      </c>
      <c r="V99" s="52">
        <v>76.0</v>
      </c>
    </row>
    <row r="100">
      <c r="A100" s="52" t="s">
        <v>911</v>
      </c>
      <c r="B100" s="52" t="s">
        <v>912</v>
      </c>
      <c r="C100" s="55" t="s">
        <v>913</v>
      </c>
      <c r="D100" s="52">
        <v>2859.0</v>
      </c>
      <c r="E100" s="52">
        <v>375.0</v>
      </c>
      <c r="F100" s="52">
        <v>95017.0</v>
      </c>
      <c r="G100" s="52" t="s">
        <v>914</v>
      </c>
      <c r="H100" s="52">
        <v>11699.0</v>
      </c>
      <c r="I100" s="52">
        <v>74.0</v>
      </c>
      <c r="J100" s="52" t="s">
        <v>915</v>
      </c>
      <c r="K100" s="54">
        <v>41817.0</v>
      </c>
      <c r="L100" s="54">
        <v>43442.0</v>
      </c>
      <c r="M100" s="52">
        <v>136.0</v>
      </c>
      <c r="N100" s="52">
        <v>80.0</v>
      </c>
      <c r="O100" s="52" t="s">
        <v>92</v>
      </c>
      <c r="P100" s="52" t="s">
        <v>916</v>
      </c>
      <c r="Q100" s="52" t="s">
        <v>114</v>
      </c>
      <c r="R100" s="52" t="s">
        <v>917</v>
      </c>
      <c r="S100" s="52" t="s">
        <v>918</v>
      </c>
      <c r="T100" s="52">
        <v>0.467637732</v>
      </c>
      <c r="U100" s="52">
        <v>2382979.0</v>
      </c>
      <c r="V100" s="52">
        <v>53.0</v>
      </c>
    </row>
    <row r="101">
      <c r="A101" s="52" t="s">
        <v>919</v>
      </c>
      <c r="B101" s="52" t="s">
        <v>920</v>
      </c>
      <c r="C101" s="55" t="s">
        <v>921</v>
      </c>
      <c r="D101" s="52">
        <v>2873.0</v>
      </c>
      <c r="E101" s="52">
        <v>103.0</v>
      </c>
      <c r="F101" s="52">
        <v>4700.0</v>
      </c>
      <c r="G101" s="52" t="s">
        <v>129</v>
      </c>
      <c r="H101" s="52">
        <v>1643.0</v>
      </c>
      <c r="I101" s="52">
        <v>127.0</v>
      </c>
      <c r="J101" s="52" t="s">
        <v>922</v>
      </c>
      <c r="K101" s="54">
        <v>40701.0</v>
      </c>
      <c r="L101" s="54">
        <v>43440.0</v>
      </c>
      <c r="M101" s="52">
        <v>279.0</v>
      </c>
      <c r="N101" s="52">
        <v>33.0</v>
      </c>
      <c r="O101" s="52" t="s">
        <v>923</v>
      </c>
      <c r="P101" s="52" t="s">
        <v>924</v>
      </c>
      <c r="Q101" s="52" t="s">
        <v>176</v>
      </c>
      <c r="R101" s="52" t="s">
        <v>925</v>
      </c>
      <c r="S101" s="52" t="s">
        <v>926</v>
      </c>
      <c r="T101" s="52">
        <v>0.942132756</v>
      </c>
      <c r="U101" s="52">
        <v>493817.0</v>
      </c>
      <c r="V101" s="52">
        <v>89.0</v>
      </c>
    </row>
    <row r="102">
      <c r="A102" s="52" t="s">
        <v>927</v>
      </c>
      <c r="B102" s="52" t="s">
        <v>928</v>
      </c>
      <c r="C102" s="55" t="s">
        <v>929</v>
      </c>
      <c r="D102" s="52">
        <v>3416.0</v>
      </c>
      <c r="E102" s="52">
        <v>234.0</v>
      </c>
      <c r="F102" s="52">
        <v>85724.0</v>
      </c>
      <c r="G102" s="52" t="s">
        <v>930</v>
      </c>
      <c r="H102" s="52">
        <v>9896.0</v>
      </c>
      <c r="I102" s="52">
        <v>90.0</v>
      </c>
      <c r="J102" s="52" t="s">
        <v>931</v>
      </c>
      <c r="K102" s="54">
        <v>41317.0</v>
      </c>
      <c r="L102" s="54">
        <v>43458.0</v>
      </c>
      <c r="M102" s="52">
        <v>329.0</v>
      </c>
      <c r="N102" s="52">
        <v>60.0</v>
      </c>
      <c r="O102" s="52" t="s">
        <v>932</v>
      </c>
      <c r="P102" s="52" t="s">
        <v>933</v>
      </c>
      <c r="Q102" s="52" t="s">
        <v>94</v>
      </c>
      <c r="R102" s="52" t="s">
        <v>934</v>
      </c>
      <c r="S102" s="52" t="s">
        <v>935</v>
      </c>
      <c r="T102" s="52">
        <v>0.446165203</v>
      </c>
      <c r="U102" s="52">
        <v>1902021.0</v>
      </c>
      <c r="V102" s="52">
        <v>70.0</v>
      </c>
    </row>
    <row r="103">
      <c r="A103" s="52" t="s">
        <v>936</v>
      </c>
      <c r="B103" s="52" t="s">
        <v>937</v>
      </c>
      <c r="C103" s="55" t="s">
        <v>938</v>
      </c>
      <c r="D103" s="52">
        <v>9481.0</v>
      </c>
      <c r="E103" s="52">
        <v>608.0</v>
      </c>
      <c r="F103" s="52">
        <v>425249.0</v>
      </c>
      <c r="G103" s="52" t="s">
        <v>939</v>
      </c>
      <c r="H103" s="52">
        <v>101678.0</v>
      </c>
      <c r="I103" s="52">
        <v>338.0</v>
      </c>
      <c r="J103" s="52" t="s">
        <v>940</v>
      </c>
      <c r="K103" s="54">
        <v>40594.0</v>
      </c>
      <c r="L103" s="54">
        <v>43459.0</v>
      </c>
      <c r="M103" s="52">
        <v>2336.0</v>
      </c>
      <c r="N103" s="52">
        <v>173.0</v>
      </c>
      <c r="O103" s="52" t="s">
        <v>941</v>
      </c>
      <c r="P103" s="52" t="s">
        <v>942</v>
      </c>
      <c r="Q103" s="52" t="s">
        <v>247</v>
      </c>
      <c r="R103" s="52" t="s">
        <v>943</v>
      </c>
      <c r="S103" s="52" t="s">
        <v>944</v>
      </c>
      <c r="T103" s="52">
        <v>0.980191839</v>
      </c>
      <c r="U103" s="52">
        <v>3.4415103E7</v>
      </c>
      <c r="V103" s="52">
        <v>94.0</v>
      </c>
    </row>
    <row r="104">
      <c r="A104" s="52" t="s">
        <v>945</v>
      </c>
      <c r="B104" s="52" t="s">
        <v>946</v>
      </c>
      <c r="C104" s="55" t="s">
        <v>947</v>
      </c>
      <c r="D104" s="52">
        <v>2717.0</v>
      </c>
      <c r="E104" s="52">
        <v>178.0</v>
      </c>
      <c r="F104" s="52">
        <v>56475.0</v>
      </c>
      <c r="G104" s="52" t="s">
        <v>948</v>
      </c>
      <c r="H104" s="52">
        <v>10526.0</v>
      </c>
      <c r="I104" s="52">
        <v>290.0</v>
      </c>
      <c r="J104" s="52" t="s">
        <v>949</v>
      </c>
      <c r="K104" s="54">
        <v>40731.0</v>
      </c>
      <c r="L104" s="54">
        <v>43458.0</v>
      </c>
      <c r="M104" s="52">
        <v>504.0</v>
      </c>
      <c r="N104" s="52">
        <v>51.0</v>
      </c>
      <c r="O104" s="52" t="s">
        <v>365</v>
      </c>
      <c r="P104" s="52" t="s">
        <v>950</v>
      </c>
      <c r="Q104" s="52" t="s">
        <v>114</v>
      </c>
      <c r="R104" s="52" t="s">
        <v>951</v>
      </c>
      <c r="S104" s="52" t="s">
        <v>952</v>
      </c>
      <c r="T104" s="52">
        <v>0.90840858</v>
      </c>
      <c r="U104" s="52">
        <v>2880282.0</v>
      </c>
      <c r="V104" s="52">
        <v>89.0</v>
      </c>
    </row>
    <row r="105">
      <c r="A105" s="52" t="s">
        <v>953</v>
      </c>
      <c r="B105" s="52" t="s">
        <v>954</v>
      </c>
      <c r="C105" s="55" t="s">
        <v>955</v>
      </c>
      <c r="D105" s="52">
        <v>32458.0</v>
      </c>
      <c r="E105" s="52">
        <v>2222.0</v>
      </c>
      <c r="F105" s="52">
        <v>98136.0</v>
      </c>
      <c r="G105" s="52" t="s">
        <v>956</v>
      </c>
      <c r="H105" s="52">
        <v>23533.0</v>
      </c>
      <c r="I105" s="52">
        <v>413.0</v>
      </c>
      <c r="J105" s="52" t="s">
        <v>957</v>
      </c>
      <c r="K105" s="54">
        <v>40407.0</v>
      </c>
      <c r="L105" s="54">
        <v>43459.0</v>
      </c>
      <c r="M105" s="52">
        <v>1861.0</v>
      </c>
      <c r="N105" s="52">
        <v>91.0</v>
      </c>
      <c r="O105" s="52" t="s">
        <v>958</v>
      </c>
      <c r="P105" s="52" t="s">
        <v>959</v>
      </c>
      <c r="Q105" s="52" t="s">
        <v>114</v>
      </c>
      <c r="R105" s="52" t="s">
        <v>960</v>
      </c>
      <c r="S105" s="52" t="s">
        <v>961</v>
      </c>
      <c r="T105" s="52">
        <v>0.927652789</v>
      </c>
      <c r="U105" s="52">
        <v>8161005.0</v>
      </c>
      <c r="V105" s="52">
        <v>100.0</v>
      </c>
    </row>
    <row r="106">
      <c r="A106" s="52" t="s">
        <v>962</v>
      </c>
      <c r="B106" s="52" t="s">
        <v>963</v>
      </c>
      <c r="C106" s="55" t="s">
        <v>964</v>
      </c>
      <c r="D106" s="52">
        <v>5234.0</v>
      </c>
      <c r="E106" s="52">
        <v>307.0</v>
      </c>
      <c r="F106" s="52">
        <v>83900.0</v>
      </c>
      <c r="G106" s="52" t="s">
        <v>129</v>
      </c>
      <c r="H106" s="52">
        <v>20206.0</v>
      </c>
      <c r="I106" s="52">
        <v>407.0</v>
      </c>
      <c r="J106" s="52" t="s">
        <v>965</v>
      </c>
      <c r="K106" s="54">
        <v>40611.0</v>
      </c>
      <c r="L106" s="54">
        <v>43457.0</v>
      </c>
      <c r="M106" s="52">
        <v>1346.0</v>
      </c>
      <c r="N106" s="52">
        <v>102.0</v>
      </c>
      <c r="O106" s="52" t="s">
        <v>966</v>
      </c>
      <c r="P106" s="52" t="s">
        <v>967</v>
      </c>
      <c r="Q106" s="52" t="s">
        <v>114</v>
      </c>
      <c r="R106" s="52" t="s">
        <v>968</v>
      </c>
      <c r="S106" s="52" t="s">
        <v>969</v>
      </c>
      <c r="T106" s="52">
        <v>0.534334752</v>
      </c>
      <c r="U106" s="52">
        <v>1.1748532E7</v>
      </c>
      <c r="V106" s="52">
        <v>93.0</v>
      </c>
    </row>
    <row r="107">
      <c r="A107" s="52" t="s">
        <v>970</v>
      </c>
      <c r="B107" s="52" t="s">
        <v>971</v>
      </c>
      <c r="C107" s="55" t="s">
        <v>972</v>
      </c>
      <c r="D107" s="52">
        <v>30626.0</v>
      </c>
      <c r="E107" s="52">
        <v>1847.0</v>
      </c>
      <c r="F107" s="52">
        <v>16519.0</v>
      </c>
      <c r="G107" s="52" t="s">
        <v>973</v>
      </c>
      <c r="H107" s="52">
        <v>6813.0</v>
      </c>
      <c r="I107" s="52">
        <v>296.0</v>
      </c>
      <c r="J107" s="52" t="s">
        <v>974</v>
      </c>
      <c r="K107" s="54">
        <v>40231.0</v>
      </c>
      <c r="L107" s="54">
        <v>43458.0</v>
      </c>
      <c r="M107" s="52">
        <v>708.0</v>
      </c>
      <c r="N107" s="52">
        <v>82.0</v>
      </c>
      <c r="O107" s="52" t="s">
        <v>975</v>
      </c>
      <c r="P107" s="52" t="s">
        <v>976</v>
      </c>
      <c r="Q107" s="52" t="s">
        <v>114</v>
      </c>
      <c r="R107" s="52" t="s">
        <v>977</v>
      </c>
      <c r="S107" s="52" t="s">
        <v>978</v>
      </c>
      <c r="T107" s="52">
        <v>0.996761697</v>
      </c>
      <c r="U107" s="52">
        <v>1337407.0</v>
      </c>
      <c r="V107" s="52">
        <v>106.0</v>
      </c>
    </row>
    <row r="108">
      <c r="A108" s="52" t="s">
        <v>979</v>
      </c>
      <c r="B108" s="52" t="s">
        <v>980</v>
      </c>
      <c r="C108" s="55" t="s">
        <v>981</v>
      </c>
      <c r="D108" s="52">
        <v>2545.0</v>
      </c>
      <c r="E108" s="52">
        <v>162.0</v>
      </c>
      <c r="F108" s="52">
        <v>75240.0</v>
      </c>
      <c r="G108" s="52" t="s">
        <v>982</v>
      </c>
      <c r="H108" s="52">
        <v>8570.0</v>
      </c>
      <c r="I108" s="52">
        <v>137.0</v>
      </c>
      <c r="J108" s="52" t="s">
        <v>983</v>
      </c>
      <c r="K108" s="54">
        <v>40919.0</v>
      </c>
      <c r="L108" s="54">
        <v>43456.0</v>
      </c>
      <c r="M108" s="52">
        <v>422.0</v>
      </c>
      <c r="N108" s="52">
        <v>59.0</v>
      </c>
      <c r="O108" s="52" t="s">
        <v>984</v>
      </c>
      <c r="P108" s="52" t="s">
        <v>985</v>
      </c>
      <c r="Q108" s="52" t="s">
        <v>384</v>
      </c>
      <c r="R108" s="52" t="s">
        <v>986</v>
      </c>
      <c r="S108" s="52" t="s">
        <v>987</v>
      </c>
      <c r="T108" s="52">
        <v>0.785361776</v>
      </c>
      <c r="U108" s="52">
        <v>923470.0</v>
      </c>
      <c r="V108" s="52">
        <v>83.0</v>
      </c>
    </row>
    <row r="109">
      <c r="A109" s="52" t="s">
        <v>988</v>
      </c>
      <c r="B109" s="52" t="s">
        <v>989</v>
      </c>
      <c r="C109" s="55" t="s">
        <v>990</v>
      </c>
      <c r="D109" s="52">
        <v>3109.0</v>
      </c>
      <c r="E109" s="52">
        <v>523.0</v>
      </c>
      <c r="F109" s="52">
        <v>14235.0</v>
      </c>
      <c r="G109" s="52" t="s">
        <v>991</v>
      </c>
      <c r="H109" s="52">
        <v>1561.0</v>
      </c>
      <c r="I109" s="52">
        <v>92.0</v>
      </c>
      <c r="J109" s="52" t="s">
        <v>992</v>
      </c>
      <c r="K109" s="54">
        <v>41817.0</v>
      </c>
      <c r="L109" s="54">
        <v>43446.0</v>
      </c>
      <c r="M109" s="52">
        <v>74.0</v>
      </c>
      <c r="N109" s="52">
        <v>47.0</v>
      </c>
      <c r="O109" s="52" t="s">
        <v>993</v>
      </c>
      <c r="P109" s="52" t="s">
        <v>994</v>
      </c>
      <c r="Q109" s="52" t="s">
        <v>247</v>
      </c>
      <c r="R109" s="52" t="s">
        <v>995</v>
      </c>
      <c r="S109" s="52" t="s">
        <v>996</v>
      </c>
      <c r="T109" s="52">
        <v>0.829969523</v>
      </c>
      <c r="U109" s="52">
        <v>1575937.0</v>
      </c>
      <c r="V109" s="52">
        <v>53.0</v>
      </c>
    </row>
    <row r="110">
      <c r="A110" s="52" t="s">
        <v>997</v>
      </c>
      <c r="B110" s="52" t="s">
        <v>998</v>
      </c>
      <c r="C110" s="55" t="s">
        <v>999</v>
      </c>
      <c r="D110" s="52">
        <v>19244.0</v>
      </c>
      <c r="E110" s="52">
        <v>631.0</v>
      </c>
      <c r="F110" s="52">
        <v>95309.0</v>
      </c>
      <c r="G110" s="52" t="s">
        <v>1000</v>
      </c>
      <c r="H110" s="52">
        <v>23743.0</v>
      </c>
      <c r="I110" s="52">
        <v>377.0</v>
      </c>
      <c r="J110" s="52" t="s">
        <v>1001</v>
      </c>
      <c r="K110" s="54">
        <v>40420.0</v>
      </c>
      <c r="L110" s="54">
        <v>43459.0</v>
      </c>
      <c r="M110" s="52">
        <v>791.0</v>
      </c>
      <c r="N110" s="52">
        <v>334.0</v>
      </c>
      <c r="O110" s="52" t="s">
        <v>1002</v>
      </c>
      <c r="P110" s="52" t="s">
        <v>1003</v>
      </c>
      <c r="Q110" s="52" t="s">
        <v>94</v>
      </c>
      <c r="R110" s="52" t="s">
        <v>1004</v>
      </c>
      <c r="S110" s="52" t="s">
        <v>1005</v>
      </c>
      <c r="T110" s="52">
        <v>0.901389501</v>
      </c>
      <c r="U110" s="52">
        <v>4.0744126E7</v>
      </c>
      <c r="V110" s="52">
        <v>99.0</v>
      </c>
    </row>
    <row r="111">
      <c r="A111" s="52" t="s">
        <v>1006</v>
      </c>
      <c r="B111" s="52" t="s">
        <v>1007</v>
      </c>
      <c r="C111" s="55" t="s">
        <v>1008</v>
      </c>
      <c r="D111" s="52">
        <v>3097.0</v>
      </c>
      <c r="E111" s="52">
        <v>214.0</v>
      </c>
      <c r="F111" s="52">
        <v>36585.0</v>
      </c>
      <c r="G111" s="52" t="s">
        <v>129</v>
      </c>
      <c r="H111" s="52">
        <v>3978.0</v>
      </c>
      <c r="I111" s="52">
        <v>126.0</v>
      </c>
      <c r="J111" s="52" t="s">
        <v>1009</v>
      </c>
      <c r="K111" s="54">
        <v>40253.0</v>
      </c>
      <c r="L111" s="54">
        <v>43424.0</v>
      </c>
      <c r="M111" s="52">
        <v>150.0</v>
      </c>
      <c r="N111" s="52">
        <v>41.0</v>
      </c>
      <c r="O111" s="52" t="s">
        <v>1010</v>
      </c>
      <c r="P111" s="52" t="s">
        <v>1011</v>
      </c>
      <c r="Q111" s="52" t="s">
        <v>84</v>
      </c>
      <c r="R111" s="52" t="s">
        <v>1012</v>
      </c>
      <c r="S111" s="52" t="s">
        <v>1013</v>
      </c>
      <c r="T111" s="52">
        <v>0.930767006</v>
      </c>
      <c r="U111" s="52">
        <v>4064774.0</v>
      </c>
      <c r="V111" s="52">
        <v>104.0</v>
      </c>
    </row>
    <row r="112">
      <c r="A112" s="52" t="s">
        <v>1014</v>
      </c>
      <c r="B112" s="52" t="s">
        <v>1015</v>
      </c>
      <c r="C112" s="55" t="s">
        <v>1016</v>
      </c>
      <c r="D112" s="52">
        <v>1487.0</v>
      </c>
      <c r="E112" s="52">
        <v>195.0</v>
      </c>
      <c r="F112" s="52">
        <v>451375.0</v>
      </c>
      <c r="G112" s="52" t="s">
        <v>1017</v>
      </c>
      <c r="H112" s="52">
        <v>10234.0</v>
      </c>
      <c r="I112" s="52">
        <v>199.0</v>
      </c>
      <c r="J112" s="52" t="s">
        <v>1018</v>
      </c>
      <c r="K112" s="54">
        <v>41708.0</v>
      </c>
      <c r="L112" s="54">
        <v>43452.0</v>
      </c>
      <c r="M112" s="52">
        <v>0.0</v>
      </c>
      <c r="N112" s="52">
        <v>658.0</v>
      </c>
      <c r="O112" s="52" t="s">
        <v>1019</v>
      </c>
      <c r="P112" s="52" t="s">
        <v>1020</v>
      </c>
      <c r="Q112" s="52" t="s">
        <v>84</v>
      </c>
      <c r="R112" s="52" t="s">
        <v>1021</v>
      </c>
      <c r="S112" s="52" t="s">
        <v>1022</v>
      </c>
      <c r="T112" s="52">
        <v>0.695997637</v>
      </c>
      <c r="U112" s="52">
        <v>2808292.0</v>
      </c>
      <c r="V112" s="52">
        <v>57.0</v>
      </c>
    </row>
    <row r="113">
      <c r="A113" s="52" t="s">
        <v>1023</v>
      </c>
      <c r="B113" s="52" t="s">
        <v>1024</v>
      </c>
      <c r="C113" s="55" t="s">
        <v>1025</v>
      </c>
      <c r="D113" s="52">
        <v>11698.0</v>
      </c>
      <c r="E113" s="52">
        <v>522.0</v>
      </c>
      <c r="F113" s="52">
        <v>99028.0</v>
      </c>
      <c r="G113" s="52" t="s">
        <v>1026</v>
      </c>
      <c r="H113" s="52">
        <v>8906.0</v>
      </c>
      <c r="I113" s="52">
        <v>278.0</v>
      </c>
      <c r="J113" s="52" t="s">
        <v>1027</v>
      </c>
      <c r="K113" s="54">
        <v>41823.0</v>
      </c>
      <c r="L113" s="54">
        <v>43455.0</v>
      </c>
      <c r="M113" s="52">
        <v>195.0</v>
      </c>
      <c r="N113" s="52">
        <v>79.0</v>
      </c>
      <c r="O113" s="52" t="s">
        <v>1028</v>
      </c>
      <c r="P113" s="52" t="s">
        <v>1029</v>
      </c>
      <c r="Q113" s="52" t="s">
        <v>104</v>
      </c>
      <c r="R113" s="52" t="s">
        <v>1030</v>
      </c>
      <c r="S113" s="52" t="s">
        <v>1031</v>
      </c>
      <c r="T113" s="52">
        <v>0.994678457</v>
      </c>
      <c r="U113" s="52">
        <v>2.3031306E8</v>
      </c>
      <c r="V113" s="52">
        <v>53.0</v>
      </c>
    </row>
    <row r="114">
      <c r="A114" s="52" t="s">
        <v>1032</v>
      </c>
      <c r="B114" s="52" t="s">
        <v>1033</v>
      </c>
      <c r="C114" s="55" t="s">
        <v>1034</v>
      </c>
      <c r="D114" s="52">
        <v>5533.0</v>
      </c>
      <c r="E114" s="52">
        <v>365.0</v>
      </c>
      <c r="F114" s="52">
        <v>4960.0</v>
      </c>
      <c r="G114" s="52" t="s">
        <v>1035</v>
      </c>
      <c r="H114" s="52">
        <v>1859.0</v>
      </c>
      <c r="I114" s="52">
        <v>87.0</v>
      </c>
      <c r="J114" s="52" t="s">
        <v>1036</v>
      </c>
      <c r="K114" s="54">
        <v>41822.0</v>
      </c>
      <c r="L114" s="54">
        <v>43454.0</v>
      </c>
      <c r="M114" s="52">
        <v>385.0</v>
      </c>
      <c r="N114" s="52">
        <v>111.0</v>
      </c>
      <c r="O114" s="52" t="s">
        <v>1037</v>
      </c>
      <c r="P114" s="52" t="s">
        <v>1038</v>
      </c>
      <c r="Q114" s="52" t="s">
        <v>247</v>
      </c>
      <c r="R114" s="52" t="s">
        <v>1039</v>
      </c>
      <c r="S114" s="52" t="s">
        <v>1040</v>
      </c>
      <c r="T114" s="52">
        <v>0.862087932</v>
      </c>
      <c r="U114" s="52">
        <v>1233478.0</v>
      </c>
      <c r="V114" s="52">
        <v>53.0</v>
      </c>
    </row>
    <row r="115">
      <c r="A115" s="52" t="s">
        <v>1041</v>
      </c>
      <c r="B115" s="52" t="s">
        <v>1042</v>
      </c>
      <c r="C115" s="55" t="s">
        <v>1043</v>
      </c>
      <c r="D115" s="52">
        <v>3257.0</v>
      </c>
      <c r="E115" s="52">
        <v>160.0</v>
      </c>
      <c r="F115" s="52">
        <v>53605.0</v>
      </c>
      <c r="G115" s="52" t="s">
        <v>129</v>
      </c>
      <c r="H115" s="52">
        <v>11789.0</v>
      </c>
      <c r="I115" s="52">
        <v>300.0</v>
      </c>
      <c r="J115" s="52" t="s">
        <v>1044</v>
      </c>
      <c r="K115" s="54">
        <v>41419.0</v>
      </c>
      <c r="L115" s="54">
        <v>43458.0</v>
      </c>
      <c r="M115" s="52">
        <v>0.0</v>
      </c>
      <c r="N115" s="52">
        <v>182.0</v>
      </c>
      <c r="O115" s="52" t="s">
        <v>1045</v>
      </c>
      <c r="P115" s="52" t="s">
        <v>1046</v>
      </c>
      <c r="Q115" s="52" t="s">
        <v>114</v>
      </c>
      <c r="R115" s="52" t="s">
        <v>1047</v>
      </c>
      <c r="S115" s="52" t="s">
        <v>1048</v>
      </c>
      <c r="T115" s="52">
        <v>0.995646126</v>
      </c>
      <c r="U115" s="52">
        <v>1.0503297E7</v>
      </c>
      <c r="V115" s="52">
        <v>66.0</v>
      </c>
    </row>
    <row r="116">
      <c r="A116" s="52" t="s">
        <v>1049</v>
      </c>
      <c r="B116" s="52" t="s">
        <v>1050</v>
      </c>
      <c r="C116" s="55" t="s">
        <v>1051</v>
      </c>
      <c r="D116" s="52">
        <v>13040.0</v>
      </c>
      <c r="E116" s="52">
        <v>861.0</v>
      </c>
      <c r="F116" s="52">
        <v>62899.0</v>
      </c>
      <c r="G116" s="52" t="s">
        <v>1052</v>
      </c>
      <c r="H116" s="52">
        <v>8446.0</v>
      </c>
      <c r="I116" s="52">
        <v>71.0</v>
      </c>
      <c r="J116" s="52" t="s">
        <v>1053</v>
      </c>
      <c r="K116" s="54">
        <v>41086.0</v>
      </c>
      <c r="L116" s="54">
        <v>43457.0</v>
      </c>
      <c r="M116" s="52">
        <v>50.0</v>
      </c>
      <c r="N116" s="52">
        <v>45.0</v>
      </c>
      <c r="O116" s="52" t="s">
        <v>1054</v>
      </c>
      <c r="P116" s="52" t="s">
        <v>1055</v>
      </c>
      <c r="Q116" s="52" t="s">
        <v>114</v>
      </c>
      <c r="R116" s="52" t="s">
        <v>1056</v>
      </c>
      <c r="S116" s="52" t="s">
        <v>1057</v>
      </c>
      <c r="T116" s="52">
        <v>0.983664885</v>
      </c>
      <c r="U116" s="52">
        <v>1731503.0</v>
      </c>
      <c r="V116" s="52">
        <v>77.0</v>
      </c>
    </row>
    <row r="117">
      <c r="A117" s="52" t="s">
        <v>1058</v>
      </c>
      <c r="B117" s="52" t="s">
        <v>1059</v>
      </c>
      <c r="C117" s="55" t="s">
        <v>1060</v>
      </c>
      <c r="D117" s="52">
        <v>2955.0</v>
      </c>
      <c r="E117" s="52">
        <v>156.0</v>
      </c>
      <c r="F117" s="52">
        <v>26758.0</v>
      </c>
      <c r="G117" s="52" t="s">
        <v>1061</v>
      </c>
      <c r="H117" s="52">
        <v>16854.0</v>
      </c>
      <c r="I117" s="52">
        <v>91.0</v>
      </c>
      <c r="J117" s="52" t="s">
        <v>1062</v>
      </c>
      <c r="K117" s="54">
        <v>41752.0</v>
      </c>
      <c r="L117" s="54">
        <v>43454.0</v>
      </c>
      <c r="M117" s="52">
        <v>349.0</v>
      </c>
      <c r="N117" s="52">
        <v>55.0</v>
      </c>
      <c r="O117" s="52" t="s">
        <v>1063</v>
      </c>
      <c r="P117" s="52" t="s">
        <v>1064</v>
      </c>
      <c r="Q117" s="52" t="s">
        <v>247</v>
      </c>
      <c r="R117" s="52" t="s">
        <v>1065</v>
      </c>
      <c r="S117" s="52" t="s">
        <v>1066</v>
      </c>
      <c r="T117" s="52">
        <v>0.971934785</v>
      </c>
      <c r="U117" s="52">
        <v>6425283.0</v>
      </c>
      <c r="V117" s="52">
        <v>55.0</v>
      </c>
    </row>
    <row r="118">
      <c r="A118" s="52" t="s">
        <v>1067</v>
      </c>
      <c r="B118" s="52" t="s">
        <v>1068</v>
      </c>
      <c r="C118" s="55" t="s">
        <v>1069</v>
      </c>
      <c r="D118" s="52">
        <v>4921.0</v>
      </c>
      <c r="E118" s="52">
        <v>236.0</v>
      </c>
      <c r="F118" s="52">
        <v>5091.0</v>
      </c>
      <c r="G118" s="52" t="s">
        <v>129</v>
      </c>
      <c r="H118" s="52">
        <v>2095.0</v>
      </c>
      <c r="I118" s="52">
        <v>109.0</v>
      </c>
      <c r="J118" s="52" t="s">
        <v>1070</v>
      </c>
      <c r="K118" s="54">
        <v>40520.0</v>
      </c>
      <c r="L118" s="54">
        <v>43456.0</v>
      </c>
      <c r="M118" s="52">
        <v>138.0</v>
      </c>
      <c r="N118" s="52">
        <v>34.0</v>
      </c>
      <c r="O118" s="52" t="s">
        <v>1071</v>
      </c>
      <c r="P118" s="52" t="s">
        <v>1072</v>
      </c>
      <c r="Q118" s="52" t="s">
        <v>114</v>
      </c>
      <c r="R118" s="52" t="s">
        <v>1073</v>
      </c>
      <c r="S118" s="52" t="s">
        <v>1074</v>
      </c>
      <c r="T118" s="52">
        <v>0.969646462</v>
      </c>
      <c r="U118" s="52">
        <v>1221101.0</v>
      </c>
      <c r="V118" s="52">
        <v>96.0</v>
      </c>
    </row>
    <row r="119">
      <c r="A119" s="52" t="s">
        <v>1075</v>
      </c>
      <c r="B119" s="52" t="s">
        <v>1076</v>
      </c>
      <c r="C119" s="55" t="s">
        <v>1077</v>
      </c>
      <c r="D119" s="52">
        <v>1842.0</v>
      </c>
      <c r="E119" s="52">
        <v>327.0</v>
      </c>
      <c r="F119" s="52">
        <v>100089.0</v>
      </c>
      <c r="G119" s="52" t="s">
        <v>1078</v>
      </c>
      <c r="H119" s="52">
        <v>7986.0</v>
      </c>
      <c r="I119" s="52">
        <v>283.0</v>
      </c>
      <c r="J119" s="52" t="s">
        <v>1079</v>
      </c>
      <c r="K119" s="54">
        <v>40381.0</v>
      </c>
      <c r="L119" s="54">
        <v>43456.0</v>
      </c>
      <c r="M119" s="52">
        <v>0.0</v>
      </c>
      <c r="N119" s="52">
        <v>90.0</v>
      </c>
      <c r="O119" s="52" t="s">
        <v>1080</v>
      </c>
      <c r="P119" s="52" t="s">
        <v>1081</v>
      </c>
      <c r="Q119" s="52" t="s">
        <v>247</v>
      </c>
      <c r="R119" s="52" t="s">
        <v>1082</v>
      </c>
      <c r="S119" s="52" t="s">
        <v>1083</v>
      </c>
      <c r="T119" s="52">
        <v>0.999418639</v>
      </c>
      <c r="U119" s="52">
        <v>1.1330594E7</v>
      </c>
      <c r="V119" s="52">
        <v>101.0</v>
      </c>
    </row>
    <row r="120">
      <c r="A120" s="52" t="s">
        <v>1084</v>
      </c>
      <c r="B120" s="52" t="s">
        <v>1085</v>
      </c>
      <c r="C120" s="55" t="s">
        <v>1086</v>
      </c>
      <c r="D120" s="52">
        <v>5422.0</v>
      </c>
      <c r="E120" s="52">
        <v>309.0</v>
      </c>
      <c r="F120" s="52">
        <v>96824.0</v>
      </c>
      <c r="G120" s="52" t="s">
        <v>1087</v>
      </c>
      <c r="H120" s="52">
        <v>34283.0</v>
      </c>
      <c r="I120" s="52">
        <v>452.0</v>
      </c>
      <c r="J120" s="52" t="s">
        <v>1088</v>
      </c>
      <c r="K120" s="54">
        <v>40298.0</v>
      </c>
      <c r="L120" s="54">
        <v>43458.0</v>
      </c>
      <c r="M120" s="52">
        <v>3512.0</v>
      </c>
      <c r="N120" s="52">
        <v>61.0</v>
      </c>
      <c r="O120" s="52" t="s">
        <v>1089</v>
      </c>
      <c r="P120" s="52" t="s">
        <v>1090</v>
      </c>
      <c r="Q120" s="52" t="s">
        <v>114</v>
      </c>
      <c r="R120" s="52" t="s">
        <v>1091</v>
      </c>
      <c r="S120" s="52" t="s">
        <v>1092</v>
      </c>
      <c r="T120" s="52">
        <v>0.985371322</v>
      </c>
      <c r="U120" s="52">
        <v>2.6233656E7</v>
      </c>
      <c r="V120" s="52">
        <v>103.0</v>
      </c>
    </row>
    <row r="121">
      <c r="A121" s="52" t="s">
        <v>1093</v>
      </c>
      <c r="B121" s="52" t="s">
        <v>1094</v>
      </c>
      <c r="C121" s="55" t="s">
        <v>1095</v>
      </c>
      <c r="D121" s="52">
        <v>3481.0</v>
      </c>
      <c r="E121" s="52">
        <v>181.0</v>
      </c>
      <c r="F121" s="52">
        <v>24317.0</v>
      </c>
      <c r="G121" s="52" t="s">
        <v>1096</v>
      </c>
      <c r="H121" s="52">
        <v>12751.0</v>
      </c>
      <c r="I121" s="52">
        <v>128.0</v>
      </c>
      <c r="J121" s="52" t="s">
        <v>1097</v>
      </c>
      <c r="K121" s="54">
        <v>41862.0</v>
      </c>
      <c r="L121" s="54">
        <v>43458.0</v>
      </c>
      <c r="M121" s="52">
        <v>949.0</v>
      </c>
      <c r="N121" s="52">
        <v>246.0</v>
      </c>
      <c r="O121" s="52" t="s">
        <v>1098</v>
      </c>
      <c r="P121" s="52" t="s">
        <v>1099</v>
      </c>
      <c r="Q121" s="52" t="s">
        <v>247</v>
      </c>
      <c r="R121" s="52" t="s">
        <v>1100</v>
      </c>
      <c r="S121" s="52" t="s">
        <v>1101</v>
      </c>
      <c r="T121" s="52">
        <v>0.94147217</v>
      </c>
      <c r="U121" s="52">
        <v>4147666.0</v>
      </c>
      <c r="V121" s="52">
        <v>52.0</v>
      </c>
    </row>
    <row r="122">
      <c r="A122" s="52" t="s">
        <v>1102</v>
      </c>
      <c r="B122" s="52" t="s">
        <v>1103</v>
      </c>
      <c r="C122" s="55" t="s">
        <v>1104</v>
      </c>
      <c r="D122" s="52">
        <v>8631.0</v>
      </c>
      <c r="E122" s="52">
        <v>592.0</v>
      </c>
      <c r="F122" s="52">
        <v>66987.0</v>
      </c>
      <c r="G122" s="52" t="s">
        <v>129</v>
      </c>
      <c r="H122" s="52">
        <v>28060.0</v>
      </c>
      <c r="I122" s="52">
        <v>333.0</v>
      </c>
      <c r="J122" s="52" t="s">
        <v>1105</v>
      </c>
      <c r="K122" s="54">
        <v>40765.0</v>
      </c>
      <c r="L122" s="54">
        <v>43445.0</v>
      </c>
      <c r="M122" s="52">
        <v>632.0</v>
      </c>
      <c r="N122" s="52">
        <v>32.0</v>
      </c>
      <c r="O122" s="52" t="s">
        <v>1106</v>
      </c>
      <c r="P122" s="52" t="s">
        <v>1107</v>
      </c>
      <c r="Q122" s="52" t="s">
        <v>114</v>
      </c>
      <c r="R122" s="52" t="s">
        <v>1108</v>
      </c>
      <c r="S122" s="52" t="s">
        <v>1109</v>
      </c>
      <c r="T122" s="52">
        <v>0.941615823</v>
      </c>
      <c r="U122" s="52">
        <v>8258967.0</v>
      </c>
      <c r="V122" s="52">
        <v>88.0</v>
      </c>
    </row>
    <row r="123">
      <c r="A123" s="52" t="s">
        <v>1110</v>
      </c>
      <c r="B123" s="52" t="s">
        <v>1111</v>
      </c>
      <c r="C123" s="55" t="s">
        <v>1112</v>
      </c>
      <c r="D123" s="52">
        <v>6476.0</v>
      </c>
      <c r="E123" s="52">
        <v>206.0</v>
      </c>
      <c r="F123" s="52">
        <v>46121.0</v>
      </c>
      <c r="G123" s="52" t="s">
        <v>129</v>
      </c>
      <c r="H123" s="52">
        <v>2092.0</v>
      </c>
      <c r="I123" s="52">
        <v>109.0</v>
      </c>
      <c r="J123" s="52" t="s">
        <v>1113</v>
      </c>
      <c r="K123" s="54">
        <v>40618.0</v>
      </c>
      <c r="L123" s="54">
        <v>43453.0</v>
      </c>
      <c r="M123" s="52">
        <v>74.0</v>
      </c>
      <c r="N123" s="52">
        <v>227.0</v>
      </c>
      <c r="O123" s="52" t="s">
        <v>1114</v>
      </c>
      <c r="P123" s="52" t="s">
        <v>1115</v>
      </c>
      <c r="Q123" s="52" t="s">
        <v>104</v>
      </c>
      <c r="R123" s="52" t="s">
        <v>1116</v>
      </c>
      <c r="S123" s="52" t="s">
        <v>1117</v>
      </c>
      <c r="T123" s="52">
        <v>0.893865724</v>
      </c>
      <c r="U123" s="52">
        <v>588287.0</v>
      </c>
      <c r="V123" s="52">
        <v>93.0</v>
      </c>
    </row>
    <row r="124">
      <c r="A124" s="52" t="s">
        <v>1118</v>
      </c>
      <c r="B124" s="52" t="s">
        <v>1119</v>
      </c>
      <c r="C124" s="55" t="s">
        <v>1120</v>
      </c>
      <c r="D124" s="52">
        <v>17040.0</v>
      </c>
      <c r="E124" s="52">
        <v>1086.0</v>
      </c>
      <c r="F124" s="52">
        <v>8414.0</v>
      </c>
      <c r="G124" s="52" t="s">
        <v>1121</v>
      </c>
      <c r="H124" s="52">
        <v>3979.0</v>
      </c>
      <c r="I124" s="52">
        <v>299.0</v>
      </c>
      <c r="J124" s="52" t="s">
        <v>1122</v>
      </c>
      <c r="K124" s="54">
        <v>40065.0</v>
      </c>
      <c r="L124" s="54">
        <v>43457.0</v>
      </c>
      <c r="M124" s="52">
        <v>149.0</v>
      </c>
      <c r="N124" s="52">
        <v>54.0</v>
      </c>
      <c r="O124" s="52" t="s">
        <v>1123</v>
      </c>
      <c r="P124" s="52" t="s">
        <v>1124</v>
      </c>
      <c r="Q124" s="52" t="s">
        <v>247</v>
      </c>
      <c r="R124" s="52" t="s">
        <v>1125</v>
      </c>
      <c r="S124" s="52" t="s">
        <v>1126</v>
      </c>
      <c r="T124" s="52">
        <v>0.995246853</v>
      </c>
      <c r="U124" s="52">
        <v>1504864.0</v>
      </c>
      <c r="V124" s="52">
        <v>111.0</v>
      </c>
    </row>
    <row r="125">
      <c r="A125" s="52" t="s">
        <v>1127</v>
      </c>
      <c r="B125" s="52" t="s">
        <v>1128</v>
      </c>
      <c r="C125" s="55" t="s">
        <v>1129</v>
      </c>
      <c r="D125" s="52">
        <v>2757.0</v>
      </c>
      <c r="E125" s="52">
        <v>159.0</v>
      </c>
      <c r="F125" s="52">
        <v>123386.0</v>
      </c>
      <c r="G125" s="52" t="s">
        <v>1130</v>
      </c>
      <c r="H125" s="52">
        <v>13896.0</v>
      </c>
      <c r="I125" s="52">
        <v>62.0</v>
      </c>
      <c r="J125" s="52" t="s">
        <v>1131</v>
      </c>
      <c r="K125" s="54">
        <v>41330.0</v>
      </c>
      <c r="L125" s="54">
        <v>43457.0</v>
      </c>
      <c r="M125" s="52">
        <v>332.0</v>
      </c>
      <c r="N125" s="52">
        <v>76.0</v>
      </c>
      <c r="O125" s="52" t="s">
        <v>1132</v>
      </c>
      <c r="P125" s="52" t="s">
        <v>1133</v>
      </c>
      <c r="Q125" s="52" t="s">
        <v>489</v>
      </c>
      <c r="R125" s="52" t="s">
        <v>1134</v>
      </c>
      <c r="S125" s="52" t="s">
        <v>1135</v>
      </c>
      <c r="T125" s="52">
        <v>0.857248576</v>
      </c>
      <c r="U125" s="52">
        <v>3412620.0</v>
      </c>
      <c r="V125" s="52">
        <v>69.0</v>
      </c>
    </row>
    <row r="126">
      <c r="A126" s="52" t="s">
        <v>1136</v>
      </c>
      <c r="B126" s="52" t="s">
        <v>1137</v>
      </c>
      <c r="C126" s="55" t="s">
        <v>1138</v>
      </c>
      <c r="D126" s="52">
        <v>3226.0</v>
      </c>
      <c r="E126" s="52">
        <v>194.0</v>
      </c>
      <c r="F126" s="52">
        <v>1903.0</v>
      </c>
      <c r="G126" s="52" t="s">
        <v>1139</v>
      </c>
      <c r="H126" s="52">
        <v>1544.0</v>
      </c>
      <c r="I126" s="52">
        <v>265.0</v>
      </c>
      <c r="J126" s="52" t="s">
        <v>1140</v>
      </c>
      <c r="K126" s="54">
        <v>41255.0</v>
      </c>
      <c r="L126" s="54">
        <v>43458.0</v>
      </c>
      <c r="M126" s="52">
        <v>161.0</v>
      </c>
      <c r="N126" s="52">
        <v>51.0</v>
      </c>
      <c r="O126" s="52" t="s">
        <v>1141</v>
      </c>
      <c r="P126" s="52" t="s">
        <v>1142</v>
      </c>
      <c r="Q126" s="52" t="s">
        <v>608</v>
      </c>
      <c r="R126" s="52" t="s">
        <v>1143</v>
      </c>
      <c r="S126" s="52" t="s">
        <v>1144</v>
      </c>
      <c r="T126" s="52">
        <v>0.998826957</v>
      </c>
      <c r="U126" s="52">
        <v>544098.0</v>
      </c>
      <c r="V126" s="52">
        <v>72.0</v>
      </c>
    </row>
    <row r="127">
      <c r="A127" s="52" t="s">
        <v>1145</v>
      </c>
      <c r="B127" s="52" t="s">
        <v>1146</v>
      </c>
      <c r="C127" s="55" t="s">
        <v>1147</v>
      </c>
      <c r="D127" s="52">
        <v>3103.0</v>
      </c>
      <c r="E127" s="52">
        <v>178.0</v>
      </c>
      <c r="F127" s="52">
        <v>59271.0</v>
      </c>
      <c r="G127" s="52" t="s">
        <v>1148</v>
      </c>
      <c r="H127" s="52">
        <v>24231.0</v>
      </c>
      <c r="I127" s="52">
        <v>89.0</v>
      </c>
      <c r="J127" s="52" t="s">
        <v>1149</v>
      </c>
      <c r="K127" s="54">
        <v>40725.0</v>
      </c>
      <c r="L127" s="54">
        <v>43445.0</v>
      </c>
      <c r="M127" s="52">
        <v>85.0</v>
      </c>
      <c r="N127" s="52">
        <v>45.0</v>
      </c>
      <c r="O127" s="52" t="s">
        <v>1150</v>
      </c>
      <c r="P127" s="52" t="s">
        <v>1151</v>
      </c>
      <c r="Q127" s="52" t="s">
        <v>114</v>
      </c>
      <c r="R127" s="52" t="s">
        <v>1152</v>
      </c>
      <c r="S127" s="52" t="s">
        <v>1153</v>
      </c>
      <c r="T127" s="52">
        <v>0.995505477</v>
      </c>
      <c r="U127" s="52">
        <v>1.2280238E7</v>
      </c>
      <c r="V127" s="52">
        <v>89.0</v>
      </c>
    </row>
    <row r="128">
      <c r="A128" s="52" t="s">
        <v>1154</v>
      </c>
      <c r="B128" s="52" t="s">
        <v>1155</v>
      </c>
      <c r="C128" s="55" t="s">
        <v>1156</v>
      </c>
      <c r="D128" s="52">
        <v>2349.0</v>
      </c>
      <c r="E128" s="52">
        <v>172.0</v>
      </c>
      <c r="F128" s="52">
        <v>172067.0</v>
      </c>
      <c r="G128" s="52" t="s">
        <v>1157</v>
      </c>
      <c r="H128" s="52">
        <v>16351.0</v>
      </c>
      <c r="I128" s="52">
        <v>56.0</v>
      </c>
      <c r="J128" s="52" t="s">
        <v>1158</v>
      </c>
      <c r="K128" s="54">
        <v>40786.0</v>
      </c>
      <c r="L128" s="54">
        <v>43458.0</v>
      </c>
      <c r="M128" s="52">
        <v>716.0</v>
      </c>
      <c r="N128" s="52">
        <v>32.0</v>
      </c>
      <c r="O128" s="52" t="s">
        <v>1159</v>
      </c>
      <c r="P128" s="52" t="s">
        <v>1160</v>
      </c>
      <c r="Q128" s="52" t="s">
        <v>74</v>
      </c>
      <c r="R128" s="52" t="s">
        <v>1161</v>
      </c>
      <c r="S128" s="52" t="s">
        <v>1162</v>
      </c>
      <c r="T128" s="52">
        <v>0.728844661</v>
      </c>
      <c r="U128" s="52">
        <v>9169954.0</v>
      </c>
      <c r="V128" s="52">
        <v>87.0</v>
      </c>
    </row>
    <row r="129">
      <c r="A129" s="52" t="s">
        <v>1163</v>
      </c>
      <c r="B129" s="52" t="s">
        <v>1164</v>
      </c>
      <c r="C129" s="55" t="s">
        <v>1165</v>
      </c>
      <c r="D129" s="52">
        <v>6421.0</v>
      </c>
      <c r="E129" s="52">
        <v>346.0</v>
      </c>
      <c r="F129" s="52">
        <v>79694.0</v>
      </c>
      <c r="G129" s="52" t="s">
        <v>1166</v>
      </c>
      <c r="H129" s="52">
        <v>8894.0</v>
      </c>
      <c r="I129" s="52">
        <v>310.0</v>
      </c>
      <c r="J129" s="52" t="s">
        <v>1167</v>
      </c>
      <c r="K129" s="54">
        <v>41673.0</v>
      </c>
      <c r="L129" s="54">
        <v>43456.0</v>
      </c>
      <c r="M129" s="52">
        <v>652.0</v>
      </c>
      <c r="N129" s="52">
        <v>100.0</v>
      </c>
      <c r="O129" s="52" t="s">
        <v>1168</v>
      </c>
      <c r="P129" s="52" t="s">
        <v>1169</v>
      </c>
      <c r="Q129" s="52" t="s">
        <v>114</v>
      </c>
      <c r="R129" s="52" t="s">
        <v>1170</v>
      </c>
      <c r="S129" s="52" t="s">
        <v>1171</v>
      </c>
      <c r="T129" s="52">
        <v>0.808903868</v>
      </c>
      <c r="U129" s="52">
        <v>3444070.0</v>
      </c>
      <c r="V129" s="52">
        <v>58.0</v>
      </c>
    </row>
    <row r="130">
      <c r="A130" s="52" t="s">
        <v>1172</v>
      </c>
      <c r="B130" s="52" t="s">
        <v>1173</v>
      </c>
      <c r="C130" s="55" t="s">
        <v>1174</v>
      </c>
      <c r="D130" s="52">
        <v>2344.0</v>
      </c>
      <c r="E130" s="52">
        <v>107.0</v>
      </c>
      <c r="F130" s="52">
        <v>28898.0</v>
      </c>
      <c r="G130" s="52" t="s">
        <v>1175</v>
      </c>
      <c r="H130" s="52">
        <v>2950.0</v>
      </c>
      <c r="I130" s="52">
        <v>49.0</v>
      </c>
      <c r="J130" s="52" t="s">
        <v>1176</v>
      </c>
      <c r="K130" s="54">
        <v>40764.0</v>
      </c>
      <c r="L130" s="54">
        <v>43439.0</v>
      </c>
      <c r="M130" s="52">
        <v>115.0</v>
      </c>
      <c r="N130" s="52">
        <v>58.0</v>
      </c>
      <c r="O130" s="52" t="s">
        <v>1177</v>
      </c>
      <c r="P130" s="52" t="s">
        <v>1178</v>
      </c>
      <c r="Q130" s="52" t="s">
        <v>94</v>
      </c>
      <c r="R130" s="52" t="s">
        <v>1179</v>
      </c>
      <c r="S130" s="52" t="s">
        <v>1180</v>
      </c>
      <c r="T130" s="52">
        <v>0.95916138</v>
      </c>
      <c r="U130" s="52">
        <v>1356611.0</v>
      </c>
      <c r="V130" s="52">
        <v>87.0</v>
      </c>
    </row>
    <row r="131">
      <c r="A131" s="52" t="s">
        <v>1181</v>
      </c>
      <c r="B131" s="52" t="s">
        <v>1182</v>
      </c>
      <c r="C131" s="55" t="s">
        <v>1183</v>
      </c>
      <c r="D131" s="52">
        <v>1682.0</v>
      </c>
      <c r="E131" s="52">
        <v>246.0</v>
      </c>
      <c r="F131" s="52">
        <v>40258.0</v>
      </c>
      <c r="G131" s="52" t="s">
        <v>129</v>
      </c>
      <c r="H131" s="52">
        <v>7741.0</v>
      </c>
      <c r="I131" s="52">
        <v>169.0</v>
      </c>
      <c r="J131" s="52" t="s">
        <v>1184</v>
      </c>
      <c r="K131" s="54">
        <v>39759.0</v>
      </c>
      <c r="L131" s="54">
        <v>43444.0</v>
      </c>
      <c r="M131" s="52">
        <v>234.0</v>
      </c>
      <c r="N131" s="52">
        <v>69.0</v>
      </c>
      <c r="O131" s="52" t="s">
        <v>1185</v>
      </c>
      <c r="P131" s="52" t="s">
        <v>1186</v>
      </c>
      <c r="Q131" s="52" t="s">
        <v>114</v>
      </c>
      <c r="R131" s="52" t="s">
        <v>1187</v>
      </c>
      <c r="S131" s="52" t="s">
        <v>1188</v>
      </c>
      <c r="T131" s="52">
        <v>0.893942162</v>
      </c>
      <c r="U131" s="52">
        <v>6866140.0</v>
      </c>
      <c r="V131" s="52">
        <v>121.0</v>
      </c>
    </row>
    <row r="132">
      <c r="A132" s="52" t="s">
        <v>1189</v>
      </c>
      <c r="B132" s="52" t="s">
        <v>1190</v>
      </c>
      <c r="C132" s="55" t="s">
        <v>1191</v>
      </c>
      <c r="D132" s="52">
        <v>6634.0</v>
      </c>
      <c r="E132" s="52">
        <v>232.0</v>
      </c>
      <c r="F132" s="52">
        <v>14370.0</v>
      </c>
      <c r="G132" s="52" t="s">
        <v>1192</v>
      </c>
      <c r="H132" s="52">
        <v>6209.0</v>
      </c>
      <c r="I132" s="52">
        <v>375.0</v>
      </c>
      <c r="J132" s="52" t="s">
        <v>1193</v>
      </c>
      <c r="K132" s="54">
        <v>41548.0</v>
      </c>
      <c r="L132" s="54">
        <v>43459.0</v>
      </c>
      <c r="M132" s="52">
        <v>173.0</v>
      </c>
      <c r="N132" s="52">
        <v>186.0</v>
      </c>
      <c r="O132" s="52" t="s">
        <v>1194</v>
      </c>
      <c r="P132" s="52" t="s">
        <v>1195</v>
      </c>
      <c r="Q132" s="52" t="s">
        <v>247</v>
      </c>
      <c r="R132" s="52" t="s">
        <v>1196</v>
      </c>
      <c r="S132" s="52" t="s">
        <v>1197</v>
      </c>
      <c r="T132" s="52">
        <v>0.891640971</v>
      </c>
      <c r="U132" s="52">
        <v>1620191.0</v>
      </c>
      <c r="V132" s="52">
        <v>62.0</v>
      </c>
    </row>
    <row r="133">
      <c r="A133" s="52" t="s">
        <v>1198</v>
      </c>
      <c r="B133" s="52" t="s">
        <v>1199</v>
      </c>
      <c r="C133" s="55" t="s">
        <v>1200</v>
      </c>
      <c r="D133" s="52">
        <v>4444.0</v>
      </c>
      <c r="E133" s="52">
        <v>236.0</v>
      </c>
      <c r="F133" s="52">
        <v>10667.0</v>
      </c>
      <c r="G133" s="52" t="s">
        <v>1201</v>
      </c>
      <c r="H133" s="52">
        <v>3739.0</v>
      </c>
      <c r="I133" s="52">
        <v>286.0</v>
      </c>
      <c r="J133" s="52" t="s">
        <v>1202</v>
      </c>
      <c r="K133" s="54">
        <v>40469.0</v>
      </c>
      <c r="L133" s="54">
        <v>43445.0</v>
      </c>
      <c r="M133" s="52">
        <v>54.0</v>
      </c>
      <c r="N133" s="52">
        <v>52.0</v>
      </c>
      <c r="O133" s="52" t="s">
        <v>1203</v>
      </c>
      <c r="P133" s="52" t="s">
        <v>1204</v>
      </c>
      <c r="Q133" s="52" t="s">
        <v>94</v>
      </c>
      <c r="R133" s="52" t="s">
        <v>1205</v>
      </c>
      <c r="S133" s="52" t="s">
        <v>1206</v>
      </c>
      <c r="T133" s="52">
        <v>0.988042819</v>
      </c>
      <c r="U133" s="52">
        <v>1133625.0</v>
      </c>
      <c r="V133" s="52">
        <v>97.0</v>
      </c>
    </row>
    <row r="134">
      <c r="A134" s="52" t="s">
        <v>1207</v>
      </c>
      <c r="B134" s="52" t="s">
        <v>1208</v>
      </c>
      <c r="C134" s="55" t="s">
        <v>1209</v>
      </c>
      <c r="D134" s="52">
        <v>45187.0</v>
      </c>
      <c r="E134" s="52">
        <v>1660.0</v>
      </c>
      <c r="F134" s="52">
        <v>53560.0</v>
      </c>
      <c r="G134" s="52" t="s">
        <v>129</v>
      </c>
      <c r="H134" s="52">
        <v>16664.0</v>
      </c>
      <c r="I134" s="52">
        <v>401.0</v>
      </c>
      <c r="J134" s="52" t="s">
        <v>1210</v>
      </c>
      <c r="K134" s="54">
        <v>40482.0</v>
      </c>
      <c r="L134" s="54">
        <v>43458.0</v>
      </c>
      <c r="M134" s="52">
        <v>2583.0</v>
      </c>
      <c r="N134" s="52">
        <v>1015.0</v>
      </c>
      <c r="O134" s="52" t="s">
        <v>1211</v>
      </c>
      <c r="P134" s="52" t="s">
        <v>1212</v>
      </c>
      <c r="Q134" s="52" t="s">
        <v>1213</v>
      </c>
      <c r="R134" s="52" t="s">
        <v>1214</v>
      </c>
      <c r="S134" s="52" t="s">
        <v>1215</v>
      </c>
      <c r="T134" s="52">
        <v>0.99650476</v>
      </c>
      <c r="U134" s="52">
        <v>5284961.0</v>
      </c>
      <c r="V134" s="52">
        <v>97.0</v>
      </c>
    </row>
    <row r="135">
      <c r="A135" s="52" t="s">
        <v>1216</v>
      </c>
      <c r="B135" s="52" t="s">
        <v>1217</v>
      </c>
      <c r="C135" s="55" t="s">
        <v>1218</v>
      </c>
      <c r="D135" s="52">
        <v>8109.0</v>
      </c>
      <c r="E135" s="52">
        <v>878.0</v>
      </c>
      <c r="F135" s="52">
        <v>154622.0</v>
      </c>
      <c r="G135" s="52" t="s">
        <v>1219</v>
      </c>
      <c r="H135" s="52">
        <v>5755.0</v>
      </c>
      <c r="I135" s="52">
        <v>100.0</v>
      </c>
      <c r="J135" s="52" t="s">
        <v>1220</v>
      </c>
      <c r="K135" s="54">
        <v>41201.0</v>
      </c>
      <c r="L135" s="54">
        <v>43446.0</v>
      </c>
      <c r="M135" s="52">
        <v>260.0</v>
      </c>
      <c r="N135" s="52">
        <v>26.0</v>
      </c>
      <c r="O135" s="52" t="s">
        <v>1221</v>
      </c>
      <c r="P135" s="52" t="s">
        <v>1222</v>
      </c>
      <c r="Q135" s="52" t="s">
        <v>247</v>
      </c>
      <c r="R135" s="52" t="s">
        <v>1223</v>
      </c>
      <c r="S135" s="52" t="s">
        <v>1224</v>
      </c>
      <c r="T135" s="52">
        <v>0.955015807</v>
      </c>
      <c r="U135" s="52">
        <v>3822552.0</v>
      </c>
      <c r="V135" s="52">
        <v>73.0</v>
      </c>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R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s>
  <drawing r:id="rId1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71"/>
    <col customWidth="1" min="3" max="3" width="27.0"/>
    <col customWidth="1" min="4" max="4" width="10.43"/>
    <col customWidth="1" min="5" max="5" width="75.0"/>
  </cols>
  <sheetData>
    <row r="1">
      <c r="A1" s="50" t="s">
        <v>47</v>
      </c>
      <c r="B1" s="50" t="s">
        <v>49</v>
      </c>
      <c r="C1" s="50" t="s">
        <v>54</v>
      </c>
      <c r="D1" s="50"/>
      <c r="E1" s="56" t="str">
        <f>CONCATENATE('✅ Filter Rules'!E2*100, "th Percentile")</f>
        <v>20th Percentile</v>
      </c>
    </row>
    <row r="2">
      <c r="A2" s="52" t="s">
        <v>361</v>
      </c>
      <c r="B2" s="55" t="s">
        <v>363</v>
      </c>
      <c r="C2" s="57">
        <v>1261.0</v>
      </c>
      <c r="D2" s="52"/>
      <c r="E2" s="58">
        <f>percentile(C2:C134, '✅ Filter Rules'!E2)</f>
        <v>2968</v>
      </c>
    </row>
    <row r="3">
      <c r="A3" s="52" t="s">
        <v>439</v>
      </c>
      <c r="B3" s="55" t="s">
        <v>441</v>
      </c>
      <c r="C3" s="57">
        <v>1447.0</v>
      </c>
      <c r="D3" s="52"/>
      <c r="E3" s="52"/>
    </row>
    <row r="4">
      <c r="A4" s="52" t="s">
        <v>569</v>
      </c>
      <c r="B4" s="55" t="s">
        <v>571</v>
      </c>
      <c r="C4" s="57">
        <v>1474.0</v>
      </c>
      <c r="D4" s="52"/>
      <c r="E4" s="52" t="s">
        <v>1225</v>
      </c>
    </row>
    <row r="5">
      <c r="A5" s="52" t="s">
        <v>232</v>
      </c>
      <c r="B5" s="55" t="s">
        <v>234</v>
      </c>
      <c r="C5" s="57">
        <v>1503.0</v>
      </c>
      <c r="D5" s="52"/>
      <c r="E5" s="52" t="s">
        <v>1226</v>
      </c>
    </row>
    <row r="6">
      <c r="A6" s="52" t="s">
        <v>1136</v>
      </c>
      <c r="B6" s="55" t="s">
        <v>1138</v>
      </c>
      <c r="C6" s="57">
        <v>1544.0</v>
      </c>
      <c r="D6" s="52"/>
      <c r="E6" s="50" t="s">
        <v>1227</v>
      </c>
    </row>
    <row r="7">
      <c r="A7" s="52" t="s">
        <v>988</v>
      </c>
      <c r="B7" s="55" t="s">
        <v>990</v>
      </c>
      <c r="C7" s="57">
        <v>1561.0</v>
      </c>
      <c r="D7" s="52"/>
      <c r="E7" s="52"/>
    </row>
    <row r="8">
      <c r="A8" s="52" t="s">
        <v>327</v>
      </c>
      <c r="B8" s="55" t="s">
        <v>329</v>
      </c>
      <c r="C8" s="57">
        <v>1581.0</v>
      </c>
      <c r="D8" s="52"/>
      <c r="E8" s="52"/>
    </row>
    <row r="9">
      <c r="A9" s="52" t="s">
        <v>179</v>
      </c>
      <c r="B9" s="55" t="s">
        <v>181</v>
      </c>
      <c r="C9" s="57">
        <v>1610.0</v>
      </c>
      <c r="D9" s="52"/>
      <c r="E9" s="52"/>
    </row>
    <row r="10">
      <c r="A10" s="52" t="s">
        <v>919</v>
      </c>
      <c r="B10" s="55" t="s">
        <v>921</v>
      </c>
      <c r="C10" s="57">
        <v>1643.0</v>
      </c>
      <c r="D10" s="52"/>
      <c r="E10" s="52"/>
    </row>
    <row r="11">
      <c r="A11" s="52" t="s">
        <v>160</v>
      </c>
      <c r="B11" s="55" t="s">
        <v>162</v>
      </c>
      <c r="C11" s="57">
        <v>1740.0</v>
      </c>
      <c r="D11" s="52"/>
      <c r="E11" s="52"/>
    </row>
    <row r="12">
      <c r="A12" s="52" t="s">
        <v>387</v>
      </c>
      <c r="B12" s="55" t="s">
        <v>389</v>
      </c>
      <c r="C12" s="57">
        <v>1835.0</v>
      </c>
      <c r="D12" s="52"/>
      <c r="E12" s="52"/>
    </row>
    <row r="13">
      <c r="A13" s="52" t="s">
        <v>535</v>
      </c>
      <c r="B13" s="55" t="s">
        <v>537</v>
      </c>
      <c r="C13" s="57">
        <v>1836.0</v>
      </c>
      <c r="D13" s="52"/>
      <c r="E13" s="52"/>
    </row>
    <row r="14">
      <c r="A14" s="52" t="s">
        <v>1032</v>
      </c>
      <c r="B14" s="55" t="s">
        <v>1034</v>
      </c>
      <c r="C14" s="57">
        <v>1859.0</v>
      </c>
      <c r="D14" s="52"/>
      <c r="E14" s="52"/>
    </row>
    <row r="15">
      <c r="A15" s="52" t="s">
        <v>552</v>
      </c>
      <c r="B15" s="55" t="s">
        <v>554</v>
      </c>
      <c r="C15" s="57">
        <v>1970.0</v>
      </c>
      <c r="D15" s="52"/>
      <c r="E15" s="52"/>
    </row>
    <row r="16">
      <c r="A16" s="52" t="s">
        <v>294</v>
      </c>
      <c r="B16" s="55" t="s">
        <v>296</v>
      </c>
      <c r="C16" s="57">
        <v>2039.0</v>
      </c>
      <c r="D16" s="52"/>
      <c r="E16" s="52"/>
    </row>
    <row r="17">
      <c r="A17" s="52" t="s">
        <v>903</v>
      </c>
      <c r="B17" s="55" t="s">
        <v>905</v>
      </c>
      <c r="C17" s="57">
        <v>2050.0</v>
      </c>
      <c r="D17" s="52"/>
      <c r="E17" s="52"/>
    </row>
    <row r="18">
      <c r="A18" s="52" t="s">
        <v>430</v>
      </c>
      <c r="B18" s="55" t="s">
        <v>432</v>
      </c>
      <c r="C18" s="57">
        <v>2056.0</v>
      </c>
      <c r="D18" s="52"/>
      <c r="E18" s="52"/>
    </row>
    <row r="19">
      <c r="A19" s="52" t="s">
        <v>758</v>
      </c>
      <c r="B19" s="55" t="s">
        <v>760</v>
      </c>
      <c r="C19" s="57">
        <v>2091.0</v>
      </c>
      <c r="D19" s="52"/>
      <c r="E19" s="52"/>
    </row>
    <row r="20">
      <c r="A20" s="52" t="s">
        <v>1110</v>
      </c>
      <c r="B20" s="55" t="s">
        <v>1112</v>
      </c>
      <c r="C20" s="57">
        <v>2092.0</v>
      </c>
      <c r="D20" s="52"/>
      <c r="E20" s="52"/>
    </row>
    <row r="21">
      <c r="A21" s="52" t="s">
        <v>1067</v>
      </c>
      <c r="B21" s="55" t="s">
        <v>1069</v>
      </c>
      <c r="C21" s="57">
        <v>2095.0</v>
      </c>
      <c r="D21" s="52"/>
      <c r="E21" s="52"/>
    </row>
    <row r="22">
      <c r="A22" s="52" t="s">
        <v>850</v>
      </c>
      <c r="B22" s="55" t="s">
        <v>852</v>
      </c>
      <c r="C22" s="57">
        <v>2467.0</v>
      </c>
      <c r="D22" s="52"/>
      <c r="E22" s="52"/>
    </row>
    <row r="23">
      <c r="A23" s="52" t="s">
        <v>67</v>
      </c>
      <c r="B23" s="55" t="s">
        <v>69</v>
      </c>
      <c r="C23" s="57">
        <v>2599.0</v>
      </c>
      <c r="D23" s="52"/>
      <c r="E23" s="52"/>
    </row>
    <row r="24">
      <c r="A24" s="52" t="s">
        <v>320</v>
      </c>
      <c r="B24" s="55" t="s">
        <v>322</v>
      </c>
      <c r="C24" s="57">
        <v>2740.0</v>
      </c>
      <c r="D24" s="52"/>
      <c r="E24" s="52"/>
    </row>
    <row r="25">
      <c r="A25" s="52" t="s">
        <v>369</v>
      </c>
      <c r="B25" s="55" t="s">
        <v>371</v>
      </c>
      <c r="C25" s="57">
        <v>2749.0</v>
      </c>
      <c r="D25" s="52"/>
      <c r="E25" s="52"/>
    </row>
    <row r="26">
      <c r="A26" s="52" t="s">
        <v>500</v>
      </c>
      <c r="B26" s="55" t="s">
        <v>502</v>
      </c>
      <c r="C26" s="57">
        <v>2788.0</v>
      </c>
      <c r="D26" s="52"/>
      <c r="E26" s="52"/>
    </row>
    <row r="27">
      <c r="A27" s="52" t="s">
        <v>412</v>
      </c>
      <c r="B27" s="55" t="s">
        <v>414</v>
      </c>
      <c r="C27" s="57">
        <v>2910.0</v>
      </c>
      <c r="D27" s="52"/>
      <c r="E27" s="52"/>
    </row>
    <row r="28">
      <c r="A28" s="52" t="s">
        <v>1172</v>
      </c>
      <c r="B28" s="55" t="s">
        <v>1174</v>
      </c>
      <c r="C28" s="57">
        <v>2950.0</v>
      </c>
      <c r="D28" s="52"/>
      <c r="E28" s="52"/>
    </row>
    <row r="29">
      <c r="A29" s="52" t="s">
        <v>97</v>
      </c>
      <c r="B29" s="55" t="s">
        <v>99</v>
      </c>
      <c r="C29" s="57">
        <v>2995.0</v>
      </c>
      <c r="D29" s="52"/>
      <c r="E29" s="52"/>
    </row>
    <row r="30">
      <c r="A30" s="52" t="s">
        <v>816</v>
      </c>
      <c r="B30" s="55" t="s">
        <v>818</v>
      </c>
      <c r="C30" s="57">
        <v>2999.0</v>
      </c>
      <c r="D30" s="52"/>
      <c r="E30" s="52"/>
    </row>
    <row r="31">
      <c r="A31" s="52" t="s">
        <v>740</v>
      </c>
      <c r="B31" s="55" t="s">
        <v>742</v>
      </c>
      <c r="C31" s="57">
        <v>3057.0</v>
      </c>
      <c r="D31" s="52"/>
      <c r="E31" s="52"/>
    </row>
    <row r="32">
      <c r="A32" s="52" t="s">
        <v>302</v>
      </c>
      <c r="B32" s="55" t="s">
        <v>304</v>
      </c>
      <c r="C32" s="57">
        <v>3131.0</v>
      </c>
      <c r="D32" s="52"/>
      <c r="E32" s="52"/>
    </row>
    <row r="33">
      <c r="A33" s="52" t="s">
        <v>645</v>
      </c>
      <c r="B33" s="55" t="s">
        <v>647</v>
      </c>
      <c r="C33" s="57">
        <v>3148.0</v>
      </c>
      <c r="D33" s="52"/>
      <c r="E33" s="52"/>
    </row>
    <row r="34">
      <c r="A34" s="52" t="s">
        <v>593</v>
      </c>
      <c r="B34" s="55" t="s">
        <v>595</v>
      </c>
      <c r="C34" s="57">
        <v>3199.0</v>
      </c>
      <c r="D34" s="52"/>
      <c r="E34" s="52"/>
    </row>
    <row r="35">
      <c r="A35" s="52" t="s">
        <v>671</v>
      </c>
      <c r="B35" s="55" t="s">
        <v>673</v>
      </c>
      <c r="C35" s="57">
        <v>3230.0</v>
      </c>
      <c r="D35" s="52"/>
      <c r="E35" s="52"/>
    </row>
    <row r="36">
      <c r="A36" s="52" t="s">
        <v>807</v>
      </c>
      <c r="B36" s="55" t="s">
        <v>809</v>
      </c>
      <c r="C36" s="57">
        <v>3335.0</v>
      </c>
      <c r="D36" s="52"/>
      <c r="E36" s="52"/>
    </row>
    <row r="37">
      <c r="A37" s="52" t="s">
        <v>543</v>
      </c>
      <c r="B37" s="55" t="s">
        <v>545</v>
      </c>
      <c r="C37" s="57">
        <v>3382.0</v>
      </c>
      <c r="D37" s="52"/>
      <c r="E37" s="52"/>
    </row>
    <row r="38">
      <c r="A38" s="52" t="s">
        <v>482</v>
      </c>
      <c r="B38" s="55" t="s">
        <v>484</v>
      </c>
      <c r="C38" s="57">
        <v>3394.0</v>
      </c>
      <c r="D38" s="52"/>
      <c r="E38" s="52"/>
    </row>
    <row r="39">
      <c r="A39" s="52" t="s">
        <v>448</v>
      </c>
      <c r="B39" s="55" t="s">
        <v>450</v>
      </c>
      <c r="C39" s="57">
        <v>3427.0</v>
      </c>
      <c r="D39" s="52"/>
      <c r="E39" s="52"/>
    </row>
    <row r="40">
      <c r="A40" s="52" t="s">
        <v>876</v>
      </c>
      <c r="B40" s="55" t="s">
        <v>878</v>
      </c>
      <c r="C40" s="57">
        <v>3582.0</v>
      </c>
      <c r="D40" s="52"/>
      <c r="E40" s="52"/>
    </row>
    <row r="41">
      <c r="A41" s="52" t="s">
        <v>464</v>
      </c>
      <c r="B41" s="55" t="s">
        <v>466</v>
      </c>
      <c r="C41" s="57">
        <v>3689.0</v>
      </c>
      <c r="D41" s="52"/>
      <c r="E41" s="52"/>
    </row>
    <row r="42">
      <c r="A42" s="52" t="s">
        <v>577</v>
      </c>
      <c r="B42" s="55" t="s">
        <v>579</v>
      </c>
      <c r="C42" s="57">
        <v>3722.0</v>
      </c>
      <c r="D42" s="52"/>
      <c r="E42" s="52"/>
    </row>
    <row r="43">
      <c r="A43" s="52" t="s">
        <v>1198</v>
      </c>
      <c r="B43" s="55" t="s">
        <v>1200</v>
      </c>
      <c r="C43" s="57">
        <v>3739.0</v>
      </c>
      <c r="D43" s="52"/>
      <c r="E43" s="52"/>
    </row>
    <row r="44">
      <c r="A44" s="52" t="s">
        <v>731</v>
      </c>
      <c r="B44" s="55" t="s">
        <v>733</v>
      </c>
      <c r="C44" s="57">
        <v>3842.0</v>
      </c>
      <c r="D44" s="52"/>
      <c r="E44" s="52"/>
    </row>
    <row r="45">
      <c r="A45" s="52" t="s">
        <v>867</v>
      </c>
      <c r="B45" s="55" t="s">
        <v>869</v>
      </c>
      <c r="C45" s="57">
        <v>3883.0</v>
      </c>
      <c r="D45" s="52"/>
      <c r="E45" s="52"/>
    </row>
    <row r="46">
      <c r="A46" s="52" t="s">
        <v>1006</v>
      </c>
      <c r="B46" s="55" t="s">
        <v>1008</v>
      </c>
      <c r="C46" s="57">
        <v>3978.0</v>
      </c>
      <c r="D46" s="52"/>
      <c r="E46" s="52"/>
    </row>
    <row r="47">
      <c r="A47" s="52" t="s">
        <v>1118</v>
      </c>
      <c r="B47" s="55" t="s">
        <v>1120</v>
      </c>
      <c r="C47" s="57">
        <v>3979.0</v>
      </c>
      <c r="D47" s="52"/>
      <c r="E47" s="52"/>
    </row>
    <row r="48">
      <c r="A48" s="52" t="s">
        <v>790</v>
      </c>
      <c r="B48" s="55" t="s">
        <v>792</v>
      </c>
      <c r="C48" s="57">
        <v>4153.0</v>
      </c>
      <c r="D48" s="52"/>
      <c r="E48" s="52"/>
    </row>
    <row r="49">
      <c r="A49" s="52" t="s">
        <v>620</v>
      </c>
      <c r="B49" s="55" t="s">
        <v>622</v>
      </c>
      <c r="C49" s="57">
        <v>4181.0</v>
      </c>
      <c r="D49" s="52"/>
      <c r="E49" s="52"/>
    </row>
    <row r="50">
      <c r="A50" s="52" t="s">
        <v>353</v>
      </c>
      <c r="B50" s="55" t="s">
        <v>355</v>
      </c>
      <c r="C50" s="57">
        <v>4613.0</v>
      </c>
      <c r="D50" s="52"/>
      <c r="E50" s="52"/>
    </row>
    <row r="51">
      <c r="A51" s="52" t="s">
        <v>421</v>
      </c>
      <c r="B51" s="55" t="s">
        <v>423</v>
      </c>
      <c r="C51" s="57">
        <v>4864.0</v>
      </c>
      <c r="D51" s="52"/>
      <c r="E51" s="52"/>
    </row>
    <row r="52">
      <c r="A52" s="52" t="s">
        <v>798</v>
      </c>
      <c r="B52" s="55" t="s">
        <v>800</v>
      </c>
      <c r="C52" s="57">
        <v>4961.0</v>
      </c>
      <c r="D52" s="52"/>
      <c r="E52" s="52"/>
    </row>
    <row r="53">
      <c r="A53" s="52" t="s">
        <v>473</v>
      </c>
      <c r="B53" s="55" t="s">
        <v>475</v>
      </c>
      <c r="C53" s="57">
        <v>4986.0</v>
      </c>
      <c r="D53" s="52"/>
      <c r="E53" s="52"/>
    </row>
    <row r="54">
      <c r="A54" s="52" t="s">
        <v>259</v>
      </c>
      <c r="B54" s="55" t="s">
        <v>261</v>
      </c>
      <c r="C54" s="57">
        <v>5181.0</v>
      </c>
      <c r="D54" s="52"/>
      <c r="E54" s="52"/>
    </row>
    <row r="55">
      <c r="A55" s="52" t="s">
        <v>602</v>
      </c>
      <c r="B55" s="55" t="s">
        <v>604</v>
      </c>
      <c r="C55" s="57">
        <v>5201.0</v>
      </c>
      <c r="D55" s="52"/>
      <c r="E55" s="52"/>
    </row>
    <row r="56">
      <c r="A56" s="52" t="s">
        <v>240</v>
      </c>
      <c r="B56" s="55" t="s">
        <v>242</v>
      </c>
      <c r="C56" s="57">
        <v>5210.0</v>
      </c>
      <c r="D56" s="52"/>
      <c r="E56" s="52"/>
    </row>
    <row r="57">
      <c r="A57" s="52" t="s">
        <v>705</v>
      </c>
      <c r="B57" s="55" t="s">
        <v>707</v>
      </c>
      <c r="C57" s="57">
        <v>5558.0</v>
      </c>
      <c r="D57" s="52"/>
      <c r="E57" s="52"/>
    </row>
    <row r="58">
      <c r="A58" s="52" t="s">
        <v>662</v>
      </c>
      <c r="B58" s="55" t="s">
        <v>664</v>
      </c>
      <c r="C58" s="57">
        <v>5642.0</v>
      </c>
      <c r="D58" s="52"/>
      <c r="E58" s="52"/>
    </row>
    <row r="59">
      <c r="A59" s="52" t="s">
        <v>1216</v>
      </c>
      <c r="B59" s="55" t="s">
        <v>1218</v>
      </c>
      <c r="C59" s="57">
        <v>5755.0</v>
      </c>
      <c r="D59" s="52"/>
      <c r="E59" s="52"/>
    </row>
    <row r="60">
      <c r="A60" s="52" t="s">
        <v>749</v>
      </c>
      <c r="B60" s="55" t="s">
        <v>751</v>
      </c>
      <c r="C60" s="57">
        <v>5788.0</v>
      </c>
      <c r="D60" s="52"/>
      <c r="E60" s="52"/>
    </row>
    <row r="61">
      <c r="A61" s="52" t="s">
        <v>894</v>
      </c>
      <c r="B61" s="55" t="s">
        <v>896</v>
      </c>
      <c r="C61" s="57">
        <v>6153.0</v>
      </c>
      <c r="D61" s="52"/>
      <c r="E61" s="52"/>
    </row>
    <row r="62">
      <c r="A62" s="52" t="s">
        <v>1189</v>
      </c>
      <c r="B62" s="55" t="s">
        <v>1191</v>
      </c>
      <c r="C62" s="57">
        <v>6209.0</v>
      </c>
      <c r="D62" s="52"/>
      <c r="E62" s="52"/>
    </row>
    <row r="63">
      <c r="A63" s="52" t="s">
        <v>456</v>
      </c>
      <c r="B63" s="55" t="s">
        <v>458</v>
      </c>
      <c r="C63" s="57">
        <v>6433.0</v>
      </c>
      <c r="D63" s="52"/>
      <c r="E63" s="52"/>
    </row>
    <row r="64">
      <c r="A64" s="52" t="s">
        <v>107</v>
      </c>
      <c r="B64" s="55" t="s">
        <v>109</v>
      </c>
      <c r="C64" s="57">
        <v>6512.0</v>
      </c>
      <c r="D64" s="52"/>
      <c r="E64" s="52"/>
    </row>
    <row r="65">
      <c r="A65" s="52" t="s">
        <v>696</v>
      </c>
      <c r="B65" s="55" t="s">
        <v>698</v>
      </c>
      <c r="C65" s="57">
        <v>6622.0</v>
      </c>
      <c r="D65" s="52"/>
      <c r="E65" s="52"/>
    </row>
    <row r="66">
      <c r="A66" s="52" t="s">
        <v>775</v>
      </c>
      <c r="B66" s="55" t="s">
        <v>777</v>
      </c>
      <c r="C66" s="57">
        <v>6776.0</v>
      </c>
      <c r="D66" s="52"/>
      <c r="E66" s="52"/>
    </row>
    <row r="67">
      <c r="A67" s="52" t="s">
        <v>833</v>
      </c>
      <c r="B67" s="55" t="s">
        <v>835</v>
      </c>
      <c r="C67" s="57">
        <v>6792.0</v>
      </c>
      <c r="D67" s="52"/>
      <c r="E67" s="52"/>
    </row>
    <row r="68">
      <c r="A68" s="52" t="s">
        <v>970</v>
      </c>
      <c r="B68" s="55" t="s">
        <v>972</v>
      </c>
      <c r="C68" s="57">
        <v>6813.0</v>
      </c>
      <c r="D68" s="52"/>
      <c r="E68" s="52"/>
    </row>
    <row r="69">
      <c r="A69" s="52" t="s">
        <v>824</v>
      </c>
      <c r="B69" s="55" t="s">
        <v>826</v>
      </c>
      <c r="C69" s="57">
        <v>6832.0</v>
      </c>
      <c r="D69" s="52"/>
      <c r="E69" s="52"/>
    </row>
    <row r="70">
      <c r="A70" s="52" t="s">
        <v>223</v>
      </c>
      <c r="B70" s="55" t="s">
        <v>225</v>
      </c>
      <c r="C70" s="57">
        <v>6855.0</v>
      </c>
      <c r="D70" s="52"/>
      <c r="E70" s="52"/>
    </row>
    <row r="71">
      <c r="A71" s="52" t="s">
        <v>492</v>
      </c>
      <c r="B71" s="55" t="s">
        <v>494</v>
      </c>
      <c r="C71" s="57">
        <v>7115.0</v>
      </c>
      <c r="D71" s="52"/>
      <c r="E71" s="52"/>
    </row>
    <row r="72">
      <c r="A72" s="52" t="s">
        <v>152</v>
      </c>
      <c r="B72" s="55" t="s">
        <v>154</v>
      </c>
      <c r="C72" s="57">
        <v>7144.0</v>
      </c>
      <c r="D72" s="52"/>
      <c r="E72" s="52"/>
    </row>
    <row r="73">
      <c r="A73" s="52" t="s">
        <v>653</v>
      </c>
      <c r="B73" s="55" t="s">
        <v>655</v>
      </c>
      <c r="C73" s="57">
        <v>7245.0</v>
      </c>
      <c r="D73" s="52"/>
      <c r="E73" s="52"/>
    </row>
    <row r="74">
      <c r="A74" s="52" t="s">
        <v>637</v>
      </c>
      <c r="B74" s="55" t="s">
        <v>639</v>
      </c>
      <c r="C74" s="57">
        <v>7294.0</v>
      </c>
      <c r="D74" s="52"/>
      <c r="E74" s="52"/>
    </row>
    <row r="75">
      <c r="A75" s="52" t="s">
        <v>135</v>
      </c>
      <c r="B75" s="55" t="s">
        <v>137</v>
      </c>
      <c r="C75" s="57">
        <v>7494.0</v>
      </c>
      <c r="D75" s="52"/>
      <c r="E75" s="52"/>
    </row>
    <row r="76">
      <c r="A76" s="52" t="s">
        <v>267</v>
      </c>
      <c r="B76" s="55" t="s">
        <v>269</v>
      </c>
      <c r="C76" s="57">
        <v>7509.0</v>
      </c>
      <c r="D76" s="52"/>
      <c r="E76" s="52"/>
    </row>
    <row r="77">
      <c r="A77" s="52" t="s">
        <v>628</v>
      </c>
      <c r="B77" s="55" t="s">
        <v>630</v>
      </c>
      <c r="C77" s="57">
        <v>7715.0</v>
      </c>
      <c r="D77" s="52"/>
      <c r="E77" s="52"/>
    </row>
    <row r="78">
      <c r="A78" s="52" t="s">
        <v>1181</v>
      </c>
      <c r="B78" s="55" t="s">
        <v>1183</v>
      </c>
      <c r="C78" s="57">
        <v>7741.0</v>
      </c>
      <c r="D78" s="52"/>
      <c r="E78" s="52"/>
    </row>
    <row r="79">
      <c r="A79" s="52" t="s">
        <v>335</v>
      </c>
      <c r="B79" s="55" t="s">
        <v>337</v>
      </c>
      <c r="C79" s="57">
        <v>7827.0</v>
      </c>
      <c r="D79" s="52"/>
      <c r="E79" s="52"/>
    </row>
    <row r="80">
      <c r="A80" s="52" t="s">
        <v>344</v>
      </c>
      <c r="B80" s="55" t="s">
        <v>346</v>
      </c>
      <c r="C80" s="57">
        <v>7879.0</v>
      </c>
      <c r="D80" s="52"/>
      <c r="E80" s="52"/>
    </row>
    <row r="81">
      <c r="A81" s="52" t="s">
        <v>766</v>
      </c>
      <c r="B81" s="55" t="s">
        <v>768</v>
      </c>
      <c r="C81" s="57">
        <v>7914.0</v>
      </c>
      <c r="D81" s="52"/>
      <c r="E81" s="52"/>
    </row>
    <row r="82">
      <c r="A82" s="52" t="s">
        <v>611</v>
      </c>
      <c r="B82" s="55" t="s">
        <v>613</v>
      </c>
      <c r="C82" s="57">
        <v>7984.0</v>
      </c>
      <c r="D82" s="52"/>
      <c r="E82" s="52"/>
    </row>
    <row r="83">
      <c r="A83" s="52" t="s">
        <v>1075</v>
      </c>
      <c r="B83" s="55" t="s">
        <v>1077</v>
      </c>
      <c r="C83" s="57">
        <v>7986.0</v>
      </c>
      <c r="D83" s="52"/>
      <c r="E83" s="52"/>
    </row>
    <row r="84">
      <c r="A84" s="52" t="s">
        <v>117</v>
      </c>
      <c r="B84" s="55" t="s">
        <v>119</v>
      </c>
      <c r="C84" s="57">
        <v>8359.0</v>
      </c>
      <c r="D84" s="52"/>
      <c r="E84" s="52"/>
    </row>
    <row r="85">
      <c r="A85" s="52" t="s">
        <v>1049</v>
      </c>
      <c r="B85" s="55" t="s">
        <v>1051</v>
      </c>
      <c r="C85" s="57">
        <v>8446.0</v>
      </c>
      <c r="D85" s="52"/>
      <c r="E85" s="52"/>
    </row>
    <row r="86">
      <c r="A86" s="52" t="s">
        <v>979</v>
      </c>
      <c r="B86" s="55" t="s">
        <v>981</v>
      </c>
      <c r="C86" s="57">
        <v>8570.0</v>
      </c>
      <c r="D86" s="52"/>
      <c r="E86" s="52"/>
    </row>
    <row r="87">
      <c r="A87" s="52" t="s">
        <v>1163</v>
      </c>
      <c r="B87" s="55" t="s">
        <v>1165</v>
      </c>
      <c r="C87" s="57">
        <v>8894.0</v>
      </c>
      <c r="D87" s="52"/>
      <c r="E87" s="52"/>
    </row>
    <row r="88">
      <c r="A88" s="52" t="s">
        <v>1023</v>
      </c>
      <c r="B88" s="55" t="s">
        <v>1025</v>
      </c>
      <c r="C88" s="57">
        <v>8906.0</v>
      </c>
      <c r="D88" s="52"/>
      <c r="E88" s="52"/>
    </row>
    <row r="89">
      <c r="A89" s="52" t="s">
        <v>205</v>
      </c>
      <c r="B89" s="55" t="s">
        <v>207</v>
      </c>
      <c r="C89" s="57">
        <v>8920.0</v>
      </c>
      <c r="D89" s="52"/>
      <c r="E89" s="52"/>
    </row>
    <row r="90">
      <c r="A90" s="52" t="s">
        <v>927</v>
      </c>
      <c r="B90" s="55" t="s">
        <v>929</v>
      </c>
      <c r="C90" s="57">
        <v>9896.0</v>
      </c>
      <c r="D90" s="52"/>
      <c r="E90" s="52"/>
    </row>
    <row r="91">
      <c r="A91" s="52" t="s">
        <v>395</v>
      </c>
      <c r="B91" s="55" t="s">
        <v>397</v>
      </c>
      <c r="C91" s="57">
        <v>9929.0</v>
      </c>
      <c r="D91" s="52"/>
      <c r="E91" s="52"/>
    </row>
    <row r="92">
      <c r="A92" s="52" t="s">
        <v>713</v>
      </c>
      <c r="B92" s="55" t="s">
        <v>715</v>
      </c>
      <c r="C92" s="57">
        <v>10032.0</v>
      </c>
      <c r="D92" s="52"/>
      <c r="E92" s="52"/>
    </row>
    <row r="93">
      <c r="A93" s="52" t="s">
        <v>885</v>
      </c>
      <c r="B93" s="55" t="s">
        <v>887</v>
      </c>
      <c r="C93" s="57">
        <v>10103.0</v>
      </c>
      <c r="D93" s="52"/>
      <c r="E93" s="52"/>
    </row>
    <row r="94">
      <c r="A94" s="52" t="s">
        <v>1014</v>
      </c>
      <c r="B94" s="55" t="s">
        <v>1016</v>
      </c>
      <c r="C94" s="57">
        <v>10234.0</v>
      </c>
      <c r="D94" s="52"/>
      <c r="E94" s="52"/>
    </row>
    <row r="95">
      <c r="A95" s="52" t="s">
        <v>945</v>
      </c>
      <c r="B95" s="55" t="s">
        <v>947</v>
      </c>
      <c r="C95" s="57">
        <v>10526.0</v>
      </c>
      <c r="D95" s="52"/>
      <c r="E95" s="52"/>
    </row>
    <row r="96">
      <c r="A96" s="52" t="s">
        <v>196</v>
      </c>
      <c r="B96" s="55" t="s">
        <v>198</v>
      </c>
      <c r="C96" s="57">
        <v>10717.0</v>
      </c>
      <c r="D96" s="52"/>
      <c r="E96" s="52"/>
    </row>
    <row r="97">
      <c r="A97" s="52" t="s">
        <v>842</v>
      </c>
      <c r="B97" s="55" t="s">
        <v>844</v>
      </c>
      <c r="C97" s="57">
        <v>11187.0</v>
      </c>
      <c r="D97" s="52"/>
      <c r="E97" s="52"/>
    </row>
    <row r="98">
      <c r="A98" s="52" t="s">
        <v>560</v>
      </c>
      <c r="B98" s="55" t="s">
        <v>562</v>
      </c>
      <c r="C98" s="57">
        <v>11493.0</v>
      </c>
      <c r="D98" s="52"/>
      <c r="E98" s="52"/>
    </row>
    <row r="99">
      <c r="A99" s="52" t="s">
        <v>911</v>
      </c>
      <c r="B99" s="55" t="s">
        <v>913</v>
      </c>
      <c r="C99" s="57">
        <v>11699.0</v>
      </c>
      <c r="D99" s="52"/>
      <c r="E99" s="52"/>
    </row>
    <row r="100">
      <c r="A100" s="52" t="s">
        <v>1041</v>
      </c>
      <c r="B100" s="55" t="s">
        <v>1043</v>
      </c>
      <c r="C100" s="57">
        <v>11789.0</v>
      </c>
      <c r="D100" s="52"/>
      <c r="E100" s="52"/>
    </row>
    <row r="101">
      <c r="A101" s="52" t="s">
        <v>126</v>
      </c>
      <c r="B101" s="55" t="s">
        <v>128</v>
      </c>
      <c r="C101" s="57">
        <v>12670.0</v>
      </c>
      <c r="D101" s="52"/>
      <c r="E101" s="52"/>
    </row>
    <row r="102">
      <c r="A102" s="52" t="s">
        <v>1093</v>
      </c>
      <c r="B102" s="55" t="s">
        <v>1095</v>
      </c>
      <c r="C102" s="57">
        <v>12751.0</v>
      </c>
      <c r="D102" s="52"/>
      <c r="E102" s="52"/>
    </row>
    <row r="103">
      <c r="A103" s="52" t="s">
        <v>688</v>
      </c>
      <c r="B103" s="55" t="s">
        <v>690</v>
      </c>
      <c r="C103" s="57">
        <v>12788.0</v>
      </c>
      <c r="D103" s="52"/>
      <c r="E103" s="52"/>
    </row>
    <row r="104">
      <c r="A104" s="52" t="s">
        <v>250</v>
      </c>
      <c r="B104" s="55" t="s">
        <v>252</v>
      </c>
      <c r="C104" s="57">
        <v>13283.0</v>
      </c>
      <c r="D104" s="52"/>
      <c r="E104" s="52"/>
    </row>
    <row r="105">
      <c r="A105" s="52" t="s">
        <v>1127</v>
      </c>
      <c r="B105" s="55" t="s">
        <v>1129</v>
      </c>
      <c r="C105" s="57">
        <v>13896.0</v>
      </c>
      <c r="D105" s="52"/>
      <c r="E105" s="52"/>
    </row>
    <row r="106">
      <c r="A106" s="52" t="s">
        <v>276</v>
      </c>
      <c r="B106" s="55" t="s">
        <v>278</v>
      </c>
      <c r="C106" s="57">
        <v>14562.0</v>
      </c>
      <c r="D106" s="52"/>
      <c r="E106" s="52"/>
    </row>
    <row r="107">
      <c r="A107" s="52" t="s">
        <v>517</v>
      </c>
      <c r="B107" s="55" t="s">
        <v>519</v>
      </c>
      <c r="C107" s="57">
        <v>15512.0</v>
      </c>
      <c r="D107" s="52"/>
      <c r="E107" s="52"/>
    </row>
    <row r="108">
      <c r="A108" s="52" t="s">
        <v>311</v>
      </c>
      <c r="B108" s="55" t="s">
        <v>313</v>
      </c>
      <c r="C108" s="57">
        <v>15775.0</v>
      </c>
      <c r="D108" s="52"/>
      <c r="E108" s="52"/>
    </row>
    <row r="109">
      <c r="A109" s="52" t="s">
        <v>1154</v>
      </c>
      <c r="B109" s="55" t="s">
        <v>1156</v>
      </c>
      <c r="C109" s="57">
        <v>16351.0</v>
      </c>
      <c r="D109" s="52"/>
      <c r="E109" s="52"/>
    </row>
    <row r="110">
      <c r="A110" s="52" t="s">
        <v>508</v>
      </c>
      <c r="B110" s="55" t="s">
        <v>510</v>
      </c>
      <c r="C110" s="57">
        <v>16599.0</v>
      </c>
      <c r="D110" s="52"/>
      <c r="E110" s="52"/>
    </row>
    <row r="111">
      <c r="A111" s="52" t="s">
        <v>1207</v>
      </c>
      <c r="B111" s="55" t="s">
        <v>1209</v>
      </c>
      <c r="C111" s="57">
        <v>16664.0</v>
      </c>
      <c r="D111" s="52"/>
      <c r="E111" s="52"/>
    </row>
    <row r="112">
      <c r="A112" s="52" t="s">
        <v>1058</v>
      </c>
      <c r="B112" s="55" t="s">
        <v>1060</v>
      </c>
      <c r="C112" s="57">
        <v>16854.0</v>
      </c>
      <c r="D112" s="52"/>
      <c r="E112" s="52"/>
    </row>
    <row r="113">
      <c r="A113" s="52" t="s">
        <v>858</v>
      </c>
      <c r="B113" s="55" t="s">
        <v>860</v>
      </c>
      <c r="C113" s="57">
        <v>17233.0</v>
      </c>
      <c r="D113" s="52"/>
      <c r="E113" s="52"/>
    </row>
    <row r="114">
      <c r="A114" s="52" t="s">
        <v>143</v>
      </c>
      <c r="B114" s="55" t="s">
        <v>145</v>
      </c>
      <c r="C114" s="57">
        <v>17402.0</v>
      </c>
      <c r="D114" s="52"/>
      <c r="E114" s="52"/>
    </row>
    <row r="115">
      <c r="A115" s="52" t="s">
        <v>169</v>
      </c>
      <c r="B115" s="55" t="s">
        <v>171</v>
      </c>
      <c r="C115" s="57">
        <v>18139.0</v>
      </c>
      <c r="D115" s="52"/>
      <c r="E115" s="52"/>
    </row>
    <row r="116">
      <c r="A116" s="52" t="s">
        <v>722</v>
      </c>
      <c r="B116" s="55" t="s">
        <v>724</v>
      </c>
      <c r="C116" s="57">
        <v>18495.0</v>
      </c>
      <c r="D116" s="52"/>
      <c r="E116" s="52"/>
    </row>
    <row r="117">
      <c r="A117" s="52" t="s">
        <v>214</v>
      </c>
      <c r="B117" s="55" t="s">
        <v>216</v>
      </c>
      <c r="C117" s="57">
        <v>19101.0</v>
      </c>
      <c r="D117" s="52"/>
      <c r="E117" s="52"/>
    </row>
    <row r="118">
      <c r="A118" s="52" t="s">
        <v>962</v>
      </c>
      <c r="B118" s="55" t="s">
        <v>964</v>
      </c>
      <c r="C118" s="57">
        <v>20206.0</v>
      </c>
      <c r="D118" s="52"/>
      <c r="E118" s="52"/>
    </row>
    <row r="119">
      <c r="A119" s="52" t="s">
        <v>953</v>
      </c>
      <c r="B119" s="55" t="s">
        <v>955</v>
      </c>
      <c r="C119" s="57">
        <v>23533.0</v>
      </c>
      <c r="D119" s="52"/>
      <c r="E119" s="52"/>
    </row>
    <row r="120">
      <c r="A120" s="52" t="s">
        <v>87</v>
      </c>
      <c r="B120" s="55" t="s">
        <v>89</v>
      </c>
      <c r="C120" s="57">
        <v>23638.0</v>
      </c>
      <c r="D120" s="52"/>
      <c r="E120" s="52"/>
    </row>
    <row r="121">
      <c r="A121" s="52" t="s">
        <v>526</v>
      </c>
      <c r="B121" s="55" t="s">
        <v>528</v>
      </c>
      <c r="C121" s="57">
        <v>23680.0</v>
      </c>
      <c r="D121" s="52"/>
      <c r="E121" s="52"/>
    </row>
    <row r="122">
      <c r="A122" s="52" t="s">
        <v>997</v>
      </c>
      <c r="B122" s="55" t="s">
        <v>999</v>
      </c>
      <c r="C122" s="57">
        <v>23743.0</v>
      </c>
      <c r="D122" s="52"/>
      <c r="E122" s="52"/>
    </row>
    <row r="123">
      <c r="A123" s="52" t="s">
        <v>1145</v>
      </c>
      <c r="B123" s="55" t="s">
        <v>1147</v>
      </c>
      <c r="C123" s="57">
        <v>24231.0</v>
      </c>
      <c r="D123" s="52"/>
      <c r="E123" s="52"/>
    </row>
    <row r="124">
      <c r="A124" s="52" t="s">
        <v>403</v>
      </c>
      <c r="B124" s="55" t="s">
        <v>405</v>
      </c>
      <c r="C124" s="57">
        <v>24675.0</v>
      </c>
      <c r="D124" s="52"/>
      <c r="E124" s="52"/>
    </row>
    <row r="125">
      <c r="A125" s="52" t="s">
        <v>783</v>
      </c>
      <c r="B125" s="55" t="s">
        <v>784</v>
      </c>
      <c r="C125" s="57">
        <v>25472.0</v>
      </c>
      <c r="D125" s="52"/>
      <c r="E125" s="52"/>
    </row>
    <row r="126">
      <c r="A126" s="52" t="s">
        <v>285</v>
      </c>
      <c r="B126" s="55" t="s">
        <v>287</v>
      </c>
      <c r="C126" s="57">
        <v>26430.0</v>
      </c>
      <c r="D126" s="52"/>
      <c r="E126" s="52"/>
    </row>
    <row r="127">
      <c r="A127" s="52" t="s">
        <v>1102</v>
      </c>
      <c r="B127" s="55" t="s">
        <v>1104</v>
      </c>
      <c r="C127" s="57">
        <v>28060.0</v>
      </c>
      <c r="D127" s="52"/>
      <c r="E127" s="52"/>
    </row>
    <row r="128">
      <c r="A128" s="52" t="s">
        <v>586</v>
      </c>
      <c r="B128" s="55" t="s">
        <v>588</v>
      </c>
      <c r="C128" s="57">
        <v>28144.0</v>
      </c>
      <c r="D128" s="52"/>
      <c r="E128" s="52"/>
    </row>
    <row r="129">
      <c r="A129" s="52" t="s">
        <v>1084</v>
      </c>
      <c r="B129" s="55" t="s">
        <v>1086</v>
      </c>
      <c r="C129" s="57">
        <v>34283.0</v>
      </c>
      <c r="D129" s="52"/>
      <c r="E129" s="52"/>
    </row>
    <row r="130">
      <c r="A130" s="52" t="s">
        <v>187</v>
      </c>
      <c r="B130" s="55" t="s">
        <v>189</v>
      </c>
      <c r="C130" s="57">
        <v>37183.0</v>
      </c>
      <c r="D130" s="52"/>
      <c r="E130" s="52"/>
    </row>
    <row r="131">
      <c r="A131" s="52" t="s">
        <v>77</v>
      </c>
      <c r="B131" s="55" t="s">
        <v>79</v>
      </c>
      <c r="C131" s="57">
        <v>41785.0</v>
      </c>
      <c r="D131" s="52"/>
      <c r="E131" s="52"/>
    </row>
    <row r="132">
      <c r="A132" s="52" t="s">
        <v>378</v>
      </c>
      <c r="B132" s="55" t="s">
        <v>380</v>
      </c>
      <c r="C132" s="57">
        <v>48118.0</v>
      </c>
      <c r="D132" s="52"/>
      <c r="E132" s="52"/>
    </row>
    <row r="133">
      <c r="A133" s="52" t="s">
        <v>679</v>
      </c>
      <c r="B133" s="55" t="s">
        <v>681</v>
      </c>
      <c r="C133" s="57">
        <v>53102.0</v>
      </c>
      <c r="D133" s="52"/>
      <c r="E133" s="52"/>
    </row>
    <row r="134">
      <c r="A134" s="52" t="s">
        <v>936</v>
      </c>
      <c r="B134" s="55" t="s">
        <v>938</v>
      </c>
      <c r="C134" s="57">
        <v>101678.0</v>
      </c>
      <c r="D134" s="52"/>
      <c r="E134" s="52"/>
    </row>
  </sheetData>
  <conditionalFormatting sqref="C1:C134">
    <cfRule type="cellIs" dxfId="0" priority="1" operator="greaterThanOrEqual">
      <formula>23671</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s>
  <drawing r:id="rId1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32.71"/>
    <col customWidth="1" min="3" max="3" width="27.0"/>
    <col customWidth="1" min="4" max="4" width="10.43"/>
    <col customWidth="1" min="5" max="5" width="75.0"/>
  </cols>
  <sheetData>
    <row r="1">
      <c r="A1" s="59" t="s">
        <v>47</v>
      </c>
      <c r="B1" s="59" t="s">
        <v>49</v>
      </c>
      <c r="C1" s="59" t="s">
        <v>55</v>
      </c>
      <c r="D1" s="50"/>
      <c r="E1" s="56" t="str">
        <f>CONCATENATE('✅ Filter Rules'!E2*100, "th Percentile")</f>
        <v>20th Percentile</v>
      </c>
    </row>
    <row r="2">
      <c r="A2" s="60" t="s">
        <v>1172</v>
      </c>
      <c r="B2" s="61" t="s">
        <v>1174</v>
      </c>
      <c r="C2" s="62">
        <v>49.0</v>
      </c>
      <c r="D2" s="52"/>
      <c r="E2" s="58">
        <f>percentile(C2:C134, '✅ Filter Rules'!E2)</f>
        <v>90.4</v>
      </c>
    </row>
    <row r="3">
      <c r="A3" s="60" t="s">
        <v>135</v>
      </c>
      <c r="B3" s="61" t="s">
        <v>137</v>
      </c>
      <c r="C3" s="62">
        <v>50.0</v>
      </c>
      <c r="D3" s="52"/>
      <c r="E3" s="52"/>
    </row>
    <row r="4">
      <c r="A4" s="60" t="s">
        <v>67</v>
      </c>
      <c r="B4" s="61" t="s">
        <v>69</v>
      </c>
      <c r="C4" s="62">
        <v>54.0</v>
      </c>
      <c r="D4" s="52"/>
      <c r="E4" s="52" t="s">
        <v>1228</v>
      </c>
    </row>
    <row r="5">
      <c r="A5" s="60" t="s">
        <v>302</v>
      </c>
      <c r="B5" s="61" t="s">
        <v>304</v>
      </c>
      <c r="C5" s="62">
        <v>56.0</v>
      </c>
      <c r="D5" s="52"/>
      <c r="E5" s="52" t="s">
        <v>1229</v>
      </c>
    </row>
    <row r="6">
      <c r="A6" s="60" t="s">
        <v>1154</v>
      </c>
      <c r="B6" s="61" t="s">
        <v>1156</v>
      </c>
      <c r="C6" s="62">
        <v>56.0</v>
      </c>
      <c r="D6" s="52"/>
      <c r="E6" s="50" t="s">
        <v>1230</v>
      </c>
    </row>
    <row r="7">
      <c r="A7" s="60" t="s">
        <v>749</v>
      </c>
      <c r="B7" s="61" t="s">
        <v>751</v>
      </c>
      <c r="C7" s="62">
        <v>62.0</v>
      </c>
      <c r="D7" s="52"/>
      <c r="E7" s="52"/>
    </row>
    <row r="8">
      <c r="A8" s="60" t="s">
        <v>1127</v>
      </c>
      <c r="B8" s="61" t="s">
        <v>1129</v>
      </c>
      <c r="C8" s="62">
        <v>62.0</v>
      </c>
      <c r="D8" s="52"/>
      <c r="E8" s="52"/>
    </row>
    <row r="9">
      <c r="A9" s="60" t="s">
        <v>353</v>
      </c>
      <c r="B9" s="61" t="s">
        <v>355</v>
      </c>
      <c r="C9" s="62">
        <v>65.0</v>
      </c>
      <c r="D9" s="52"/>
      <c r="E9" s="52"/>
    </row>
    <row r="10">
      <c r="A10" s="60" t="s">
        <v>645</v>
      </c>
      <c r="B10" s="61" t="s">
        <v>647</v>
      </c>
      <c r="C10" s="62">
        <v>65.0</v>
      </c>
      <c r="D10" s="52"/>
      <c r="E10" s="52"/>
    </row>
    <row r="11">
      <c r="A11" s="60" t="s">
        <v>456</v>
      </c>
      <c r="B11" s="61" t="s">
        <v>458</v>
      </c>
      <c r="C11" s="62">
        <v>67.0</v>
      </c>
      <c r="D11" s="52"/>
      <c r="E11" s="52"/>
    </row>
    <row r="12">
      <c r="A12" s="60" t="s">
        <v>713</v>
      </c>
      <c r="B12" s="61" t="s">
        <v>715</v>
      </c>
      <c r="C12" s="62">
        <v>69.0</v>
      </c>
      <c r="D12" s="52"/>
      <c r="E12" s="52"/>
    </row>
    <row r="13">
      <c r="A13" s="60" t="s">
        <v>160</v>
      </c>
      <c r="B13" s="61" t="s">
        <v>162</v>
      </c>
      <c r="C13" s="62">
        <v>70.0</v>
      </c>
      <c r="D13" s="52"/>
      <c r="E13" s="52"/>
    </row>
    <row r="14">
      <c r="A14" s="60" t="s">
        <v>473</v>
      </c>
      <c r="B14" s="61" t="s">
        <v>475</v>
      </c>
      <c r="C14" s="62">
        <v>71.0</v>
      </c>
      <c r="D14" s="52"/>
      <c r="E14" s="52"/>
    </row>
    <row r="15">
      <c r="A15" s="60" t="s">
        <v>1049</v>
      </c>
      <c r="B15" s="61" t="s">
        <v>1051</v>
      </c>
      <c r="C15" s="62">
        <v>71.0</v>
      </c>
      <c r="D15" s="52"/>
      <c r="E15" s="52"/>
    </row>
    <row r="16">
      <c r="A16" s="60" t="s">
        <v>807</v>
      </c>
      <c r="B16" s="61" t="s">
        <v>809</v>
      </c>
      <c r="C16" s="62">
        <v>72.0</v>
      </c>
      <c r="D16" s="52"/>
      <c r="E16" s="52"/>
    </row>
    <row r="17">
      <c r="A17" s="60" t="s">
        <v>911</v>
      </c>
      <c r="B17" s="61" t="s">
        <v>913</v>
      </c>
      <c r="C17" s="62">
        <v>74.0</v>
      </c>
      <c r="D17" s="52"/>
      <c r="E17" s="52"/>
    </row>
    <row r="18">
      <c r="A18" s="60" t="s">
        <v>816</v>
      </c>
      <c r="B18" s="61" t="s">
        <v>818</v>
      </c>
      <c r="C18" s="62">
        <v>75.0</v>
      </c>
      <c r="D18" s="52"/>
      <c r="E18" s="52"/>
    </row>
    <row r="19">
      <c r="A19" s="60" t="s">
        <v>179</v>
      </c>
      <c r="B19" s="61" t="s">
        <v>181</v>
      </c>
      <c r="C19" s="62">
        <v>76.0</v>
      </c>
      <c r="D19" s="52"/>
      <c r="E19" s="52"/>
    </row>
    <row r="20">
      <c r="A20" s="60" t="s">
        <v>569</v>
      </c>
      <c r="B20" s="61" t="s">
        <v>571</v>
      </c>
      <c r="C20" s="62">
        <v>77.0</v>
      </c>
      <c r="D20" s="52"/>
      <c r="E20" s="52"/>
    </row>
    <row r="21">
      <c r="A21" s="60" t="s">
        <v>798</v>
      </c>
      <c r="B21" s="61" t="s">
        <v>800</v>
      </c>
      <c r="C21" s="62">
        <v>79.0</v>
      </c>
      <c r="D21" s="52"/>
      <c r="E21" s="52"/>
    </row>
    <row r="22">
      <c r="A22" s="60" t="s">
        <v>637</v>
      </c>
      <c r="B22" s="61" t="s">
        <v>639</v>
      </c>
      <c r="C22" s="62">
        <v>81.0</v>
      </c>
      <c r="D22" s="52"/>
      <c r="E22" s="52"/>
    </row>
    <row r="23">
      <c r="A23" s="60" t="s">
        <v>232</v>
      </c>
      <c r="B23" s="61" t="s">
        <v>234</v>
      </c>
      <c r="C23" s="62">
        <v>83.0</v>
      </c>
      <c r="D23" s="52"/>
      <c r="E23" s="52"/>
    </row>
    <row r="24">
      <c r="A24" s="60" t="s">
        <v>482</v>
      </c>
      <c r="B24" s="61" t="s">
        <v>484</v>
      </c>
      <c r="C24" s="62">
        <v>85.0</v>
      </c>
      <c r="D24" s="52"/>
      <c r="E24" s="52"/>
    </row>
    <row r="25">
      <c r="A25" s="60" t="s">
        <v>696</v>
      </c>
      <c r="B25" s="61" t="s">
        <v>698</v>
      </c>
      <c r="C25" s="62">
        <v>85.0</v>
      </c>
      <c r="D25" s="52"/>
      <c r="E25" s="52"/>
    </row>
    <row r="26">
      <c r="A26" s="60" t="s">
        <v>1032</v>
      </c>
      <c r="B26" s="61" t="s">
        <v>1034</v>
      </c>
      <c r="C26" s="62">
        <v>87.0</v>
      </c>
      <c r="D26" s="52"/>
      <c r="E26" s="52"/>
    </row>
    <row r="27">
      <c r="A27" s="60" t="s">
        <v>1145</v>
      </c>
      <c r="B27" s="61" t="s">
        <v>1147</v>
      </c>
      <c r="C27" s="62">
        <v>89.0</v>
      </c>
      <c r="D27" s="52"/>
      <c r="E27" s="52"/>
    </row>
    <row r="28">
      <c r="A28" s="60" t="s">
        <v>927</v>
      </c>
      <c r="B28" s="61" t="s">
        <v>929</v>
      </c>
      <c r="C28" s="62">
        <v>90.0</v>
      </c>
      <c r="D28" s="52"/>
      <c r="E28" s="52"/>
    </row>
    <row r="29">
      <c r="A29" s="60" t="s">
        <v>97</v>
      </c>
      <c r="B29" s="61" t="s">
        <v>99</v>
      </c>
      <c r="C29" s="62">
        <v>91.0</v>
      </c>
      <c r="D29" s="52"/>
      <c r="E29" s="52"/>
    </row>
    <row r="30">
      <c r="A30" s="60" t="s">
        <v>1058</v>
      </c>
      <c r="B30" s="61" t="s">
        <v>1060</v>
      </c>
      <c r="C30" s="62">
        <v>91.0</v>
      </c>
      <c r="D30" s="52"/>
      <c r="E30" s="52"/>
    </row>
    <row r="31">
      <c r="A31" s="60" t="s">
        <v>988</v>
      </c>
      <c r="B31" s="61" t="s">
        <v>990</v>
      </c>
      <c r="C31" s="62">
        <v>92.0</v>
      </c>
      <c r="D31" s="52"/>
      <c r="E31" s="52"/>
    </row>
    <row r="32">
      <c r="A32" s="60" t="s">
        <v>1216</v>
      </c>
      <c r="B32" s="61" t="s">
        <v>1218</v>
      </c>
      <c r="C32" s="62">
        <v>100.0</v>
      </c>
      <c r="D32" s="52"/>
      <c r="E32" s="52"/>
    </row>
    <row r="33">
      <c r="A33" s="60" t="s">
        <v>731</v>
      </c>
      <c r="B33" s="61" t="s">
        <v>733</v>
      </c>
      <c r="C33" s="62">
        <v>102.0</v>
      </c>
      <c r="D33" s="52"/>
      <c r="E33" s="52"/>
    </row>
    <row r="34">
      <c r="A34" s="60" t="s">
        <v>628</v>
      </c>
      <c r="B34" s="61" t="s">
        <v>630</v>
      </c>
      <c r="C34" s="62">
        <v>104.0</v>
      </c>
      <c r="D34" s="52"/>
      <c r="E34" s="52"/>
    </row>
    <row r="35">
      <c r="A35" s="60" t="s">
        <v>671</v>
      </c>
      <c r="B35" s="61" t="s">
        <v>673</v>
      </c>
      <c r="C35" s="62">
        <v>106.0</v>
      </c>
      <c r="D35" s="52"/>
      <c r="E35" s="52"/>
    </row>
    <row r="36">
      <c r="A36" s="60" t="s">
        <v>688</v>
      </c>
      <c r="B36" s="61" t="s">
        <v>690</v>
      </c>
      <c r="C36" s="62">
        <v>107.0</v>
      </c>
      <c r="D36" s="52"/>
      <c r="E36" s="52"/>
    </row>
    <row r="37">
      <c r="A37" s="60" t="s">
        <v>1067</v>
      </c>
      <c r="B37" s="61" t="s">
        <v>1069</v>
      </c>
      <c r="C37" s="62">
        <v>109.0</v>
      </c>
      <c r="D37" s="52"/>
      <c r="E37" s="52"/>
    </row>
    <row r="38">
      <c r="A38" s="60" t="s">
        <v>1110</v>
      </c>
      <c r="B38" s="61" t="s">
        <v>1112</v>
      </c>
      <c r="C38" s="62">
        <v>109.0</v>
      </c>
      <c r="D38" s="52"/>
      <c r="E38" s="52"/>
    </row>
    <row r="39">
      <c r="A39" s="60" t="s">
        <v>439</v>
      </c>
      <c r="B39" s="61" t="s">
        <v>441</v>
      </c>
      <c r="C39" s="62">
        <v>112.0</v>
      </c>
      <c r="D39" s="52"/>
      <c r="E39" s="52"/>
    </row>
    <row r="40">
      <c r="A40" s="60" t="s">
        <v>850</v>
      </c>
      <c r="B40" s="61" t="s">
        <v>852</v>
      </c>
      <c r="C40" s="62">
        <v>112.0</v>
      </c>
      <c r="D40" s="52"/>
      <c r="E40" s="52"/>
    </row>
    <row r="41">
      <c r="A41" s="60" t="s">
        <v>705</v>
      </c>
      <c r="B41" s="61" t="s">
        <v>707</v>
      </c>
      <c r="C41" s="62">
        <v>117.0</v>
      </c>
      <c r="D41" s="52"/>
      <c r="E41" s="52"/>
    </row>
    <row r="42">
      <c r="A42" s="60" t="s">
        <v>867</v>
      </c>
      <c r="B42" s="61" t="s">
        <v>869</v>
      </c>
      <c r="C42" s="62">
        <v>124.0</v>
      </c>
      <c r="D42" s="52"/>
      <c r="E42" s="52"/>
    </row>
    <row r="43">
      <c r="A43" s="60" t="s">
        <v>758</v>
      </c>
      <c r="B43" s="61" t="s">
        <v>760</v>
      </c>
      <c r="C43" s="62">
        <v>125.0</v>
      </c>
      <c r="D43" s="52"/>
      <c r="E43" s="52"/>
    </row>
    <row r="44">
      <c r="A44" s="60" t="s">
        <v>1006</v>
      </c>
      <c r="B44" s="61" t="s">
        <v>1008</v>
      </c>
      <c r="C44" s="62">
        <v>126.0</v>
      </c>
      <c r="D44" s="52"/>
      <c r="E44" s="52"/>
    </row>
    <row r="45">
      <c r="A45" s="60" t="s">
        <v>919</v>
      </c>
      <c r="B45" s="61" t="s">
        <v>921</v>
      </c>
      <c r="C45" s="62">
        <v>127.0</v>
      </c>
      <c r="D45" s="52"/>
      <c r="E45" s="52"/>
    </row>
    <row r="46">
      <c r="A46" s="60" t="s">
        <v>500</v>
      </c>
      <c r="B46" s="61" t="s">
        <v>502</v>
      </c>
      <c r="C46" s="62">
        <v>128.0</v>
      </c>
      <c r="D46" s="52"/>
      <c r="E46" s="52"/>
    </row>
    <row r="47">
      <c r="A47" s="60" t="s">
        <v>1093</v>
      </c>
      <c r="B47" s="61" t="s">
        <v>1095</v>
      </c>
      <c r="C47" s="62">
        <v>128.0</v>
      </c>
      <c r="D47" s="52"/>
      <c r="E47" s="52"/>
    </row>
    <row r="48">
      <c r="A48" s="60" t="s">
        <v>543</v>
      </c>
      <c r="B48" s="61" t="s">
        <v>545</v>
      </c>
      <c r="C48" s="62">
        <v>129.0</v>
      </c>
      <c r="D48" s="52"/>
      <c r="E48" s="52"/>
    </row>
    <row r="49">
      <c r="A49" s="60" t="s">
        <v>552</v>
      </c>
      <c r="B49" s="61" t="s">
        <v>554</v>
      </c>
      <c r="C49" s="62">
        <v>132.0</v>
      </c>
      <c r="D49" s="52"/>
      <c r="E49" s="52"/>
    </row>
    <row r="50">
      <c r="A50" s="60" t="s">
        <v>620</v>
      </c>
      <c r="B50" s="61" t="s">
        <v>622</v>
      </c>
      <c r="C50" s="62">
        <v>132.0</v>
      </c>
      <c r="D50" s="52"/>
      <c r="E50" s="52"/>
    </row>
    <row r="51">
      <c r="A51" s="60" t="s">
        <v>412</v>
      </c>
      <c r="B51" s="61" t="s">
        <v>414</v>
      </c>
      <c r="C51" s="62">
        <v>136.0</v>
      </c>
      <c r="D51" s="52"/>
      <c r="E51" s="52"/>
    </row>
    <row r="52">
      <c r="A52" s="60" t="s">
        <v>979</v>
      </c>
      <c r="B52" s="61" t="s">
        <v>981</v>
      </c>
      <c r="C52" s="62">
        <v>137.0</v>
      </c>
      <c r="D52" s="52"/>
      <c r="E52" s="52"/>
    </row>
    <row r="53">
      <c r="A53" s="60" t="s">
        <v>903</v>
      </c>
      <c r="B53" s="61" t="s">
        <v>905</v>
      </c>
      <c r="C53" s="62">
        <v>140.0</v>
      </c>
      <c r="D53" s="52"/>
      <c r="E53" s="52"/>
    </row>
    <row r="54">
      <c r="A54" s="60" t="s">
        <v>517</v>
      </c>
      <c r="B54" s="61" t="s">
        <v>519</v>
      </c>
      <c r="C54" s="62">
        <v>142.0</v>
      </c>
      <c r="D54" s="52"/>
      <c r="E54" s="52"/>
    </row>
    <row r="55">
      <c r="A55" s="60" t="s">
        <v>327</v>
      </c>
      <c r="B55" s="61" t="s">
        <v>329</v>
      </c>
      <c r="C55" s="62">
        <v>143.0</v>
      </c>
      <c r="D55" s="52"/>
      <c r="E55" s="52"/>
    </row>
    <row r="56">
      <c r="A56" s="60" t="s">
        <v>790</v>
      </c>
      <c r="B56" s="61" t="s">
        <v>792</v>
      </c>
      <c r="C56" s="62">
        <v>154.0</v>
      </c>
      <c r="D56" s="52"/>
      <c r="E56" s="52"/>
    </row>
    <row r="57">
      <c r="A57" s="60" t="s">
        <v>267</v>
      </c>
      <c r="B57" s="61" t="s">
        <v>269</v>
      </c>
      <c r="C57" s="62">
        <v>159.0</v>
      </c>
      <c r="D57" s="52"/>
      <c r="E57" s="52"/>
    </row>
    <row r="58">
      <c r="A58" s="60" t="s">
        <v>535</v>
      </c>
      <c r="B58" s="61" t="s">
        <v>537</v>
      </c>
      <c r="C58" s="62">
        <v>165.0</v>
      </c>
      <c r="D58" s="52"/>
      <c r="E58" s="52"/>
    </row>
    <row r="59">
      <c r="A59" s="60" t="s">
        <v>361</v>
      </c>
      <c r="B59" s="61" t="s">
        <v>363</v>
      </c>
      <c r="C59" s="62">
        <v>166.0</v>
      </c>
      <c r="D59" s="52"/>
      <c r="E59" s="52"/>
    </row>
    <row r="60">
      <c r="A60" s="60" t="s">
        <v>387</v>
      </c>
      <c r="B60" s="61" t="s">
        <v>389</v>
      </c>
      <c r="C60" s="62">
        <v>167.0</v>
      </c>
      <c r="D60" s="52"/>
      <c r="E60" s="52"/>
    </row>
    <row r="61">
      <c r="A61" s="60" t="s">
        <v>421</v>
      </c>
      <c r="B61" s="61" t="s">
        <v>423</v>
      </c>
      <c r="C61" s="62">
        <v>168.0</v>
      </c>
      <c r="D61" s="52"/>
      <c r="E61" s="52"/>
    </row>
    <row r="62">
      <c r="A62" s="60" t="s">
        <v>1181</v>
      </c>
      <c r="B62" s="61" t="s">
        <v>1183</v>
      </c>
      <c r="C62" s="62">
        <v>169.0</v>
      </c>
      <c r="D62" s="52"/>
      <c r="E62" s="52"/>
    </row>
    <row r="63">
      <c r="A63" s="63" t="s">
        <v>783</v>
      </c>
      <c r="B63" s="61" t="s">
        <v>784</v>
      </c>
      <c r="C63" s="62">
        <v>171.0</v>
      </c>
      <c r="D63" s="52"/>
      <c r="E63" s="52"/>
    </row>
    <row r="64">
      <c r="A64" s="60" t="s">
        <v>187</v>
      </c>
      <c r="B64" s="61" t="s">
        <v>189</v>
      </c>
      <c r="C64" s="62">
        <v>177.0</v>
      </c>
      <c r="D64" s="52"/>
      <c r="E64" s="52"/>
    </row>
    <row r="65">
      <c r="A65" s="60" t="s">
        <v>223</v>
      </c>
      <c r="B65" s="61" t="s">
        <v>225</v>
      </c>
      <c r="C65" s="62">
        <v>181.0</v>
      </c>
      <c r="D65" s="52"/>
      <c r="E65" s="52"/>
    </row>
    <row r="66">
      <c r="A66" s="60" t="s">
        <v>107</v>
      </c>
      <c r="B66" s="61" t="s">
        <v>109</v>
      </c>
      <c r="C66" s="62">
        <v>183.0</v>
      </c>
      <c r="D66" s="52"/>
      <c r="E66" s="52"/>
    </row>
    <row r="67">
      <c r="A67" s="60" t="s">
        <v>492</v>
      </c>
      <c r="B67" s="61" t="s">
        <v>494</v>
      </c>
      <c r="C67" s="62">
        <v>190.0</v>
      </c>
      <c r="D67" s="52"/>
      <c r="E67" s="52"/>
    </row>
    <row r="68">
      <c r="A68" s="60" t="s">
        <v>833</v>
      </c>
      <c r="B68" s="61" t="s">
        <v>835</v>
      </c>
      <c r="C68" s="62">
        <v>195.0</v>
      </c>
      <c r="D68" s="52"/>
      <c r="E68" s="52"/>
    </row>
    <row r="69">
      <c r="A69" s="60" t="s">
        <v>1014</v>
      </c>
      <c r="B69" s="61" t="s">
        <v>1016</v>
      </c>
      <c r="C69" s="62">
        <v>199.0</v>
      </c>
      <c r="D69" s="52"/>
      <c r="E69" s="52"/>
    </row>
    <row r="70">
      <c r="A70" s="60" t="s">
        <v>214</v>
      </c>
      <c r="B70" s="61" t="s">
        <v>216</v>
      </c>
      <c r="C70" s="62">
        <v>202.0</v>
      </c>
      <c r="D70" s="52"/>
      <c r="E70" s="52"/>
    </row>
    <row r="71">
      <c r="A71" s="60" t="s">
        <v>335</v>
      </c>
      <c r="B71" s="61" t="s">
        <v>337</v>
      </c>
      <c r="C71" s="62">
        <v>204.0</v>
      </c>
      <c r="D71" s="52"/>
      <c r="E71" s="52"/>
    </row>
    <row r="72">
      <c r="A72" s="60" t="s">
        <v>250</v>
      </c>
      <c r="B72" s="61" t="s">
        <v>252</v>
      </c>
      <c r="C72" s="62">
        <v>207.0</v>
      </c>
      <c r="D72" s="52"/>
      <c r="E72" s="52"/>
    </row>
    <row r="73">
      <c r="A73" s="60" t="s">
        <v>259</v>
      </c>
      <c r="B73" s="61" t="s">
        <v>261</v>
      </c>
      <c r="C73" s="62">
        <v>208.0</v>
      </c>
      <c r="D73" s="52"/>
      <c r="E73" s="52"/>
    </row>
    <row r="74">
      <c r="A74" s="60" t="s">
        <v>126</v>
      </c>
      <c r="B74" s="61" t="s">
        <v>128</v>
      </c>
      <c r="C74" s="62">
        <v>211.0</v>
      </c>
      <c r="D74" s="52"/>
      <c r="E74" s="52"/>
    </row>
    <row r="75">
      <c r="A75" s="60" t="s">
        <v>653</v>
      </c>
      <c r="B75" s="61" t="s">
        <v>655</v>
      </c>
      <c r="C75" s="62">
        <v>218.0</v>
      </c>
      <c r="D75" s="52"/>
      <c r="E75" s="52"/>
    </row>
    <row r="76">
      <c r="A76" s="60" t="s">
        <v>894</v>
      </c>
      <c r="B76" s="61" t="s">
        <v>896</v>
      </c>
      <c r="C76" s="62">
        <v>220.0</v>
      </c>
      <c r="D76" s="52"/>
      <c r="E76" s="52"/>
    </row>
    <row r="77">
      <c r="A77" s="60" t="s">
        <v>395</v>
      </c>
      <c r="B77" s="61" t="s">
        <v>397</v>
      </c>
      <c r="C77" s="62">
        <v>225.0</v>
      </c>
      <c r="D77" s="52"/>
      <c r="E77" s="52"/>
    </row>
    <row r="78">
      <c r="A78" s="60" t="s">
        <v>430</v>
      </c>
      <c r="B78" s="61" t="s">
        <v>432</v>
      </c>
      <c r="C78" s="62">
        <v>226.0</v>
      </c>
      <c r="D78" s="52"/>
      <c r="E78" s="52"/>
    </row>
    <row r="79">
      <c r="A79" s="60" t="s">
        <v>766</v>
      </c>
      <c r="B79" s="61" t="s">
        <v>768</v>
      </c>
      <c r="C79" s="62">
        <v>236.0</v>
      </c>
      <c r="D79" s="52"/>
      <c r="E79" s="52"/>
    </row>
    <row r="80">
      <c r="A80" s="60" t="s">
        <v>378</v>
      </c>
      <c r="B80" s="61" t="s">
        <v>380</v>
      </c>
      <c r="C80" s="62">
        <v>237.0</v>
      </c>
      <c r="D80" s="52"/>
      <c r="E80" s="52"/>
    </row>
    <row r="81">
      <c r="A81" s="60" t="s">
        <v>824</v>
      </c>
      <c r="B81" s="61" t="s">
        <v>826</v>
      </c>
      <c r="C81" s="62">
        <v>239.0</v>
      </c>
      <c r="D81" s="52"/>
      <c r="E81" s="52"/>
    </row>
    <row r="82">
      <c r="A82" s="60" t="s">
        <v>858</v>
      </c>
      <c r="B82" s="61" t="s">
        <v>860</v>
      </c>
      <c r="C82" s="62">
        <v>242.0</v>
      </c>
      <c r="D82" s="52"/>
      <c r="E82" s="52"/>
    </row>
    <row r="83">
      <c r="A83" s="60" t="s">
        <v>611</v>
      </c>
      <c r="B83" s="61" t="s">
        <v>613</v>
      </c>
      <c r="C83" s="62">
        <v>249.0</v>
      </c>
      <c r="D83" s="52"/>
      <c r="E83" s="52"/>
    </row>
    <row r="84">
      <c r="A84" s="64" t="s">
        <v>403</v>
      </c>
      <c r="B84" s="61" t="s">
        <v>405</v>
      </c>
      <c r="C84" s="62">
        <v>255.0</v>
      </c>
      <c r="D84" s="52"/>
      <c r="E84" s="52"/>
    </row>
    <row r="85">
      <c r="A85" s="60" t="s">
        <v>593</v>
      </c>
      <c r="B85" s="61" t="s">
        <v>595</v>
      </c>
      <c r="C85" s="62">
        <v>257.0</v>
      </c>
      <c r="D85" s="52"/>
      <c r="E85" s="52"/>
    </row>
    <row r="86">
      <c r="A86" s="60" t="s">
        <v>602</v>
      </c>
      <c r="B86" s="61" t="s">
        <v>604</v>
      </c>
      <c r="C86" s="62">
        <v>257.0</v>
      </c>
      <c r="D86" s="52"/>
      <c r="E86" s="52"/>
    </row>
    <row r="87">
      <c r="A87" s="60" t="s">
        <v>842</v>
      </c>
      <c r="B87" s="61" t="s">
        <v>844</v>
      </c>
      <c r="C87" s="62">
        <v>258.0</v>
      </c>
      <c r="D87" s="52"/>
      <c r="E87" s="52"/>
    </row>
    <row r="88">
      <c r="A88" s="60" t="s">
        <v>1136</v>
      </c>
      <c r="B88" s="61" t="s">
        <v>1138</v>
      </c>
      <c r="C88" s="62">
        <v>265.0</v>
      </c>
      <c r="D88" s="52"/>
      <c r="E88" s="52"/>
    </row>
    <row r="89">
      <c r="A89" s="60" t="s">
        <v>276</v>
      </c>
      <c r="B89" s="61" t="s">
        <v>278</v>
      </c>
      <c r="C89" s="62">
        <v>267.0</v>
      </c>
      <c r="D89" s="52"/>
      <c r="E89" s="52"/>
    </row>
    <row r="90">
      <c r="A90" s="60" t="s">
        <v>662</v>
      </c>
      <c r="B90" s="61" t="s">
        <v>664</v>
      </c>
      <c r="C90" s="62">
        <v>271.0</v>
      </c>
      <c r="D90" s="52"/>
      <c r="E90" s="52"/>
    </row>
    <row r="91">
      <c r="A91" s="60" t="s">
        <v>87</v>
      </c>
      <c r="B91" s="61" t="s">
        <v>89</v>
      </c>
      <c r="C91" s="62">
        <v>274.0</v>
      </c>
      <c r="D91" s="52"/>
      <c r="E91" s="52"/>
    </row>
    <row r="92">
      <c r="A92" s="60" t="s">
        <v>1023</v>
      </c>
      <c r="B92" s="61" t="s">
        <v>1025</v>
      </c>
      <c r="C92" s="62">
        <v>278.0</v>
      </c>
      <c r="D92" s="52"/>
      <c r="E92" s="52"/>
    </row>
    <row r="93">
      <c r="A93" s="60" t="s">
        <v>876</v>
      </c>
      <c r="B93" s="61" t="s">
        <v>878</v>
      </c>
      <c r="C93" s="62">
        <v>283.0</v>
      </c>
      <c r="D93" s="52"/>
      <c r="E93" s="52"/>
    </row>
    <row r="94">
      <c r="A94" s="60" t="s">
        <v>1075</v>
      </c>
      <c r="B94" s="61" t="s">
        <v>1077</v>
      </c>
      <c r="C94" s="62">
        <v>283.0</v>
      </c>
      <c r="D94" s="52"/>
      <c r="E94" s="52"/>
    </row>
    <row r="95">
      <c r="A95" s="60" t="s">
        <v>1198</v>
      </c>
      <c r="B95" s="61" t="s">
        <v>1200</v>
      </c>
      <c r="C95" s="62">
        <v>286.0</v>
      </c>
      <c r="D95" s="52"/>
      <c r="E95" s="52"/>
    </row>
    <row r="96">
      <c r="A96" s="60" t="s">
        <v>945</v>
      </c>
      <c r="B96" s="61" t="s">
        <v>947</v>
      </c>
      <c r="C96" s="62">
        <v>290.0</v>
      </c>
      <c r="D96" s="52"/>
      <c r="E96" s="52"/>
    </row>
    <row r="97">
      <c r="A97" s="60" t="s">
        <v>240</v>
      </c>
      <c r="B97" s="61" t="s">
        <v>242</v>
      </c>
      <c r="C97" s="62">
        <v>291.0</v>
      </c>
      <c r="D97" s="52"/>
      <c r="E97" s="52"/>
    </row>
    <row r="98">
      <c r="A98" s="60" t="s">
        <v>970</v>
      </c>
      <c r="B98" s="61" t="s">
        <v>972</v>
      </c>
      <c r="C98" s="62">
        <v>296.0</v>
      </c>
      <c r="D98" s="52"/>
      <c r="E98" s="52"/>
    </row>
    <row r="99">
      <c r="A99" s="60" t="s">
        <v>117</v>
      </c>
      <c r="B99" s="61" t="s">
        <v>119</v>
      </c>
      <c r="C99" s="62">
        <v>298.0</v>
      </c>
      <c r="D99" s="52"/>
      <c r="E99" s="52"/>
    </row>
    <row r="100">
      <c r="A100" s="60" t="s">
        <v>369</v>
      </c>
      <c r="B100" s="61" t="s">
        <v>371</v>
      </c>
      <c r="C100" s="62">
        <v>298.0</v>
      </c>
      <c r="D100" s="52"/>
      <c r="E100" s="52"/>
    </row>
    <row r="101">
      <c r="A101" s="60" t="s">
        <v>1118</v>
      </c>
      <c r="B101" s="61" t="s">
        <v>1120</v>
      </c>
      <c r="C101" s="62">
        <v>299.0</v>
      </c>
      <c r="D101" s="52"/>
      <c r="E101" s="52"/>
    </row>
    <row r="102">
      <c r="A102" s="60" t="s">
        <v>1041</v>
      </c>
      <c r="B102" s="61" t="s">
        <v>1043</v>
      </c>
      <c r="C102" s="62">
        <v>300.0</v>
      </c>
      <c r="D102" s="52"/>
      <c r="E102" s="52"/>
    </row>
    <row r="103">
      <c r="A103" s="60" t="s">
        <v>464</v>
      </c>
      <c r="B103" s="61" t="s">
        <v>466</v>
      </c>
      <c r="C103" s="62">
        <v>301.0</v>
      </c>
      <c r="D103" s="52"/>
      <c r="E103" s="52"/>
    </row>
    <row r="104">
      <c r="A104" s="60" t="s">
        <v>1163</v>
      </c>
      <c r="B104" s="61" t="s">
        <v>1165</v>
      </c>
      <c r="C104" s="62">
        <v>310.0</v>
      </c>
      <c r="D104" s="52"/>
      <c r="E104" s="52"/>
    </row>
    <row r="105">
      <c r="A105" s="60" t="s">
        <v>885</v>
      </c>
      <c r="B105" s="61" t="s">
        <v>887</v>
      </c>
      <c r="C105" s="62">
        <v>321.0</v>
      </c>
      <c r="D105" s="52"/>
      <c r="E105" s="52"/>
    </row>
    <row r="106">
      <c r="A106" s="60" t="s">
        <v>679</v>
      </c>
      <c r="B106" s="61" t="s">
        <v>681</v>
      </c>
      <c r="C106" s="62">
        <v>322.0</v>
      </c>
      <c r="D106" s="52"/>
      <c r="E106" s="52"/>
    </row>
    <row r="107">
      <c r="A107" s="60" t="s">
        <v>311</v>
      </c>
      <c r="B107" s="61" t="s">
        <v>313</v>
      </c>
      <c r="C107" s="62">
        <v>331.0</v>
      </c>
      <c r="D107" s="52"/>
      <c r="E107" s="52"/>
    </row>
    <row r="108">
      <c r="A108" s="60" t="s">
        <v>560</v>
      </c>
      <c r="B108" s="61" t="s">
        <v>562</v>
      </c>
      <c r="C108" s="62">
        <v>332.0</v>
      </c>
      <c r="D108" s="52"/>
      <c r="E108" s="52"/>
    </row>
    <row r="109">
      <c r="A109" s="60" t="s">
        <v>1102</v>
      </c>
      <c r="B109" s="61" t="s">
        <v>1104</v>
      </c>
      <c r="C109" s="62">
        <v>333.0</v>
      </c>
      <c r="D109" s="52"/>
      <c r="E109" s="52"/>
    </row>
    <row r="110">
      <c r="A110" s="60" t="s">
        <v>740</v>
      </c>
      <c r="B110" s="61" t="s">
        <v>742</v>
      </c>
      <c r="C110" s="62">
        <v>335.0</v>
      </c>
      <c r="D110" s="52"/>
      <c r="E110" s="52"/>
    </row>
    <row r="111">
      <c r="A111" s="60" t="s">
        <v>169</v>
      </c>
      <c r="B111" s="61" t="s">
        <v>171</v>
      </c>
      <c r="C111" s="62">
        <v>337.0</v>
      </c>
      <c r="D111" s="52"/>
      <c r="E111" s="52"/>
    </row>
    <row r="112">
      <c r="A112" s="60" t="s">
        <v>143</v>
      </c>
      <c r="B112" s="61" t="s">
        <v>145</v>
      </c>
      <c r="C112" s="62">
        <v>338.0</v>
      </c>
      <c r="D112" s="52"/>
      <c r="E112" s="52"/>
    </row>
    <row r="113">
      <c r="A113" s="60" t="s">
        <v>936</v>
      </c>
      <c r="B113" s="61" t="s">
        <v>938</v>
      </c>
      <c r="C113" s="62">
        <v>338.0</v>
      </c>
      <c r="D113" s="52"/>
      <c r="E113" s="52"/>
    </row>
    <row r="114">
      <c r="A114" s="60" t="s">
        <v>205</v>
      </c>
      <c r="B114" s="61" t="s">
        <v>207</v>
      </c>
      <c r="C114" s="62">
        <v>342.0</v>
      </c>
      <c r="D114" s="52"/>
      <c r="E114" s="52"/>
    </row>
    <row r="115">
      <c r="A115" s="60" t="s">
        <v>152</v>
      </c>
      <c r="B115" s="61" t="s">
        <v>154</v>
      </c>
      <c r="C115" s="62">
        <v>347.0</v>
      </c>
      <c r="D115" s="52"/>
      <c r="E115" s="52"/>
    </row>
    <row r="116">
      <c r="A116" s="60" t="s">
        <v>577</v>
      </c>
      <c r="B116" s="61" t="s">
        <v>579</v>
      </c>
      <c r="C116" s="62">
        <v>364.0</v>
      </c>
      <c r="D116" s="52"/>
      <c r="E116" s="52"/>
    </row>
    <row r="117">
      <c r="A117" s="60" t="s">
        <v>320</v>
      </c>
      <c r="B117" s="61" t="s">
        <v>322</v>
      </c>
      <c r="C117" s="62">
        <v>365.0</v>
      </c>
      <c r="D117" s="52"/>
      <c r="E117" s="52"/>
    </row>
    <row r="118">
      <c r="A118" s="60" t="s">
        <v>1189</v>
      </c>
      <c r="B118" s="61" t="s">
        <v>1191</v>
      </c>
      <c r="C118" s="62">
        <v>375.0</v>
      </c>
      <c r="D118" s="52"/>
      <c r="E118" s="52"/>
    </row>
    <row r="119">
      <c r="A119" s="60" t="s">
        <v>294</v>
      </c>
      <c r="B119" s="61" t="s">
        <v>296</v>
      </c>
      <c r="C119" s="62">
        <v>376.0</v>
      </c>
      <c r="D119" s="52"/>
      <c r="E119" s="52"/>
    </row>
    <row r="120">
      <c r="A120" s="60" t="s">
        <v>997</v>
      </c>
      <c r="B120" s="61" t="s">
        <v>999</v>
      </c>
      <c r="C120" s="62">
        <v>377.0</v>
      </c>
      <c r="D120" s="52"/>
      <c r="E120" s="52"/>
    </row>
    <row r="121">
      <c r="A121" s="60" t="s">
        <v>775</v>
      </c>
      <c r="B121" s="61" t="s">
        <v>777</v>
      </c>
      <c r="C121" s="62">
        <v>385.0</v>
      </c>
      <c r="D121" s="52"/>
      <c r="E121" s="52"/>
    </row>
    <row r="122">
      <c r="A122" s="60" t="s">
        <v>77</v>
      </c>
      <c r="B122" s="61" t="s">
        <v>79</v>
      </c>
      <c r="C122" s="62">
        <v>394.0</v>
      </c>
      <c r="D122" s="52"/>
      <c r="E122" s="52"/>
    </row>
    <row r="123">
      <c r="A123" s="60" t="s">
        <v>344</v>
      </c>
      <c r="B123" s="61" t="s">
        <v>346</v>
      </c>
      <c r="C123" s="62">
        <v>396.0</v>
      </c>
      <c r="D123" s="52"/>
      <c r="E123" s="52"/>
    </row>
    <row r="124">
      <c r="A124" s="60" t="s">
        <v>1207</v>
      </c>
      <c r="B124" s="61" t="s">
        <v>1209</v>
      </c>
      <c r="C124" s="62">
        <v>401.0</v>
      </c>
      <c r="D124" s="52"/>
      <c r="E124" s="52"/>
    </row>
    <row r="125">
      <c r="A125" s="60" t="s">
        <v>285</v>
      </c>
      <c r="B125" s="61" t="s">
        <v>287</v>
      </c>
      <c r="C125" s="62">
        <v>402.0</v>
      </c>
      <c r="D125" s="52"/>
      <c r="E125" s="52"/>
    </row>
    <row r="126">
      <c r="A126" s="60" t="s">
        <v>196</v>
      </c>
      <c r="B126" s="61" t="s">
        <v>198</v>
      </c>
      <c r="C126" s="62">
        <v>403.0</v>
      </c>
      <c r="D126" s="52"/>
      <c r="E126" s="52"/>
    </row>
    <row r="127">
      <c r="A127" s="60" t="s">
        <v>448</v>
      </c>
      <c r="B127" s="61" t="s">
        <v>450</v>
      </c>
      <c r="C127" s="62">
        <v>404.0</v>
      </c>
      <c r="D127" s="52"/>
      <c r="E127" s="52"/>
    </row>
    <row r="128">
      <c r="A128" s="60" t="s">
        <v>722</v>
      </c>
      <c r="B128" s="61" t="s">
        <v>724</v>
      </c>
      <c r="C128" s="62">
        <v>405.0</v>
      </c>
      <c r="D128" s="52"/>
      <c r="E128" s="52"/>
    </row>
    <row r="129">
      <c r="A129" s="60" t="s">
        <v>962</v>
      </c>
      <c r="B129" s="61" t="s">
        <v>964</v>
      </c>
      <c r="C129" s="62">
        <v>407.0</v>
      </c>
      <c r="D129" s="52"/>
      <c r="E129" s="52"/>
    </row>
    <row r="130">
      <c r="A130" s="60" t="s">
        <v>508</v>
      </c>
      <c r="B130" s="61" t="s">
        <v>510</v>
      </c>
      <c r="C130" s="62">
        <v>413.0</v>
      </c>
      <c r="D130" s="52"/>
      <c r="E130" s="52"/>
    </row>
    <row r="131">
      <c r="A131" s="60" t="s">
        <v>953</v>
      </c>
      <c r="B131" s="61" t="s">
        <v>955</v>
      </c>
      <c r="C131" s="62">
        <v>413.0</v>
      </c>
      <c r="D131" s="52"/>
      <c r="E131" s="52"/>
    </row>
    <row r="132">
      <c r="A132" s="60" t="s">
        <v>526</v>
      </c>
      <c r="B132" s="61" t="s">
        <v>528</v>
      </c>
      <c r="C132" s="62">
        <v>431.0</v>
      </c>
      <c r="D132" s="52"/>
      <c r="E132" s="52"/>
    </row>
    <row r="133">
      <c r="A133" s="60" t="s">
        <v>586</v>
      </c>
      <c r="B133" s="61" t="s">
        <v>588</v>
      </c>
      <c r="C133" s="62">
        <v>433.0</v>
      </c>
      <c r="D133" s="52"/>
      <c r="E133" s="52"/>
    </row>
    <row r="134">
      <c r="A134" s="60" t="s">
        <v>1084</v>
      </c>
      <c r="B134" s="61" t="s">
        <v>1086</v>
      </c>
      <c r="C134" s="62">
        <v>452.0</v>
      </c>
      <c r="D134" s="52"/>
      <c r="E134" s="52"/>
    </row>
  </sheetData>
  <conditionalFormatting sqref="C1:C134">
    <cfRule type="cellIs" dxfId="0" priority="1" operator="greaterThanOrEqual">
      <formula>383</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s>
  <drawing r:id="rId13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32.71"/>
    <col customWidth="1" min="3" max="3" width="27.0"/>
    <col customWidth="1" min="4" max="4" width="10.43"/>
    <col customWidth="1" min="5" max="5" width="75.0"/>
  </cols>
  <sheetData>
    <row r="1">
      <c r="A1" s="59" t="s">
        <v>47</v>
      </c>
      <c r="B1" s="59" t="s">
        <v>49</v>
      </c>
      <c r="C1" s="59" t="s">
        <v>60</v>
      </c>
      <c r="D1" s="50"/>
      <c r="E1" s="56" t="str">
        <f>CONCATENATE('✅ Filter Rules'!E2*100, "th Percentile")</f>
        <v>20th Percentile</v>
      </c>
    </row>
    <row r="2">
      <c r="A2" s="60" t="s">
        <v>361</v>
      </c>
      <c r="B2" s="61" t="s">
        <v>363</v>
      </c>
      <c r="C2" s="62">
        <v>26.0</v>
      </c>
      <c r="D2" s="52"/>
      <c r="E2" s="58">
        <f>percentile(C2:C134, '✅ Filter Rules'!E2)</f>
        <v>44</v>
      </c>
    </row>
    <row r="3">
      <c r="A3" s="60" t="s">
        <v>448</v>
      </c>
      <c r="B3" s="61" t="s">
        <v>450</v>
      </c>
      <c r="C3" s="62">
        <v>26.0</v>
      </c>
      <c r="D3" s="52"/>
      <c r="E3" s="52"/>
    </row>
    <row r="4">
      <c r="A4" s="60" t="s">
        <v>1216</v>
      </c>
      <c r="B4" s="61" t="s">
        <v>1218</v>
      </c>
      <c r="C4" s="62">
        <v>26.0</v>
      </c>
      <c r="D4" s="52"/>
      <c r="E4" s="52" t="s">
        <v>1231</v>
      </c>
    </row>
    <row r="5">
      <c r="A5" s="60" t="s">
        <v>259</v>
      </c>
      <c r="B5" s="61" t="s">
        <v>261</v>
      </c>
      <c r="C5" s="62">
        <v>27.0</v>
      </c>
      <c r="D5" s="52"/>
      <c r="E5" s="52" t="s">
        <v>1232</v>
      </c>
    </row>
    <row r="6">
      <c r="A6" s="60" t="s">
        <v>302</v>
      </c>
      <c r="B6" s="61" t="s">
        <v>304</v>
      </c>
      <c r="C6" s="62">
        <v>27.0</v>
      </c>
      <c r="D6" s="52"/>
      <c r="E6" s="50" t="s">
        <v>1233</v>
      </c>
    </row>
    <row r="7">
      <c r="A7" s="60" t="s">
        <v>560</v>
      </c>
      <c r="B7" s="61" t="s">
        <v>562</v>
      </c>
      <c r="C7" s="62">
        <v>27.0</v>
      </c>
      <c r="D7" s="52"/>
      <c r="E7" s="52"/>
    </row>
    <row r="8">
      <c r="A8" s="60" t="s">
        <v>833</v>
      </c>
      <c r="B8" s="61" t="s">
        <v>835</v>
      </c>
      <c r="C8" s="62">
        <v>28.0</v>
      </c>
      <c r="D8" s="52"/>
      <c r="E8" s="52"/>
    </row>
    <row r="9">
      <c r="A9" s="60" t="s">
        <v>543</v>
      </c>
      <c r="B9" s="61" t="s">
        <v>545</v>
      </c>
      <c r="C9" s="62">
        <v>29.0</v>
      </c>
      <c r="D9" s="52"/>
      <c r="E9" s="52"/>
    </row>
    <row r="10">
      <c r="A10" s="60" t="s">
        <v>535</v>
      </c>
      <c r="B10" s="61" t="s">
        <v>537</v>
      </c>
      <c r="C10" s="62">
        <v>30.0</v>
      </c>
      <c r="D10" s="52"/>
      <c r="E10" s="52"/>
    </row>
    <row r="11">
      <c r="A11" s="60" t="s">
        <v>552</v>
      </c>
      <c r="B11" s="61" t="s">
        <v>554</v>
      </c>
      <c r="C11" s="62">
        <v>30.0</v>
      </c>
      <c r="D11" s="52"/>
      <c r="E11" s="52"/>
    </row>
    <row r="12">
      <c r="A12" s="60" t="s">
        <v>824</v>
      </c>
      <c r="B12" s="61" t="s">
        <v>826</v>
      </c>
      <c r="C12" s="62">
        <v>30.0</v>
      </c>
      <c r="D12" s="52"/>
      <c r="E12" s="52"/>
    </row>
    <row r="13">
      <c r="A13" s="60" t="s">
        <v>653</v>
      </c>
      <c r="B13" s="61" t="s">
        <v>655</v>
      </c>
      <c r="C13" s="62">
        <v>32.0</v>
      </c>
      <c r="D13" s="52"/>
      <c r="E13" s="52"/>
    </row>
    <row r="14">
      <c r="A14" s="60" t="s">
        <v>1102</v>
      </c>
      <c r="B14" s="61" t="s">
        <v>1104</v>
      </c>
      <c r="C14" s="62">
        <v>32.0</v>
      </c>
      <c r="D14" s="52"/>
      <c r="E14" s="52"/>
    </row>
    <row r="15">
      <c r="A15" s="60" t="s">
        <v>1154</v>
      </c>
      <c r="B15" s="61" t="s">
        <v>1156</v>
      </c>
      <c r="C15" s="62">
        <v>32.0</v>
      </c>
      <c r="D15" s="52"/>
      <c r="E15" s="52"/>
    </row>
    <row r="16">
      <c r="A16" s="60" t="s">
        <v>327</v>
      </c>
      <c r="B16" s="61" t="s">
        <v>329</v>
      </c>
      <c r="C16" s="62">
        <v>33.0</v>
      </c>
      <c r="D16" s="52"/>
      <c r="E16" s="52"/>
    </row>
    <row r="17">
      <c r="A17" s="60" t="s">
        <v>412</v>
      </c>
      <c r="B17" s="61" t="s">
        <v>414</v>
      </c>
      <c r="C17" s="62">
        <v>33.0</v>
      </c>
      <c r="D17" s="52"/>
      <c r="E17" s="52"/>
    </row>
    <row r="18">
      <c r="A18" s="60" t="s">
        <v>919</v>
      </c>
      <c r="B18" s="61" t="s">
        <v>921</v>
      </c>
      <c r="C18" s="62">
        <v>33.0</v>
      </c>
      <c r="D18" s="52"/>
      <c r="E18" s="52"/>
    </row>
    <row r="19">
      <c r="A19" s="60" t="s">
        <v>500</v>
      </c>
      <c r="B19" s="61" t="s">
        <v>502</v>
      </c>
      <c r="C19" s="62">
        <v>34.0</v>
      </c>
      <c r="D19" s="52"/>
      <c r="E19" s="52"/>
    </row>
    <row r="20">
      <c r="A20" s="60" t="s">
        <v>1067</v>
      </c>
      <c r="B20" s="61" t="s">
        <v>1069</v>
      </c>
      <c r="C20" s="62">
        <v>34.0</v>
      </c>
      <c r="D20" s="52"/>
      <c r="E20" s="52"/>
    </row>
    <row r="21">
      <c r="A21" s="60" t="s">
        <v>569</v>
      </c>
      <c r="B21" s="61" t="s">
        <v>571</v>
      </c>
      <c r="C21" s="62">
        <v>35.0</v>
      </c>
      <c r="D21" s="52"/>
      <c r="E21" s="52"/>
    </row>
    <row r="22">
      <c r="A22" s="60" t="s">
        <v>353</v>
      </c>
      <c r="B22" s="61" t="s">
        <v>355</v>
      </c>
      <c r="C22" s="62">
        <v>36.0</v>
      </c>
      <c r="D22" s="52"/>
      <c r="E22" s="52"/>
    </row>
    <row r="23">
      <c r="A23" s="60" t="s">
        <v>294</v>
      </c>
      <c r="B23" s="61" t="s">
        <v>296</v>
      </c>
      <c r="C23" s="62">
        <v>40.0</v>
      </c>
      <c r="D23" s="52"/>
      <c r="E23" s="52"/>
    </row>
    <row r="24">
      <c r="A24" s="60" t="s">
        <v>1006</v>
      </c>
      <c r="B24" s="61" t="s">
        <v>1008</v>
      </c>
      <c r="C24" s="62">
        <v>41.0</v>
      </c>
      <c r="D24" s="52"/>
      <c r="E24" s="52"/>
    </row>
    <row r="25">
      <c r="A25" s="60" t="s">
        <v>713</v>
      </c>
      <c r="B25" s="61" t="s">
        <v>715</v>
      </c>
      <c r="C25" s="62">
        <v>42.0</v>
      </c>
      <c r="D25" s="52"/>
      <c r="E25" s="52"/>
    </row>
    <row r="26">
      <c r="A26" s="60" t="s">
        <v>439</v>
      </c>
      <c r="B26" s="61" t="s">
        <v>441</v>
      </c>
      <c r="C26" s="62">
        <v>43.0</v>
      </c>
      <c r="D26" s="52"/>
      <c r="E26" s="52"/>
    </row>
    <row r="27">
      <c r="A27" s="60" t="s">
        <v>816</v>
      </c>
      <c r="B27" s="61" t="s">
        <v>818</v>
      </c>
      <c r="C27" s="62">
        <v>43.0</v>
      </c>
      <c r="D27" s="52"/>
      <c r="E27" s="52"/>
    </row>
    <row r="28">
      <c r="A28" s="60" t="s">
        <v>577</v>
      </c>
      <c r="B28" s="61" t="s">
        <v>579</v>
      </c>
      <c r="C28" s="62">
        <v>44.0</v>
      </c>
      <c r="D28" s="52"/>
      <c r="E28" s="52"/>
    </row>
    <row r="29">
      <c r="A29" s="60" t="s">
        <v>758</v>
      </c>
      <c r="B29" s="61" t="s">
        <v>760</v>
      </c>
      <c r="C29" s="62">
        <v>44.0</v>
      </c>
      <c r="D29" s="52"/>
      <c r="E29" s="52"/>
    </row>
    <row r="30">
      <c r="A30" s="60" t="s">
        <v>1049</v>
      </c>
      <c r="B30" s="61" t="s">
        <v>1051</v>
      </c>
      <c r="C30" s="62">
        <v>45.0</v>
      </c>
      <c r="D30" s="52"/>
      <c r="E30" s="52"/>
    </row>
    <row r="31">
      <c r="A31" s="60" t="s">
        <v>1145</v>
      </c>
      <c r="B31" s="61" t="s">
        <v>1147</v>
      </c>
      <c r="C31" s="62">
        <v>45.0</v>
      </c>
      <c r="D31" s="52"/>
      <c r="E31" s="52"/>
    </row>
    <row r="32">
      <c r="A32" s="60" t="s">
        <v>740</v>
      </c>
      <c r="B32" s="61" t="s">
        <v>742</v>
      </c>
      <c r="C32" s="62">
        <v>46.0</v>
      </c>
      <c r="D32" s="52"/>
      <c r="E32" s="52"/>
    </row>
    <row r="33">
      <c r="A33" s="60" t="s">
        <v>850</v>
      </c>
      <c r="B33" s="61" t="s">
        <v>852</v>
      </c>
      <c r="C33" s="62">
        <v>47.0</v>
      </c>
      <c r="D33" s="52"/>
      <c r="E33" s="52"/>
    </row>
    <row r="34">
      <c r="A34" s="60" t="s">
        <v>858</v>
      </c>
      <c r="B34" s="61" t="s">
        <v>860</v>
      </c>
      <c r="C34" s="62">
        <v>47.0</v>
      </c>
      <c r="D34" s="52"/>
      <c r="E34" s="52"/>
    </row>
    <row r="35">
      <c r="A35" s="60" t="s">
        <v>867</v>
      </c>
      <c r="B35" s="61" t="s">
        <v>869</v>
      </c>
      <c r="C35" s="62">
        <v>47.0</v>
      </c>
      <c r="D35" s="52"/>
      <c r="E35" s="52"/>
    </row>
    <row r="36">
      <c r="A36" s="60" t="s">
        <v>988</v>
      </c>
      <c r="B36" s="61" t="s">
        <v>990</v>
      </c>
      <c r="C36" s="62">
        <v>47.0</v>
      </c>
      <c r="D36" s="52"/>
      <c r="E36" s="52"/>
    </row>
    <row r="37">
      <c r="A37" s="60" t="s">
        <v>645</v>
      </c>
      <c r="B37" s="61" t="s">
        <v>647</v>
      </c>
      <c r="C37" s="62">
        <v>48.0</v>
      </c>
      <c r="D37" s="52"/>
      <c r="E37" s="52"/>
    </row>
    <row r="38">
      <c r="A38" s="60" t="s">
        <v>135</v>
      </c>
      <c r="B38" s="61" t="s">
        <v>137</v>
      </c>
      <c r="C38" s="62">
        <v>49.0</v>
      </c>
      <c r="D38" s="52"/>
      <c r="E38" s="52"/>
    </row>
    <row r="39">
      <c r="A39" s="60" t="s">
        <v>945</v>
      </c>
      <c r="B39" s="61" t="s">
        <v>947</v>
      </c>
      <c r="C39" s="62">
        <v>51.0</v>
      </c>
      <c r="D39" s="52"/>
      <c r="E39" s="52"/>
    </row>
    <row r="40">
      <c r="A40" s="60" t="s">
        <v>1136</v>
      </c>
      <c r="B40" s="61" t="s">
        <v>1138</v>
      </c>
      <c r="C40" s="62">
        <v>51.0</v>
      </c>
      <c r="D40" s="52"/>
      <c r="E40" s="52"/>
    </row>
    <row r="41">
      <c r="A41" s="60" t="s">
        <v>117</v>
      </c>
      <c r="B41" s="61" t="s">
        <v>119</v>
      </c>
      <c r="C41" s="62">
        <v>52.0</v>
      </c>
      <c r="D41" s="52"/>
      <c r="E41" s="52"/>
    </row>
    <row r="42">
      <c r="A42" s="60" t="s">
        <v>611</v>
      </c>
      <c r="B42" s="61" t="s">
        <v>613</v>
      </c>
      <c r="C42" s="62">
        <v>52.0</v>
      </c>
      <c r="D42" s="52"/>
      <c r="E42" s="52"/>
    </row>
    <row r="43">
      <c r="A43" s="60" t="s">
        <v>637</v>
      </c>
      <c r="B43" s="61" t="s">
        <v>639</v>
      </c>
      <c r="C43" s="62">
        <v>52.0</v>
      </c>
      <c r="D43" s="52"/>
      <c r="E43" s="52"/>
    </row>
    <row r="44">
      <c r="A44" s="60" t="s">
        <v>662</v>
      </c>
      <c r="B44" s="61" t="s">
        <v>664</v>
      </c>
      <c r="C44" s="62">
        <v>52.0</v>
      </c>
      <c r="D44" s="52"/>
      <c r="E44" s="52"/>
    </row>
    <row r="45">
      <c r="A45" s="60" t="s">
        <v>1198</v>
      </c>
      <c r="B45" s="61" t="s">
        <v>1200</v>
      </c>
      <c r="C45" s="62">
        <v>52.0</v>
      </c>
      <c r="D45" s="52"/>
      <c r="E45" s="52"/>
    </row>
    <row r="46">
      <c r="A46" s="60" t="s">
        <v>464</v>
      </c>
      <c r="B46" s="61" t="s">
        <v>466</v>
      </c>
      <c r="C46" s="62">
        <v>54.0</v>
      </c>
      <c r="D46" s="52"/>
      <c r="E46" s="52"/>
    </row>
    <row r="47">
      <c r="A47" s="60" t="s">
        <v>766</v>
      </c>
      <c r="B47" s="61" t="s">
        <v>768</v>
      </c>
      <c r="C47" s="62">
        <v>54.0</v>
      </c>
      <c r="D47" s="52"/>
      <c r="E47" s="52"/>
    </row>
    <row r="48">
      <c r="A48" s="60" t="s">
        <v>1118</v>
      </c>
      <c r="B48" s="61" t="s">
        <v>1120</v>
      </c>
      <c r="C48" s="62">
        <v>54.0</v>
      </c>
      <c r="D48" s="52"/>
      <c r="E48" s="52"/>
    </row>
    <row r="49">
      <c r="A49" s="60" t="s">
        <v>1058</v>
      </c>
      <c r="B49" s="61" t="s">
        <v>1060</v>
      </c>
      <c r="C49" s="62">
        <v>55.0</v>
      </c>
      <c r="D49" s="52"/>
      <c r="E49" s="52"/>
    </row>
    <row r="50">
      <c r="A50" s="60" t="s">
        <v>126</v>
      </c>
      <c r="B50" s="61" t="s">
        <v>128</v>
      </c>
      <c r="C50" s="62">
        <v>56.0</v>
      </c>
      <c r="D50" s="52"/>
      <c r="E50" s="52"/>
    </row>
    <row r="51">
      <c r="A51" s="60" t="s">
        <v>1172</v>
      </c>
      <c r="B51" s="61" t="s">
        <v>1174</v>
      </c>
      <c r="C51" s="62">
        <v>58.0</v>
      </c>
      <c r="D51" s="52"/>
      <c r="E51" s="52"/>
    </row>
    <row r="52">
      <c r="A52" s="60" t="s">
        <v>979</v>
      </c>
      <c r="B52" s="61" t="s">
        <v>981</v>
      </c>
      <c r="C52" s="62">
        <v>59.0</v>
      </c>
      <c r="D52" s="52"/>
      <c r="E52" s="52"/>
    </row>
    <row r="53">
      <c r="A53" s="60" t="s">
        <v>628</v>
      </c>
      <c r="B53" s="61" t="s">
        <v>630</v>
      </c>
      <c r="C53" s="62">
        <v>60.0</v>
      </c>
      <c r="D53" s="52"/>
      <c r="E53" s="52"/>
    </row>
    <row r="54">
      <c r="A54" s="60" t="s">
        <v>927</v>
      </c>
      <c r="B54" s="61" t="s">
        <v>929</v>
      </c>
      <c r="C54" s="62">
        <v>60.0</v>
      </c>
      <c r="D54" s="52"/>
      <c r="E54" s="52"/>
    </row>
    <row r="55">
      <c r="A55" s="60" t="s">
        <v>430</v>
      </c>
      <c r="B55" s="61" t="s">
        <v>432</v>
      </c>
      <c r="C55" s="62">
        <v>61.0</v>
      </c>
      <c r="D55" s="52"/>
      <c r="E55" s="52"/>
    </row>
    <row r="56">
      <c r="A56" s="60" t="s">
        <v>1084</v>
      </c>
      <c r="B56" s="61" t="s">
        <v>1086</v>
      </c>
      <c r="C56" s="62">
        <v>61.0</v>
      </c>
      <c r="D56" s="52"/>
      <c r="E56" s="52"/>
    </row>
    <row r="57">
      <c r="A57" s="60" t="s">
        <v>205</v>
      </c>
      <c r="B57" s="61" t="s">
        <v>207</v>
      </c>
      <c r="C57" s="62">
        <v>63.0</v>
      </c>
      <c r="D57" s="52"/>
      <c r="E57" s="52"/>
    </row>
    <row r="58">
      <c r="A58" s="60" t="s">
        <v>749</v>
      </c>
      <c r="B58" s="61" t="s">
        <v>751</v>
      </c>
      <c r="C58" s="62">
        <v>63.0</v>
      </c>
      <c r="D58" s="52"/>
      <c r="E58" s="52"/>
    </row>
    <row r="59">
      <c r="A59" s="60" t="s">
        <v>775</v>
      </c>
      <c r="B59" s="61" t="s">
        <v>777</v>
      </c>
      <c r="C59" s="62">
        <v>64.0</v>
      </c>
      <c r="D59" s="52"/>
      <c r="E59" s="52"/>
    </row>
    <row r="60">
      <c r="A60" s="60" t="s">
        <v>798</v>
      </c>
      <c r="B60" s="61" t="s">
        <v>800</v>
      </c>
      <c r="C60" s="62">
        <v>67.0</v>
      </c>
      <c r="D60" s="52"/>
      <c r="E60" s="52"/>
    </row>
    <row r="61">
      <c r="A61" s="60" t="s">
        <v>267</v>
      </c>
      <c r="B61" s="61" t="s">
        <v>269</v>
      </c>
      <c r="C61" s="62">
        <v>68.0</v>
      </c>
      <c r="D61" s="52"/>
      <c r="E61" s="52"/>
    </row>
    <row r="62">
      <c r="A62" s="60" t="s">
        <v>482</v>
      </c>
      <c r="B62" s="61" t="s">
        <v>484</v>
      </c>
      <c r="C62" s="62">
        <v>68.0</v>
      </c>
      <c r="D62" s="52"/>
      <c r="E62" s="52"/>
    </row>
    <row r="63">
      <c r="A63" s="60" t="s">
        <v>179</v>
      </c>
      <c r="B63" s="61" t="s">
        <v>181</v>
      </c>
      <c r="C63" s="62">
        <v>69.0</v>
      </c>
      <c r="D63" s="52"/>
      <c r="E63" s="52"/>
    </row>
    <row r="64">
      <c r="A64" s="60" t="s">
        <v>807</v>
      </c>
      <c r="B64" s="61" t="s">
        <v>809</v>
      </c>
      <c r="C64" s="62">
        <v>69.0</v>
      </c>
      <c r="D64" s="52"/>
      <c r="E64" s="52"/>
    </row>
    <row r="65">
      <c r="A65" s="60" t="s">
        <v>1181</v>
      </c>
      <c r="B65" s="61" t="s">
        <v>1183</v>
      </c>
      <c r="C65" s="62">
        <v>69.0</v>
      </c>
      <c r="D65" s="52"/>
      <c r="E65" s="52"/>
    </row>
    <row r="66">
      <c r="A66" s="60" t="s">
        <v>456</v>
      </c>
      <c r="B66" s="61" t="s">
        <v>458</v>
      </c>
      <c r="C66" s="62">
        <v>70.0</v>
      </c>
      <c r="D66" s="52"/>
      <c r="E66" s="52"/>
    </row>
    <row r="67">
      <c r="A67" s="60" t="s">
        <v>696</v>
      </c>
      <c r="B67" s="61" t="s">
        <v>698</v>
      </c>
      <c r="C67" s="62">
        <v>70.0</v>
      </c>
      <c r="D67" s="52"/>
      <c r="E67" s="52"/>
    </row>
    <row r="68">
      <c r="A68" s="60" t="s">
        <v>473</v>
      </c>
      <c r="B68" s="61" t="s">
        <v>475</v>
      </c>
      <c r="C68" s="62">
        <v>73.0</v>
      </c>
      <c r="D68" s="52"/>
      <c r="E68" s="52"/>
    </row>
    <row r="69">
      <c r="A69" s="60" t="s">
        <v>593</v>
      </c>
      <c r="B69" s="61" t="s">
        <v>595</v>
      </c>
      <c r="C69" s="62">
        <v>74.0</v>
      </c>
      <c r="D69" s="52"/>
      <c r="E69" s="52"/>
    </row>
    <row r="70">
      <c r="A70" s="60" t="s">
        <v>586</v>
      </c>
      <c r="B70" s="61" t="s">
        <v>588</v>
      </c>
      <c r="C70" s="62">
        <v>76.0</v>
      </c>
      <c r="D70" s="52"/>
      <c r="E70" s="52"/>
    </row>
    <row r="71">
      <c r="A71" s="60" t="s">
        <v>1127</v>
      </c>
      <c r="B71" s="61" t="s">
        <v>1129</v>
      </c>
      <c r="C71" s="62">
        <v>76.0</v>
      </c>
      <c r="D71" s="52"/>
      <c r="E71" s="52"/>
    </row>
    <row r="72">
      <c r="A72" s="60" t="s">
        <v>143</v>
      </c>
      <c r="B72" s="61" t="s">
        <v>145</v>
      </c>
      <c r="C72" s="62">
        <v>77.0</v>
      </c>
      <c r="D72" s="52"/>
      <c r="E72" s="52"/>
    </row>
    <row r="73">
      <c r="A73" s="60" t="s">
        <v>790</v>
      </c>
      <c r="B73" s="61" t="s">
        <v>792</v>
      </c>
      <c r="C73" s="62">
        <v>79.0</v>
      </c>
      <c r="D73" s="52"/>
      <c r="E73" s="52"/>
    </row>
    <row r="74">
      <c r="A74" s="60" t="s">
        <v>1023</v>
      </c>
      <c r="B74" s="61" t="s">
        <v>1025</v>
      </c>
      <c r="C74" s="62">
        <v>79.0</v>
      </c>
      <c r="D74" s="52"/>
      <c r="E74" s="52"/>
    </row>
    <row r="75">
      <c r="A75" s="60" t="s">
        <v>87</v>
      </c>
      <c r="B75" s="61" t="s">
        <v>89</v>
      </c>
      <c r="C75" s="62">
        <v>80.0</v>
      </c>
      <c r="D75" s="52"/>
      <c r="E75" s="52"/>
    </row>
    <row r="76">
      <c r="A76" s="60" t="s">
        <v>911</v>
      </c>
      <c r="B76" s="61" t="s">
        <v>913</v>
      </c>
      <c r="C76" s="62">
        <v>80.0</v>
      </c>
      <c r="D76" s="52"/>
      <c r="E76" s="52"/>
    </row>
    <row r="77">
      <c r="A77" s="60" t="s">
        <v>705</v>
      </c>
      <c r="B77" s="61" t="s">
        <v>707</v>
      </c>
      <c r="C77" s="62">
        <v>81.0</v>
      </c>
      <c r="D77" s="52"/>
      <c r="E77" s="52"/>
    </row>
    <row r="78">
      <c r="A78" s="60" t="s">
        <v>970</v>
      </c>
      <c r="B78" s="61" t="s">
        <v>972</v>
      </c>
      <c r="C78" s="62">
        <v>82.0</v>
      </c>
      <c r="D78" s="52"/>
      <c r="E78" s="52"/>
    </row>
    <row r="79">
      <c r="A79" s="60" t="s">
        <v>214</v>
      </c>
      <c r="B79" s="61" t="s">
        <v>216</v>
      </c>
      <c r="C79" s="62">
        <v>83.0</v>
      </c>
      <c r="D79" s="52"/>
      <c r="E79" s="52"/>
    </row>
    <row r="80">
      <c r="A80" s="60" t="s">
        <v>885</v>
      </c>
      <c r="B80" s="61" t="s">
        <v>887</v>
      </c>
      <c r="C80" s="62">
        <v>87.0</v>
      </c>
      <c r="D80" s="52"/>
      <c r="E80" s="52"/>
    </row>
    <row r="81">
      <c r="A81" s="60" t="s">
        <v>526</v>
      </c>
      <c r="B81" s="61" t="s">
        <v>528</v>
      </c>
      <c r="C81" s="62">
        <v>88.0</v>
      </c>
      <c r="D81" s="52"/>
      <c r="E81" s="52"/>
    </row>
    <row r="82">
      <c r="A82" s="60" t="s">
        <v>152</v>
      </c>
      <c r="B82" s="61" t="s">
        <v>154</v>
      </c>
      <c r="C82" s="62">
        <v>89.0</v>
      </c>
      <c r="D82" s="52"/>
      <c r="E82" s="52"/>
    </row>
    <row r="83">
      <c r="A83" s="60" t="s">
        <v>1075</v>
      </c>
      <c r="B83" s="61" t="s">
        <v>1077</v>
      </c>
      <c r="C83" s="62">
        <v>90.0</v>
      </c>
      <c r="D83" s="52"/>
      <c r="E83" s="52"/>
    </row>
    <row r="84">
      <c r="A84" s="64" t="s">
        <v>953</v>
      </c>
      <c r="B84" s="61" t="s">
        <v>955</v>
      </c>
      <c r="C84" s="62">
        <v>91.0</v>
      </c>
      <c r="D84" s="52"/>
      <c r="E84" s="52"/>
    </row>
    <row r="85">
      <c r="A85" s="60" t="s">
        <v>232</v>
      </c>
      <c r="B85" s="61" t="s">
        <v>234</v>
      </c>
      <c r="C85" s="62">
        <v>92.0</v>
      </c>
      <c r="D85" s="52"/>
      <c r="E85" s="52"/>
    </row>
    <row r="86">
      <c r="A86" s="60" t="s">
        <v>369</v>
      </c>
      <c r="B86" s="61" t="s">
        <v>371</v>
      </c>
      <c r="C86" s="62">
        <v>93.0</v>
      </c>
      <c r="D86" s="52"/>
      <c r="E86" s="52"/>
    </row>
    <row r="87">
      <c r="A87" s="60" t="s">
        <v>223</v>
      </c>
      <c r="B87" s="61" t="s">
        <v>225</v>
      </c>
      <c r="C87" s="62">
        <v>94.0</v>
      </c>
      <c r="D87" s="52"/>
      <c r="E87" s="52"/>
    </row>
    <row r="88">
      <c r="A88" s="60" t="s">
        <v>320</v>
      </c>
      <c r="B88" s="61" t="s">
        <v>322</v>
      </c>
      <c r="C88" s="62">
        <v>94.0</v>
      </c>
      <c r="D88" s="52"/>
      <c r="E88" s="52"/>
    </row>
    <row r="89">
      <c r="A89" s="60" t="s">
        <v>722</v>
      </c>
      <c r="B89" s="61" t="s">
        <v>724</v>
      </c>
      <c r="C89" s="62">
        <v>97.0</v>
      </c>
      <c r="D89" s="52"/>
      <c r="E89" s="52"/>
    </row>
    <row r="90">
      <c r="A90" s="60" t="s">
        <v>335</v>
      </c>
      <c r="B90" s="61" t="s">
        <v>337</v>
      </c>
      <c r="C90" s="62">
        <v>100.0</v>
      </c>
      <c r="D90" s="52"/>
      <c r="E90" s="52"/>
    </row>
    <row r="91">
      <c r="A91" s="60" t="s">
        <v>1163</v>
      </c>
      <c r="B91" s="61" t="s">
        <v>1165</v>
      </c>
      <c r="C91" s="62">
        <v>100.0</v>
      </c>
      <c r="D91" s="52"/>
      <c r="E91" s="52"/>
    </row>
    <row r="92">
      <c r="A92" s="60" t="s">
        <v>962</v>
      </c>
      <c r="B92" s="61" t="s">
        <v>964</v>
      </c>
      <c r="C92" s="62">
        <v>102.0</v>
      </c>
      <c r="D92" s="52"/>
      <c r="E92" s="52"/>
    </row>
    <row r="93">
      <c r="A93" s="60" t="s">
        <v>97</v>
      </c>
      <c r="B93" s="61" t="s">
        <v>99</v>
      </c>
      <c r="C93" s="62">
        <v>105.0</v>
      </c>
      <c r="D93" s="52"/>
      <c r="E93" s="52"/>
    </row>
    <row r="94">
      <c r="A94" s="60" t="s">
        <v>344</v>
      </c>
      <c r="B94" s="61" t="s">
        <v>346</v>
      </c>
      <c r="C94" s="62">
        <v>110.0</v>
      </c>
      <c r="D94" s="52"/>
      <c r="E94" s="52"/>
    </row>
    <row r="95">
      <c r="A95" s="60" t="s">
        <v>1032</v>
      </c>
      <c r="B95" s="61" t="s">
        <v>1034</v>
      </c>
      <c r="C95" s="62">
        <v>111.0</v>
      </c>
      <c r="D95" s="52"/>
      <c r="E95" s="52"/>
    </row>
    <row r="96">
      <c r="A96" s="60" t="s">
        <v>620</v>
      </c>
      <c r="B96" s="61" t="s">
        <v>622</v>
      </c>
      <c r="C96" s="62">
        <v>117.0</v>
      </c>
      <c r="D96" s="52"/>
      <c r="E96" s="52"/>
    </row>
    <row r="97">
      <c r="A97" s="60" t="s">
        <v>169</v>
      </c>
      <c r="B97" s="61" t="s">
        <v>171</v>
      </c>
      <c r="C97" s="62">
        <v>118.0</v>
      </c>
      <c r="D97" s="52"/>
      <c r="E97" s="52"/>
    </row>
    <row r="98">
      <c r="A98" s="60" t="s">
        <v>311</v>
      </c>
      <c r="B98" s="61" t="s">
        <v>313</v>
      </c>
      <c r="C98" s="62">
        <v>118.0</v>
      </c>
      <c r="D98" s="52"/>
      <c r="E98" s="52"/>
    </row>
    <row r="99">
      <c r="A99" s="60" t="s">
        <v>240</v>
      </c>
      <c r="B99" s="61" t="s">
        <v>242</v>
      </c>
      <c r="C99" s="62">
        <v>119.0</v>
      </c>
      <c r="D99" s="52"/>
      <c r="E99" s="52"/>
    </row>
    <row r="100">
      <c r="A100" s="60" t="s">
        <v>688</v>
      </c>
      <c r="B100" s="61" t="s">
        <v>690</v>
      </c>
      <c r="C100" s="62">
        <v>120.0</v>
      </c>
      <c r="D100" s="52"/>
      <c r="E100" s="52"/>
    </row>
    <row r="101">
      <c r="A101" s="60" t="s">
        <v>387</v>
      </c>
      <c r="B101" s="61" t="s">
        <v>389</v>
      </c>
      <c r="C101" s="62">
        <v>123.0</v>
      </c>
      <c r="D101" s="52"/>
      <c r="E101" s="52"/>
    </row>
    <row r="102">
      <c r="A102" s="60" t="s">
        <v>395</v>
      </c>
      <c r="B102" s="61" t="s">
        <v>397</v>
      </c>
      <c r="C102" s="62">
        <v>125.0</v>
      </c>
      <c r="D102" s="52"/>
      <c r="E102" s="52"/>
    </row>
    <row r="103">
      <c r="A103" s="60" t="s">
        <v>602</v>
      </c>
      <c r="B103" s="61" t="s">
        <v>604</v>
      </c>
      <c r="C103" s="62">
        <v>126.0</v>
      </c>
      <c r="D103" s="52"/>
      <c r="E103" s="52"/>
    </row>
    <row r="104">
      <c r="A104" s="60" t="s">
        <v>903</v>
      </c>
      <c r="B104" s="61" t="s">
        <v>905</v>
      </c>
      <c r="C104" s="62">
        <v>128.0</v>
      </c>
      <c r="D104" s="52"/>
      <c r="E104" s="52"/>
    </row>
    <row r="105">
      <c r="A105" s="60" t="s">
        <v>67</v>
      </c>
      <c r="B105" s="61" t="s">
        <v>69</v>
      </c>
      <c r="C105" s="62">
        <v>135.0</v>
      </c>
      <c r="D105" s="52"/>
      <c r="E105" s="52"/>
    </row>
    <row r="106">
      <c r="A106" s="60" t="s">
        <v>842</v>
      </c>
      <c r="B106" s="61" t="s">
        <v>844</v>
      </c>
      <c r="C106" s="62">
        <v>137.0</v>
      </c>
      <c r="D106" s="52"/>
      <c r="E106" s="52"/>
    </row>
    <row r="107">
      <c r="A107" s="60" t="s">
        <v>276</v>
      </c>
      <c r="B107" s="61" t="s">
        <v>278</v>
      </c>
      <c r="C107" s="62">
        <v>141.0</v>
      </c>
      <c r="D107" s="52"/>
      <c r="E107" s="52"/>
    </row>
    <row r="108">
      <c r="A108" s="60" t="s">
        <v>731</v>
      </c>
      <c r="B108" s="61" t="s">
        <v>733</v>
      </c>
      <c r="C108" s="62">
        <v>146.0</v>
      </c>
      <c r="D108" s="52"/>
      <c r="E108" s="52"/>
    </row>
    <row r="109">
      <c r="A109" s="60" t="s">
        <v>671</v>
      </c>
      <c r="B109" s="61" t="s">
        <v>673</v>
      </c>
      <c r="C109" s="62">
        <v>155.0</v>
      </c>
      <c r="D109" s="52"/>
      <c r="E109" s="52"/>
    </row>
    <row r="110">
      <c r="A110" s="60" t="s">
        <v>936</v>
      </c>
      <c r="B110" s="61" t="s">
        <v>938</v>
      </c>
      <c r="C110" s="62">
        <v>173.0</v>
      </c>
      <c r="D110" s="52"/>
      <c r="E110" s="52"/>
    </row>
    <row r="111">
      <c r="A111" s="60" t="s">
        <v>196</v>
      </c>
      <c r="B111" s="61" t="s">
        <v>198</v>
      </c>
      <c r="C111" s="62">
        <v>176.0</v>
      </c>
      <c r="D111" s="52"/>
      <c r="E111" s="52"/>
    </row>
    <row r="112">
      <c r="A112" s="60" t="s">
        <v>1041</v>
      </c>
      <c r="B112" s="61" t="s">
        <v>1043</v>
      </c>
      <c r="C112" s="62">
        <v>182.0</v>
      </c>
      <c r="D112" s="52"/>
      <c r="E112" s="52"/>
    </row>
    <row r="113">
      <c r="A113" s="60" t="s">
        <v>876</v>
      </c>
      <c r="B113" s="61" t="s">
        <v>878</v>
      </c>
      <c r="C113" s="62">
        <v>186.0</v>
      </c>
      <c r="D113" s="52"/>
      <c r="E113" s="52"/>
    </row>
    <row r="114">
      <c r="A114" s="60" t="s">
        <v>1189</v>
      </c>
      <c r="B114" s="61" t="s">
        <v>1191</v>
      </c>
      <c r="C114" s="62">
        <v>186.0</v>
      </c>
      <c r="D114" s="52"/>
      <c r="E114" s="52"/>
    </row>
    <row r="115">
      <c r="A115" s="60" t="s">
        <v>187</v>
      </c>
      <c r="B115" s="61" t="s">
        <v>189</v>
      </c>
      <c r="C115" s="62">
        <v>202.0</v>
      </c>
      <c r="D115" s="52"/>
      <c r="E115" s="52"/>
    </row>
    <row r="116">
      <c r="A116" s="60" t="s">
        <v>285</v>
      </c>
      <c r="B116" s="61" t="s">
        <v>287</v>
      </c>
      <c r="C116" s="62">
        <v>202.0</v>
      </c>
      <c r="D116" s="52"/>
      <c r="E116" s="52"/>
    </row>
    <row r="117">
      <c r="A117" s="60" t="s">
        <v>679</v>
      </c>
      <c r="B117" s="61" t="s">
        <v>681</v>
      </c>
      <c r="C117" s="62">
        <v>209.0</v>
      </c>
      <c r="D117" s="52"/>
      <c r="E117" s="52"/>
    </row>
    <row r="118">
      <c r="A118" s="60" t="s">
        <v>421</v>
      </c>
      <c r="B118" s="61" t="s">
        <v>423</v>
      </c>
      <c r="C118" s="62">
        <v>222.0</v>
      </c>
      <c r="D118" s="52"/>
      <c r="E118" s="52"/>
    </row>
    <row r="119">
      <c r="A119" s="60" t="s">
        <v>250</v>
      </c>
      <c r="B119" s="61" t="s">
        <v>252</v>
      </c>
      <c r="C119" s="62">
        <v>223.0</v>
      </c>
      <c r="D119" s="52"/>
      <c r="E119" s="52"/>
    </row>
    <row r="120">
      <c r="A120" s="60" t="s">
        <v>1110</v>
      </c>
      <c r="B120" s="61" t="s">
        <v>1112</v>
      </c>
      <c r="C120" s="62">
        <v>227.0</v>
      </c>
      <c r="D120" s="52"/>
      <c r="E120" s="52"/>
    </row>
    <row r="121">
      <c r="A121" s="60" t="s">
        <v>1093</v>
      </c>
      <c r="B121" s="61" t="s">
        <v>1095</v>
      </c>
      <c r="C121" s="62">
        <v>246.0</v>
      </c>
      <c r="D121" s="52"/>
      <c r="E121" s="52"/>
    </row>
    <row r="122">
      <c r="A122" s="60" t="s">
        <v>77</v>
      </c>
      <c r="B122" s="61" t="s">
        <v>79</v>
      </c>
      <c r="C122" s="62">
        <v>252.0</v>
      </c>
      <c r="D122" s="52"/>
      <c r="E122" s="52"/>
    </row>
    <row r="123">
      <c r="A123" s="60" t="s">
        <v>160</v>
      </c>
      <c r="B123" s="61" t="s">
        <v>162</v>
      </c>
      <c r="C123" s="62">
        <v>275.0</v>
      </c>
      <c r="D123" s="52"/>
      <c r="E123" s="52"/>
    </row>
    <row r="124">
      <c r="A124" s="60" t="s">
        <v>894</v>
      </c>
      <c r="B124" s="61" t="s">
        <v>896</v>
      </c>
      <c r="C124" s="62">
        <v>292.0</v>
      </c>
      <c r="D124" s="52"/>
      <c r="E124" s="52"/>
    </row>
    <row r="125">
      <c r="A125" s="60" t="s">
        <v>508</v>
      </c>
      <c r="B125" s="61" t="s">
        <v>510</v>
      </c>
      <c r="C125" s="62">
        <v>325.0</v>
      </c>
      <c r="D125" s="52"/>
      <c r="E125" s="52"/>
    </row>
    <row r="126">
      <c r="A126" s="60" t="s">
        <v>997</v>
      </c>
      <c r="B126" s="61" t="s">
        <v>999</v>
      </c>
      <c r="C126" s="62">
        <v>334.0</v>
      </c>
      <c r="D126" s="52"/>
      <c r="E126" s="52"/>
    </row>
    <row r="127">
      <c r="A127" s="60" t="s">
        <v>517</v>
      </c>
      <c r="B127" s="61" t="s">
        <v>519</v>
      </c>
      <c r="C127" s="62">
        <v>442.0</v>
      </c>
      <c r="D127" s="52"/>
      <c r="E127" s="52"/>
    </row>
    <row r="128">
      <c r="A128" s="60" t="s">
        <v>492</v>
      </c>
      <c r="B128" s="61" t="s">
        <v>494</v>
      </c>
      <c r="C128" s="62">
        <v>445.0</v>
      </c>
      <c r="D128" s="52"/>
      <c r="E128" s="52"/>
    </row>
    <row r="129">
      <c r="A129" s="60" t="s">
        <v>1014</v>
      </c>
      <c r="B129" s="61" t="s">
        <v>1016</v>
      </c>
      <c r="C129" s="62">
        <v>658.0</v>
      </c>
      <c r="D129" s="52"/>
      <c r="E129" s="52"/>
    </row>
    <row r="130">
      <c r="A130" s="60" t="s">
        <v>107</v>
      </c>
      <c r="B130" s="61" t="s">
        <v>109</v>
      </c>
      <c r="C130" s="62">
        <v>686.0</v>
      </c>
      <c r="D130" s="52"/>
      <c r="E130" s="52"/>
    </row>
    <row r="131">
      <c r="A131" s="63" t="s">
        <v>783</v>
      </c>
      <c r="B131" s="61" t="s">
        <v>784</v>
      </c>
      <c r="C131" s="62">
        <v>698.0</v>
      </c>
      <c r="D131" s="52"/>
      <c r="E131" s="52"/>
    </row>
    <row r="132">
      <c r="A132" s="60" t="s">
        <v>403</v>
      </c>
      <c r="B132" s="61" t="s">
        <v>405</v>
      </c>
      <c r="C132" s="62">
        <v>733.0</v>
      </c>
      <c r="D132" s="52"/>
      <c r="E132" s="52"/>
    </row>
    <row r="133">
      <c r="A133" s="60" t="s">
        <v>1207</v>
      </c>
      <c r="B133" s="61" t="s">
        <v>1209</v>
      </c>
      <c r="C133" s="62">
        <v>1015.0</v>
      </c>
      <c r="D133" s="52"/>
      <c r="E133" s="52"/>
    </row>
    <row r="134">
      <c r="A134" s="60" t="s">
        <v>378</v>
      </c>
      <c r="B134" s="61" t="s">
        <v>380</v>
      </c>
      <c r="C134" s="62">
        <v>1114.0</v>
      </c>
      <c r="D134" s="52"/>
      <c r="E134" s="52"/>
    </row>
  </sheetData>
  <conditionalFormatting sqref="C1:C134">
    <cfRule type="cellIs" dxfId="0" priority="1" operator="greaterThanOrEqual">
      <formula>242</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s>
  <drawing r:id="rId13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32.71"/>
    <col customWidth="1" min="3" max="3" width="27.0"/>
    <col customWidth="1" min="4" max="4" width="10.43"/>
    <col customWidth="1" min="5" max="5" width="75.0"/>
  </cols>
  <sheetData>
    <row r="1">
      <c r="A1" s="59" t="s">
        <v>47</v>
      </c>
      <c r="B1" s="59" t="s">
        <v>49</v>
      </c>
      <c r="C1" s="65" t="s">
        <v>66</v>
      </c>
      <c r="D1" s="50"/>
      <c r="E1" s="56" t="str">
        <f>CONCATENATE('✅ Filter Rules'!E2*100, "th Percentile")</f>
        <v>20th Percentile</v>
      </c>
    </row>
    <row r="2">
      <c r="A2" s="60" t="s">
        <v>387</v>
      </c>
      <c r="B2" s="61" t="s">
        <v>389</v>
      </c>
      <c r="C2" s="62">
        <v>48.0</v>
      </c>
      <c r="D2" s="52"/>
      <c r="E2" s="58">
        <f>percentile(C2:C134, '✅ Filter Rules'!E2)</f>
        <v>66.4</v>
      </c>
    </row>
    <row r="3">
      <c r="A3" s="60" t="s">
        <v>205</v>
      </c>
      <c r="B3" s="61" t="s">
        <v>207</v>
      </c>
      <c r="C3" s="62">
        <v>49.0</v>
      </c>
      <c r="D3" s="52"/>
      <c r="E3" s="52"/>
    </row>
    <row r="4">
      <c r="A4" s="60" t="s">
        <v>160</v>
      </c>
      <c r="B4" s="61" t="s">
        <v>162</v>
      </c>
      <c r="C4" s="62">
        <v>50.0</v>
      </c>
      <c r="D4" s="52"/>
      <c r="E4" s="52" t="s">
        <v>1234</v>
      </c>
    </row>
    <row r="5">
      <c r="A5" s="60" t="s">
        <v>645</v>
      </c>
      <c r="B5" s="61" t="s">
        <v>647</v>
      </c>
      <c r="C5" s="62">
        <v>51.0</v>
      </c>
      <c r="D5" s="52"/>
      <c r="E5" s="52" t="s">
        <v>1235</v>
      </c>
    </row>
    <row r="6">
      <c r="A6" s="60" t="s">
        <v>1093</v>
      </c>
      <c r="B6" s="61" t="s">
        <v>1095</v>
      </c>
      <c r="C6" s="62">
        <v>52.0</v>
      </c>
      <c r="D6" s="52"/>
      <c r="E6" s="50" t="s">
        <v>1236</v>
      </c>
    </row>
    <row r="7">
      <c r="A7" s="60" t="s">
        <v>858</v>
      </c>
      <c r="B7" s="61" t="s">
        <v>860</v>
      </c>
      <c r="C7" s="62">
        <v>53.0</v>
      </c>
      <c r="D7" s="52"/>
      <c r="E7" s="52"/>
    </row>
    <row r="8">
      <c r="A8" s="60" t="s">
        <v>911</v>
      </c>
      <c r="B8" s="61" t="s">
        <v>913</v>
      </c>
      <c r="C8" s="62">
        <v>53.0</v>
      </c>
      <c r="D8" s="52"/>
      <c r="E8" s="52"/>
    </row>
    <row r="9">
      <c r="A9" s="60" t="s">
        <v>988</v>
      </c>
      <c r="B9" s="61" t="s">
        <v>990</v>
      </c>
      <c r="C9" s="62">
        <v>53.0</v>
      </c>
      <c r="D9" s="52"/>
      <c r="E9" s="52"/>
    </row>
    <row r="10">
      <c r="A10" s="60" t="s">
        <v>1023</v>
      </c>
      <c r="B10" s="61" t="s">
        <v>1025</v>
      </c>
      <c r="C10" s="62">
        <v>53.0</v>
      </c>
      <c r="D10" s="52"/>
      <c r="E10" s="52"/>
    </row>
    <row r="11">
      <c r="A11" s="60" t="s">
        <v>1032</v>
      </c>
      <c r="B11" s="61" t="s">
        <v>1034</v>
      </c>
      <c r="C11" s="62">
        <v>53.0</v>
      </c>
      <c r="D11" s="52"/>
      <c r="E11" s="52"/>
    </row>
    <row r="12">
      <c r="A12" s="60" t="s">
        <v>543</v>
      </c>
      <c r="B12" s="61" t="s">
        <v>545</v>
      </c>
      <c r="C12" s="62">
        <v>54.0</v>
      </c>
      <c r="D12" s="52"/>
      <c r="E12" s="52"/>
    </row>
    <row r="13">
      <c r="A13" s="60" t="s">
        <v>798</v>
      </c>
      <c r="B13" s="61" t="s">
        <v>800</v>
      </c>
      <c r="C13" s="62">
        <v>54.0</v>
      </c>
      <c r="D13" s="52"/>
      <c r="E13" s="52"/>
    </row>
    <row r="14">
      <c r="A14" s="60" t="s">
        <v>1058</v>
      </c>
      <c r="B14" s="61" t="s">
        <v>1060</v>
      </c>
      <c r="C14" s="62">
        <v>55.0</v>
      </c>
      <c r="D14" s="52"/>
      <c r="E14" s="52"/>
    </row>
    <row r="15">
      <c r="A15" s="60" t="s">
        <v>1014</v>
      </c>
      <c r="B15" s="61" t="s">
        <v>1016</v>
      </c>
      <c r="C15" s="62">
        <v>57.0</v>
      </c>
      <c r="D15" s="52"/>
      <c r="E15" s="52"/>
    </row>
    <row r="16">
      <c r="A16" s="60" t="s">
        <v>492</v>
      </c>
      <c r="B16" s="61" t="s">
        <v>494</v>
      </c>
      <c r="C16" s="62">
        <v>58.0</v>
      </c>
      <c r="D16" s="52"/>
      <c r="E16" s="52"/>
    </row>
    <row r="17">
      <c r="A17" s="60" t="s">
        <v>1163</v>
      </c>
      <c r="B17" s="61" t="s">
        <v>1165</v>
      </c>
      <c r="C17" s="62">
        <v>58.0</v>
      </c>
      <c r="D17" s="52"/>
      <c r="E17" s="52"/>
    </row>
    <row r="18">
      <c r="A18" s="60" t="s">
        <v>816</v>
      </c>
      <c r="B18" s="61" t="s">
        <v>818</v>
      </c>
      <c r="C18" s="62">
        <v>59.0</v>
      </c>
      <c r="D18" s="52"/>
      <c r="E18" s="52"/>
    </row>
    <row r="19">
      <c r="A19" s="60" t="s">
        <v>240</v>
      </c>
      <c r="B19" s="61" t="s">
        <v>242</v>
      </c>
      <c r="C19" s="62">
        <v>60.0</v>
      </c>
      <c r="D19" s="52"/>
      <c r="E19" s="52"/>
    </row>
    <row r="20">
      <c r="A20" s="60" t="s">
        <v>894</v>
      </c>
      <c r="B20" s="61" t="s">
        <v>896</v>
      </c>
      <c r="C20" s="62">
        <v>61.0</v>
      </c>
      <c r="D20" s="52"/>
      <c r="E20" s="52"/>
    </row>
    <row r="21">
      <c r="A21" s="60" t="s">
        <v>1189</v>
      </c>
      <c r="B21" s="61" t="s">
        <v>1191</v>
      </c>
      <c r="C21" s="62">
        <v>62.0</v>
      </c>
      <c r="D21" s="52"/>
      <c r="E21" s="52"/>
    </row>
    <row r="22">
      <c r="A22" s="60" t="s">
        <v>232</v>
      </c>
      <c r="B22" s="61" t="s">
        <v>234</v>
      </c>
      <c r="C22" s="62">
        <v>63.0</v>
      </c>
      <c r="D22" s="52"/>
      <c r="E22" s="52"/>
    </row>
    <row r="23">
      <c r="A23" s="60" t="s">
        <v>508</v>
      </c>
      <c r="B23" s="61" t="s">
        <v>510</v>
      </c>
      <c r="C23" s="62">
        <v>63.0</v>
      </c>
      <c r="D23" s="52"/>
      <c r="E23" s="52"/>
    </row>
    <row r="24">
      <c r="A24" s="60" t="s">
        <v>267</v>
      </c>
      <c r="B24" s="61" t="s">
        <v>269</v>
      </c>
      <c r="C24" s="62">
        <v>64.0</v>
      </c>
      <c r="D24" s="52"/>
      <c r="E24" s="52"/>
    </row>
    <row r="25">
      <c r="A25" s="60" t="s">
        <v>456</v>
      </c>
      <c r="B25" s="61" t="s">
        <v>458</v>
      </c>
      <c r="C25" s="62">
        <v>65.0</v>
      </c>
      <c r="D25" s="52"/>
      <c r="E25" s="52"/>
    </row>
    <row r="26">
      <c r="A26" s="60" t="s">
        <v>187</v>
      </c>
      <c r="B26" s="61" t="s">
        <v>189</v>
      </c>
      <c r="C26" s="62">
        <v>66.0</v>
      </c>
      <c r="D26" s="52"/>
      <c r="E26" s="52"/>
    </row>
    <row r="27">
      <c r="A27" s="60" t="s">
        <v>378</v>
      </c>
      <c r="B27" s="61" t="s">
        <v>380</v>
      </c>
      <c r="C27" s="62">
        <v>66.0</v>
      </c>
      <c r="D27" s="52"/>
      <c r="E27" s="52"/>
    </row>
    <row r="28">
      <c r="A28" s="60" t="s">
        <v>1041</v>
      </c>
      <c r="B28" s="61" t="s">
        <v>1043</v>
      </c>
      <c r="C28" s="62">
        <v>66.0</v>
      </c>
      <c r="D28" s="52"/>
      <c r="E28" s="52"/>
    </row>
    <row r="29">
      <c r="A29" s="60" t="s">
        <v>369</v>
      </c>
      <c r="B29" s="61" t="s">
        <v>371</v>
      </c>
      <c r="C29" s="62">
        <v>67.0</v>
      </c>
      <c r="D29" s="52"/>
      <c r="E29" s="52"/>
    </row>
    <row r="30">
      <c r="A30" s="60" t="s">
        <v>807</v>
      </c>
      <c r="B30" s="61" t="s">
        <v>809</v>
      </c>
      <c r="C30" s="62">
        <v>67.0</v>
      </c>
      <c r="D30" s="52"/>
      <c r="E30" s="52"/>
    </row>
    <row r="31">
      <c r="A31" s="60" t="s">
        <v>696</v>
      </c>
      <c r="B31" s="61" t="s">
        <v>698</v>
      </c>
      <c r="C31" s="62">
        <v>68.0</v>
      </c>
      <c r="D31" s="52"/>
      <c r="E31" s="52"/>
    </row>
    <row r="32">
      <c r="A32" s="60" t="s">
        <v>135</v>
      </c>
      <c r="B32" s="61" t="s">
        <v>137</v>
      </c>
      <c r="C32" s="62">
        <v>69.0</v>
      </c>
      <c r="D32" s="52"/>
      <c r="E32" s="52"/>
    </row>
    <row r="33">
      <c r="A33" s="60" t="s">
        <v>1127</v>
      </c>
      <c r="B33" s="61" t="s">
        <v>1129</v>
      </c>
      <c r="C33" s="62">
        <v>69.0</v>
      </c>
      <c r="D33" s="52"/>
      <c r="E33" s="52"/>
    </row>
    <row r="34">
      <c r="A34" s="60" t="s">
        <v>713</v>
      </c>
      <c r="B34" s="61" t="s">
        <v>715</v>
      </c>
      <c r="C34" s="62">
        <v>70.0</v>
      </c>
      <c r="D34" s="52"/>
      <c r="E34" s="52"/>
    </row>
    <row r="35">
      <c r="A35" s="60" t="s">
        <v>927</v>
      </c>
      <c r="B35" s="61" t="s">
        <v>929</v>
      </c>
      <c r="C35" s="62">
        <v>70.0</v>
      </c>
      <c r="D35" s="52"/>
      <c r="E35" s="52"/>
    </row>
    <row r="36">
      <c r="A36" s="60" t="s">
        <v>705</v>
      </c>
      <c r="B36" s="61" t="s">
        <v>707</v>
      </c>
      <c r="C36" s="62">
        <v>71.0</v>
      </c>
      <c r="D36" s="52"/>
      <c r="E36" s="52"/>
    </row>
    <row r="37">
      <c r="A37" s="60" t="s">
        <v>439</v>
      </c>
      <c r="B37" s="61" t="s">
        <v>441</v>
      </c>
      <c r="C37" s="62">
        <v>72.0</v>
      </c>
      <c r="D37" s="52"/>
      <c r="E37" s="52"/>
    </row>
    <row r="38">
      <c r="A38" s="60" t="s">
        <v>653</v>
      </c>
      <c r="B38" s="61" t="s">
        <v>655</v>
      </c>
      <c r="C38" s="62">
        <v>72.0</v>
      </c>
      <c r="D38" s="52"/>
      <c r="E38" s="52"/>
    </row>
    <row r="39">
      <c r="A39" s="60" t="s">
        <v>1136</v>
      </c>
      <c r="B39" s="61" t="s">
        <v>1138</v>
      </c>
      <c r="C39" s="62">
        <v>72.0</v>
      </c>
      <c r="D39" s="52"/>
      <c r="E39" s="52"/>
    </row>
    <row r="40">
      <c r="A40" s="60" t="s">
        <v>107</v>
      </c>
      <c r="B40" s="61" t="s">
        <v>109</v>
      </c>
      <c r="C40" s="62">
        <v>73.0</v>
      </c>
      <c r="D40" s="52"/>
      <c r="E40" s="52"/>
    </row>
    <row r="41">
      <c r="A41" s="60" t="s">
        <v>412</v>
      </c>
      <c r="B41" s="61" t="s">
        <v>414</v>
      </c>
      <c r="C41" s="62">
        <v>73.0</v>
      </c>
      <c r="D41" s="52"/>
      <c r="E41" s="52"/>
    </row>
    <row r="42">
      <c r="A42" s="60" t="s">
        <v>430</v>
      </c>
      <c r="B42" s="61" t="s">
        <v>432</v>
      </c>
      <c r="C42" s="62">
        <v>73.0</v>
      </c>
      <c r="D42" s="52"/>
      <c r="E42" s="52"/>
    </row>
    <row r="43">
      <c r="A43" s="60" t="s">
        <v>1216</v>
      </c>
      <c r="B43" s="61" t="s">
        <v>1218</v>
      </c>
      <c r="C43" s="62">
        <v>73.0</v>
      </c>
      <c r="D43" s="52"/>
      <c r="E43" s="52"/>
    </row>
    <row r="44">
      <c r="A44" s="60" t="s">
        <v>250</v>
      </c>
      <c r="B44" s="61" t="s">
        <v>252</v>
      </c>
      <c r="C44" s="62">
        <v>74.0</v>
      </c>
      <c r="D44" s="52"/>
      <c r="E44" s="52"/>
    </row>
    <row r="45">
      <c r="A45" s="60" t="s">
        <v>552</v>
      </c>
      <c r="B45" s="61" t="s">
        <v>554</v>
      </c>
      <c r="C45" s="62">
        <v>74.0</v>
      </c>
      <c r="D45" s="52"/>
      <c r="E45" s="52"/>
    </row>
    <row r="46">
      <c r="A46" s="60" t="s">
        <v>179</v>
      </c>
      <c r="B46" s="61" t="s">
        <v>181</v>
      </c>
      <c r="C46" s="62">
        <v>75.0</v>
      </c>
      <c r="D46" s="52"/>
      <c r="E46" s="52"/>
    </row>
    <row r="47">
      <c r="A47" s="60" t="s">
        <v>473</v>
      </c>
      <c r="B47" s="61" t="s">
        <v>475</v>
      </c>
      <c r="C47" s="62">
        <v>75.0</v>
      </c>
      <c r="D47" s="52"/>
      <c r="E47" s="52"/>
    </row>
    <row r="48">
      <c r="A48" s="60" t="s">
        <v>577</v>
      </c>
      <c r="B48" s="61" t="s">
        <v>579</v>
      </c>
      <c r="C48" s="62">
        <v>75.0</v>
      </c>
      <c r="D48" s="52"/>
      <c r="E48" s="52"/>
    </row>
    <row r="49">
      <c r="A49" s="60" t="s">
        <v>395</v>
      </c>
      <c r="B49" s="61" t="s">
        <v>397</v>
      </c>
      <c r="C49" s="62">
        <v>76.0</v>
      </c>
      <c r="D49" s="52"/>
      <c r="E49" s="52"/>
    </row>
    <row r="50">
      <c r="A50" s="60" t="s">
        <v>903</v>
      </c>
      <c r="B50" s="61" t="s">
        <v>905</v>
      </c>
      <c r="C50" s="62">
        <v>76.0</v>
      </c>
      <c r="D50" s="52"/>
      <c r="E50" s="52"/>
    </row>
    <row r="51">
      <c r="A51" s="60" t="s">
        <v>766</v>
      </c>
      <c r="B51" s="61" t="s">
        <v>768</v>
      </c>
      <c r="C51" s="62">
        <v>77.0</v>
      </c>
      <c r="D51" s="52"/>
      <c r="E51" s="52"/>
    </row>
    <row r="52">
      <c r="A52" s="60" t="s">
        <v>1049</v>
      </c>
      <c r="B52" s="61" t="s">
        <v>1051</v>
      </c>
      <c r="C52" s="62">
        <v>77.0</v>
      </c>
      <c r="D52" s="52"/>
      <c r="E52" s="52"/>
    </row>
    <row r="53">
      <c r="A53" s="60" t="s">
        <v>285</v>
      </c>
      <c r="B53" s="61" t="s">
        <v>287</v>
      </c>
      <c r="C53" s="62">
        <v>79.0</v>
      </c>
      <c r="D53" s="52"/>
      <c r="E53" s="52"/>
    </row>
    <row r="54">
      <c r="A54" s="60" t="s">
        <v>143</v>
      </c>
      <c r="B54" s="61" t="s">
        <v>145</v>
      </c>
      <c r="C54" s="62">
        <v>80.0</v>
      </c>
      <c r="D54" s="52"/>
      <c r="E54" s="52"/>
    </row>
    <row r="55">
      <c r="A55" s="60" t="s">
        <v>77</v>
      </c>
      <c r="B55" s="61" t="s">
        <v>79</v>
      </c>
      <c r="C55" s="62">
        <v>81.0</v>
      </c>
      <c r="D55" s="52"/>
      <c r="E55" s="52"/>
    </row>
    <row r="56">
      <c r="A56" s="60" t="s">
        <v>593</v>
      </c>
      <c r="B56" s="61" t="s">
        <v>595</v>
      </c>
      <c r="C56" s="62">
        <v>81.0</v>
      </c>
      <c r="D56" s="52"/>
      <c r="E56" s="52"/>
    </row>
    <row r="57">
      <c r="A57" s="60" t="s">
        <v>688</v>
      </c>
      <c r="B57" s="61" t="s">
        <v>690</v>
      </c>
      <c r="C57" s="62">
        <v>81.0</v>
      </c>
      <c r="D57" s="52"/>
      <c r="E57" s="52"/>
    </row>
    <row r="58">
      <c r="A58" s="60" t="s">
        <v>979</v>
      </c>
      <c r="B58" s="61" t="s">
        <v>981</v>
      </c>
      <c r="C58" s="62">
        <v>83.0</v>
      </c>
      <c r="D58" s="52"/>
      <c r="E58" s="52"/>
    </row>
    <row r="59">
      <c r="A59" s="60" t="s">
        <v>482</v>
      </c>
      <c r="B59" s="61" t="s">
        <v>484</v>
      </c>
      <c r="C59" s="62">
        <v>84.0</v>
      </c>
      <c r="D59" s="52"/>
      <c r="E59" s="52"/>
    </row>
    <row r="60">
      <c r="A60" s="60" t="s">
        <v>214</v>
      </c>
      <c r="B60" s="61" t="s">
        <v>216</v>
      </c>
      <c r="C60" s="62">
        <v>85.0</v>
      </c>
      <c r="D60" s="52"/>
      <c r="E60" s="52"/>
    </row>
    <row r="61">
      <c r="A61" s="60" t="s">
        <v>223</v>
      </c>
      <c r="B61" s="61" t="s">
        <v>225</v>
      </c>
      <c r="C61" s="62">
        <v>85.0</v>
      </c>
      <c r="D61" s="52"/>
      <c r="E61" s="52"/>
    </row>
    <row r="62">
      <c r="A62" s="60" t="s">
        <v>824</v>
      </c>
      <c r="B62" s="61" t="s">
        <v>826</v>
      </c>
      <c r="C62" s="62">
        <v>85.0</v>
      </c>
      <c r="D62" s="52"/>
      <c r="E62" s="52"/>
    </row>
    <row r="63">
      <c r="A63" s="60" t="s">
        <v>421</v>
      </c>
      <c r="B63" s="61" t="s">
        <v>423</v>
      </c>
      <c r="C63" s="62">
        <v>86.0</v>
      </c>
      <c r="D63" s="52"/>
      <c r="E63" s="52"/>
    </row>
    <row r="64">
      <c r="A64" s="60" t="s">
        <v>876</v>
      </c>
      <c r="B64" s="61" t="s">
        <v>878</v>
      </c>
      <c r="C64" s="62">
        <v>86.0</v>
      </c>
      <c r="D64" s="52"/>
      <c r="E64" s="52"/>
    </row>
    <row r="65">
      <c r="A65" s="60" t="s">
        <v>1154</v>
      </c>
      <c r="B65" s="61" t="s">
        <v>1156</v>
      </c>
      <c r="C65" s="62">
        <v>87.0</v>
      </c>
      <c r="D65" s="52"/>
      <c r="E65" s="52"/>
    </row>
    <row r="66">
      <c r="A66" s="60" t="s">
        <v>1172</v>
      </c>
      <c r="B66" s="61" t="s">
        <v>1174</v>
      </c>
      <c r="C66" s="62">
        <v>87.0</v>
      </c>
      <c r="D66" s="52"/>
      <c r="E66" s="52"/>
    </row>
    <row r="67">
      <c r="A67" s="60" t="s">
        <v>97</v>
      </c>
      <c r="B67" s="61" t="s">
        <v>99</v>
      </c>
      <c r="C67" s="62">
        <v>88.0</v>
      </c>
      <c r="D67" s="52"/>
      <c r="E67" s="52"/>
    </row>
    <row r="68">
      <c r="A68" s="60" t="s">
        <v>569</v>
      </c>
      <c r="B68" s="61" t="s">
        <v>571</v>
      </c>
      <c r="C68" s="62">
        <v>88.0</v>
      </c>
      <c r="D68" s="52"/>
      <c r="E68" s="52"/>
    </row>
    <row r="69">
      <c r="A69" s="60" t="s">
        <v>749</v>
      </c>
      <c r="B69" s="61" t="s">
        <v>751</v>
      </c>
      <c r="C69" s="62">
        <v>88.0</v>
      </c>
      <c r="D69" s="52"/>
      <c r="E69" s="52"/>
    </row>
    <row r="70">
      <c r="A70" s="60" t="s">
        <v>1102</v>
      </c>
      <c r="B70" s="61" t="s">
        <v>1104</v>
      </c>
      <c r="C70" s="62">
        <v>88.0</v>
      </c>
      <c r="D70" s="52"/>
      <c r="E70" s="52"/>
    </row>
    <row r="71">
      <c r="A71" s="60" t="s">
        <v>87</v>
      </c>
      <c r="B71" s="61" t="s">
        <v>89</v>
      </c>
      <c r="C71" s="62">
        <v>89.0</v>
      </c>
      <c r="D71" s="52"/>
      <c r="E71" s="52"/>
    </row>
    <row r="72">
      <c r="A72" s="60" t="s">
        <v>919</v>
      </c>
      <c r="B72" s="61" t="s">
        <v>921</v>
      </c>
      <c r="C72" s="62">
        <v>89.0</v>
      </c>
      <c r="D72" s="52"/>
      <c r="E72" s="52"/>
    </row>
    <row r="73">
      <c r="A73" s="60" t="s">
        <v>945</v>
      </c>
      <c r="B73" s="61" t="s">
        <v>947</v>
      </c>
      <c r="C73" s="62">
        <v>89.0</v>
      </c>
      <c r="D73" s="52"/>
      <c r="E73" s="52"/>
    </row>
    <row r="74">
      <c r="A74" s="60" t="s">
        <v>1145</v>
      </c>
      <c r="B74" s="61" t="s">
        <v>1147</v>
      </c>
      <c r="C74" s="62">
        <v>89.0</v>
      </c>
      <c r="D74" s="52"/>
      <c r="E74" s="52"/>
    </row>
    <row r="75">
      <c r="A75" s="60" t="s">
        <v>403</v>
      </c>
      <c r="B75" s="61" t="s">
        <v>405</v>
      </c>
      <c r="C75" s="62">
        <v>90.0</v>
      </c>
      <c r="D75" s="52"/>
      <c r="E75" s="52"/>
    </row>
    <row r="76">
      <c r="A76" s="60" t="s">
        <v>500</v>
      </c>
      <c r="B76" s="61" t="s">
        <v>502</v>
      </c>
      <c r="C76" s="62">
        <v>91.0</v>
      </c>
      <c r="D76" s="52"/>
      <c r="E76" s="52"/>
    </row>
    <row r="77">
      <c r="A77" s="60" t="s">
        <v>344</v>
      </c>
      <c r="B77" s="61" t="s">
        <v>346</v>
      </c>
      <c r="C77" s="62">
        <v>93.0</v>
      </c>
      <c r="D77" s="52"/>
      <c r="E77" s="52"/>
    </row>
    <row r="78">
      <c r="A78" s="60" t="s">
        <v>775</v>
      </c>
      <c r="B78" s="61" t="s">
        <v>777</v>
      </c>
      <c r="C78" s="62">
        <v>93.0</v>
      </c>
      <c r="D78" s="52"/>
      <c r="E78" s="52"/>
    </row>
    <row r="79">
      <c r="A79" s="60" t="s">
        <v>962</v>
      </c>
      <c r="B79" s="61" t="s">
        <v>964</v>
      </c>
      <c r="C79" s="62">
        <v>93.0</v>
      </c>
      <c r="D79" s="52"/>
      <c r="E79" s="52"/>
    </row>
    <row r="80">
      <c r="A80" s="60" t="s">
        <v>1110</v>
      </c>
      <c r="B80" s="61" t="s">
        <v>1112</v>
      </c>
      <c r="C80" s="62">
        <v>93.0</v>
      </c>
      <c r="D80" s="52"/>
      <c r="E80" s="52"/>
    </row>
    <row r="81">
      <c r="A81" s="60" t="s">
        <v>259</v>
      </c>
      <c r="B81" s="61" t="s">
        <v>261</v>
      </c>
      <c r="C81" s="62">
        <v>94.0</v>
      </c>
      <c r="D81" s="52"/>
      <c r="E81" s="52"/>
    </row>
    <row r="82">
      <c r="A82" s="60" t="s">
        <v>464</v>
      </c>
      <c r="B82" s="61" t="s">
        <v>466</v>
      </c>
      <c r="C82" s="62">
        <v>94.0</v>
      </c>
      <c r="D82" s="52"/>
      <c r="E82" s="52"/>
    </row>
    <row r="83">
      <c r="A83" s="60" t="s">
        <v>586</v>
      </c>
      <c r="B83" s="61" t="s">
        <v>588</v>
      </c>
      <c r="C83" s="62">
        <v>94.0</v>
      </c>
      <c r="D83" s="52"/>
      <c r="E83" s="52"/>
    </row>
    <row r="84">
      <c r="A84" s="64" t="s">
        <v>936</v>
      </c>
      <c r="B84" s="61" t="s">
        <v>938</v>
      </c>
      <c r="C84" s="62">
        <v>94.0</v>
      </c>
      <c r="D84" s="52"/>
      <c r="E84" s="52"/>
    </row>
    <row r="85">
      <c r="A85" s="60" t="s">
        <v>335</v>
      </c>
      <c r="B85" s="61" t="s">
        <v>337</v>
      </c>
      <c r="C85" s="62">
        <v>96.0</v>
      </c>
      <c r="D85" s="52"/>
      <c r="E85" s="52"/>
    </row>
    <row r="86">
      <c r="A86" s="60" t="s">
        <v>1067</v>
      </c>
      <c r="B86" s="61" t="s">
        <v>1069</v>
      </c>
      <c r="C86" s="62">
        <v>96.0</v>
      </c>
      <c r="D86" s="52"/>
      <c r="E86" s="52"/>
    </row>
    <row r="87">
      <c r="A87" s="60" t="s">
        <v>276</v>
      </c>
      <c r="B87" s="61" t="s">
        <v>278</v>
      </c>
      <c r="C87" s="62">
        <v>97.0</v>
      </c>
      <c r="D87" s="52"/>
      <c r="E87" s="52"/>
    </row>
    <row r="88">
      <c r="A88" s="60" t="s">
        <v>353</v>
      </c>
      <c r="B88" s="61" t="s">
        <v>355</v>
      </c>
      <c r="C88" s="62">
        <v>97.0</v>
      </c>
      <c r="D88" s="52"/>
      <c r="E88" s="52"/>
    </row>
    <row r="89">
      <c r="A89" s="60" t="s">
        <v>535</v>
      </c>
      <c r="B89" s="61" t="s">
        <v>537</v>
      </c>
      <c r="C89" s="62">
        <v>97.0</v>
      </c>
      <c r="D89" s="52"/>
      <c r="E89" s="52"/>
    </row>
    <row r="90">
      <c r="A90" s="60" t="s">
        <v>560</v>
      </c>
      <c r="B90" s="61" t="s">
        <v>562</v>
      </c>
      <c r="C90" s="62">
        <v>97.0</v>
      </c>
      <c r="D90" s="52"/>
      <c r="E90" s="52"/>
    </row>
    <row r="91">
      <c r="A91" s="60" t="s">
        <v>842</v>
      </c>
      <c r="B91" s="61" t="s">
        <v>844</v>
      </c>
      <c r="C91" s="62">
        <v>97.0</v>
      </c>
      <c r="D91" s="52"/>
      <c r="E91" s="52"/>
    </row>
    <row r="92">
      <c r="A92" s="60" t="s">
        <v>1198</v>
      </c>
      <c r="B92" s="61" t="s">
        <v>1200</v>
      </c>
      <c r="C92" s="62">
        <v>97.0</v>
      </c>
      <c r="D92" s="52"/>
      <c r="E92" s="52"/>
    </row>
    <row r="93">
      <c r="A93" s="60" t="s">
        <v>1207</v>
      </c>
      <c r="B93" s="61" t="s">
        <v>1209</v>
      </c>
      <c r="C93" s="62">
        <v>97.0</v>
      </c>
      <c r="D93" s="52"/>
      <c r="E93" s="52"/>
    </row>
    <row r="94">
      <c r="A94" s="60" t="s">
        <v>294</v>
      </c>
      <c r="B94" s="61" t="s">
        <v>296</v>
      </c>
      <c r="C94" s="62">
        <v>98.0</v>
      </c>
      <c r="D94" s="52"/>
      <c r="E94" s="52"/>
    </row>
    <row r="95">
      <c r="A95" s="60" t="s">
        <v>637</v>
      </c>
      <c r="B95" s="61" t="s">
        <v>639</v>
      </c>
      <c r="C95" s="62">
        <v>98.0</v>
      </c>
      <c r="D95" s="52"/>
      <c r="E95" s="52"/>
    </row>
    <row r="96">
      <c r="A96" s="60" t="s">
        <v>731</v>
      </c>
      <c r="B96" s="61" t="s">
        <v>733</v>
      </c>
      <c r="C96" s="62">
        <v>98.0</v>
      </c>
      <c r="D96" s="52"/>
      <c r="E96" s="52"/>
    </row>
    <row r="97">
      <c r="A97" s="60" t="s">
        <v>740</v>
      </c>
      <c r="B97" s="61" t="s">
        <v>742</v>
      </c>
      <c r="C97" s="62">
        <v>98.0</v>
      </c>
      <c r="D97" s="52"/>
      <c r="E97" s="52"/>
    </row>
    <row r="98">
      <c r="A98" s="60" t="s">
        <v>152</v>
      </c>
      <c r="B98" s="61" t="s">
        <v>154</v>
      </c>
      <c r="C98" s="62">
        <v>99.0</v>
      </c>
      <c r="D98" s="52"/>
      <c r="E98" s="52"/>
    </row>
    <row r="99">
      <c r="A99" s="60" t="s">
        <v>662</v>
      </c>
      <c r="B99" s="61" t="s">
        <v>664</v>
      </c>
      <c r="C99" s="62">
        <v>99.0</v>
      </c>
      <c r="D99" s="52"/>
      <c r="E99" s="52"/>
    </row>
    <row r="100">
      <c r="A100" s="60" t="s">
        <v>997</v>
      </c>
      <c r="B100" s="61" t="s">
        <v>999</v>
      </c>
      <c r="C100" s="62">
        <v>99.0</v>
      </c>
      <c r="D100" s="52"/>
      <c r="E100" s="52"/>
    </row>
    <row r="101">
      <c r="A101" s="60" t="s">
        <v>117</v>
      </c>
      <c r="B101" s="61" t="s">
        <v>119</v>
      </c>
      <c r="C101" s="62">
        <v>100.0</v>
      </c>
      <c r="D101" s="52"/>
      <c r="E101" s="52"/>
    </row>
    <row r="102">
      <c r="A102" s="60" t="s">
        <v>722</v>
      </c>
      <c r="B102" s="61" t="s">
        <v>724</v>
      </c>
      <c r="C102" s="62">
        <v>100.0</v>
      </c>
      <c r="D102" s="52"/>
      <c r="E102" s="52"/>
    </row>
    <row r="103">
      <c r="A103" s="60" t="s">
        <v>790</v>
      </c>
      <c r="B103" s="61" t="s">
        <v>792</v>
      </c>
      <c r="C103" s="62">
        <v>100.0</v>
      </c>
      <c r="D103" s="52"/>
      <c r="E103" s="52"/>
    </row>
    <row r="104">
      <c r="A104" s="60" t="s">
        <v>850</v>
      </c>
      <c r="B104" s="61" t="s">
        <v>852</v>
      </c>
      <c r="C104" s="62">
        <v>100.0</v>
      </c>
      <c r="D104" s="52"/>
      <c r="E104" s="52"/>
    </row>
    <row r="105">
      <c r="A105" s="60" t="s">
        <v>885</v>
      </c>
      <c r="B105" s="61" t="s">
        <v>887</v>
      </c>
      <c r="C105" s="62">
        <v>100.0</v>
      </c>
      <c r="D105" s="52"/>
      <c r="E105" s="52"/>
    </row>
    <row r="106">
      <c r="A106" s="60" t="s">
        <v>953</v>
      </c>
      <c r="B106" s="61" t="s">
        <v>955</v>
      </c>
      <c r="C106" s="62">
        <v>100.0</v>
      </c>
      <c r="D106" s="52"/>
      <c r="E106" s="52"/>
    </row>
    <row r="107">
      <c r="A107" s="60" t="s">
        <v>169</v>
      </c>
      <c r="B107" s="61" t="s">
        <v>171</v>
      </c>
      <c r="C107" s="62">
        <v>101.0</v>
      </c>
      <c r="D107" s="52"/>
      <c r="E107" s="52"/>
    </row>
    <row r="108">
      <c r="A108" s="60" t="s">
        <v>679</v>
      </c>
      <c r="B108" s="61" t="s">
        <v>681</v>
      </c>
      <c r="C108" s="62">
        <v>101.0</v>
      </c>
      <c r="D108" s="52"/>
      <c r="E108" s="52"/>
    </row>
    <row r="109">
      <c r="A109" s="60" t="s">
        <v>1075</v>
      </c>
      <c r="B109" s="61" t="s">
        <v>1077</v>
      </c>
      <c r="C109" s="62">
        <v>101.0</v>
      </c>
      <c r="D109" s="52"/>
      <c r="E109" s="52"/>
    </row>
    <row r="110">
      <c r="A110" s="60" t="s">
        <v>517</v>
      </c>
      <c r="B110" s="61" t="s">
        <v>519</v>
      </c>
      <c r="C110" s="62">
        <v>102.0</v>
      </c>
      <c r="D110" s="52"/>
      <c r="E110" s="52"/>
    </row>
    <row r="111">
      <c r="A111" s="60" t="s">
        <v>602</v>
      </c>
      <c r="B111" s="61" t="s">
        <v>604</v>
      </c>
      <c r="C111" s="62">
        <v>102.0</v>
      </c>
      <c r="D111" s="52"/>
      <c r="E111" s="52"/>
    </row>
    <row r="112">
      <c r="A112" s="60" t="s">
        <v>361</v>
      </c>
      <c r="B112" s="61" t="s">
        <v>363</v>
      </c>
      <c r="C112" s="62">
        <v>103.0</v>
      </c>
      <c r="D112" s="52"/>
      <c r="E112" s="52"/>
    </row>
    <row r="113">
      <c r="A113" s="60" t="s">
        <v>526</v>
      </c>
      <c r="B113" s="61" t="s">
        <v>528</v>
      </c>
      <c r="C113" s="62">
        <v>103.0</v>
      </c>
      <c r="D113" s="52"/>
      <c r="E113" s="52"/>
    </row>
    <row r="114">
      <c r="A114" s="60" t="s">
        <v>1084</v>
      </c>
      <c r="B114" s="61" t="s">
        <v>1086</v>
      </c>
      <c r="C114" s="62">
        <v>103.0</v>
      </c>
      <c r="D114" s="52"/>
      <c r="E114" s="52"/>
    </row>
    <row r="115">
      <c r="A115" s="60" t="s">
        <v>448</v>
      </c>
      <c r="B115" s="61" t="s">
        <v>450</v>
      </c>
      <c r="C115" s="62">
        <v>104.0</v>
      </c>
      <c r="D115" s="52"/>
      <c r="E115" s="52"/>
    </row>
    <row r="116">
      <c r="A116" s="60" t="s">
        <v>1006</v>
      </c>
      <c r="B116" s="61" t="s">
        <v>1008</v>
      </c>
      <c r="C116" s="62">
        <v>104.0</v>
      </c>
      <c r="D116" s="52"/>
      <c r="E116" s="52"/>
    </row>
    <row r="117">
      <c r="A117" s="60" t="s">
        <v>67</v>
      </c>
      <c r="B117" s="61" t="s">
        <v>69</v>
      </c>
      <c r="C117" s="62">
        <v>105.0</v>
      </c>
      <c r="D117" s="52"/>
      <c r="E117" s="52"/>
    </row>
    <row r="118">
      <c r="A118" s="60" t="s">
        <v>611</v>
      </c>
      <c r="B118" s="61" t="s">
        <v>613</v>
      </c>
      <c r="C118" s="62">
        <v>106.0</v>
      </c>
      <c r="D118" s="52"/>
      <c r="E118" s="52"/>
    </row>
    <row r="119">
      <c r="A119" s="60" t="s">
        <v>970</v>
      </c>
      <c r="B119" s="61" t="s">
        <v>972</v>
      </c>
      <c r="C119" s="62">
        <v>106.0</v>
      </c>
      <c r="D119" s="52"/>
      <c r="E119" s="52"/>
    </row>
    <row r="120">
      <c r="A120" s="60" t="s">
        <v>628</v>
      </c>
      <c r="B120" s="61" t="s">
        <v>630</v>
      </c>
      <c r="C120" s="62">
        <v>108.0</v>
      </c>
      <c r="D120" s="52"/>
      <c r="E120" s="52"/>
    </row>
    <row r="121">
      <c r="A121" s="60" t="s">
        <v>758</v>
      </c>
      <c r="B121" s="61" t="s">
        <v>760</v>
      </c>
      <c r="C121" s="62">
        <v>110.0</v>
      </c>
      <c r="D121" s="52"/>
      <c r="E121" s="52"/>
    </row>
    <row r="122">
      <c r="A122" s="60" t="s">
        <v>1118</v>
      </c>
      <c r="B122" s="61" t="s">
        <v>1120</v>
      </c>
      <c r="C122" s="62">
        <v>111.0</v>
      </c>
      <c r="D122" s="52"/>
      <c r="E122" s="52"/>
    </row>
    <row r="123">
      <c r="A123" s="60" t="s">
        <v>302</v>
      </c>
      <c r="B123" s="61" t="s">
        <v>304</v>
      </c>
      <c r="C123" s="62">
        <v>113.0</v>
      </c>
      <c r="D123" s="52"/>
      <c r="E123" s="52"/>
    </row>
    <row r="124">
      <c r="A124" s="60" t="s">
        <v>867</v>
      </c>
      <c r="B124" s="61" t="s">
        <v>869</v>
      </c>
      <c r="C124" s="62">
        <v>114.0</v>
      </c>
      <c r="D124" s="52"/>
      <c r="E124" s="52"/>
    </row>
    <row r="125">
      <c r="A125" s="60" t="s">
        <v>196</v>
      </c>
      <c r="B125" s="61" t="s">
        <v>198</v>
      </c>
      <c r="C125" s="62">
        <v>115.0</v>
      </c>
      <c r="D125" s="52"/>
      <c r="E125" s="52"/>
    </row>
    <row r="126">
      <c r="A126" s="60" t="s">
        <v>833</v>
      </c>
      <c r="B126" s="61" t="s">
        <v>835</v>
      </c>
      <c r="C126" s="62">
        <v>115.0</v>
      </c>
      <c r="D126" s="52"/>
      <c r="E126" s="52"/>
    </row>
    <row r="127">
      <c r="A127" s="60" t="s">
        <v>320</v>
      </c>
      <c r="B127" s="61" t="s">
        <v>322</v>
      </c>
      <c r="C127" s="62">
        <v>116.0</v>
      </c>
      <c r="D127" s="52"/>
      <c r="E127" s="52"/>
    </row>
    <row r="128">
      <c r="A128" s="60" t="s">
        <v>126</v>
      </c>
      <c r="B128" s="61" t="s">
        <v>128</v>
      </c>
      <c r="C128" s="62">
        <v>117.0</v>
      </c>
      <c r="D128" s="52"/>
      <c r="E128" s="52"/>
    </row>
    <row r="129">
      <c r="A129" s="60" t="s">
        <v>311</v>
      </c>
      <c r="B129" s="61" t="s">
        <v>313</v>
      </c>
      <c r="C129" s="62">
        <v>117.0</v>
      </c>
      <c r="D129" s="52"/>
      <c r="E129" s="52"/>
    </row>
    <row r="130">
      <c r="A130" s="60" t="s">
        <v>327</v>
      </c>
      <c r="B130" s="61" t="s">
        <v>329</v>
      </c>
      <c r="C130" s="62">
        <v>118.0</v>
      </c>
      <c r="D130" s="52"/>
      <c r="E130" s="52"/>
    </row>
    <row r="131">
      <c r="A131" s="60" t="s">
        <v>671</v>
      </c>
      <c r="B131" s="61" t="s">
        <v>673</v>
      </c>
      <c r="C131" s="62">
        <v>118.0</v>
      </c>
      <c r="D131" s="52"/>
      <c r="E131" s="52"/>
    </row>
    <row r="132">
      <c r="A132" s="63" t="s">
        <v>783</v>
      </c>
      <c r="B132" s="61" t="s">
        <v>784</v>
      </c>
      <c r="C132" s="62">
        <v>118.0</v>
      </c>
      <c r="D132" s="52"/>
      <c r="E132" s="52"/>
    </row>
    <row r="133">
      <c r="A133" s="60" t="s">
        <v>620</v>
      </c>
      <c r="B133" s="61" t="s">
        <v>622</v>
      </c>
      <c r="C133" s="62">
        <v>119.0</v>
      </c>
      <c r="D133" s="52"/>
      <c r="E133" s="52"/>
    </row>
    <row r="134">
      <c r="A134" s="60" t="s">
        <v>1181</v>
      </c>
      <c r="B134" s="61" t="s">
        <v>1183</v>
      </c>
      <c r="C134" s="62">
        <v>121.0</v>
      </c>
      <c r="D134" s="52"/>
      <c r="E134" s="52"/>
    </row>
  </sheetData>
  <conditionalFormatting sqref="C1:C134">
    <cfRule type="cellIs" dxfId="0" priority="1" operator="greaterThanOrEqual">
      <formula>109</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s>
  <drawing r:id="rId134"/>
</worksheet>
</file>