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0730" windowHeight="11760"/>
  </bookViews>
  <sheets>
    <sheet name="TEI Instances" sheetId="1" r:id="rId1"/>
    <sheet name="(1) अघिल्ला गर्भहरुको विवरण" sheetId="2" r:id="rId2"/>
    <sheet name="(2) गर्भवती जाँच" sheetId="3" r:id="rId3"/>
    <sheet name="(3) प्रशुती सम्बन्धी विवरण" sheetId="4" r:id="rId4"/>
    <sheet name="(4) नवशिशुको विवरण" sheetId="5" r:id="rId5"/>
    <sheet name="(5) सुत्केरी पछिको सेवा" sheetId="6" r:id="rId6"/>
    <sheet name="(6) टी .डी. खोप लगाएको विवरण" sheetId="7" r:id="rId7"/>
    <sheet name="(7) रगत दिएको विवरण" sheetId="8" r:id="rId8"/>
    <sheet name="(8) प्रयोगशाला परिक्षण" sheetId="9" r:id="rId9"/>
    <sheet name="(9) यातायात, उत्प्रेरणा तथा न्य" sheetId="10" r:id="rId10"/>
    <sheet name="(10) परिणामहरू" sheetId="11" r:id="rId11"/>
    <sheet name="Legend" sheetId="12" r:id="rId12"/>
    <sheet name="Validation" sheetId="13" r:id="rId13"/>
    <sheet name="Metadata" sheetId="14" r:id="rId14"/>
  </sheets>
  <definedNames>
    <definedName name="_A16SOb3fau5">Metadata!$C$760</definedName>
    <definedName name="_a2EQngqNhUy">Metadata!$C$1493</definedName>
    <definedName name="_a2LkZvqcTyR">Metadata!$C$286</definedName>
    <definedName name="_a2MOelDzJS9">Metadata!$C$1280</definedName>
    <definedName name="_A2Wzsls1TW1">Metadata!$C$36</definedName>
    <definedName name="_A9FRZGN0CZR">Metadata!$C$733</definedName>
    <definedName name="_A9N1sbkG8UH">Metadata!$C$634</definedName>
    <definedName name="_AA33oXfJmSA">Metadata!$C$200</definedName>
    <definedName name="_aBdFQh3NIuw">Metadata!$C$502</definedName>
    <definedName name="_Abvqt3BHIqb">Metadata!$C$1545</definedName>
    <definedName name="_abXy9q4afMI">Metadata!$C$105</definedName>
    <definedName name="_ACpJnG9sBG5">Metadata!$C$744</definedName>
    <definedName name="_Ad058lDJcEN">Metadata!$C$1234</definedName>
    <definedName name="_AFbJAotfqLB">Metadata!$C$14</definedName>
    <definedName name="_AfdYKKMqtMF">Metadata!$C$655</definedName>
    <definedName name="_AFeaoZjUsXc">Metadata!$C$140</definedName>
    <definedName name="_agEZa9QqeFs">Metadata!$C$1352</definedName>
    <definedName name="_AGLA63Kgt23">Metadata!$C$1454</definedName>
    <definedName name="_aH3mBKPqytB">Metadata!$C$1370</definedName>
    <definedName name="_Ah7wooQDBr5">Metadata!$C$1360</definedName>
    <definedName name="_AhdA3Lx65fB">Metadata!$C$156</definedName>
    <definedName name="_aiC5OOqkGo5">Metadata!$C$754</definedName>
    <definedName name="_AisWo7zl5J4">Metadata!$C$826</definedName>
    <definedName name="_aiY3tqum3Ef">Metadata!$C$389</definedName>
    <definedName name="_AJ9Gn9nHpvW">Metadata!$C$766</definedName>
    <definedName name="_AjBU4zDPn43">Metadata!$C$1188</definedName>
    <definedName name="_ajCrTaA6Dki">Metadata!$C$239</definedName>
    <definedName name="_AL3vprrDbCy">Metadata!$C$580</definedName>
    <definedName name="_AlwvcHwtPwo">Metadata!$C$1566</definedName>
    <definedName name="_ANAdEOILePM">Metadata!$C$1575</definedName>
    <definedName name="_anbeBY0SQH8">Metadata!$C$952</definedName>
    <definedName name="_ANmSlQlGZpK">Metadata!$C$1249</definedName>
    <definedName name="_aOTBLULFFU9">Metadata!$C$438</definedName>
    <definedName name="_aQwjqvZ1vfl">Metadata!$C$1531</definedName>
    <definedName name="_arcQqDIpyVu">Metadata!$C$643</definedName>
    <definedName name="_aT1C1NNkVEY">Metadata!$C$261</definedName>
    <definedName name="_aUu1WR7nEAo">Metadata!$C$151</definedName>
    <definedName name="_AVdFHNSEFlJ">Metadata!$C$943</definedName>
    <definedName name="_avEMfy4MKQA">Metadata!$C$642</definedName>
    <definedName name="_avqY3bStVXe">Metadata!$C$602</definedName>
    <definedName name="_avXwdss1sq1">Metadata!$C$619</definedName>
    <definedName name="_aw2FLLAkA4v">Metadata!$C$476</definedName>
    <definedName name="_AWDanrLkh6L">Metadata!$C$1233</definedName>
    <definedName name="_aZ5Opl6oYMa">Metadata!$C$776</definedName>
    <definedName name="_AZcogwTHaNJ">Metadata!$C$277</definedName>
    <definedName name="_B0KwoAXqEG4">Metadata!$C$1529</definedName>
    <definedName name="_B4f5W5I05Xl">Metadata!$C$22</definedName>
    <definedName name="_B4kxqi2BxXF">Metadata!$C$1418</definedName>
    <definedName name="_B59tLsWZkHC">Metadata!$C$1392</definedName>
    <definedName name="_b70KIOqldV3">Metadata!$C$690</definedName>
    <definedName name="_b7rB4DonEzB">Metadata!$C$548</definedName>
    <definedName name="_B86m4uCHWgU">Metadata!$C$1012</definedName>
    <definedName name="_B9jF6b6jw0s">Metadata!$C$42</definedName>
    <definedName name="_B9tZrhbfq9n">Metadata!$C$1261</definedName>
    <definedName name="_BaCs6x5jTLo">Metadata!$C$344</definedName>
    <definedName name="_baOS7lB4E6R">Metadata!$C$297</definedName>
    <definedName name="_bB62j4JgpM4">Metadata!$C$815</definedName>
    <definedName name="_BB9bAVTvvLA">Metadata!$C$18</definedName>
    <definedName name="_bCCD5qLqeGp">Metadata!$C$146</definedName>
    <definedName name="_BcZ2yHtzSqy">Metadata!$C$1223</definedName>
    <definedName name="_Bd31B4WEpjb">Metadata!$C$577</definedName>
    <definedName name="_BdtExiPrJCa">Metadata!$C$477</definedName>
    <definedName name="_beavLVMOsOK">Metadata!$C$1414</definedName>
    <definedName name="_BEDs6ERgG0G">Metadata!$C$1572</definedName>
    <definedName name="_bf0dMaiaf6p">Metadata!$C$492</definedName>
    <definedName name="_bffH5LCX5WJ">Metadata!$C$218</definedName>
    <definedName name="_bFGavBJA5kp">Metadata!$C$1588</definedName>
    <definedName name="_bfMhkIAGWMh">Metadata!$C$941</definedName>
    <definedName name="_BFXIVv1gKAU">Metadata!$C$913</definedName>
    <definedName name="_BgJkE8Z3tME">Metadata!$C$313</definedName>
    <definedName name="_bi9FN2il4hD">Metadata!$C$1624</definedName>
    <definedName name="_bjDvmb4bfuf">Metadata!$C$3</definedName>
    <definedName name="_BJFyMMWdt1S">Metadata!$C$935</definedName>
    <definedName name="_bJJF34jsnVe">Metadata!$C$608</definedName>
    <definedName name="_BkO8zUrY7zo">Metadata!$C$345</definedName>
    <definedName name="_BlMxCPzLVKE">Metadata!$C$615</definedName>
    <definedName name="_BN6KeZPtfim">Metadata!$C$330</definedName>
    <definedName name="_BNcupjySWTY">Metadata!$C$1291</definedName>
    <definedName name="_bNDaGC81g9j">Metadata!$C$30</definedName>
    <definedName name="_BnLwORfhADK">Metadata!$C$593</definedName>
    <definedName name="_bnTduc3MrXo">Metadata!$C$650</definedName>
    <definedName name="_BnUgUaefXDw">Metadata!$C$300</definedName>
    <definedName name="_BoyKZH0P4r3">Metadata!$C$540</definedName>
    <definedName name="_bpBrKWcorkE">Metadata!$C$38</definedName>
    <definedName name="_bPdok64c99F">Metadata!$C$750</definedName>
    <definedName name="_BPocTr5SxFu">Metadata!$C$475</definedName>
    <definedName name="_bsZnG2ZVT7x">Metadata!$C$193</definedName>
    <definedName name="_bte9g1BGR27">Metadata!$C$39</definedName>
    <definedName name="_bTzJyMjjhev">Metadata!$C$137</definedName>
    <definedName name="_BUTnbz63wQi">Metadata!$C$61</definedName>
    <definedName name="_buUTBk8XKxr">Metadata!$C$450</definedName>
    <definedName name="_bVg6HU7h80C">Metadata!$C$910</definedName>
    <definedName name="_bYWkWoB2JcS">Metadata!$C$422</definedName>
    <definedName name="_BZKaKzu2OMB">Metadata!$C$1356</definedName>
    <definedName name="_BzpYKLNIQi7">Metadata!$C$1397</definedName>
    <definedName name="_C03grs7b6ia">Metadata!$C$164</definedName>
    <definedName name="_c1AV61Pw8JE">Metadata!$C$1526</definedName>
    <definedName name="_c1Ujw75dAUk">Metadata!$C$501</definedName>
    <definedName name="_c5bHzNOH9ge">Metadata!$C$922</definedName>
    <definedName name="_c5p7RIRVhEq">Metadata!$C$70</definedName>
    <definedName name="_C6VdaInio3i">Metadata!$C$1025</definedName>
    <definedName name="_C89WH84DPU1">Metadata!$C$1625</definedName>
    <definedName name="_c9dmVK0aoLe">Metadata!$C$222</definedName>
    <definedName name="_CB2Cw9PwiS8">Metadata!$C$192</definedName>
    <definedName name="_cbFzUVaCXtK">Metadata!$C$180</definedName>
    <definedName name="_Cbjy7cYGPNy">Metadata!$C$882</definedName>
    <definedName name="_cbrawb3sItt">Metadata!$C$324</definedName>
    <definedName name="_CD1SmRwWvto">Metadata!$C$853</definedName>
    <definedName name="_CDrNusk1oST">Metadata!$C$924</definedName>
    <definedName name="_CDTcSO8IoVh">Metadata!$C$1399</definedName>
    <definedName name="_cDW2ERZxTUY">Metadata!$C$1478</definedName>
    <definedName name="_CDxFiEyvP21">Metadata!$C$788</definedName>
    <definedName name="_ce1N6seTTZb">Metadata!$C$728</definedName>
    <definedName name="_ce8vJYIayAY">Metadata!$C$595</definedName>
    <definedName name="_ceBlLzzQayY">Metadata!$C$934</definedName>
    <definedName name="_ceswe1AhlMv">Metadata!$C$618</definedName>
    <definedName name="_Cf4730FzUcC">Metadata!$C$747</definedName>
    <definedName name="_cfCXBvn7JmV">Metadata!$C$530</definedName>
    <definedName name="_cgB3PsX45wj">Metadata!$C$847</definedName>
    <definedName name="_cgfevO6qPNb">Metadata!$C$848</definedName>
    <definedName name="_CGQ7gCUAhra">Metadata!$C$606</definedName>
    <definedName name="_cgYCKFH2MVe">Metadata!$C$705</definedName>
    <definedName name="_ChGszfoNc2E">Metadata!$C$711</definedName>
    <definedName name="_cHNIkKJMT7i">Metadata!$C$341</definedName>
    <definedName name="_CIPT3L1e27c">Metadata!$C$700</definedName>
    <definedName name="_CJhFZl6mBM9">Metadata!$C$1212</definedName>
    <definedName name="_ck21XgpZ926">Metadata!$C$170</definedName>
    <definedName name="_cklFH9flwyR">Metadata!$C$785</definedName>
    <definedName name="_ClnBTsAtRGo">Metadata!$C$866</definedName>
    <definedName name="_CLqI0gq6l4q">Metadata!$C$429</definedName>
    <definedName name="_CLyOZPVChsj">Metadata!$C$417</definedName>
    <definedName name="_CM7alJLzVU6">Metadata!$C$522</definedName>
    <definedName name="_CmHpnkFAqf1">Metadata!$C$1589</definedName>
    <definedName name="_cmrhhXHnQJH">Metadata!$C$594</definedName>
    <definedName name="_cn3XotMwkGY">Metadata!$C$616</definedName>
    <definedName name="_CPOaqrVXxYy">Metadata!$C$1354</definedName>
    <definedName name="_CPSY9ea64GO">Metadata!$C$761</definedName>
    <definedName name="_CQXGrPzbdD8">Metadata!$C$891</definedName>
    <definedName name="_CR3ZyNoL1wG">Metadata!$C$1190</definedName>
    <definedName name="_cSBE15iCImc">Metadata!$C$792</definedName>
    <definedName name="_cSH5MTvPeKh">Metadata!$C$350</definedName>
    <definedName name="_cSlTxeCChkR">Metadata!$C$807</definedName>
    <definedName name="_CSUrN9sHxwS">Metadata!$C$640</definedName>
    <definedName name="_CTKBGChDlMf">Metadata!$C$912</definedName>
    <definedName name="_ctmZ0XMfq6q">Metadata!$C$1453</definedName>
    <definedName name="_CTngjf0Fy64">Metadata!$C$1591</definedName>
    <definedName name="_cTwddHDIkjo">Metadata!$C$404</definedName>
    <definedName name="_cUBtlCwEimO">Metadata!$C$603</definedName>
    <definedName name="_CvfXamPOSXo">Metadata!$C$888</definedName>
    <definedName name="_cvoTrf51FSH">Metadata!$C$967</definedName>
    <definedName name="_CwJGwfCxNKL">Metadata!$C$562</definedName>
    <definedName name="_cXdGOxKHbru">Metadata!$C$964</definedName>
    <definedName name="_cYFbMAiC24i">Metadata!$C$423</definedName>
    <definedName name="_Cyg2LIFPaxX">Metadata!$C$545</definedName>
    <definedName name="_cyUFlb08WMt">Metadata!$C$356</definedName>
    <definedName name="_cZcg8ieuuAE">Metadata!$C$327</definedName>
    <definedName name="_d1JI7XiR09V">Metadata!$C$283</definedName>
    <definedName name="_d2pWANWy2uY">Metadata!$C$233</definedName>
    <definedName name="_d4Cf9mbMyiw">Metadata!$C$1278</definedName>
    <definedName name="_d4FJ4Az1j3f">Metadata!$C$1275</definedName>
    <definedName name="_D5hljfQxMJg">Metadata!$C$851</definedName>
    <definedName name="_D5K3HojWYij">Metadata!$C$414</definedName>
    <definedName name="_d6DBa3gl9iD">Metadata!$C$1631</definedName>
    <definedName name="_D8EH8CPRoug">Metadata!$C$923</definedName>
    <definedName name="_d96yGcoRjHm">Metadata!$C$442</definedName>
    <definedName name="_D9KSCMhhqic">Metadata!$C$162</definedName>
    <definedName name="_da1X0ObWb1q">Metadata!$C$186</definedName>
    <definedName name="_dAoPcVZsdcH">Metadata!$C$178</definedName>
    <definedName name="_DB1PCBxNcFQ">Metadata!$C$230</definedName>
    <definedName name="_db5OVYUzzsI">Metadata!$C$539</definedName>
    <definedName name="_dbbiRplGReR">Metadata!$C$1419</definedName>
    <definedName name="_dbukoc9TvKf">Metadata!$C$166</definedName>
    <definedName name="_dC6tl9prtWA">Metadata!$C$374</definedName>
    <definedName name="_DcbQ74LfAHY">Metadata!$C$1540</definedName>
    <definedName name="_dDAPr1L9hTw">Metadata!$C$1336</definedName>
    <definedName name="_DdbxSObRkVw">Metadata!$C$1651</definedName>
    <definedName name="_dfoVeRIW48h">Metadata!$C$885</definedName>
    <definedName name="_dG3r3AtNHXy">Metadata!$C$713</definedName>
    <definedName name="_DGVqx9QeXmC">Metadata!$C$996</definedName>
    <definedName name="_DGWkDlms5cA">Metadata!$C$1560</definedName>
    <definedName name="_Dh3k9hBVIxH">Metadata!$C$1427</definedName>
    <definedName name="_dh411K5LInS">Metadata!$C$1168</definedName>
    <definedName name="_DHKIF8CCKtn">Metadata!$C$244</definedName>
    <definedName name="_DHsHGmuz5VE">Metadata!$C$353</definedName>
    <definedName name="_dI5VI5aPpCi">Metadata!$C$76</definedName>
    <definedName name="_dI5VkJYUigs">Metadata!$C$1618</definedName>
    <definedName name="_dIcKJLIZB9j">Metadata!$C$764</definedName>
    <definedName name="_DilqYkRT6h8">Metadata!$C$731</definedName>
    <definedName name="_DirADZjTCRh">Metadata!$C$133</definedName>
    <definedName name="_dirvsPhXe5z">Metadata!$C$1489</definedName>
    <definedName name="_dJTKm6DZq8P">Metadata!$C$1447</definedName>
    <definedName name="_DJwNAHcToJ2">Metadata!$C$674</definedName>
    <definedName name="_dkGjet6mkW7">Metadata!$C$670</definedName>
    <definedName name="_dkunQANBrkN">Metadata!$C$310</definedName>
    <definedName name="_dl8V6GxWW1c">Metadata!$C$333</definedName>
    <definedName name="_DL98EDYKUFX">Metadata!$C$609</definedName>
    <definedName name="_dloKGDYvE6H">Metadata!$C$673</definedName>
    <definedName name="_dlyrtkRPcDP">Metadata!$C$195</definedName>
    <definedName name="_DM5lmA58VdW">Metadata!$C$1508</definedName>
    <definedName name="_dMaWK8kw774">Metadata!$C$1626</definedName>
    <definedName name="_DMSdapbiSXY">Metadata!$C$944</definedName>
    <definedName name="_DMTUQoDPL0X">Metadata!$C$334</definedName>
    <definedName name="_dNGEK47vHCA">Metadata!$C$478</definedName>
    <definedName name="_DomxfGAQdyu">Metadata!$C$741</definedName>
    <definedName name="_dpVaz6PWHf7">Metadata!$C$1601</definedName>
    <definedName name="_drOWOVhfoZu">Metadata!$C$752</definedName>
    <definedName name="_drRcQapEEzd">Metadata!$C$436</definedName>
    <definedName name="_DSecoD4xw0m">Metadata!$C$823</definedName>
    <definedName name="_dTGC5KKUAU1">Metadata!$C$536</definedName>
    <definedName name="_dUlY9hncbEw">Metadata!$C$95</definedName>
    <definedName name="_dUswNRKX5Ua">Metadata!$C$775</definedName>
    <definedName name="_DUzIaN831Ac">Metadata!$C$622</definedName>
    <definedName name="_Dvldkcaz03T">Metadata!$C$600</definedName>
    <definedName name="_Dw8sKNFOVTH">Metadata!$C$1509</definedName>
    <definedName name="_DX1S4FT2XDO">Metadata!$C$1359</definedName>
    <definedName name="_dX55nQ55KOY">Metadata!$C$1607</definedName>
    <definedName name="_dZaKXk7C4Aj">Metadata!$C$486</definedName>
    <definedName name="_DZGCXGDtDxQ">Metadata!$C$315</definedName>
    <definedName name="_e0L54G96FZV">Metadata!$C$249</definedName>
    <definedName name="_E101W9XoGSg">Metadata!$C$598</definedName>
    <definedName name="_E178eJZJdFs">Metadata!$C$1463</definedName>
    <definedName name="_E1WOhoEYpmV">Metadata!$C$1281</definedName>
    <definedName name="_E2GlezvQ5pr">Metadata!$C$942</definedName>
    <definedName name="_e2MDx3rpwfX">Metadata!$C$209</definedName>
    <definedName name="_e3SdLuFphrm">Metadata!$C$930</definedName>
    <definedName name="_E4gAVdVz40t">Metadata!$C$115</definedName>
    <definedName name="_E7ZimGIFJea">Metadata!$C$895</definedName>
    <definedName name="_E853HhQ1bda">Metadata!$C$497</definedName>
    <definedName name="_E8TR1Jk4nn1">Metadata!$C$202</definedName>
    <definedName name="_EAdcnn8OPfm">Metadata!$C$949</definedName>
    <definedName name="_EaiHcHYvfqF">Metadata!$C$29</definedName>
    <definedName name="_Eb5YAiVnokC">Metadata!$C$510</definedName>
    <definedName name="_EbgbaF1x5hp">Metadata!$C$45</definedName>
    <definedName name="_EbMwgHGEVKE">Metadata!$C$803</definedName>
    <definedName name="_EbRPVb37vtA">Metadata!$C$1369</definedName>
    <definedName name="_eBXREFOw0nq">Metadata!$C$1350</definedName>
    <definedName name="_eC2yVbLAfEN">Metadata!$C$516</definedName>
    <definedName name="_EC9aYM1wyVq">Metadata!$C$696</definedName>
    <definedName name="_ecFkOTcOdH3">Metadata!$C$499</definedName>
    <definedName name="_Ed9wCgYOzt4">Metadata!$C$1014</definedName>
    <definedName name="_EdIqWcCUjCc">Metadata!$C$623</definedName>
    <definedName name="_edknA2D7xkN">Metadata!$C$1415</definedName>
    <definedName name="_eeJohWg5B1D">Metadata!$C$280</definedName>
    <definedName name="_EfCudBVM9kt">Metadata!$C$488</definedName>
    <definedName name="_eg8Bg3qRAQM">Metadata!$C$671</definedName>
    <definedName name="_EG9W03wvWvA">Metadata!$C$722</definedName>
    <definedName name="_eHRumu0UWaK">Metadata!$C$1530</definedName>
    <definedName name="_eIGL9YxJk72">Metadata!$C$582</definedName>
    <definedName name="_EIhCJitb9i6">Metadata!$C$584</definedName>
    <definedName name="_ejhd6XlDKhm">Metadata!$C$152</definedName>
    <definedName name="_ejnO06mvSGE">Metadata!$C$454</definedName>
    <definedName name="_EMvc6eCNmHp">Metadata!$C$918</definedName>
    <definedName name="_eo54yWBzEE6">Metadata!$C$1307</definedName>
    <definedName name="_eoT37lqiJgl">Metadata!$C$217</definedName>
    <definedName name="_eOuQS4ubUea">Metadata!$C$1609</definedName>
    <definedName name="_Ep8b7OPXSYz">Metadata!$C$303</definedName>
    <definedName name="_EpRvQ984Z73">Metadata!$C$294</definedName>
    <definedName name="_EqHH8PSrwbW">Metadata!$C$127</definedName>
    <definedName name="_eQNOFKd17s7">Metadata!$C$1347</definedName>
    <definedName name="_eQRTRhnf3aM">Metadata!$C$56</definedName>
    <definedName name="_ErG5CWSzHwK">Metadata!$C$1579</definedName>
    <definedName name="_erJluauj4CB">Metadata!$C$697</definedName>
    <definedName name="_esxCNmjUuar">Metadata!$C$1235</definedName>
    <definedName name="_et32DDJ6nyF">Metadata!$C$799</definedName>
    <definedName name="_ETRgUeBxXL3">Metadata!$C$181</definedName>
    <definedName name="_eTwDVwypBDP">Metadata!$C$575</definedName>
    <definedName name="_eu66cx6RoDD">Metadata!$C$1555</definedName>
    <definedName name="_EUS64QZ6ZA6">Metadata!$C$339</definedName>
    <definedName name="_eW0hwS68FZi">Metadata!$C$984</definedName>
    <definedName name="_EWFhOqCrPBX">Metadata!$C$1292</definedName>
    <definedName name="_expqrmvsTnR">Metadata!$C$950</definedName>
    <definedName name="_EXW2mIqRpTa">Metadata!$C$393</definedName>
    <definedName name="_Ey27DTQAss8">Metadata!$C$985</definedName>
    <definedName name="_EYcPOPnxcid">Metadata!$C$893</definedName>
    <definedName name="_EydQRn8YGkO">Metadata!$C$245</definedName>
    <definedName name="_EyZAxT3ygnK">Metadata!$C$938</definedName>
    <definedName name="_f2euMB8Et0o">Metadata!$C$62</definedName>
    <definedName name="_f2MoDGu2V3c">Metadata!$C$359</definedName>
    <definedName name="_f38DNXwNUAX">Metadata!$C$1367</definedName>
    <definedName name="_f391XDmEuse">Metadata!$C$1378</definedName>
    <definedName name="_f3a1w98JkXe">Metadata!$C$256</definedName>
    <definedName name="_f4c0csFW1m6">Metadata!$C$326</definedName>
    <definedName name="_f4HwDZTupMU">Metadata!$C$959</definedName>
    <definedName name="_F5BsT248TRP">Metadata!$C$455</definedName>
    <definedName name="_F6OWwdthwcV">Metadata!$C$901</definedName>
    <definedName name="_f6zr99LuJp6">Metadata!$C$234</definedName>
    <definedName name="_f7dXEJqkA2A">Metadata!$C$637</definedName>
    <definedName name="_f7htQr8FXmb">Metadata!$C$780</definedName>
    <definedName name="_F7virl8bNks">Metadata!$C$1608</definedName>
    <definedName name="_F8iPAOD409z">Metadata!$C$625</definedName>
    <definedName name="_F8yI5ggw186">Metadata!$C$1214</definedName>
    <definedName name="_f9Bkqm9NoAX">Metadata!$C$589</definedName>
    <definedName name="_F9BRjjhu0GH">Metadata!$C$836</definedName>
    <definedName name="_f9vHSvhqUee">Metadata!$C$657</definedName>
    <definedName name="_FaK89JV1yhV">Metadata!$C$390</definedName>
    <definedName name="_false">Metadata!$C$1791</definedName>
    <definedName name="_FbdWH3G7ANh">Metadata!$C$515</definedName>
    <definedName name="_FCW0EGpn8MS">Metadata!$C$349</definedName>
    <definedName name="_fDkrYoZxJW3">Metadata!$C$1308</definedName>
    <definedName name="_FEaCcqaomTg">Metadata!$C$248</definedName>
    <definedName name="_FEKZzIcTELk">Metadata!$C$1282</definedName>
    <definedName name="_FfCsQfcC9MC">Metadata!$C$1268</definedName>
    <definedName name="_FfWZp2RaX5b">Metadata!$C$221</definedName>
    <definedName name="_ffXJm0FUPqN">Metadata!$C$40</definedName>
    <definedName name="_fG7XmwaofuQ">Metadata!$C$1585</definedName>
    <definedName name="_fGbtQYKIbwC">Metadata!$C$155</definedName>
    <definedName name="_Fh20IQTh0Sm">Metadata!$C$857</definedName>
    <definedName name="_fh5RXOMtEno">Metadata!$C$432</definedName>
    <definedName name="_FI7Pow6OdoH">Metadata!$C$469</definedName>
    <definedName name="_fjBI2Ofjae2">Metadata!$C$1208</definedName>
    <definedName name="_fLtH2DWCoup">Metadata!$C$702</definedName>
    <definedName name="_FmHBf0hvNz6">Metadata!$C$537</definedName>
    <definedName name="_fmoYYKAugap">Metadata!$C$1263</definedName>
    <definedName name="_FMWdOWYuezR">Metadata!$C$1406</definedName>
    <definedName name="_fpcxp5HcX2i">Metadata!$C$34</definedName>
    <definedName name="_fpnnANaqTog">Metadata!$C$905</definedName>
    <definedName name="_FqHxO0QBl0q">Metadata!$C$87</definedName>
    <definedName name="_FqiODOMT20L">Metadata!$C$1375</definedName>
    <definedName name="_FQPltxBSpAw">Metadata!$C$698</definedName>
    <definedName name="_fquVjueeNl5">Metadata!$C$24</definedName>
    <definedName name="_frO7u0vZk6f">Metadata!$C$837</definedName>
    <definedName name="_frWsH2twBFr">Metadata!$C$396</definedName>
    <definedName name="_frXu3yUrvQB">Metadata!$C$664</definedName>
    <definedName name="_FS0JydKnO6C">Metadata!$C$915</definedName>
    <definedName name="_ftbyV2UhBec">Metadata!$C$1211</definedName>
    <definedName name="_ftQxmSaPxhM">Metadata!$C$538</definedName>
    <definedName name="_fusnXaYTeeH">Metadata!$C$191</definedName>
    <definedName name="_fVkgl6tkLYR">Metadata!$C$1001</definedName>
    <definedName name="_FVX1dpkn5DR">Metadata!$C$926</definedName>
    <definedName name="_fwrOv8OugqL">Metadata!$C$433</definedName>
    <definedName name="_fx2flt4WIyk">Metadata!$C$153</definedName>
    <definedName name="_Fyn20bdx8Wc">Metadata!$C$1420</definedName>
    <definedName name="_FYUnWvWnpTA">Metadata!$C$58</definedName>
    <definedName name="_FZDBURt5xG2">Metadata!$C$134</definedName>
    <definedName name="_g0TaYo7saoF">Metadata!$C$1353</definedName>
    <definedName name="_g2ccwKGkbFC">Metadata!$C$1416</definedName>
    <definedName name="_g2kdhzLm7Bm">Metadata!$C$323</definedName>
    <definedName name="_G2tY4U5vPKT">Metadata!$C$1339</definedName>
    <definedName name="_g2vI8N8ySsT">Metadata!$C$590</definedName>
    <definedName name="_g3UbRpecB4i">Metadata!$C$1199</definedName>
    <definedName name="_G6RyDq5kgy7">Metadata!$C$1462</definedName>
    <definedName name="_G7HTb8TKPVV">Metadata!$C$681</definedName>
    <definedName name="_g8iCImEmuC5">Metadata!$C$604</definedName>
    <definedName name="_g9FCd0AOgl5">Metadata!$C$1005</definedName>
    <definedName name="_gaNIgQQhaMm">Metadata!$C$724</definedName>
    <definedName name="_GB801JHT3Ee">Metadata!$C$68</definedName>
    <definedName name="_GbSWYL6wkDZ">Metadata!$C$1210</definedName>
    <definedName name="_GCAYTElLWur">Metadata!$C$564</definedName>
    <definedName name="_gCNWRCx9ZGr">Metadata!$C$954</definedName>
    <definedName name="_GCuOB755yxf">Metadata!$C$328</definedName>
    <definedName name="_gcv2f7OZTCA">Metadata!$C$1422</definedName>
    <definedName name="_Gdf45yp6r0Q">Metadata!$C$1171</definedName>
    <definedName name="_GdhydesErYi">Metadata!$C$135</definedName>
    <definedName name="_GEbeStgBbe4">Metadata!$C$316</definedName>
    <definedName name="_GELdFmHdBeq">Metadata!$C$1298</definedName>
    <definedName name="_gezZJuyEHA0">Metadata!$C$163</definedName>
    <definedName name="_gf1Ol65lcVq">Metadata!$C$1435</definedName>
    <definedName name="_Gfd61LgnBoD">Metadata!$C$4</definedName>
    <definedName name="_GFmd028JoPJ">Metadata!$C$1411</definedName>
    <definedName name="_GFRozr9sjPA">Metadata!$C$1262</definedName>
    <definedName name="_gGkrHcox74x">Metadata!$C$57</definedName>
    <definedName name="_GhSydxDx1DM">Metadata!$C$112</definedName>
    <definedName name="_Gi6xbWGpL1d">Metadata!$C$976</definedName>
    <definedName name="_GIqAR5PwFfJ">Metadata!$C$518</definedName>
    <definedName name="_GJjsPePqWDp">Metadata!$C$1630</definedName>
    <definedName name="_gKFNrbBVSsp">Metadata!$C$1279</definedName>
    <definedName name="_GLBEvvxdS0N">Metadata!$C$400</definedName>
    <definedName name="_GLevLNI9wkl">Metadata!$C$1161</definedName>
    <definedName name="_gmBo7hS8NEx">Metadata!$C$1181</definedName>
    <definedName name="_GMPtY5DHJGQ">Metadata!$C$402</definedName>
    <definedName name="_GMV1kaXy6Xb">Metadata!$C$816</definedName>
    <definedName name="_GNxHZIvlBGN">Metadata!$C$1409</definedName>
    <definedName name="_GNZll8tgucT">Metadata!$C$1547</definedName>
    <definedName name="_goy1682gIWf">Metadata!$C$1512</definedName>
    <definedName name="_GoZEL0hIsZw">Metadata!$C$1527</definedName>
    <definedName name="_GpgxhBZVUmj">Metadata!$C$1346</definedName>
    <definedName name="_GpoukrEbVLj">Metadata!$C$491</definedName>
    <definedName name="_GQ7S6wB7fOx">Metadata!$C$810</definedName>
    <definedName name="_gqXG6xr5Peo">Metadata!$C$1382</definedName>
    <definedName name="_GR1LaEjKxeT">Metadata!$C$104</definedName>
    <definedName name="_GsHQ8pkGIzo">Metadata!$C$1195</definedName>
    <definedName name="_GTkG6Anx7hq">Metadata!$C$290</definedName>
    <definedName name="_GtobYmwQmwS">Metadata!$C$1439</definedName>
    <definedName name="_gUL6rTt7R73">Metadata!$C$506</definedName>
    <definedName name="_gvaDiR8ZEMj">Metadata!$C$1259</definedName>
    <definedName name="_GVQmogkpxhw">Metadata!$C$909</definedName>
    <definedName name="_GVTJpHIh0iN">Metadata!$C$953</definedName>
    <definedName name="_GW4KBJzvFQE">Metadata!$C$360</definedName>
    <definedName name="_gwREWWtLsvK">Metadata!$C$974</definedName>
    <definedName name="_GxblPUKs2a6">Metadata!$C$317</definedName>
    <definedName name="_gY4wdB3nbJr">Metadata!$C$1284</definedName>
    <definedName name="_gY6LypsDS8q">Metadata!$C$292</definedName>
    <definedName name="_GyCdUNDZp8L">Metadata!$C$599</definedName>
    <definedName name="_GYq6tqkBKnF">Metadata!$C$717</definedName>
    <definedName name="_gz7PUkd9T0T">Metadata!$C$479</definedName>
    <definedName name="_GZLkzNoTlkw">Metadata!$C$1642</definedName>
    <definedName name="_GzV9KJVPeNv">Metadata!$C$108</definedName>
    <definedName name="_Gzx03rCkZEe">Metadata!$C$940</definedName>
    <definedName name="_H1cdlRsXvHK">Metadata!$C$1009</definedName>
    <definedName name="_h1kKuz9kyAE">Metadata!$C$817</definedName>
    <definedName name="_H2oJJer4UNq">Metadata!$C$966</definedName>
    <definedName name="_H2OyVFADcnX">Metadata!$C$875</definedName>
    <definedName name="_H77eHBeI0WG">Metadata!$C$546</definedName>
    <definedName name="_H7cXPNUSuZm">Metadata!$C$1595</definedName>
    <definedName name="_h8QsepUQCJW">Metadata!$C$781</definedName>
    <definedName name="_HAf5qWbBIWY">Metadata!$C$145</definedName>
    <definedName name="_HAMp5fizumJ">Metadata!$C$641</definedName>
    <definedName name="_HaPELKxqm7N">Metadata!$C$335</definedName>
    <definedName name="_HBR5uyUHxEG">Metadata!$C$1248</definedName>
    <definedName name="_HCIQloicy7v">Metadata!$C$71</definedName>
    <definedName name="_Hf9MxTaYIV0">Metadata!$C$1228</definedName>
    <definedName name="_hfSSZH7XtpC">Metadata!$C$533</definedName>
    <definedName name="_hGG1MCB5cyk">Metadata!$C$737</definedName>
    <definedName name="_hghfDSPUu5v">Metadata!$C$496</definedName>
    <definedName name="_Hgqypbog7vf">Metadata!$C$505</definedName>
    <definedName name="_hGRVZe56VxM">Metadata!$C$375</definedName>
    <definedName name="_hHlTr9lZZgJ">Metadata!$C$460</definedName>
    <definedName name="_hHsSeGYjmSr">Metadata!$C$878</definedName>
    <definedName name="_hIoNZUebKaw">Metadata!$C$197</definedName>
    <definedName name="_hkeNJSIlHNW">Metadata!$C$814</definedName>
    <definedName name="_HkFuwcHtutO">Metadata!$C$282</definedName>
    <definedName name="_hKjiDJngQQS">Metadata!$C$346</definedName>
    <definedName name="_HllvX50cXC0">Metadata!$C$1288</definedName>
    <definedName name="_hLxjmfX5RgD">Metadata!$C$906</definedName>
    <definedName name="_hM4FvGa8qUa">Metadata!$C$447</definedName>
    <definedName name="_HojVoGC7K8p">Metadata!$C$1408</definedName>
    <definedName name="_homMHsoLe4r">Metadata!$C$1789</definedName>
    <definedName name="_HOnz51s0vSu">Metadata!$C$597</definedName>
    <definedName name="_hOYSiF7RRa4">Metadata!$C$255</definedName>
    <definedName name="_HOZvuqqSKDf">Metadata!$C$1648</definedName>
    <definedName name="_HPehddIHYeW">Metadata!$C$1614</definedName>
    <definedName name="_Hq9ymqYqX0A">Metadata!$C$1394</definedName>
    <definedName name="_HqMf8JLkgR1">Metadata!$C$631</definedName>
    <definedName name="_hQZBYwJtQpm">Metadata!$C$424</definedName>
    <definedName name="_HR1p24wHb3T">Metadata!$C$567</definedName>
    <definedName name="_HRllJaF82m2">Metadata!$C$397</definedName>
    <definedName name="_HSlUu6UuLEY">Metadata!$C$64</definedName>
    <definedName name="_HtRPkdNqaez">Metadata!$C$342</definedName>
    <definedName name="_Huy0Hxb2eAR">Metadata!$C$366</definedName>
    <definedName name="_HVbaHdJorAW">Metadata!$C$727</definedName>
    <definedName name="_hvVRDJwKz1G">Metadata!$C$408</definedName>
    <definedName name="_Hw1Lkknqqto">Metadata!$C$176</definedName>
    <definedName name="_HWcxCcPozuB">Metadata!$C$1006</definedName>
    <definedName name="_hWd5pqjp8F7">Metadata!$C$988</definedName>
    <definedName name="_HWIdY0X1JAa">Metadata!$C$1003</definedName>
    <definedName name="_hx0oZheIg8i">Metadata!$C$69</definedName>
    <definedName name="_HYkpSAefKJ9">Metadata!$C$228</definedName>
    <definedName name="_HzjAGvMZw99">Metadata!$C$60</definedName>
    <definedName name="_i02HwsTz9XY">Metadata!$C$526</definedName>
    <definedName name="_I3I2JDt6KE4">Metadata!$C$712</definedName>
    <definedName name="_I3qFArkqOdS">Metadata!$C$212</definedName>
    <definedName name="_i602dYTGOJS">Metadata!$C$1269</definedName>
    <definedName name="_i607dSgfm4F">Metadata!$C$1304</definedName>
    <definedName name="_i6xjXgUUy5h">Metadata!$C$110</definedName>
    <definedName name="_I7eRXWZ7MJj">Metadata!$C$834</definedName>
    <definedName name="_iA6rwQV0erY">Metadata!$C$795</definedName>
    <definedName name="_iAS9EFPLhUq">Metadata!$C$223</definedName>
    <definedName name="_IBf0GO8DlVt">Metadata!$C$377</definedName>
    <definedName name="_iBtiPZeuW7l">Metadata!$C$1342</definedName>
    <definedName name="_ICeehNyTiIX">Metadata!$C$1472</definedName>
    <definedName name="_Id1w4goGtY0">Metadata!$C$1403</definedName>
    <definedName name="_idlwdDUEvog">Metadata!$C$23</definedName>
    <definedName name="_iDufSVpdcup">Metadata!$C$291</definedName>
    <definedName name="_Ie7S7AfCOA4">Metadata!$C$861</definedName>
    <definedName name="_iex121keUrQ">Metadata!$C$931</definedName>
    <definedName name="_IfcHbXVQgbE">Metadata!$C$1197</definedName>
    <definedName name="_ifHvLGGGLtl">Metadata!$C$553</definedName>
    <definedName name="_iFOz81Xrw81">Metadata!$C$28</definedName>
    <definedName name="_ighVnyMkQCp">Metadata!$C$1562</definedName>
    <definedName name="_igl4TqDYokW">Metadata!$C$983</definedName>
    <definedName name="_igpB9yymbMo">Metadata!$C$215</definedName>
    <definedName name="_iHbyjmfUoT7">Metadata!$C$500</definedName>
    <definedName name="_iHQiUfmqoq8">Metadata!$C$11</definedName>
    <definedName name="_iiaGACEnxiI">Metadata!$C$719</definedName>
    <definedName name="_IiK2zVUTuvv">Metadata!$C$1466</definedName>
    <definedName name="_iilRSMCmFGm">Metadata!$C$379</definedName>
    <definedName name="_IiShm6nDSZ1">Metadata!$C$257</definedName>
    <definedName name="_Ij5e96NP8iP">Metadata!$C$1362</definedName>
    <definedName name="_IJmlSYaPCAv">Metadata!$C$1219</definedName>
    <definedName name="_iksQN8XHdCU">Metadata!$C$1541</definedName>
    <definedName name="_iLC6aDEnSg9">Metadata!$C$378</definedName>
    <definedName name="_imlTNQ1osjZ">Metadata!$C$1552</definedName>
    <definedName name="_iPLstSfs7KB">Metadata!$C$1428</definedName>
    <definedName name="_iPoSdjfF4kS">Metadata!$C$1395</definedName>
    <definedName name="_IpPGMPvYbKb">Metadata!$C$1201</definedName>
    <definedName name="_iQ6qRFTMd5N">Metadata!$C$738</definedName>
    <definedName name="_iQlQehNOU5W">Metadata!$C$357</definedName>
    <definedName name="_iQvLEtwJdOo">Metadata!$C$555</definedName>
    <definedName name="_iqYeQ3jS0Tr">Metadata!$C$767</definedName>
    <definedName name="_IrQNnW9V2ae">Metadata!$C$854</definedName>
    <definedName name="_irr53G5M2pb">Metadata!$C$1603</definedName>
    <definedName name="_is0mLC9DDKF">Metadata!$C$243</definedName>
    <definedName name="_iS60l2Ntxll">Metadata!$C$1388</definedName>
    <definedName name="_isQSxX5knkc">Metadata!$C$498</definedName>
    <definedName name="_isRKwQl0b9z">Metadata!$C$1636</definedName>
    <definedName name="_IsUhZYprLFL">Metadata!$C$96</definedName>
    <definedName name="_iuojVMdUl2T">Metadata!$C$484</definedName>
    <definedName name="_IVfNwpqNPQj">Metadata!$C$777</definedName>
    <definedName name="_IvhiCbChScI">Metadata!$C$1440</definedName>
    <definedName name="_iVldWcxyAeE">Metadata!$C$1271</definedName>
    <definedName name="_IwubPL7E7jo">Metadata!$C$703</definedName>
    <definedName name="_iX4vTbsgedg">Metadata!$C$169</definedName>
    <definedName name="_IxPKBH2vEhc">Metadata!$C$304</definedName>
    <definedName name="_IyBrNmNpayi">Metadata!$C$632</definedName>
    <definedName name="_IZHZBZFSVj5">Metadata!$C$175</definedName>
    <definedName name="_IzvoTv1dAO3">Metadata!$C$758</definedName>
    <definedName name="_iZwjnQ8hI51">Metadata!$C$52</definedName>
    <definedName name="_J0h5Swe9zuC">Metadata!$C$977</definedName>
    <definedName name="_j5tOpBzNYMO">Metadata!$C$1432</definedName>
    <definedName name="_J64UCNttNtQ">Metadata!$C$1456</definedName>
    <definedName name="_j6iC7yILsUk">Metadata!$C$1266</definedName>
    <definedName name="_J6Q1RS6z6HA">Metadata!$C$1568</definedName>
    <definedName name="_J6uBwlIEjNo">Metadata!$C$636</definedName>
    <definedName name="_j9UDLMABvmF">Metadata!$C$1301</definedName>
    <definedName name="_ja8gJ3UWQ7w">Metadata!$C$1365</definedName>
    <definedName name="_jaNQVHQzWUQ">Metadata!$C$1451</definedName>
    <definedName name="_JaPlp3tfudO">Metadata!$C$1015</definedName>
    <definedName name="_JAQVMpsaHam">Metadata!$C$270</definedName>
    <definedName name="_JC6ZS0hEjuK">Metadata!$C$534</definedName>
    <definedName name="_JCQCyDVg3fS">Metadata!$C$1023</definedName>
    <definedName name="_JDGRQ3qkngt">Metadata!$C$142</definedName>
    <definedName name="_JdUH80vCi3h">Metadata!$C$1475</definedName>
    <definedName name="_jEbmraXMr67">Metadata!$C$264</definedName>
    <definedName name="_JEeZXCFCYha">Metadata!$C$1476</definedName>
    <definedName name="_Jfanf4ZIMje">Metadata!$C$876</definedName>
    <definedName name="_JFEhttkoMs4">Metadata!$C$862</definedName>
    <definedName name="_JgAcRGoxNQn">Metadata!$C$1169</definedName>
    <definedName name="_JGvehNb4uTj">Metadata!$C$844</definedName>
    <definedName name="_Jhfp6qRsMdE">Metadata!$C$1229</definedName>
    <definedName name="_jIKPasfocB9">Metadata!$C$1534</definedName>
    <definedName name="_JioJXjxFI0B">Metadata!$C$453</definedName>
    <definedName name="_jjwvS4nidCb">Metadata!$C$144</definedName>
    <definedName name="_jkv3z3MSVgP">Metadata!$C$769</definedName>
    <definedName name="_JlQneBmSWcw">Metadata!$C$907</definedName>
    <definedName name="_JNRBnojeJD9">Metadata!$C$981</definedName>
    <definedName name="_jNxvACSO6v7">Metadata!$C$383</definedName>
    <definedName name="_jOj2iuJhwSF">Metadata!$C$566</definedName>
    <definedName name="_JOklCJDlikp">Metadata!$C$762</definedName>
    <definedName name="_JOSf7PtWj97">Metadata!$C$409</definedName>
    <definedName name="_jp4umJFmzEV">Metadata!$C$1348</definedName>
    <definedName name="_Jp5XKDYi2Dl">Metadata!$C$1206</definedName>
    <definedName name="_JqL7ztZIayG">Metadata!$C$229</definedName>
    <definedName name="_JQnHPKqFZ0H">Metadata!$C$1167</definedName>
    <definedName name="_JQxYfy6VSGI">Metadata!$C$945</definedName>
    <definedName name="_JQZ0c0t6BTc">Metadata!$C$1302</definedName>
    <definedName name="_jR4pbUJMxAp">Metadata!$C$1256</definedName>
    <definedName name="_jr710ld4l2E">Metadata!$C$129</definedName>
    <definedName name="_JrCk1rbPbzJ">Metadata!$C$1232</definedName>
    <definedName name="_JsYUmRVyxDw">Metadata!$C$1163</definedName>
    <definedName name="_JSZmxz6xJ5f">Metadata!$C$812</definedName>
    <definedName name="_jTS0MnCGgl6">Metadata!$C$54</definedName>
    <definedName name="_jvep0wSVDJn">Metadata!$C$474</definedName>
    <definedName name="_jvfjz5NZpl9">Metadata!$C$77</definedName>
    <definedName name="_JVgrCoX1Yoa">Metadata!$C$699</definedName>
    <definedName name="_jVP84tthvFz">Metadata!$C$936</definedName>
    <definedName name="_JwNbhSf4B4G">Metadata!$C$1274</definedName>
    <definedName name="_JwOn7Js769e">Metadata!$C$1580</definedName>
    <definedName name="_Jxf5IRCXtXO">Metadata!$C$1600</definedName>
    <definedName name="_jxpOEpqkKc8">Metadata!$C$611</definedName>
    <definedName name="_jxQLHGKTH3U">Metadata!$C$373</definedName>
    <definedName name="_JxTMTu7Dtj1">Metadata!$C$723</definedName>
    <definedName name="_JxWxaPWfrVO">Metadata!$C$782</definedName>
    <definedName name="_Jyze0H2FX62">Metadata!$C$969</definedName>
    <definedName name="_JYZoGP4hnBe">Metadata!$C$435</definedName>
    <definedName name="_jZqzpNiBm2Z">Metadata!$C$271</definedName>
    <definedName name="_K11zgDjAZVd">Metadata!$C$838</definedName>
    <definedName name="_k29O96RfLgL">Metadata!$C$679</definedName>
    <definedName name="_K2bWL2DJBIp">Metadata!$C$367</definedName>
    <definedName name="_k2h3cIa0E1Y">Metadata!$C$1582</definedName>
    <definedName name="_K59HMyJxUXf">Metadata!$C$1026</definedName>
    <definedName name="_k5BPtdzejZM">Metadata!$C$299</definedName>
    <definedName name="_k6e9B3yaGQ8">Metadata!$C$783</definedName>
    <definedName name="_K6ND4zXqbpw">Metadata!$C$319</definedName>
    <definedName name="_K7ALnyce3ms">Metadata!$C$842</definedName>
    <definedName name="_K7HHqak2Uov">Metadata!$C$579</definedName>
    <definedName name="_K7sgOx8uakv">Metadata!$C$1265</definedName>
    <definedName name="_K7VaWe5ZiRP">Metadata!$C$1225</definedName>
    <definedName name="_K8kLItbEJIN">Metadata!$C$707</definedName>
    <definedName name="_k9kaaFapmsE">Metadata!$C$1494</definedName>
    <definedName name="_K9kICd3j65T">Metadata!$C$684</definedName>
    <definedName name="_kb3fEJ3Ck5t">Metadata!$C$569</definedName>
    <definedName name="_kbnnHt7AaQB">Metadata!$C$1641</definedName>
    <definedName name="_kDMuBUg6Zjf">Metadata!$C$1310</definedName>
    <definedName name="_kDsFOvBPH7B">Metadata!$C$990</definedName>
    <definedName name="_ket4E2TM6hf">Metadata!$C$1200</definedName>
    <definedName name="_KfAfMGt7U79">Metadata!$C$1254</definedName>
    <definedName name="_KfybSQzGq5L">Metadata!$C$263</definedName>
    <definedName name="_KFzZR8gWLlv">Metadata!$C$1567</definedName>
    <definedName name="_KG13hsclCbw">Metadata!$C$262</definedName>
    <definedName name="_KGjvHB09fOc">Metadata!$C$644</definedName>
    <definedName name="_KI3o6ZpFihI">Metadata!$C$1186</definedName>
    <definedName name="_KiIRN6PJvZy">Metadata!$C$189</definedName>
    <definedName name="_kIKxY6qHJpU">Metadata!$C$1543</definedName>
    <definedName name="_KiPe6G4Zmew">Metadata!$C$91</definedName>
    <definedName name="_Kj30So1gP3H">Metadata!$C$507</definedName>
    <definedName name="_KJQeBFcQooj">Metadata!$C$957</definedName>
    <definedName name="_kjsU2SdLW5l">Metadata!$C$126</definedName>
    <definedName name="_KkN1Qi8wdZo">Metadata!$C$372</definedName>
    <definedName name="_KL9NoMU9deG">Metadata!$C$73</definedName>
    <definedName name="_klrlqqZkPaU">Metadata!$C$1022</definedName>
    <definedName name="_km3ztMqtDAn">Metadata!$C$557</definedName>
    <definedName name="_Kmox8hHRHGF">Metadata!$C$691</definedName>
    <definedName name="_kmtbyca4Tl2">Metadata!$C$651</definedName>
    <definedName name="_KNSHJyEyATY">Metadata!$C$525</definedName>
    <definedName name="_KoPsLNXmqID">Metadata!$C$1368</definedName>
    <definedName name="_Kos9VTAyCXA">Metadata!$C$1559</definedName>
    <definedName name="_Kp0BrMJsyx7">Metadata!$C$1377</definedName>
    <definedName name="_KPuqtsRrK8P">Metadata!$C$185</definedName>
    <definedName name="_kq1RNM2grTm">Metadata!$C$1007</definedName>
    <definedName name="_KqPSQdJ0tuD">Metadata!$C$1619</definedName>
    <definedName name="_kQyFt75935Z">Metadata!$C$1647</definedName>
    <definedName name="_Krs3KdsaX5e">Metadata!$C$15</definedName>
    <definedName name="_ks00XY6uMLw">Metadata!$C$1627</definedName>
    <definedName name="_KsWOcIlolq5">Metadata!$C$1426</definedName>
    <definedName name="_ktCsqB9PuJK">Metadata!$C$472</definedName>
    <definedName name="_KTjz8yB6iCs">Metadata!$C$1615</definedName>
    <definedName name="_kTLyDMFgx5I">Metadata!$C$1179</definedName>
    <definedName name="_kUDjwWiE3HL">Metadata!$C$231</definedName>
    <definedName name="_KuP5RebljxE">Metadata!$C$448</definedName>
    <definedName name="_kUyKyBumW6x">Metadata!$C$1389</definedName>
    <definedName name="_KVD8ZfM9wJy">Metadata!$C$296</definedName>
    <definedName name="_KW05TFYC9bg">Metadata!$C$677</definedName>
    <definedName name="_KWFFuBYO5t2">Metadata!$C$451</definedName>
    <definedName name="_KX2BvkpAzwT">Metadata!$C$1177</definedName>
    <definedName name="_kXFS9VnyOc7">Metadata!$C$822</definedName>
    <definedName name="_kXhDviVa5eD">Metadata!$C$665</definedName>
    <definedName name="_KxiXPnihIVd">Metadata!$C$1606</definedName>
    <definedName name="_KYapkplUIim">Metadata!$C$919</definedName>
    <definedName name="_KYsx9GT5z8s">Metadata!$C$786</definedName>
    <definedName name="_kYuaJq6eiRd">Metadata!$C$1507</definedName>
    <definedName name="_kzB3B42PYPs">Metadata!$C$1000</definedName>
    <definedName name="_kzjscbegiG3">Metadata!$C$955</definedName>
    <definedName name="_kZvKCZT6MLq">Metadata!$C$932</definedName>
    <definedName name="_kzYuo3NBbjs">Metadata!$C$385</definedName>
    <definedName name="_l1ETyWrXvxx">Metadata!$C$725</definedName>
    <definedName name="_l2k4gR9tDBT">Metadata!$C$531</definedName>
    <definedName name="_L37bAqWZcvr">Metadata!$C$1371</definedName>
    <definedName name="_l3S3shUMnvV">Metadata!$C$514</definedName>
    <definedName name="_L3tX6PIjigU">Metadata!$C$630</definedName>
    <definedName name="_l4OwH0fAv5S">Metadata!$C$88</definedName>
    <definedName name="_l4POaEYLt97">Metadata!$C$850</definedName>
    <definedName name="_L5nR2xOjvb1">Metadata!$C$928</definedName>
    <definedName name="_l63ixpzUEwd">Metadata!$C$92</definedName>
    <definedName name="_L6GKGLEVZlm">Metadata!$C$581</definedName>
    <definedName name="_L9gyaRhaIRx">Metadata!$C$1203</definedName>
    <definedName name="_LB2H6ULuzIf">Metadata!$C$1544</definedName>
    <definedName name="_LB5MDCzfBmV">Metadata!$C$793</definedName>
    <definedName name="_LBB6UE1v2XV">Metadata!$C$742</definedName>
    <definedName name="_LbgLGRhEtHR">Metadata!$C$205</definedName>
    <definedName name="_lbQHnY0XMes">Metadata!$C$648</definedName>
    <definedName name="_lc9m5VP7vB8">Metadata!$C$465</definedName>
    <definedName name="_lcFbdAGVYfv">Metadata!$C$1272</definedName>
    <definedName name="_lcZfrbAeuxd">Metadata!$C$870</definedName>
    <definedName name="_LeelllbVRYW">Metadata!$C$1293</definedName>
    <definedName name="_LFtVNsm3ed8">Metadata!$C$968</definedName>
    <definedName name="_lhTm8TyI5qi">Metadata!$C$139</definedName>
    <definedName name="_LiAKjYTKaXI">Metadata!$C$227</definedName>
    <definedName name="_lIUF1YUOnu5">Metadata!$C$652</definedName>
    <definedName name="_lkLZpVyJxD2">Metadata!$C$1174</definedName>
    <definedName name="_LKSNRny6cuv">Metadata!$C$16</definedName>
    <definedName name="_LLCBxwWCazW">Metadata!$C$343</definedName>
    <definedName name="_lLILcBF4Ezo">Metadata!$C$107</definedName>
    <definedName name="_llQ8zTkHA9m">Metadata!$C$149</definedName>
    <definedName name="_Lm53iIq7zMr">Metadata!$C$1166</definedName>
    <definedName name="_lmZuPFTCo1a">Metadata!$C$131</definedName>
    <definedName name="_LNQjHwqIQev">Metadata!$C$1516</definedName>
    <definedName name="_loiw33roQLJ">Metadata!$C$125</definedName>
    <definedName name="_lojSOFZ3JVj">Metadata!$C$237</definedName>
    <definedName name="_lPdae5NXAUJ">Metadata!$C$165</definedName>
    <definedName name="_lpkSeyECyYL">Metadata!$C$1344</definedName>
    <definedName name="_lq8BuHRczVr">Metadata!$C$532</definedName>
    <definedName name="_Lr06Efm1VEy">Metadata!$C$818</definedName>
    <definedName name="_lRklf2GHTCX">Metadata!$C$999</definedName>
    <definedName name="_LrOMfuS7xUL">Metadata!$C$689</definedName>
    <definedName name="_lRSQ0xLFtaU">Metadata!$C$809</definedName>
    <definedName name="_lTLnpFKIbYE">Metadata!$C$381</definedName>
    <definedName name="_lTq1LZUw2Pl">Metadata!$C$1581</definedName>
    <definedName name="_lTSFdBWSNRf">Metadata!$C$1387</definedName>
    <definedName name="_lueviwKfaZu">Metadata!$C$246</definedName>
    <definedName name="_LuimRCiKwPJ">Metadata!$C$1285</definedName>
    <definedName name="_Lup23R9hDd2">Metadata!$C$995</definedName>
    <definedName name="_LupwSzyyrsF">Metadata!$C$314</definedName>
    <definedName name="_LUUmkvPUe4j">Metadata!$C$1205</definedName>
    <definedName name="_lWbRPmIOCZb">Metadata!$C$596</definedName>
    <definedName name="_lwCKPz2WyaG">Metadata!$C$318</definedName>
    <definedName name="_lWD7KvJLkT2">Metadata!$C$1341</definedName>
    <definedName name="_lwhVM3SRqjq">Metadata!$C$832</definedName>
    <definedName name="_LWuqWiHuOJT">Metadata!$C$289</definedName>
    <definedName name="_LXFjfaP38O0">Metadata!$C$251</definedName>
    <definedName name="_LxQGrLCmTGD">Metadata!$C$1187</definedName>
    <definedName name="_LY7qFxTf8Wq">Metadata!$C$535</definedName>
    <definedName name="_lzZpHHfcSAk">Metadata!$C$1592</definedName>
    <definedName name="_m0kT9vIA9c3">Metadata!$C$421</definedName>
    <definedName name="_M2p4AxD46nA">Metadata!$C$12</definedName>
    <definedName name="_M2qFoqoYJBt">Metadata!$C$1532</definedName>
    <definedName name="_M4K5Zyh2Tnz">Metadata!$C$224</definedName>
    <definedName name="_M5ed4Tr1BdM">Metadata!$C$33</definedName>
    <definedName name="_m67vmO9EfzK">Metadata!$C$1599</definedName>
    <definedName name="_M6BiiZL6h1b">Metadata!$C$1617</definedName>
    <definedName name="_M8JH0tNliUn">Metadata!$C$305</definedName>
    <definedName name="_m9HAY801VHY">Metadata!$C$446</definedName>
    <definedName name="_m9T1fsGuOve">Metadata!$C$740</definedName>
    <definedName name="_maD8dbiRm2D">Metadata!$C$31</definedName>
    <definedName name="_MAoc83wJg5z">Metadata!$C$387</definedName>
    <definedName name="_mBztKkq4Cbf">Metadata!$C$560</definedName>
    <definedName name="_mCIj2EaMvqx">Metadata!$C$527</definedName>
    <definedName name="_mCpwHhyRmuU">Metadata!$C$179</definedName>
    <definedName name="_mCUM20ToBSP">Metadata!$C$900</definedName>
    <definedName name="_Mdd3KGHuhLs">Metadata!$C$1170</definedName>
    <definedName name="_mDR6zfT5lEl">Metadata!$C$1305</definedName>
    <definedName name="_mDTopAClewY">Metadata!$C$428</definedName>
    <definedName name="_MF7jOJr4XaA">Metadata!$C$322</definedName>
    <definedName name="_mF8gwR8tFaZ">Metadata!$C$773</definedName>
    <definedName name="_MfifStoRK7b">Metadata!$C$645</definedName>
    <definedName name="_MGvlb3c8MWN">Metadata!$C$732</definedName>
    <definedName name="_MHd3mUbQZzF">Metadata!$C$971</definedName>
    <definedName name="_mhlCQKs4NfD">Metadata!$C$568</definedName>
    <definedName name="_MHy0qEhzd7E">Metadata!$C$633</definedName>
    <definedName name="_MilfEK4witp">Metadata!$C$825</definedName>
    <definedName name="_MiVsFH1Ybr6">Metadata!$C$865</definedName>
    <definedName name="_miwy17SEi6Y">Metadata!$C$992</definedName>
    <definedName name="_mjhv9SuTiwC">Metadata!$C$898</definedName>
    <definedName name="_mjXehSM7Pk2">Metadata!$C$908</definedName>
    <definedName name="_mM3RxKB9PAP">Metadata!$C$800</definedName>
    <definedName name="_mmAiLsc4dUX">Metadata!$C$894</definedName>
    <definedName name="_MmBdbelBhkW">Metadata!$C$150</definedName>
    <definedName name="_MmegBAowO5M">Metadata!$C$1458</definedName>
    <definedName name="_mmRVFSpcFgB">Metadata!$C$1396</definedName>
    <definedName name="_Mn391YJ5EFj">Metadata!$C$796</definedName>
    <definedName name="_Mnc17tzRmGW">Metadata!$C$1578</definedName>
    <definedName name="_mNP4759xBLD">Metadata!$C$1497</definedName>
    <definedName name="_mnQcnfiEWdo">Metadata!$C$576</definedName>
    <definedName name="_MNVmljrZNH2">Metadata!$C$1260</definedName>
    <definedName name="_MOnvtNmCVvM">Metadata!$C$1523</definedName>
    <definedName name="_MpeJJ6lHva1">Metadata!$C$829</definedName>
    <definedName name="_MqBkcXtzszn">Metadata!$C$1300</definedName>
    <definedName name="_mQHUrLn4dyS">Metadata!$C$1438</definedName>
    <definedName name="_mqmJX2L5ggT">Metadata!$C$692</definedName>
    <definedName name="_MqQZAS0vgci">Metadata!$C$1379</definedName>
    <definedName name="_mRDxHuVyq8t">Metadata!$C$426</definedName>
    <definedName name="_mRruOI3ew04">Metadata!$C$610</definedName>
    <definedName name="_MRzH8bNJLvB">Metadata!$C$1556</definedName>
    <definedName name="_MSoDpzLGJHD">Metadata!$C$1505</definedName>
    <definedName name="_mt6IIO4B4Vf">Metadata!$C$819</definedName>
    <definedName name="_MtpxPIUHjfT">Metadata!$C$1482</definedName>
    <definedName name="_MTTC85wseq8">Metadata!$C$801</definedName>
    <definedName name="_mUtMK5OSbUd">Metadata!$C$464</definedName>
    <definedName name="_MvO1IQ8jEmW">Metadata!$C$1258</definedName>
    <definedName name="_mx12QvuhZwv">Metadata!$C$171</definedName>
    <definedName name="_myMve24lzEN">Metadata!$C$841</definedName>
    <definedName name="_mZ8PlwVXEhO">Metadata!$C$541</definedName>
    <definedName name="_mZH4bBeJsZ5">Metadata!$C$44</definedName>
    <definedName name="_n0Hc8762Mak">Metadata!$C$784</definedName>
    <definedName name="_N0UJ0RreV2N">Metadata!$C$7</definedName>
    <definedName name="_n3AJQDDLDbZ">Metadata!$C$1164</definedName>
    <definedName name="_N3fZiXD5uH1">Metadata!$C$47</definedName>
    <definedName name="_N442ev4rLz6">Metadata!$C$1176</definedName>
    <definedName name="_N4wBG8T5IMa">Metadata!$C$17</definedName>
    <definedName name="_n6gPTvziyXo">Metadata!$C$1182</definedName>
    <definedName name="_N6USN8urXXt">Metadata!$C$704</definedName>
    <definedName name="_N8TRVTpPT5h">Metadata!$C$198</definedName>
    <definedName name="_na4W36uWk6g">Metadata!$C$1487</definedName>
    <definedName name="_Narat0DF9sY">Metadata!$C$21</definedName>
    <definedName name="_nb4deJCI4Vg">Metadata!$C$1448</definedName>
    <definedName name="_nCSr6Zg5qKf">Metadata!$C$994</definedName>
    <definedName name="_NcVZF1ekKdp">Metadata!$C$278</definedName>
    <definedName name="_ndbGVpmE75X">Metadata!$C$839</definedName>
    <definedName name="_NdtzGdvNgUE">Metadata!$C$279</definedName>
    <definedName name="_nduhkkIFZGS">Metadata!$C$588</definedName>
    <definedName name="_nedqI46Ixp4">Metadata!$C$653</definedName>
    <definedName name="_NEJoaGU9xzw">Metadata!$C$601</definedName>
    <definedName name="_NFboNFDrlgH">Metadata!$C$1245</definedName>
    <definedName name="_Ngmch2E54rH">Metadata!$C$753</definedName>
    <definedName name="_NgN5kSDzwJq">Metadata!$C$1236</definedName>
    <definedName name="_nH8ljXlRyYb">Metadata!$C$167</definedName>
    <definedName name="_NHcpA7Gukhi">Metadata!$C$236</definedName>
    <definedName name="_Nhjqa46sor1">Metadata!$C$348</definedName>
    <definedName name="_NHlqPJsNpma">Metadata!$C$960</definedName>
    <definedName name="_nhYjVeigNWD">Metadata!$C$1224</definedName>
    <definedName name="_niGn8YOlvoH">Metadata!$C$109</definedName>
    <definedName name="_NiYy8i8gfOV">Metadata!$C$646</definedName>
    <definedName name="_nIzYpjFa5Qk">Metadata!$C$1539</definedName>
    <definedName name="_Nk1PdZ8w9ri">Metadata!$C$1434</definedName>
    <definedName name="_NKs3nQ5yDee">Metadata!$C$687</definedName>
    <definedName name="_NMelmImt6tz">Metadata!$C$20</definedName>
    <definedName name="_NmIRjZIIOfF">Metadata!$C$855</definedName>
    <definedName name="_nmZlYXYHW3y">Metadata!$C$1535</definedName>
    <definedName name="_nNJdfR3a52R">Metadata!$C$1252</definedName>
    <definedName name="_nnkcvb8EndS">Metadata!$C$1500</definedName>
    <definedName name="_NNRjKPO68hF">Metadata!$C$628</definedName>
    <definedName name="_NogLGZQ1I7z">Metadata!$C$75</definedName>
    <definedName name="_NojPDebeaHa">Metadata!$C$111</definedName>
    <definedName name="_NolFstsNGoJ">Metadata!$C$1385</definedName>
    <definedName name="_NP5JQ9FAbvt">Metadata!$C$1253</definedName>
    <definedName name="_Np8Nkj4Dgav">Metadata!$C$430</definedName>
    <definedName name="_npMBhMLFmvt">Metadata!$C$1357</definedName>
    <definedName name="_NPwNBpkaToZ">Metadata!$C$779</definedName>
    <definedName name="_Nq5P8pFWjbI">Metadata!$C$398</definedName>
    <definedName name="_NqVLX9YPHXT">Metadata!$C$1593</definedName>
    <definedName name="_nQy0IFnb0EG">Metadata!$C$739</definedName>
    <definedName name="_nRpCA8x2eRh">Metadata!$C$444</definedName>
    <definedName name="_nRQW9eQTpzu">Metadata!$C$629</definedName>
    <definedName name="_NRYirPufnbn">Metadata!$C$1243</definedName>
    <definedName name="_NsW024I9gRY">Metadata!$C$1649</definedName>
    <definedName name="_Nsxl4tlTQzu">Metadata!$C$975</definedName>
    <definedName name="_NtQT6AdgCHi">Metadata!$C$493</definedName>
    <definedName name="_NULRGqVdgES">Metadata!$C$481</definedName>
    <definedName name="_nVrdcUpsOnO">Metadata!$C$1299</definedName>
    <definedName name="_nyeQIdwMBkZ">Metadata!$C$287</definedName>
    <definedName name="_nyOinVCU7vX">Metadata!$C$276</definedName>
    <definedName name="_NzBTd4FU15D">Metadata!$C$407</definedName>
    <definedName name="_o0gHZ2wusGN">Metadata!$C$768</definedName>
    <definedName name="_O0sBeSCxaQl">Metadata!$C$288</definedName>
    <definedName name="_o6RWI1d6BWP">Metadata!$C$585</definedName>
    <definedName name="_o8jEmmodLLl">Metadata!$C$1536</definedName>
    <definedName name="_O9Bznvw8HNp">Metadata!$C$528</definedName>
    <definedName name="_O9LpDiTdV2v">Metadata!$C$1018</definedName>
    <definedName name="_O9VI9OE4RsV">Metadata!$C$937</definedName>
    <definedName name="_oa4uybD3pNk">Metadata!$C$485</definedName>
    <definedName name="_oa7GbITS17N">Metadata!$C$925</definedName>
    <definedName name="_oAC1A971vCf">Metadata!$C$1468</definedName>
    <definedName name="_obg2ynBSobZ">Metadata!$C$1338</definedName>
    <definedName name="_OcJM45gTiSX">Metadata!$C$748</definedName>
    <definedName name="_OCK2cCr24d5">Metadata!$C$694</definedName>
    <definedName name="_odZ8MJJPEuQ">Metadata!$C$1449</definedName>
    <definedName name="_Oe0B6O1Wco9">Metadata!$C$82</definedName>
    <definedName name="_OE9pdRSAFbt">Metadata!$C$708</definedName>
    <definedName name="_OEvuxRFFkKG">Metadata!$C$1295</definedName>
    <definedName name="_OeYDuYyCCgA">Metadata!$C$489</definedName>
    <definedName name="_ofRaAWhJIsh">Metadata!$C$1215</definedName>
    <definedName name="_ofSoKmdNDfN">Metadata!$C$302</definedName>
    <definedName name="_oFYxBfe4oUN">Metadata!$C$1488</definedName>
    <definedName name="_OgiRQ7vh0D8">Metadata!$C$365</definedName>
    <definedName name="_ogxdWZC3mIW">Metadata!$C$543</definedName>
    <definedName name="_oHJnB3wdwQq">Metadata!$C$160</definedName>
    <definedName name="_OiSB4QrXw7B">Metadata!$C$470</definedName>
    <definedName name="_ok2lFN9tdZo">Metadata!$C$254</definedName>
    <definedName name="_OKnncu2fNT9">Metadata!$C$463</definedName>
    <definedName name="_okqwvh8wx9Y">Metadata!$C$946</definedName>
    <definedName name="_oKqy1ItS26X">Metadata!$C$128</definedName>
    <definedName name="_oKtWyJa4EEx">Metadata!$C$627</definedName>
    <definedName name="_OkWynHJ9wpB">Metadata!$C$881</definedName>
    <definedName name="_oLjiaiyKFtm">Metadata!$C$513</definedName>
    <definedName name="_OmZUewjYLUE">Metadata!$C$1230</definedName>
    <definedName name="_oNGfKaLNt5T">Metadata!$C$172</definedName>
    <definedName name="_OnUimvumDHk">Metadata!$C$573</definedName>
    <definedName name="_opXisopYqSG">Metadata!$C$1481</definedName>
    <definedName name="_oqeeYFzob8X">Metadata!$C$1520</definedName>
    <definedName name="_OQuUAuDc0Di">Metadata!$C$410</definedName>
    <definedName name="_ORRuFxj4ZId">Metadata!$C$998</definedName>
    <definedName name="_OruujpY5SS1">Metadata!$C$1242</definedName>
    <definedName name="_OsHO7bWeDUS">Metadata!$C$187</definedName>
    <definedName name="_oSjk62Ahyx3">Metadata!$C$1571</definedName>
    <definedName name="_oSoyInyct24">Metadata!$C$473</definedName>
    <definedName name="_OthT440UB56">Metadata!$C$321</definedName>
    <definedName name="_otkQ1bJw1uX">Metadata!$C$726</definedName>
    <definedName name="_oTXlrEIIRIv">Metadata!$C$718</definedName>
    <definedName name="_Oubcz5Mk9ql">Metadata!$C$1216</definedName>
    <definedName name="_oUfi5AuX2no">Metadata!$C$147</definedName>
    <definedName name="_oVYqq6yXjBS">Metadata!$C$1573</definedName>
    <definedName name="_oXdhinU3kDY">Metadata!$C$1355</definedName>
    <definedName name="_oxTxJhnE2Xr">Metadata!$C$1467</definedName>
    <definedName name="_OYse7MNk9mO">Metadata!$C$1441</definedName>
    <definedName name="_Oz6KB3Rl6FJ">Metadata!$C$1374</definedName>
    <definedName name="_OzcwQtG30fR">Metadata!$C$1496</definedName>
    <definedName name="_oZJZy358b4u">Metadata!$C$542</definedName>
    <definedName name="_OZoQaGB4hyA">Metadata!$C$828</definedName>
    <definedName name="_P0it2JvWHJq">Metadata!$C$1337</definedName>
    <definedName name="_p3L95pPVLx8">Metadata!$C$1490</definedName>
    <definedName name="_P3zjqfdNFNZ">Metadata!$C$736</definedName>
    <definedName name="_p5BNYjM6O6t">Metadata!$C$312</definedName>
    <definedName name="_P5DKfic4SCh">Metadata!$C$682</definedName>
    <definedName name="_p5O7IRxXAsT">Metadata!$C$1621</definedName>
    <definedName name="_P6IXn7vJDgo">Metadata!$C$1517</definedName>
    <definedName name="_P7VkQ0J5n02">Metadata!$C$1640</definedName>
    <definedName name="_p9rJWevVYZU">Metadata!$C$561</definedName>
    <definedName name="_Pbf0dewcBb9">Metadata!$C$1376</definedName>
    <definedName name="_pbFX2GTJ4Ae">Metadata!$C$395</definedName>
    <definedName name="_pbPwC7Et4Ym">Metadata!$C$412</definedName>
    <definedName name="_PCnhImdVxz9">Metadata!$C$273</definedName>
    <definedName name="_Pd3PBU1ojyh">Metadata!$C$1597</definedName>
    <definedName name="_pDXCQerDOv6">Metadata!$C$790</definedName>
    <definedName name="_PEbxU2yeYch">Metadata!$C$1464</definedName>
    <definedName name="_pEGpcdYB9Zl">Metadata!$C$1645</definedName>
    <definedName name="_PFiNgtPDWxj">Metadata!$C$449</definedName>
    <definedName name="_pFQWrPFZVgz">Metadata!$C$494</definedName>
    <definedName name="_PfzeK6CkVzR">Metadata!$C$830</definedName>
    <definedName name="_pgGpBBYGKEM">Metadata!$C$1546</definedName>
    <definedName name="_pgP9oMZb94p">Metadata!$C$211</definedName>
    <definedName name="_PIerd3kZApa">Metadata!$C$1425</definedName>
    <definedName name="_PilmOKdJCTl">Metadata!$C$370</definedName>
    <definedName name="_PiZ8k9zjGKh">Metadata!$C$1576</definedName>
    <definedName name="_PJb5Hym9A3D">Metadata!$C$1501</definedName>
    <definedName name="_pkfcZpKsYSH">Metadata!$C$896</definedName>
    <definedName name="_PL7zjAVdptV">Metadata!$C$386</definedName>
    <definedName name="_pLEFHyyCLu3">Metadata!$C$858</definedName>
    <definedName name="_PMoO1AmUDXY">Metadata!$C$66</definedName>
    <definedName name="_pmQDnpEIEwj">Metadata!$C$113</definedName>
    <definedName name="_pNdAhbLMqye">Metadata!$C$225</definedName>
    <definedName name="_POqsENSxdEd">Metadata!$C$1264</definedName>
    <definedName name="_PoqspwfCKsv">Metadata!$C$961</definedName>
    <definedName name="_Pp0wVgidLSP">Metadata!$C$136</definedName>
    <definedName name="_pp2NOUezHtT">Metadata!$C$161</definedName>
    <definedName name="_ppYnZ5x9vpi">Metadata!$C$1633</definedName>
    <definedName name="_PQ52Bw1wZeK">Metadata!$C$204</definedName>
    <definedName name="_pQILb3EFAOM">Metadata!$C$311</definedName>
    <definedName name="_PQMtG7hhPtH">Metadata!$C$67</definedName>
    <definedName name="_PrlkwVFD7v2">Metadata!$C$720</definedName>
    <definedName name="_prPkuTqYA3T">Metadata!$C$1461</definedName>
    <definedName name="_pswDOsNOUbK">Metadata!$C$1437</definedName>
    <definedName name="_pvj9yEbtAni">Metadata!$C$295</definedName>
    <definedName name="_pvL7FwBjLAN">Metadata!$C$1238</definedName>
    <definedName name="_PWEX6dI1jaQ">Metadata!$C$391</definedName>
    <definedName name="_PX1j1mssCEz">Metadata!$C$406</definedName>
    <definedName name="_PX3WWmyY0g0">Metadata!$C$1297</definedName>
    <definedName name="_PX5BLkbeV5g">Metadata!$C$770</definedName>
    <definedName name="_PXd3kacKBcx">Metadata!$C$399</definedName>
    <definedName name="_PXgyNwTaXeO">Metadata!$C$701</definedName>
    <definedName name="_PxqauO4BU8E">Metadata!$C$617</definedName>
    <definedName name="_PXtUMGNc3lw">Metadata!$C$791</definedName>
    <definedName name="_pYQXltxSxeC">Metadata!$C$730</definedName>
    <definedName name="_PYxIbiD03XU">Metadata!$C$97</definedName>
    <definedName name="_q0l2VVwo1Au">Metadata!$C$763</definedName>
    <definedName name="_Q0ZMY0cF3OL">Metadata!$C$338</definedName>
    <definedName name="_Q1sAlQJogGA">Metadata!$C$253</definedName>
    <definedName name="_q3NpuWzGvso">Metadata!$C$1296</definedName>
    <definedName name="_Q3wW2mYyNSf">Metadata!$C$666</definedName>
    <definedName name="_q4glehMMEwq">Metadata!$C$864</definedName>
    <definedName name="_q5NtxpazyK8">Metadata!$C$1563</definedName>
    <definedName name="_Q5tNBBhTFwC">Metadata!$C$897</definedName>
    <definedName name="_q702Ay8jTOV">Metadata!$C$1554</definedName>
    <definedName name="_q7dIAgOxfhU">Metadata!$C$1514</definedName>
    <definedName name="_q7PdqRUZ16R">Metadata!$C$99</definedName>
    <definedName name="_q9198gm7oXc">Metadata!$C$471</definedName>
    <definedName name="_q9ri4Fb3SJt">Metadata!$C$1191</definedName>
    <definedName name="_qAGPiC7BEmm">Metadata!$C$363</definedName>
    <definedName name="_qah4Z3gyj3B">Metadata!$C$1455</definedName>
    <definedName name="_QbT2Lv8iQOH">Metadata!$C$1561</definedName>
    <definedName name="_QcWC9XpLIOY">Metadata!$C$693</definedName>
    <definedName name="_qd5aw1PQI95">Metadata!$C$154</definedName>
    <definedName name="_Qd9ILIwLJft">Metadata!$C$843</definedName>
    <definedName name="_QdWmPnBUuTE">Metadata!$C$226</definedName>
    <definedName name="_qf0NiY3qZVU">Metadata!$C$74</definedName>
    <definedName name="_QfEgOAwBpzL">Metadata!$C$425</definedName>
    <definedName name="_QgasCNcsNlh">Metadata!$C$1364</definedName>
    <definedName name="_qgJPh4DeLdb">Metadata!$C$899</definedName>
    <definedName name="_qHrFuh0Ocuw">Metadata!$C$820</definedName>
    <definedName name="_qHZ1X3U4TCj">Metadata!$C$1345</definedName>
    <definedName name="_QI1RsMI60TJ">Metadata!$C$1424</definedName>
    <definedName name="_Qi8IT5Nqig5">Metadata!$C$668</definedName>
    <definedName name="_QIfCEM4SBJO">Metadata!$C$10</definedName>
    <definedName name="_QigIa4htRo9">Metadata!$C$1202</definedName>
    <definedName name="_QikKrj7F3cC">Metadata!$C$856</definedName>
    <definedName name="_QKRaYtsrviC">Metadata!$C$1351</definedName>
    <definedName name="_qL4GHJE3CnQ">Metadata!$C$293</definedName>
    <definedName name="_QmbVa6D6G3g">Metadata!$C$1222</definedName>
    <definedName name="_qMj7SmPQvbA">Metadata!$C$920</definedName>
    <definedName name="_qn02OqMfOwm">Metadata!$C$1610</definedName>
    <definedName name="_QO8SviHzArz">Metadata!$C$1247</definedName>
    <definedName name="_QOvATUM9LUQ">Metadata!$C$260</definedName>
    <definedName name="_QPc0xnd83d5">Metadata!$C$669</definedName>
    <definedName name="_QpTlQdTqJv6">Metadata!$C$1491</definedName>
    <definedName name="_qPyoxwZK5Zk">Metadata!$C$232</definedName>
    <definedName name="_Qqbc3MpwJb3">Metadata!$C$413</definedName>
    <definedName name="_QqUWQ2hjlLd">Metadata!$C$824</definedName>
    <definedName name="_QrAY3Z4f1ul">Metadata!$C$686</definedName>
    <definedName name="_QSPNPIn5PUQ">Metadata!$C$440</definedName>
    <definedName name="_QsW15VyIKrV">Metadata!$C$1194</definedName>
    <definedName name="_queCXHrt9AM">Metadata!$C$1602</definedName>
    <definedName name="_qVUGRzdqpzy">Metadata!$C$1226</definedName>
    <definedName name="_QyckidAJb6n">Metadata!$C$1410</definedName>
    <definedName name="_qYMrilQSJE2">Metadata!$C$325</definedName>
    <definedName name="_qYnU7jbVwu1">Metadata!$C$307</definedName>
    <definedName name="_r0b2ycPRekw">Metadata!$C$361</definedName>
    <definedName name="_R0D8yXss9dY">Metadata!$C$1173</definedName>
    <definedName name="_r1azx0kReQF">Metadata!$C$804</definedName>
    <definedName name="_r2xSuC1ZxXG">Metadata!$C$63</definedName>
    <definedName name="_R3SCcpdcJJj">Metadata!$C$517</definedName>
    <definedName name="_r592R7hgG5p">Metadata!$C$1495</definedName>
    <definedName name="_r6LR0Bv2PTN">Metadata!$C$808</definedName>
    <definedName name="_r70j3aLS6TN">Metadata!$C$452</definedName>
    <definedName name="_R9OGiMpW78L">Metadata!$C$662</definedName>
    <definedName name="_ramjT3rTxDy">Metadata!$C$827</definedName>
    <definedName name="_RaUrUv4LxpR">Metadata!$C$188</definedName>
    <definedName name="_RAzspHzaC8g">Metadata!$C$1502</definedName>
    <definedName name="_RbHr5E1j90s">Metadata!$C$184</definedName>
    <definedName name="_rBVtXT5aRH9">Metadata!$C$680</definedName>
    <definedName name="_rccNK612394">Metadata!$C$1192</definedName>
    <definedName name="_rCdQCAYB9e4">Metadata!$C$1533</definedName>
    <definedName name="_rdnbXv7P6L7">Metadata!$C$37</definedName>
    <definedName name="_rdWV2Hti7Y0">Metadata!$C$392</definedName>
    <definedName name="_RejB3Rwk0eW">Metadata!$C$331</definedName>
    <definedName name="_REWlAuiPgQ1">Metadata!$C$1373</definedName>
    <definedName name="_rF1uHjM7Snq">Metadata!$C$654</definedName>
    <definedName name="_RGdDoACF70Y">Metadata!$C$457</definedName>
    <definedName name="_rgQt2gGz81U">Metadata!$C$620</definedName>
    <definedName name="_RguRv8DMkVF">Metadata!$C$1184</definedName>
    <definedName name="_RH5eUlRw3vp">Metadata!$C$445</definedName>
    <definedName name="_RHE3hPIVwQL">Metadata!$C$48</definedName>
    <definedName name="_RhSXdp3Ru53">Metadata!$C$13</definedName>
    <definedName name="_Ri6qfsIIbLg">Metadata!$C$1553</definedName>
    <definedName name="_rKjjus6oIJ6">Metadata!$C$771</definedName>
    <definedName name="_rLdRHWLOw4A">Metadata!$C$1611</definedName>
    <definedName name="_RlyY3QJ9dxB">Metadata!$C$1446</definedName>
    <definedName name="_rmZ2hhJbw0k">Metadata!$C$459</definedName>
    <definedName name="_RN9tr2vo1dz">Metadata!$C$368</definedName>
    <definedName name="_rnt4qNoe9o6">Metadata!$C$240</definedName>
    <definedName name="_roQOQNqiYew">Metadata!$C$521</definedName>
    <definedName name="_RovJxA5q73u">Metadata!$C$98</definedName>
    <definedName name="_RP36LcMxknV">Metadata!$C$259</definedName>
    <definedName name="_rPQcWXJiLi6">Metadata!$C$358</definedName>
    <definedName name="_rpxUZLumLk0">Metadata!$C$1442</definedName>
    <definedName name="_RQeCTBrhh3Q">Metadata!$C$1165</definedName>
    <definedName name="_RqGndaj6IFL">Metadata!$C$1620</definedName>
    <definedName name="_RR2rEd1m9De">Metadata!$C$281</definedName>
    <definedName name="_rra2TNkUtsp">Metadata!$C$914</definedName>
    <definedName name="_Rsoi1Cozrk5">Metadata!$C$1183</definedName>
    <definedName name="_rsPgkoF9mhV">Metadata!$C$887</definedName>
    <definedName name="_rt9bW0uaYzL">Metadata!$C$685</definedName>
    <definedName name="_rUheQdkTwu8">Metadata!$C$1013</definedName>
    <definedName name="_RUhuyBrMyYt">Metadata!$C$512</definedName>
    <definedName name="_RuzdxZAAlRl">Metadata!$C$100</definedName>
    <definedName name="_RwC9iQVU8M8">Metadata!$C$852</definedName>
    <definedName name="_Rwi4EoBfT8Q">Metadata!$C$419</definedName>
    <definedName name="_rXcq3Hxdf50">Metadata!$C$667</definedName>
    <definedName name="_rxGeXBceUoL">Metadata!$C$94</definedName>
    <definedName name="_RXh00x8Ura0">Metadata!$C$1405</definedName>
    <definedName name="_RXMvFb38JIP">Metadata!$C$183</definedName>
    <definedName name="_rXmWEffdLYb">Metadata!$C$1241</definedName>
    <definedName name="_RXvxSC2KGnq">Metadata!$C$1538</definedName>
    <definedName name="_S1EHDiKo9bW">Metadata!$C$1289</definedName>
    <definedName name="_s1jE6eK5kL8">Metadata!$C$558</definedName>
    <definedName name="_s2kJ5RJ8i9M">Metadata!$C$570</definedName>
    <definedName name="_s36Y5hzaM7r">Metadata!$C$877</definedName>
    <definedName name="_s3CQBiE9Xgc">Metadata!$C$1498</definedName>
    <definedName name="_S4iA5Eex500">Metadata!$C$441</definedName>
    <definedName name="_s5DsrOO60aP">Metadata!$C$1443</definedName>
    <definedName name="_s6d3LD6Cytp">Metadata!$C$1457</definedName>
    <definedName name="_S6nAfRsfG24">Metadata!$C$123</definedName>
    <definedName name="_s76Yp2x4Aaj">Metadata!$C$1398</definedName>
    <definedName name="_S7p0RMtNt5d">Metadata!$C$247</definedName>
    <definedName name="_S7rEhEKVsnO">Metadata!$C$1450</definedName>
    <definedName name="_SASwpi1X0xc">Metadata!$C$116</definedName>
    <definedName name="_sBEZU4oW36C">Metadata!$C$789</definedName>
    <definedName name="_SD1EVUSqhSY">Metadata!$C$27</definedName>
    <definedName name="_sdDVkfxhXzs">Metadata!$C$586</definedName>
    <definedName name="_sdhd1VRT0HD">Metadata!$C$759</definedName>
    <definedName name="_SdIxWcT4O2G">Metadata!$C$1486</definedName>
    <definedName name="_SDUORvbGi07">Metadata!$C$121</definedName>
    <definedName name="_SdYVHsdUV2P">Metadata!$C$252</definedName>
    <definedName name="_sEjdq4wUJip">Metadata!$C$285</definedName>
    <definedName name="_SHsxZPz3WKl">Metadata!$C$5</definedName>
    <definedName name="_sITQrw3yafN">Metadata!$C$1400</definedName>
    <definedName name="_SJ3szJutOyS">Metadata!$C$130</definedName>
    <definedName name="_SJemAb05PXS">Metadata!$C$672</definedName>
    <definedName name="_sJvel46Awpn">Metadata!$C$1019</definedName>
    <definedName name="_sk2a2fxTfNt">Metadata!$C$250</definedName>
    <definedName name="_SlgnilEKdAq">Metadata!$C$329</definedName>
    <definedName name="_SlTaGnAKIky">Metadata!$C$607</definedName>
    <definedName name="_slZ63IghtEs">Metadata!$C$1515</definedName>
    <definedName name="_smhwRCPk1j0">Metadata!$C$1303</definedName>
    <definedName name="_SmJaSjPiXJh">Metadata!$C$194</definedName>
    <definedName name="_SMwSDLty3xy">Metadata!$C$216</definedName>
    <definedName name="_snBP9YqluQ2">Metadata!$C$889</definedName>
    <definedName name="_so90YjYRbCD">Metadata!$C$883</definedName>
    <definedName name="_SPjm5hlCj6f">Metadata!$C$78</definedName>
    <definedName name="_SQkUPJ56vhj">Metadata!$C$846</definedName>
    <definedName name="_SRGCa1GtYMj">Metadata!$C$1485</definedName>
    <definedName name="_Ss7K80Nr8Zn">Metadata!$C$1180</definedName>
    <definedName name="_ssQAMvV0BB5">Metadata!$C$431</definedName>
    <definedName name="_sSSvLriKi6U">Metadata!$C$1220</definedName>
    <definedName name="_sTcF2B4quEJ">Metadata!$C$675</definedName>
    <definedName name="_stOjGx8Z1EJ">Metadata!$C$93</definedName>
    <definedName name="_STqyc7dRbD1">Metadata!$C$591</definedName>
    <definedName name="_sUQkjVxT73J">Metadata!$C$1586</definedName>
    <definedName name="_SWBFpzbssOo">Metadata!$C$797</definedName>
    <definedName name="_sWo8itPzF2q">Metadata!$C$483</definedName>
    <definedName name="_sWTh8qhDRXN">Metadata!$C$544</definedName>
    <definedName name="_sYedmTjopWB">Metadata!$C$1239</definedName>
    <definedName name="_szaLwUnjP7r">Metadata!$C$1384</definedName>
    <definedName name="_szAMcOwLGvE">Metadata!$C$1558</definedName>
    <definedName name="_sZHeIBdupem">Metadata!$C$1423</definedName>
    <definedName name="_szI6jC2ULNt">Metadata!$C$547</definedName>
    <definedName name="_sZXlx2daOtq">Metadata!$C$1255</definedName>
    <definedName name="_SzZyj2mmnmv">Metadata!$C$467</definedName>
    <definedName name="_T066vAMK8pe">Metadata!$C$148</definedName>
    <definedName name="_T0oHQ2PX0vI">Metadata!$C$1499</definedName>
    <definedName name="_T27W9IHR3zJ">Metadata!$C$798</definedName>
    <definedName name="_T3zCMPkpeCX">Metadata!$C$266</definedName>
    <definedName name="_t4hIRDT9lfW">Metadata!$C$1267</definedName>
    <definedName name="_t57vOuoKLOd">Metadata!$C$1565</definedName>
    <definedName name="_T5FaH07bKYG">Metadata!$C$1221</definedName>
    <definedName name="_t65bBS5snT2">Metadata!$C$456</definedName>
    <definedName name="_t6bijFliMSL">Metadata!$C$1429</definedName>
    <definedName name="_T7HNyZtnCQH">Metadata!$C$59</definedName>
    <definedName name="_t7ZUZLOXxHK">Metadata!$C$903</definedName>
    <definedName name="_t8sgWivP3TA">Metadata!$C$174</definedName>
    <definedName name="_T9f2CMlZs93">Metadata!$C$1413</definedName>
    <definedName name="_TASoAHhRkQF">Metadata!$C$336</definedName>
    <definedName name="_taxj7IkB05J">Metadata!$C$480</definedName>
    <definedName name="_TbYyMOcVmdd">Metadata!$C$1564</definedName>
    <definedName name="_TC5m6cHaOdC">Metadata!$C$714</definedName>
    <definedName name="_tC6wlpPZIiB">Metadata!$C$1650</definedName>
    <definedName name="_TC96M0bIHF5">Metadata!$C$1477</definedName>
    <definedName name="_TcqZXwCSLmy">Metadata!$C$550</definedName>
    <definedName name="_Tcy0wHXsjtN">Metadata!$C$833</definedName>
    <definedName name="_TfaqfvUFzti">Metadata!$C$649</definedName>
    <definedName name="_tFMcEFwylqq">Metadata!$C$427</definedName>
    <definedName name="_TgohsMmBY4H">Metadata!$C$972</definedName>
    <definedName name="_Tgu1DM1RRIC">Metadata!$C$1273</definedName>
    <definedName name="_tihv2zs5UWz">Metadata!$C$549</definedName>
    <definedName name="_tiiNo9KmYUU">Metadata!$C$1178</definedName>
    <definedName name="_tKclI5Qs8KB">Metadata!$C$306</definedName>
    <definedName name="_TkQPU1j5sPl">Metadata!$C$991</definedName>
    <definedName name="_tLsmFuaLBdZ">Metadata!$C$1412</definedName>
    <definedName name="_TLtbaZgYtiR">Metadata!$C$416</definedName>
    <definedName name="_tLyq7cwGtsH">Metadata!$C$122</definedName>
    <definedName name="_tMHRnSGrGpQ">Metadata!$C$119</definedName>
    <definedName name="_TmrhmXuavPj">Metadata!$C$382</definedName>
    <definedName name="_TnWT5Dh2Z9B">Metadata!$C$173</definedName>
    <definedName name="_to1bx4osGME">Metadata!$C$661</definedName>
    <definedName name="_Tp9uk4iKxbz">Metadata!$C$1503</definedName>
    <definedName name="_tpO1EUzE6ZS">Metadata!$C$1473</definedName>
    <definedName name="_TQcBYg90B5p">Metadata!$C$1616</definedName>
    <definedName name="_tqCQMruOo2h">Metadata!$C$751</definedName>
    <definedName name="_tRStAUgADYa">Metadata!$C$729</definedName>
    <definedName name="_true">Metadata!$C$1790</definedName>
    <definedName name="_TsSZYVcXH04">Metadata!$C$1017</definedName>
    <definedName name="_tTNaukMxay4">Metadata!$C$401</definedName>
    <definedName name="_TUHVA04jBqO">Metadata!$C$1404</definedName>
    <definedName name="_tUnat9BJkqc">Metadata!$C$734</definedName>
    <definedName name="_TUQTWmWfaVM">Metadata!$C$1193</definedName>
    <definedName name="_TVrO3iA7eWh">Metadata!$C$380</definedName>
    <definedName name="_tvtzlMlKepr">Metadata!$C$443</definedName>
    <definedName name="_tVv3VLOy1BR">Metadata!$C$639</definedName>
    <definedName name="_tW3mCTLnf6d">Metadata!$C$574</definedName>
    <definedName name="_TwdaLWzG0s8">Metadata!$C$927</definedName>
    <definedName name="_tx5tn7QNHob">Metadata!$C$274</definedName>
    <definedName name="_tyW71ghUE0H">Metadata!$C$524</definedName>
    <definedName name="_tZDqQqCYgOI">Metadata!$C$1653</definedName>
    <definedName name="_tZsWdkWg7CP">Metadata!$C$418</definedName>
    <definedName name="_u2lb8ouwqq9">Metadata!$C$613</definedName>
    <definedName name="_U3mvAcyAlUi">Metadata!$C$355</definedName>
    <definedName name="_u4cA95rPeEx">Metadata!$C$1569</definedName>
    <definedName name="_u5m53UUoa2s">Metadata!$C$880</definedName>
    <definedName name="_U5VTCke9Cze">Metadata!$C$867</definedName>
    <definedName name="_u5yoauzqfJb">Metadata!$C$1644</definedName>
    <definedName name="_u6EoOHUsRZ7">Metadata!$C$1637</definedName>
    <definedName name="_u7i3R1bQ0fF">Metadata!$C$301</definedName>
    <definedName name="_uA5OQYhvckA">Metadata!$C$874</definedName>
    <definedName name="_UBJA0RHqBet">Metadata!$C$1349</definedName>
    <definedName name="_ubVxw0xqgi1">Metadata!$C$490</definedName>
    <definedName name="_UCCVSYxKJko">Metadata!$C$177</definedName>
    <definedName name="_ucn21iUEBwn">Metadata!$C$1209</definedName>
    <definedName name="_UcQs1wpTn7X">Metadata!$C$238</definedName>
    <definedName name="_udEidWNnhYF">Metadata!$C$1577</definedName>
    <definedName name="_uDW2bufWuBk">Metadata!$C$1391</definedName>
    <definedName name="_UfaK3Hegads">Metadata!$C$1240</definedName>
    <definedName name="_UFWEVbmhNDu">Metadata!$C$1444</definedName>
    <definedName name="_uG8MX45axcP">Metadata!$C$1474</definedName>
    <definedName name="_UgxSSYEe37v">Metadata!$C$1632</definedName>
    <definedName name="_Uh4Yjz8Hlz0">Metadata!$C$268</definedName>
    <definedName name="_uhHgnWHLGwz">Metadata!$C$437</definedName>
    <definedName name="_UHJ3EvOTnhA">Metadata!$C$1522</definedName>
    <definedName name="_uHp6B3LqCBb">Metadata!$C$320</definedName>
    <definedName name="_Uiix3oZpeZP">Metadata!$C$487</definedName>
    <definedName name="_uJbfzwhU3dQ">Metadata!$C$272</definedName>
    <definedName name="_Uk3yslBofmW">Metadata!$C$143</definedName>
    <definedName name="_ukLoKfne3aq">Metadata!$C$220</definedName>
    <definedName name="_UlBSKMb9lK1">Metadata!$C$529</definedName>
    <definedName name="_ulToVXMAPkh">Metadata!$C$1430</definedName>
    <definedName name="_UmGqv2cynEm">Metadata!$C$1393</definedName>
    <definedName name="_umWQnrxYOIR">Metadata!$C$1629</definedName>
    <definedName name="_unM18X68sNS">Metadata!$C$965</definedName>
    <definedName name="_UNNNBEiJvqf">Metadata!$C$214</definedName>
    <definedName name="_UOR00LDGLWY">Metadata!$C$1604</definedName>
    <definedName name="_upqxhWfTSQN">Metadata!$C$982</definedName>
    <definedName name="_URCyxZRwW5k">Metadata!$C$1433</definedName>
    <definedName name="_UrCzqrooerV">Metadata!$C$1021</definedName>
    <definedName name="_UrMYson9h5i">Metadata!$C$1646</definedName>
    <definedName name="_uRVKw6OxxU8">Metadata!$C$55</definedName>
    <definedName name="_USfBZHIYelp">Metadata!$C$1518</definedName>
    <definedName name="_UsfJIH5SATW">Metadata!$C$1480</definedName>
    <definedName name="_UTE0CJQB1nC">Metadata!$C$362</definedName>
    <definedName name="_uTIKlrR3f22">Metadata!$C$904</definedName>
    <definedName name="_utz8VdqimQG">Metadata!$C$987</definedName>
    <definedName name="_UUqzsEfyKb4">Metadata!$C$551</definedName>
    <definedName name="_uv0NMjsKur0">Metadata!$C$1363</definedName>
    <definedName name="_UV1Cmo1Y3bR">Metadata!$C$1257</definedName>
    <definedName name="_UVHAjrx7tCk">Metadata!$C$275</definedName>
    <definedName name="_uVrFVqrGIQl">Metadata!$C$745</definedName>
    <definedName name="_uVZKWHSyC8Q">Metadata!$C$1358</definedName>
    <definedName name="_uwl7jojlY5C">Metadata!$C$1002</definedName>
    <definedName name="_uwLC1N1aNaB">Metadata!$C$1386</definedName>
    <definedName name="_UXS01j5Uraz">Metadata!$C$1570</definedName>
    <definedName name="_UXuds3DGWfB">Metadata!$C$83</definedName>
    <definedName name="_uyVa1rICsMI">Metadata!$C$605</definedName>
    <definedName name="_uZMMeGBIBLD">Metadata!$C$1372</definedName>
    <definedName name="_Uzwci0pOubu">Metadata!$C$1484</definedName>
    <definedName name="_v0GqvJ3hiKs">Metadata!$C$902</definedName>
    <definedName name="_V1AMz5T7OE4">Metadata!$C$970</definedName>
    <definedName name="_V1EdOaqfJuF">Metadata!$C$659</definedName>
    <definedName name="_v4cZmbYgVXH">Metadata!$C$917</definedName>
    <definedName name="_v4HYqaIfW1c">Metadata!$C$242</definedName>
    <definedName name="_V4lazNyGZUd">Metadata!$C$1020</definedName>
    <definedName name="_V4r1YmLPZp5">Metadata!$C$369</definedName>
    <definedName name="_V5romBqHPya">Metadata!$C$962</definedName>
    <definedName name="_v625poDJGkO">Metadata!$C$1613</definedName>
    <definedName name="_v6iargqqZXA">Metadata!$C$1483</definedName>
    <definedName name="_v6PUlS8qRrd">Metadata!$C$1524</definedName>
    <definedName name="_v7TU2k1Juw5">Metadata!$C$364</definedName>
    <definedName name="_v87DEGAEwzy">Metadata!$C$1584</definedName>
    <definedName name="_vaKCnNpPV88">Metadata!$C$1537</definedName>
    <definedName name="_vaKtyMGomYi">Metadata!$C$916</definedName>
    <definedName name="_vbKIBFsXIO0">Metadata!$C$1479</definedName>
    <definedName name="_vBOdPk5rjeL">Metadata!$C$886</definedName>
    <definedName name="_VBsDKTtf7ER">Metadata!$C$884</definedName>
    <definedName name="_vC042fTkXvB">Metadata!$C$1510</definedName>
    <definedName name="_vcno4BOI7ql">Metadata!$C$879</definedName>
    <definedName name="_VefO9o2nGGN">Metadata!$C$519</definedName>
    <definedName name="_VeI4D41WrBT">Metadata!$C$656</definedName>
    <definedName name="_vEpyts0hTID">Metadata!$C$81</definedName>
    <definedName name="_vFETYpoWqCb">Metadata!$C$49</definedName>
    <definedName name="_VFufpXF2rqX">Metadata!$C$647</definedName>
    <definedName name="_VGp6AR8ZdrC">Metadata!$C$1198</definedName>
    <definedName name="_vgsWIO2QQ3V">Metadata!$C$980</definedName>
    <definedName name="_vhiomTrJGtN">Metadata!$C$755</definedName>
    <definedName name="_VHUyeA90lL1">Metadata!$C$1381</definedName>
    <definedName name="_Vi2zVxwc05k">Metadata!$C$1290</definedName>
    <definedName name="_VIA4yF7RbeO">Metadata!$C$1635</definedName>
    <definedName name="_vidrpwXVlZO">Metadata!$C$1421</definedName>
    <definedName name="_VijD4XJTLPZ">Metadata!$C$621</definedName>
    <definedName name="_VIQTc58aX5a">Metadata!$C$50</definedName>
    <definedName name="_viWbv3Wxbw7">Metadata!$C$1504</definedName>
    <definedName name="_Vj0uc6QZiPV">Metadata!$C$267</definedName>
    <definedName name="_Vl3bnGJISI2">Metadata!$C$1407</definedName>
    <definedName name="_vLf5ZyDkKsc">Metadata!$C$503</definedName>
    <definedName name="_VMMNaZdc8uu">Metadata!$C$1227</definedName>
    <definedName name="_VmPdhojuWYi">Metadata!$C$921</definedName>
    <definedName name="_VNHhGHCq1aM">Metadata!$C$559</definedName>
    <definedName name="_vo2JzF5zXRS">Metadata!$C$958</definedName>
    <definedName name="_VpqBmCuLNwb">Metadata!$C$269</definedName>
    <definedName name="_vqtwEyYAT7y">Metadata!$C$933</definedName>
    <definedName name="_vRbS7LzMQAZ">Metadata!$C$1549</definedName>
    <definedName name="_vrrDQ6LYpz9">Metadata!$C$821</definedName>
    <definedName name="_vRsyVDYQYTv">Metadata!$C$1207</definedName>
    <definedName name="_Vrt0zNFCvGv">Metadata!$C$802</definedName>
    <definedName name="_vrwc9Nul4t0">Metadata!$C$963</definedName>
    <definedName name="_vrwjsWVKDEl">Metadata!$C$1628</definedName>
    <definedName name="_vsmAhG18JSl">Metadata!$C$1162</definedName>
    <definedName name="_vsmvO35cNuX">Metadata!$C$554</definedName>
    <definedName name="_VtMe3Xw2eJE">Metadata!$C$32</definedName>
    <definedName name="_vtXJLJpJKDK">Metadata!$C$51</definedName>
    <definedName name="_vTydWx0krBR">Metadata!$C$203</definedName>
    <definedName name="_vuTkQhqxQ5h">Metadata!$C$352</definedName>
    <definedName name="_vweWLIudERK">Metadata!$C$1213</definedName>
    <definedName name="_VWmKHq9d2Wz">Metadata!$C$1380</definedName>
    <definedName name="_VWTiKhtf1uT">Metadata!$C$340</definedName>
    <definedName name="_vX03QxslIEj">Metadata!$C$1401</definedName>
    <definedName name="_vx5CYMx3bzZ">Metadata!$C$1189</definedName>
    <definedName name="_vxBgJqbGmtI">Metadata!$C$715</definedName>
    <definedName name="_VxEEunBJiBX">Metadata!$C$612</definedName>
    <definedName name="_VyedfnGilJq">Metadata!$C$1622</definedName>
    <definedName name="_vyYxiRtmtbP">Metadata!$C$1445</definedName>
    <definedName name="_Vzbt60w33Wc">Metadata!$C$571</definedName>
    <definedName name="_vzEyMhQkSaI">Metadata!$C$347</definedName>
    <definedName name="_vzIzL7ET520">Metadata!$C$688</definedName>
    <definedName name="_w00yLBxs4Nb">Metadata!$C$466</definedName>
    <definedName name="_w0DoPrHBZj3">Metadata!$C$523</definedName>
    <definedName name="_W0hgjze2UjR">Metadata!$C$101</definedName>
    <definedName name="_w2hys1LjEmb">Metadata!$C$578</definedName>
    <definedName name="_W3g8r8kQJbS">Metadata!$C$873</definedName>
    <definedName name="_W3ZHIWmnoYt">Metadata!$C$863</definedName>
    <definedName name="_W5UOPi0SH2h">Metadata!$C$757</definedName>
    <definedName name="_W6RvHOBuTHl">Metadata!$C$1551</definedName>
    <definedName name="_WabHSAIqPYL">Metadata!$C$993</definedName>
    <definedName name="_WBxVbTQY0m3">Metadata!$C$951</definedName>
    <definedName name="_WCLcyhcgL7A">Metadata!$C$1010</definedName>
    <definedName name="_wcP7T4FKEMd">Metadata!$C$813</definedName>
    <definedName name="_wDPLKCxJIrv">Metadata!$C$439</definedName>
    <definedName name="_wDWXzaq3f8T">Metadata!$C$989</definedName>
    <definedName name="_wEvcFcKVuv0">Metadata!$C$1343</definedName>
    <definedName name="_wevY4QjhvMb">Metadata!$C$1024</definedName>
    <definedName name="_wFmuUvqane5">Metadata!$C$309</definedName>
    <definedName name="_Wgh3WobxO4M">Metadata!$C$79</definedName>
    <definedName name="_Wh5K2bLNVx9">Metadata!$C$403</definedName>
    <definedName name="_WHDieg5lPio">Metadata!$C$509</definedName>
    <definedName name="_wHw5vViLn1P">Metadata!$C$890</definedName>
    <definedName name="_WiGuC5xLhRi">Metadata!$C$1402</definedName>
    <definedName name="_WinSLZtXv8I">Metadata!$C$1287</definedName>
    <definedName name="_wjw3WbyiJsR">Metadata!$C$572</definedName>
    <definedName name="_wL7X7Llf9fN">Metadata!$C$1459</definedName>
    <definedName name="_wMFG67gJCgh">Metadata!$C$371</definedName>
    <definedName name="_wNfPV0QMs7n">Metadata!$C$911</definedName>
    <definedName name="_WngWGRNje1l">Metadata!$C$102</definedName>
    <definedName name="_WnJg4V9gdc1">Metadata!$C$1231</definedName>
    <definedName name="_wNJwISqrNw4">Metadata!$C$208</definedName>
    <definedName name="_WnZfjglQd09">Metadata!$C$1513</definedName>
    <definedName name="_wO19d5V6ENc">Metadata!$C$1590</definedName>
    <definedName name="_WO7OHx9UbmY">Metadata!$C$65</definedName>
    <definedName name="_WoUmttPo3QC">Metadata!$C$468</definedName>
    <definedName name="_Wp83xhdnRec">Metadata!$C$1605</definedName>
    <definedName name="_WpdGdkFGQ3F">Metadata!$C$520</definedName>
    <definedName name="_WPuBt4UsuYO">Metadata!$C$743</definedName>
    <definedName name="_WQEg4tItNSZ">Metadata!$C$168</definedName>
    <definedName name="_wr7ygKRwNUD">Metadata!$C$1276</definedName>
    <definedName name="_wrSCZ2fX8Ao">Metadata!$C$1460</definedName>
    <definedName name="_Ws17eM5v8bj">Metadata!$C$678</definedName>
    <definedName name="_wsBJfX6APAv">Metadata!$C$1270</definedName>
    <definedName name="_WSJizMeVzNU">Metadata!$C$1250</definedName>
    <definedName name="_WT3Skfg7hAx">Metadata!$C$871</definedName>
    <definedName name="_Wv0JcH6nXPS">Metadata!$C$1335</definedName>
    <definedName name="_WV6Wf95EA8d">Metadata!$C$495</definedName>
    <definedName name="_wvOnHOsbQcV">Metadata!$C$241</definedName>
    <definedName name="_WwEst7h1joZ">Metadata!$C$351</definedName>
    <definedName name="_wWFDLHvOV0n">Metadata!$C$1548</definedName>
    <definedName name="_WWIdM7E5Ok9">Metadata!$C$114</definedName>
    <definedName name="_wwOojmqX2sK">Metadata!$C$1251</definedName>
    <definedName name="_WWXi6bzjPwt">Metadata!$C$774</definedName>
    <definedName name="_wXEpAqraks3">Metadata!$C$552</definedName>
    <definedName name="_Wxh1lFsfdob">Metadata!$C$405</definedName>
    <definedName name="_WxUgJFZMmDF">Metadata!$C$1286</definedName>
    <definedName name="_wXXmMFhLUYh">Metadata!$C$1277</definedName>
    <definedName name="_wYAxxWFWgs9">Metadata!$C$556</definedName>
    <definedName name="_wyOcGXvKAEI">Metadata!$C$511</definedName>
    <definedName name="_WyQDvQHBCZi">Metadata!$C$1244</definedName>
    <definedName name="_WYSBuyOb9GP">Metadata!$C$1652</definedName>
    <definedName name="_WzNp4KGnBvM">Metadata!$C$106</definedName>
    <definedName name="_x064l1ueon7">Metadata!$C$1196</definedName>
    <definedName name="_x27cRnmuTYV">Metadata!$C$462</definedName>
    <definedName name="_x2Ea4eMVqRZ">Metadata!$C$1016</definedName>
    <definedName name="_X3j5grsIyw2">Metadata!$C$1550</definedName>
    <definedName name="_x5xhjJdhedC">Metadata!$C$660</definedName>
    <definedName name="_X72yjg8V5e3">Metadata!$C$1511</definedName>
    <definedName name="_X99nusX058Z">Metadata!$C$948</definedName>
    <definedName name="_X99ZT19n2uT">Metadata!$C$1542</definedName>
    <definedName name="_x9WUc81aPHb">Metadata!$C$420</definedName>
    <definedName name="_X9Wuo3EUCgv">Metadata!$C$978</definedName>
    <definedName name="_xbCQSCZNinF">Metadata!$C$384</definedName>
    <definedName name="_XbYhwfG1W7m">Metadata!$C$90</definedName>
    <definedName name="_Xbzrng24RX6">Metadata!$C$868</definedName>
    <definedName name="_Xcegrt4y3Z7">Metadata!$C$1452</definedName>
    <definedName name="_xCXmgtsHzdi">Metadata!$C$1634</definedName>
    <definedName name="_XdH4jVhBPBG">Metadata!$C$794</definedName>
    <definedName name="_XDjBOjXb6SW">Metadata!$C$892</definedName>
    <definedName name="_xEKlVBaXIzZ">Metadata!$C$635</definedName>
    <definedName name="_XFZH0oeDiWB">Metadata!$C$1623</definedName>
    <definedName name="_XgnHbfmZTdk">Metadata!$C$1218</definedName>
    <definedName name="_XgTB9GpReG8">Metadata!$C$141</definedName>
    <definedName name="_XH69fnVs2mY">Metadata!$C$676</definedName>
    <definedName name="_xhCl7WSwDuH">Metadata!$C$929</definedName>
    <definedName name="_xHdjUAAVkNO">Metadata!$C$86</definedName>
    <definedName name="_XHkHQmyae2u">Metadata!$C$219</definedName>
    <definedName name="_Xi1zXdCpXy4">Metadata!$C$308</definedName>
    <definedName name="_XILs9pgvQdy">Metadata!$C$199</definedName>
    <definedName name="_xim19N6C5lC">Metadata!$C$235</definedName>
    <definedName name="_XJniVQIui1z">Metadata!$C$614</definedName>
    <definedName name="_XjrBvTmX6oW">Metadata!$C$626</definedName>
    <definedName name="_XkDEMun2ANM">Metadata!$C$508</definedName>
    <definedName name="_xKEw0wAm8kq">Metadata!$C$778</definedName>
    <definedName name="_XLjLLJdUGiD">Metadata!$C$658</definedName>
    <definedName name="_xlpwyakEdtw">Metadata!$C$1237</definedName>
    <definedName name="_xMiEfx1zaGk">Metadata!$C$1521</definedName>
    <definedName name="_XNSwyOxnJWc">Metadata!$C$831</definedName>
    <definedName name="_Xo8NW8kWWo2">Metadata!$C$337</definedName>
    <definedName name="_XOnUKnc4sIW">Metadata!$C$638</definedName>
    <definedName name="_xOTc6VCp2QR">Metadata!$C$1594</definedName>
    <definedName name="_xPhRdhYjy5Q">Metadata!$C$19</definedName>
    <definedName name="_XpYl4U2CO1w">Metadata!$C$258</definedName>
    <definedName name="_xqcjXq9affu">Metadata!$C$388</definedName>
    <definedName name="_xqmC1YOFa26">Metadata!$C$159</definedName>
    <definedName name="_XRCOIG1y0eA">Metadata!$C$1639</definedName>
    <definedName name="_xrutvjvfkSg">Metadata!$C$840</definedName>
    <definedName name="_Xs5hgp7OWcQ">Metadata!$C$997</definedName>
    <definedName name="_Xs6a47pnBdL">Metadata!$C$583</definedName>
    <definedName name="_XSTwLHXrfi9">Metadata!$C$9</definedName>
    <definedName name="_XTaq5MdpmR0">Metadata!$C$504</definedName>
    <definedName name="_XtsrulYgCG1">Metadata!$C$6</definedName>
    <definedName name="_xTyAzqrYozH">Metadata!$C$849</definedName>
    <definedName name="_xtzN2hxOHyA">Metadata!$C$1361</definedName>
    <definedName name="_xUWPWuaqeVI">Metadata!$C$1204</definedName>
    <definedName name="_xVvL5Ufi4i9">Metadata!$C$80</definedName>
    <definedName name="_XVZrZWgr78e">Metadata!$C$811</definedName>
    <definedName name="_xwrEvzkOCXg">Metadata!$C$869</definedName>
    <definedName name="_Xx6siwuo3br">Metadata!$C$118</definedName>
    <definedName name="_xxlFceTVhzL">Metadata!$C$89</definedName>
    <definedName name="_xYerKDKCefk">Metadata!$C$1417</definedName>
    <definedName name="_XYesPsdB5Cr">Metadata!$C$1574</definedName>
    <definedName name="_xYU2N84o2Rg">Metadata!$C$939</definedName>
    <definedName name="_xZ0Z4Kb0NKL">Metadata!$C$706</definedName>
    <definedName name="_XZOC3K92sa9">Metadata!$C$772</definedName>
    <definedName name="_xZs92OPf2dG">Metadata!$C$461</definedName>
    <definedName name="_y1Fm3WnjKWg">Metadata!$C$1612</definedName>
    <definedName name="_y2SObl0soIM">Metadata!$C$207</definedName>
    <definedName name="_y4Sr31WiwiU">Metadata!$C$709</definedName>
    <definedName name="_y6AtDA84hkl">Metadata!$C$25</definedName>
    <definedName name="_Y6pukfAgkWL">Metadata!$C$482</definedName>
    <definedName name="_y78ktbuZhcz">Metadata!$C$415</definedName>
    <definedName name="_Y7dDL783Lk8">Metadata!$C$196</definedName>
    <definedName name="_y8mZX259K7s">Metadata!$C$138</definedName>
    <definedName name="_Ya5RDtwE8wJ">Metadata!$C$587</definedName>
    <definedName name="_YacwsaeiSAm">Metadata!$C$979</definedName>
    <definedName name="_yBYTz1M15tf">Metadata!$C$1311</definedName>
    <definedName name="_yc0BocbujoZ">Metadata!$C$721</definedName>
    <definedName name="_YCgsKGx4fgF">Metadata!$C$182</definedName>
    <definedName name="_YCmjGlQYsvt">Metadata!$C$72</definedName>
    <definedName name="_Yd5Saefe1JT">Metadata!$C$41</definedName>
    <definedName name="_YDu6Paa8LOB">Metadata!$C$265</definedName>
    <definedName name="_yE1eH64EJAj">Metadata!$C$1596</definedName>
    <definedName name="_Ye7UKJQNlyq">Metadata!$C$103</definedName>
    <definedName name="_yeTU7UA4BSD">Metadata!$C$85</definedName>
    <definedName name="_Yf4l1RhqDvf">Metadata!$C$1492</definedName>
    <definedName name="_YfXxsN5azQp">Metadata!$C$1246</definedName>
    <definedName name="_YGjAWd4KSyk">Metadata!$C$132</definedName>
    <definedName name="_YGQE6rPHVJx">Metadata!$C$765</definedName>
    <definedName name="_yhy7Pj96Iun">Metadata!$C$563</definedName>
    <definedName name="_yifOETNxcrj">Metadata!$C$1306</definedName>
    <definedName name="_YjkfsTWjdLO">Metadata!$C$158</definedName>
    <definedName name="_yKGWqCg1hKJ">Metadata!$C$787</definedName>
    <definedName name="_YKHAPzOd7fV">Metadata!$C$1011</definedName>
    <definedName name="_ykoPSQqI92T">Metadata!$C$1643</definedName>
    <definedName name="_YlgdIFCuybP">Metadata!$C$973</definedName>
    <definedName name="_YLhkbCQrQGO">Metadata!$C$1638</definedName>
    <definedName name="_ylznT34EsMJ">Metadata!$C$201</definedName>
    <definedName name="_YMtmA7Vd8ex">Metadata!$C$411</definedName>
    <definedName name="_yoP6f67jWQE">Metadata!$C$565</definedName>
    <definedName name="_yOwkSWC5PQP">Metadata!$C$213</definedName>
    <definedName name="_ypHQ5dUyrGQ">Metadata!$C$1557</definedName>
    <definedName name="_ypMx7AbosGM">Metadata!$C$1598</definedName>
    <definedName name="_ypQzG57oNij">Metadata!$C$1525</definedName>
    <definedName name="_yPRW3ROZiTZ">Metadata!$C$1470</definedName>
    <definedName name="_yqdkPcj7Fx5">Metadata!$C$376</definedName>
    <definedName name="_yR0V5tbKP1Z">Metadata!$C$1528</definedName>
    <definedName name="_YsJRVCdtd6l">Metadata!$C$592</definedName>
    <definedName name="_yTAbOK2ZkkC">Metadata!$C$1004</definedName>
    <definedName name="_YtJcy1Vyxwl">Metadata!$C$35</definedName>
    <definedName name="_ytUrcR6nUdg">Metadata!$C$956</definedName>
    <definedName name="_yU93mrcyCC9">Metadata!$C$26</definedName>
    <definedName name="_yUp4BmCjbb2">Metadata!$C$859</definedName>
    <definedName name="_yuWyWdj0NZy">Metadata!$C$1383</definedName>
    <definedName name="_YvX0kSq1jp6">Metadata!$C$749</definedName>
    <definedName name="_ywdpy6F8XcF">Metadata!$C$860</definedName>
    <definedName name="_YWFRfcmaNNq">Metadata!$C$986</definedName>
    <definedName name="_YWRczShGIKH">Metadata!$C$210</definedName>
    <definedName name="_yx1txTfZlxY">Metadata!$C$43</definedName>
    <definedName name="_yx6vnF6Vi5L">Metadata!$C$458</definedName>
    <definedName name="_yxvjVYAp1Rk">Metadata!$C$120</definedName>
    <definedName name="_yXW63ijAMCB">Metadata!$C$1366</definedName>
    <definedName name="_yYh8zi7ddRL">Metadata!$C$1583</definedName>
    <definedName name="_yzkaduI5RwE">Metadata!$C$1519</definedName>
    <definedName name="_Z0jQZpsIqrh">Metadata!$C$710</definedName>
    <definedName name="_z1BqKlperjZ">Metadata!$C$46</definedName>
    <definedName name="_Z1qyXDIIeHG">Metadata!$C$332</definedName>
    <definedName name="_Z1yd2Fkbvna">Metadata!$C$1175</definedName>
    <definedName name="_z2w467ItIEH">Metadata!$C$683</definedName>
    <definedName name="_z3Iuiv0qbBS">Metadata!$C$117</definedName>
    <definedName name="_z4vjkRIvvnp">Metadata!$C$624</definedName>
    <definedName name="_z5PjIiKk34F">Metadata!$C$746</definedName>
    <definedName name="_Z6vPv9TxH6I">Metadata!$C$1309</definedName>
    <definedName name="_z947RHcjLSb">Metadata!$C$190</definedName>
    <definedName name="_Za5didRILFl">Metadata!$C$1340</definedName>
    <definedName name="_ZCb7w2cdxAy">Metadata!$C$1587</definedName>
    <definedName name="_zCfBBI72uLm">Metadata!$C$206</definedName>
    <definedName name="_ZDD9HiyEsW9">Metadata!$C$157</definedName>
    <definedName name="_zDr4nrRhT4l">Metadata!$C$663</definedName>
    <definedName name="_ze1RocFdvwE">Metadata!$C$1283</definedName>
    <definedName name="_ze4jTINKRre">Metadata!$C$1294</definedName>
    <definedName name="_Zec2hHKUxJP">Metadata!$C$8</definedName>
    <definedName name="_zFg34B9wY9r">Metadata!$C$1172</definedName>
    <definedName name="_zfid7euzIm1">Metadata!$C$835</definedName>
    <definedName name="_zFoxQvWPW4b">Metadata!$C$53</definedName>
    <definedName name="_ZFznB50OuJU">Metadata!$C$1465</definedName>
    <definedName name="_ZhbJg8PM2ZH">Metadata!$C$284</definedName>
    <definedName name="_zHJb8L2pCM4">Metadata!$C$84</definedName>
    <definedName name="_ZHObyA2Po4d">Metadata!$C$805</definedName>
    <definedName name="_ZjWN1q0du0o">Metadata!$C$695</definedName>
    <definedName name="_zJYo8zfSiqo">Metadata!$C$735</definedName>
    <definedName name="_zKgno3TnMe5">Metadata!$C$298</definedName>
    <definedName name="_ZKXwG9xz9tq">Metadata!$C$434</definedName>
    <definedName name="_ZlfW14g9T5l">Metadata!$C$1469</definedName>
    <definedName name="_zNMsObbHa8J">Metadata!$C$1390</definedName>
    <definedName name="_zo4v791tpCF">Metadata!$C$1008</definedName>
    <definedName name="_zPHR9rEWZVR">Metadata!$C$1217</definedName>
    <definedName name="_zQYSbusHNvP">Metadata!$C$1431</definedName>
    <definedName name="_zR0Km7lNSgJ">Metadata!$C$756</definedName>
    <definedName name="_zSrT9mIXfxh">Metadata!$C$1506</definedName>
    <definedName name="_zTd6vLumEfG">Metadata!$C$354</definedName>
    <definedName name="_ztXzDu2FIJz">Metadata!$C$1436</definedName>
    <definedName name="_ZuFcLmQPG0O">Metadata!$C$872</definedName>
    <definedName name="_ZUOAV5yA3JG">Metadata!$C$845</definedName>
    <definedName name="_zwb9tJ98mMg">Metadata!$C$1471</definedName>
    <definedName name="_ZWZ2w5rvxDv">Metadata!$C$947</definedName>
    <definedName name="_ZYftGBmoTwm">Metadata!$C$124</definedName>
    <definedName name="_ZyYbKNVlxZ1">Metadata!$C$806</definedName>
    <definedName name="_zZ84KXVDU6R">Metadata!$C$1185</definedName>
    <definedName name="_zzbjynluaR6">Metadata!$C$394</definedName>
    <definedName name="_ZzHzXupLxKU">Metadata!$C$716</definedName>
    <definedName name="Version_TRACKER_PROGRAM_GENERATED_v3">Metadata!A1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R755" i="13"/>
  <c r="H755"/>
  <c r="AR754"/>
  <c r="H754"/>
  <c r="AR753"/>
  <c r="H753"/>
  <c r="AR752"/>
  <c r="H752"/>
  <c r="AR751"/>
  <c r="H751"/>
  <c r="AR750"/>
  <c r="H750"/>
  <c r="AR749"/>
  <c r="H749"/>
  <c r="AR748"/>
  <c r="H748"/>
  <c r="AR747"/>
  <c r="H747"/>
  <c r="AR746"/>
  <c r="H746"/>
  <c r="AR745"/>
  <c r="H745"/>
  <c r="AR744"/>
  <c r="H744"/>
  <c r="AR743"/>
  <c r="H743"/>
  <c r="AR742"/>
  <c r="H742"/>
  <c r="AR741"/>
  <c r="H741"/>
  <c r="AR740"/>
  <c r="H740"/>
  <c r="AR739"/>
  <c r="H739"/>
  <c r="AR738"/>
  <c r="H738"/>
  <c r="AR737"/>
  <c r="H737"/>
  <c r="AR736"/>
  <c r="H736"/>
  <c r="AR735"/>
  <c r="H735"/>
  <c r="AR734"/>
  <c r="H734"/>
  <c r="AR733"/>
  <c r="H733"/>
  <c r="AR732"/>
  <c r="H732"/>
  <c r="AR731"/>
  <c r="H731"/>
  <c r="AR730"/>
  <c r="H730"/>
  <c r="AR729"/>
  <c r="H729"/>
  <c r="AR728"/>
  <c r="H728"/>
  <c r="AR727"/>
  <c r="H727"/>
  <c r="AR726"/>
  <c r="H726"/>
  <c r="AR725"/>
  <c r="H725"/>
  <c r="AR724"/>
  <c r="H724"/>
  <c r="AR723"/>
  <c r="H723"/>
  <c r="AR722"/>
  <c r="H722"/>
  <c r="AR721"/>
  <c r="H721"/>
  <c r="AR720"/>
  <c r="H720"/>
  <c r="AR719"/>
  <c r="H719"/>
  <c r="AR718"/>
  <c r="H718"/>
  <c r="AR717"/>
  <c r="H717"/>
  <c r="AR716"/>
  <c r="H716"/>
  <c r="AR715"/>
  <c r="H715"/>
  <c r="AR714"/>
  <c r="H714"/>
  <c r="AR713"/>
  <c r="H713"/>
  <c r="AR712"/>
  <c r="H712"/>
  <c r="AR711"/>
  <c r="H711"/>
  <c r="AR710"/>
  <c r="H710"/>
  <c r="AR709"/>
  <c r="H709"/>
  <c r="AR708"/>
  <c r="H708"/>
  <c r="AR707"/>
  <c r="H707"/>
  <c r="AR706"/>
  <c r="H706"/>
  <c r="AR705"/>
  <c r="H705"/>
  <c r="AR704"/>
  <c r="H704"/>
  <c r="AR703"/>
  <c r="H703"/>
  <c r="AR702"/>
  <c r="H702"/>
  <c r="AR701"/>
  <c r="H701"/>
  <c r="AR700"/>
  <c r="H700"/>
  <c r="AR699"/>
  <c r="H699"/>
  <c r="AR698"/>
  <c r="H698"/>
  <c r="AR697"/>
  <c r="H697"/>
  <c r="AR696"/>
  <c r="H696"/>
  <c r="AR695"/>
  <c r="H695"/>
  <c r="AR694"/>
  <c r="H694"/>
  <c r="AR693"/>
  <c r="H693"/>
  <c r="AR692"/>
  <c r="H692"/>
  <c r="AR691"/>
  <c r="H691"/>
  <c r="AR690"/>
  <c r="H690"/>
  <c r="AR689"/>
  <c r="H689"/>
  <c r="AR688"/>
  <c r="H688"/>
  <c r="AR687"/>
  <c r="H687"/>
  <c r="AR686"/>
  <c r="H686"/>
  <c r="AR685"/>
  <c r="H685"/>
  <c r="AR684"/>
  <c r="H684"/>
  <c r="AR683"/>
  <c r="H683"/>
  <c r="AR682"/>
  <c r="H682"/>
  <c r="AR681"/>
  <c r="H681"/>
  <c r="AR680"/>
  <c r="H680"/>
  <c r="AR679"/>
  <c r="H679"/>
  <c r="AR678"/>
  <c r="H678"/>
  <c r="AR677"/>
  <c r="H677"/>
  <c r="AR676"/>
  <c r="H676"/>
  <c r="AR675"/>
  <c r="H675"/>
  <c r="AR674"/>
  <c r="H674"/>
  <c r="AR673"/>
  <c r="H673"/>
  <c r="AR672"/>
  <c r="H672"/>
  <c r="AR671"/>
  <c r="H671"/>
  <c r="AR670"/>
  <c r="H670"/>
  <c r="AR669"/>
  <c r="H669"/>
  <c r="AR668"/>
  <c r="H668"/>
  <c r="AR667"/>
  <c r="H667"/>
  <c r="AR666"/>
  <c r="H666"/>
  <c r="AR665"/>
  <c r="H665"/>
  <c r="AR664"/>
  <c r="H664"/>
  <c r="AR663"/>
  <c r="H663"/>
  <c r="AR662"/>
  <c r="H662"/>
  <c r="AR661"/>
  <c r="H661"/>
  <c r="AR660"/>
  <c r="H660"/>
  <c r="AR659"/>
  <c r="H659"/>
  <c r="AR658"/>
  <c r="H658"/>
  <c r="AR657"/>
  <c r="H657"/>
  <c r="AR656"/>
  <c r="H656"/>
  <c r="AR655"/>
  <c r="H655"/>
  <c r="AR654"/>
  <c r="H654"/>
  <c r="AR653"/>
  <c r="H653"/>
  <c r="AR652"/>
  <c r="H652"/>
  <c r="AR651"/>
  <c r="H651"/>
  <c r="AR650"/>
  <c r="H650"/>
  <c r="AR649"/>
  <c r="H649"/>
  <c r="AR648"/>
  <c r="H648"/>
  <c r="AR647"/>
  <c r="H647"/>
  <c r="AR646"/>
  <c r="H646"/>
  <c r="AR645"/>
  <c r="H645"/>
  <c r="AR644"/>
  <c r="H644"/>
  <c r="AR643"/>
  <c r="H643"/>
  <c r="AR642"/>
  <c r="H642"/>
  <c r="AR641"/>
  <c r="H641"/>
  <c r="AR640"/>
  <c r="H640"/>
  <c r="AR639"/>
  <c r="H639"/>
  <c r="AR638"/>
  <c r="H638"/>
  <c r="AR637"/>
  <c r="H637"/>
  <c r="AR636"/>
  <c r="H636"/>
  <c r="AR635"/>
  <c r="H635"/>
  <c r="AR634"/>
  <c r="H634"/>
  <c r="AR633"/>
  <c r="H633"/>
  <c r="AR632"/>
  <c r="H632"/>
  <c r="AR631"/>
  <c r="H631"/>
  <c r="AR630"/>
  <c r="H630"/>
  <c r="AR629"/>
  <c r="H629"/>
  <c r="AR628"/>
  <c r="H628"/>
  <c r="AR627"/>
  <c r="H627"/>
  <c r="AR626"/>
  <c r="H626"/>
  <c r="AR625"/>
  <c r="H625"/>
  <c r="AR624"/>
  <c r="H624"/>
  <c r="AR623"/>
  <c r="H623"/>
  <c r="AR622"/>
  <c r="H622"/>
  <c r="AR621"/>
  <c r="H621"/>
  <c r="AR620"/>
  <c r="H620"/>
  <c r="AR619"/>
  <c r="H619"/>
  <c r="AR618"/>
  <c r="H618"/>
  <c r="AR617"/>
  <c r="H617"/>
  <c r="AR616"/>
  <c r="H616"/>
  <c r="AR615"/>
  <c r="H615"/>
  <c r="AR614"/>
  <c r="H614"/>
  <c r="AR613"/>
  <c r="H613"/>
  <c r="AR612"/>
  <c r="H612"/>
  <c r="AR611"/>
  <c r="H611"/>
  <c r="AR610"/>
  <c r="H610"/>
  <c r="AR609"/>
  <c r="H609"/>
  <c r="AR608"/>
  <c r="H608"/>
  <c r="AR607"/>
  <c r="H607"/>
  <c r="AR606"/>
  <c r="H606"/>
  <c r="AR605"/>
  <c r="H605"/>
  <c r="AR604"/>
  <c r="H604"/>
  <c r="AR603"/>
  <c r="H603"/>
  <c r="AR602"/>
  <c r="H602"/>
  <c r="AR601"/>
  <c r="H601"/>
  <c r="AR600"/>
  <c r="H600"/>
  <c r="AR599"/>
  <c r="H599"/>
  <c r="AR598"/>
  <c r="H598"/>
  <c r="AR597"/>
  <c r="H597"/>
  <c r="AR596"/>
  <c r="H596"/>
  <c r="AR595"/>
  <c r="H595"/>
  <c r="AR594"/>
  <c r="H594"/>
  <c r="AR593"/>
  <c r="H593"/>
  <c r="AR592"/>
  <c r="H592"/>
  <c r="AR591"/>
  <c r="H591"/>
  <c r="AR590"/>
  <c r="H590"/>
  <c r="AR589"/>
  <c r="H589"/>
  <c r="AR588"/>
  <c r="H588"/>
  <c r="AR587"/>
  <c r="H587"/>
  <c r="AR586"/>
  <c r="H586"/>
  <c r="AR585"/>
  <c r="H585"/>
  <c r="AR584"/>
  <c r="H584"/>
  <c r="AR583"/>
  <c r="H583"/>
  <c r="AR582"/>
  <c r="H582"/>
  <c r="AR581"/>
  <c r="H581"/>
  <c r="AR580"/>
  <c r="H580"/>
  <c r="AR579"/>
  <c r="H579"/>
  <c r="AR578"/>
  <c r="H578"/>
  <c r="AR577"/>
  <c r="H577"/>
  <c r="AR576"/>
  <c r="H576"/>
  <c r="AR575"/>
  <c r="H575"/>
  <c r="AR574"/>
  <c r="H574"/>
  <c r="AR573"/>
  <c r="H573"/>
  <c r="AR572"/>
  <c r="H572"/>
  <c r="AR571"/>
  <c r="H571"/>
  <c r="AR570"/>
  <c r="H570"/>
  <c r="AR569"/>
  <c r="H569"/>
  <c r="AR568"/>
  <c r="H568"/>
  <c r="AR567"/>
  <c r="H567"/>
  <c r="AR566"/>
  <c r="H566"/>
  <c r="AR565"/>
  <c r="H565"/>
  <c r="AR564"/>
  <c r="H564"/>
  <c r="AR563"/>
  <c r="H563"/>
  <c r="AR562"/>
  <c r="H562"/>
  <c r="AR561"/>
  <c r="H561"/>
  <c r="AR560"/>
  <c r="H560"/>
  <c r="AR559"/>
  <c r="H559"/>
  <c r="AR558"/>
  <c r="H558"/>
  <c r="AR557"/>
  <c r="H557"/>
  <c r="AR556"/>
  <c r="H556"/>
  <c r="AR555"/>
  <c r="H555"/>
  <c r="AR554"/>
  <c r="H554"/>
  <c r="AR553"/>
  <c r="H553"/>
  <c r="AR552"/>
  <c r="H552"/>
  <c r="AR551"/>
  <c r="H551"/>
  <c r="AR550"/>
  <c r="H550"/>
  <c r="AR549"/>
  <c r="H549"/>
  <c r="AR548"/>
  <c r="H548"/>
  <c r="AR547"/>
  <c r="H547"/>
  <c r="AR546"/>
  <c r="H546"/>
  <c r="AR545"/>
  <c r="H545"/>
  <c r="AR544"/>
  <c r="H544"/>
  <c r="AR543"/>
  <c r="H543"/>
  <c r="AR542"/>
  <c r="H542"/>
  <c r="AR541"/>
  <c r="H541"/>
  <c r="AR540"/>
  <c r="H540"/>
  <c r="AR539"/>
  <c r="H539"/>
  <c r="AR538"/>
  <c r="H538"/>
  <c r="AR537"/>
  <c r="H537"/>
  <c r="AR536"/>
  <c r="H536"/>
  <c r="AR535"/>
  <c r="H535"/>
  <c r="AR534"/>
  <c r="H534"/>
  <c r="AR533"/>
  <c r="H533"/>
  <c r="AR532"/>
  <c r="H532"/>
  <c r="AR531"/>
  <c r="H531"/>
  <c r="AR530"/>
  <c r="H530"/>
  <c r="AR529"/>
  <c r="H529"/>
  <c r="AR528"/>
  <c r="H528"/>
  <c r="AR527"/>
  <c r="H527"/>
  <c r="AR526"/>
  <c r="H526"/>
  <c r="AR525"/>
  <c r="H525"/>
  <c r="AR524"/>
  <c r="H524"/>
  <c r="AR523"/>
  <c r="H523"/>
  <c r="AR522"/>
  <c r="H522"/>
  <c r="AR521"/>
  <c r="H521"/>
  <c r="AR520"/>
  <c r="H520"/>
  <c r="AR519"/>
  <c r="H519"/>
  <c r="AR518"/>
  <c r="H518"/>
  <c r="AR517"/>
  <c r="H517"/>
  <c r="AR516"/>
  <c r="H516"/>
  <c r="AR515"/>
  <c r="H515"/>
  <c r="AR514"/>
  <c r="H514"/>
  <c r="AR513"/>
  <c r="H513"/>
  <c r="AR512"/>
  <c r="H512"/>
  <c r="AR511"/>
  <c r="H511"/>
  <c r="AR510"/>
  <c r="H510"/>
  <c r="AR509"/>
  <c r="H509"/>
  <c r="AR508"/>
  <c r="H508"/>
  <c r="AR507"/>
  <c r="H507"/>
  <c r="AR506"/>
  <c r="H506"/>
  <c r="AR505"/>
  <c r="H505"/>
  <c r="AR504"/>
  <c r="H504"/>
  <c r="AR503"/>
  <c r="H503"/>
  <c r="AR502"/>
  <c r="H502"/>
  <c r="AR501"/>
  <c r="H501"/>
  <c r="AR500"/>
  <c r="H500"/>
  <c r="AR499"/>
  <c r="H499"/>
  <c r="AR498"/>
  <c r="H498"/>
  <c r="AR497"/>
  <c r="H497"/>
  <c r="AR496"/>
  <c r="H496"/>
  <c r="AR495"/>
  <c r="H495"/>
  <c r="AR494"/>
  <c r="H494"/>
  <c r="AR493"/>
  <c r="H493"/>
  <c r="AR492"/>
  <c r="H492"/>
  <c r="AR491"/>
  <c r="H491"/>
  <c r="AR490"/>
  <c r="H490"/>
  <c r="AR489"/>
  <c r="H489"/>
  <c r="AR488"/>
  <c r="H488"/>
  <c r="AR487"/>
  <c r="H487"/>
  <c r="AR486"/>
  <c r="H486"/>
  <c r="AR485"/>
  <c r="H485"/>
  <c r="AR484"/>
  <c r="H484"/>
  <c r="AR483"/>
  <c r="H483"/>
  <c r="AR482"/>
  <c r="H482"/>
  <c r="AR481"/>
  <c r="H481"/>
  <c r="AR480"/>
  <c r="H480"/>
  <c r="AR479"/>
  <c r="H479"/>
  <c r="AR478"/>
  <c r="H478"/>
  <c r="AR477"/>
  <c r="H477"/>
  <c r="AR476"/>
  <c r="H476"/>
  <c r="AR475"/>
  <c r="H475"/>
  <c r="AR474"/>
  <c r="H474"/>
  <c r="AR473"/>
  <c r="H473"/>
  <c r="AR472"/>
  <c r="H472"/>
  <c r="AR471"/>
  <c r="H471"/>
  <c r="AR470"/>
  <c r="H470"/>
  <c r="AR469"/>
  <c r="H469"/>
  <c r="AR468"/>
  <c r="H468"/>
  <c r="AR467"/>
  <c r="H467"/>
  <c r="AR466"/>
  <c r="H466"/>
  <c r="AR465"/>
  <c r="H465"/>
  <c r="AR464"/>
  <c r="H464"/>
  <c r="AR463"/>
  <c r="H463"/>
  <c r="AR462"/>
  <c r="H462"/>
  <c r="AR461"/>
  <c r="H461"/>
  <c r="AR460"/>
  <c r="H460"/>
  <c r="AR459"/>
  <c r="H459"/>
  <c r="AR458"/>
  <c r="H458"/>
  <c r="AR457"/>
  <c r="H457"/>
  <c r="AR456"/>
  <c r="H456"/>
  <c r="AR455"/>
  <c r="H455"/>
  <c r="AR454"/>
  <c r="H454"/>
  <c r="AR453"/>
  <c r="H453"/>
  <c r="AR452"/>
  <c r="H452"/>
  <c r="AR451"/>
  <c r="H451"/>
  <c r="AR450"/>
  <c r="H450"/>
  <c r="AR449"/>
  <c r="H449"/>
  <c r="AR448"/>
  <c r="H448"/>
  <c r="AR447"/>
  <c r="H447"/>
  <c r="AR446"/>
  <c r="H446"/>
  <c r="AR445"/>
  <c r="H445"/>
  <c r="AR444"/>
  <c r="H444"/>
  <c r="AR443"/>
  <c r="H443"/>
  <c r="AR442"/>
  <c r="H442"/>
  <c r="AR441"/>
  <c r="H441"/>
  <c r="AR440"/>
  <c r="H440"/>
  <c r="AR439"/>
  <c r="H439"/>
  <c r="AR438"/>
  <c r="H438"/>
  <c r="AR437"/>
  <c r="H437"/>
  <c r="AR436"/>
  <c r="H436"/>
  <c r="AR435"/>
  <c r="H435"/>
  <c r="AR434"/>
  <c r="H434"/>
  <c r="AR433"/>
  <c r="H433"/>
  <c r="AR432"/>
  <c r="H432"/>
  <c r="AR431"/>
  <c r="H431"/>
  <c r="AR430"/>
  <c r="H430"/>
  <c r="AR429"/>
  <c r="H429"/>
  <c r="AR428"/>
  <c r="H428"/>
  <c r="AR427"/>
  <c r="H427"/>
  <c r="AR426"/>
  <c r="H426"/>
  <c r="AR425"/>
  <c r="H425"/>
  <c r="AR424"/>
  <c r="H424"/>
  <c r="AR423"/>
  <c r="H423"/>
  <c r="AR422"/>
  <c r="H422"/>
  <c r="AR421"/>
  <c r="H421"/>
  <c r="AR420"/>
  <c r="H420"/>
  <c r="AR419"/>
  <c r="H419"/>
  <c r="AR418"/>
  <c r="H418"/>
  <c r="AR417"/>
  <c r="H417"/>
  <c r="AR416"/>
  <c r="H416"/>
  <c r="AR415"/>
  <c r="H415"/>
  <c r="AR414"/>
  <c r="H414"/>
  <c r="AR413"/>
  <c r="H413"/>
  <c r="AR412"/>
  <c r="H412"/>
  <c r="AR411"/>
  <c r="H411"/>
  <c r="AR410"/>
  <c r="H410"/>
  <c r="AR409"/>
  <c r="H409"/>
  <c r="AR408"/>
  <c r="H408"/>
  <c r="AR407"/>
  <c r="H407"/>
  <c r="AR406"/>
  <c r="H406"/>
  <c r="AR405"/>
  <c r="H405"/>
  <c r="AR404"/>
  <c r="H404"/>
  <c r="AR403"/>
  <c r="H403"/>
  <c r="AR402"/>
  <c r="H402"/>
  <c r="AR401"/>
  <c r="H401"/>
  <c r="AR400"/>
  <c r="H400"/>
  <c r="AR399"/>
  <c r="H399"/>
  <c r="AR398"/>
  <c r="H398"/>
  <c r="AR397"/>
  <c r="H397"/>
  <c r="AR396"/>
  <c r="H396"/>
  <c r="AR395"/>
  <c r="H395"/>
  <c r="AR394"/>
  <c r="H394"/>
  <c r="AR393"/>
  <c r="H393"/>
  <c r="AR392"/>
  <c r="H392"/>
  <c r="AR391"/>
  <c r="H391"/>
  <c r="AR390"/>
  <c r="H390"/>
  <c r="AR389"/>
  <c r="H389"/>
  <c r="AR388"/>
  <c r="H388"/>
  <c r="AR387"/>
  <c r="H387"/>
  <c r="AR386"/>
  <c r="H386"/>
  <c r="AR385"/>
  <c r="H385"/>
  <c r="AR384"/>
  <c r="H384"/>
  <c r="AR383"/>
  <c r="H383"/>
  <c r="AR382"/>
  <c r="H382"/>
  <c r="AR381"/>
  <c r="H381"/>
  <c r="AR380"/>
  <c r="H380"/>
  <c r="AR379"/>
  <c r="H379"/>
  <c r="AR378"/>
  <c r="H378"/>
  <c r="AR377"/>
  <c r="H377"/>
  <c r="AR376"/>
  <c r="H376"/>
  <c r="AR375"/>
  <c r="H375"/>
  <c r="AR374"/>
  <c r="H374"/>
  <c r="AR373"/>
  <c r="H373"/>
  <c r="AR372"/>
  <c r="H372"/>
  <c r="AR371"/>
  <c r="H371"/>
  <c r="AR370"/>
  <c r="H370"/>
  <c r="AR369"/>
  <c r="H369"/>
  <c r="AR368"/>
  <c r="H368"/>
  <c r="AR367"/>
  <c r="H367"/>
  <c r="AR366"/>
  <c r="H366"/>
  <c r="AR365"/>
  <c r="H365"/>
  <c r="AR364"/>
  <c r="H364"/>
  <c r="AR363"/>
  <c r="H363"/>
  <c r="AR362"/>
  <c r="H362"/>
  <c r="AR361"/>
  <c r="H361"/>
  <c r="AR360"/>
  <c r="H360"/>
  <c r="AR359"/>
  <c r="H359"/>
  <c r="AR358"/>
  <c r="H358"/>
  <c r="AR357"/>
  <c r="H357"/>
  <c r="AR356"/>
  <c r="H356"/>
  <c r="AR355"/>
  <c r="H355"/>
  <c r="AR354"/>
  <c r="H354"/>
  <c r="AR353"/>
  <c r="H353"/>
  <c r="AR352"/>
  <c r="H352"/>
  <c r="AR351"/>
  <c r="H351"/>
  <c r="AR350"/>
  <c r="H350"/>
  <c r="AR349"/>
  <c r="H349"/>
  <c r="AR348"/>
  <c r="H348"/>
  <c r="AR347"/>
  <c r="H347"/>
  <c r="AR346"/>
  <c r="H346"/>
  <c r="AR345"/>
  <c r="H345"/>
  <c r="AR344"/>
  <c r="H344"/>
  <c r="AR343"/>
  <c r="H343"/>
  <c r="AR342"/>
  <c r="H342"/>
  <c r="AR341"/>
  <c r="H341"/>
  <c r="AR340"/>
  <c r="H340"/>
  <c r="AR339"/>
  <c r="H339"/>
  <c r="AR338"/>
  <c r="H338"/>
  <c r="AR337"/>
  <c r="H337"/>
  <c r="AR336"/>
  <c r="H336"/>
  <c r="AR335"/>
  <c r="H335"/>
  <c r="AR334"/>
  <c r="H334"/>
  <c r="AR333"/>
  <c r="H333"/>
  <c r="AR332"/>
  <c r="H332"/>
  <c r="AR331"/>
  <c r="H331"/>
  <c r="AR330"/>
  <c r="H330"/>
  <c r="AR329"/>
  <c r="H329"/>
  <c r="AR328"/>
  <c r="H328"/>
  <c r="AR327"/>
  <c r="H327"/>
  <c r="AR326"/>
  <c r="H326"/>
  <c r="AR325"/>
  <c r="H325"/>
  <c r="AR324"/>
  <c r="H324"/>
  <c r="AR323"/>
  <c r="H323"/>
  <c r="AR322"/>
  <c r="H322"/>
  <c r="AR321"/>
  <c r="H321"/>
  <c r="AR320"/>
  <c r="H320"/>
  <c r="AR319"/>
  <c r="H319"/>
  <c r="AR318"/>
  <c r="H318"/>
  <c r="AR317"/>
  <c r="H317"/>
  <c r="AR316"/>
  <c r="H316"/>
  <c r="AR315"/>
  <c r="H315"/>
  <c r="AR314"/>
  <c r="H314"/>
  <c r="AR313"/>
  <c r="H313"/>
  <c r="AR312"/>
  <c r="H312"/>
  <c r="AR311"/>
  <c r="H311"/>
  <c r="AR310"/>
  <c r="H310"/>
  <c r="AR309"/>
  <c r="H309"/>
  <c r="AR308"/>
  <c r="H308"/>
  <c r="AR307"/>
  <c r="H307"/>
  <c r="AR306"/>
  <c r="H306"/>
  <c r="AR305"/>
  <c r="H305"/>
  <c r="AR304"/>
  <c r="H304"/>
  <c r="AR303"/>
  <c r="H303"/>
  <c r="AR302"/>
  <c r="H302"/>
  <c r="AR301"/>
  <c r="H301"/>
  <c r="AR300"/>
  <c r="H300"/>
  <c r="AR299"/>
  <c r="H299"/>
  <c r="AR298"/>
  <c r="H298"/>
  <c r="AR297"/>
  <c r="H297"/>
  <c r="AR296"/>
  <c r="H296"/>
  <c r="AR295"/>
  <c r="H295"/>
  <c r="AR294"/>
  <c r="H294"/>
  <c r="AR293"/>
  <c r="H293"/>
  <c r="AR292"/>
  <c r="H292"/>
  <c r="AR291"/>
  <c r="H291"/>
  <c r="AR290"/>
  <c r="H290"/>
  <c r="AR289"/>
  <c r="H289"/>
  <c r="AR288"/>
  <c r="H288"/>
  <c r="AR287"/>
  <c r="H287"/>
  <c r="AR286"/>
  <c r="H286"/>
  <c r="AR285"/>
  <c r="H285"/>
  <c r="AR284"/>
  <c r="H284"/>
  <c r="AR283"/>
  <c r="H283"/>
  <c r="AR282"/>
  <c r="H282"/>
  <c r="AR281"/>
  <c r="H281"/>
  <c r="AR280"/>
  <c r="H280"/>
  <c r="AR279"/>
  <c r="H279"/>
  <c r="AR278"/>
  <c r="H278"/>
  <c r="AR277"/>
  <c r="H277"/>
  <c r="AR276"/>
  <c r="H276"/>
  <c r="AR275"/>
  <c r="H275"/>
  <c r="AR274"/>
  <c r="H274"/>
  <c r="AR273"/>
  <c r="H273"/>
  <c r="AR272"/>
  <c r="H272"/>
  <c r="AR271"/>
  <c r="H271"/>
  <c r="AR270"/>
  <c r="H270"/>
  <c r="AR269"/>
  <c r="H269"/>
  <c r="AR268"/>
  <c r="H268"/>
  <c r="AR267"/>
  <c r="H267"/>
  <c r="AR266"/>
  <c r="H266"/>
  <c r="AR265"/>
  <c r="H265"/>
  <c r="AR264"/>
  <c r="H264"/>
  <c r="AR263"/>
  <c r="H263"/>
  <c r="AR262"/>
  <c r="H262"/>
  <c r="AR261"/>
  <c r="H261"/>
  <c r="AR260"/>
  <c r="H260"/>
  <c r="AR259"/>
  <c r="H259"/>
  <c r="AR258"/>
  <c r="H258"/>
  <c r="AR257"/>
  <c r="H257"/>
  <c r="AR256"/>
  <c r="H256"/>
  <c r="AR255"/>
  <c r="H255"/>
  <c r="AR254"/>
  <c r="H254"/>
  <c r="AR253"/>
  <c r="H253"/>
  <c r="AR252"/>
  <c r="H252"/>
  <c r="AR251"/>
  <c r="H251"/>
  <c r="AR250"/>
  <c r="H250"/>
  <c r="AR249"/>
  <c r="H249"/>
  <c r="AR248"/>
  <c r="H248"/>
  <c r="AR247"/>
  <c r="H247"/>
  <c r="AR246"/>
  <c r="H246"/>
  <c r="AR245"/>
  <c r="H245"/>
  <c r="AR244"/>
  <c r="H244"/>
  <c r="AR243"/>
  <c r="H243"/>
  <c r="AR242"/>
  <c r="H242"/>
  <c r="AR241"/>
  <c r="H241"/>
  <c r="AR240"/>
  <c r="H240"/>
  <c r="AR239"/>
  <c r="H239"/>
  <c r="AR238"/>
  <c r="H238"/>
  <c r="AR237"/>
  <c r="H237"/>
  <c r="AR236"/>
  <c r="H236"/>
  <c r="AR235"/>
  <c r="H235"/>
  <c r="AR234"/>
  <c r="H234"/>
  <c r="AR233"/>
  <c r="H233"/>
  <c r="AR232"/>
  <c r="H232"/>
  <c r="AR231"/>
  <c r="H231"/>
  <c r="AR230"/>
  <c r="H230"/>
  <c r="AR229"/>
  <c r="H229"/>
  <c r="AR228"/>
  <c r="H228"/>
  <c r="AR227"/>
  <c r="H227"/>
  <c r="AR226"/>
  <c r="H226"/>
  <c r="AR225"/>
  <c r="H225"/>
  <c r="AR224"/>
  <c r="H224"/>
  <c r="AR223"/>
  <c r="H223"/>
  <c r="AR222"/>
  <c r="H222"/>
  <c r="AR221"/>
  <c r="H221"/>
  <c r="AR220"/>
  <c r="H220"/>
  <c r="AR219"/>
  <c r="H219"/>
  <c r="AR218"/>
  <c r="H218"/>
  <c r="AR217"/>
  <c r="H217"/>
  <c r="AR216"/>
  <c r="H216"/>
  <c r="AR215"/>
  <c r="H215"/>
  <c r="AR214"/>
  <c r="H214"/>
  <c r="AR213"/>
  <c r="H213"/>
  <c r="AR212"/>
  <c r="H212"/>
  <c r="AR211"/>
  <c r="H211"/>
  <c r="AR210"/>
  <c r="H210"/>
  <c r="AR209"/>
  <c r="H209"/>
  <c r="AR208"/>
  <c r="H208"/>
  <c r="AR207"/>
  <c r="H207"/>
  <c r="AR206"/>
  <c r="H206"/>
  <c r="AR205"/>
  <c r="H205"/>
  <c r="AR204"/>
  <c r="H204"/>
  <c r="AR203"/>
  <c r="H203"/>
  <c r="AR202"/>
  <c r="H202"/>
  <c r="AR201"/>
  <c r="H201"/>
  <c r="AR200"/>
  <c r="H200"/>
  <c r="AR199"/>
  <c r="H199"/>
  <c r="AR198"/>
  <c r="H198"/>
  <c r="AR197"/>
  <c r="H197"/>
  <c r="AR196"/>
  <c r="H196"/>
  <c r="AR195"/>
  <c r="H195"/>
  <c r="AR194"/>
  <c r="H194"/>
  <c r="AR193"/>
  <c r="H193"/>
  <c r="AR192"/>
  <c r="H192"/>
  <c r="AR191"/>
  <c r="H191"/>
  <c r="AR190"/>
  <c r="H190"/>
  <c r="AR189"/>
  <c r="H189"/>
  <c r="AR188"/>
  <c r="H188"/>
  <c r="AR187"/>
  <c r="H187"/>
  <c r="AR186"/>
  <c r="H186"/>
  <c r="AR185"/>
  <c r="H185"/>
  <c r="AR184"/>
  <c r="H184"/>
  <c r="AR183"/>
  <c r="H183"/>
  <c r="AR182"/>
  <c r="H182"/>
  <c r="AR181"/>
  <c r="H181"/>
  <c r="AR180"/>
  <c r="H180"/>
  <c r="AR179"/>
  <c r="H179"/>
  <c r="AR178"/>
  <c r="H178"/>
  <c r="AR177"/>
  <c r="H177"/>
  <c r="AR176"/>
  <c r="H176"/>
  <c r="AR175"/>
  <c r="H175"/>
  <c r="AR174"/>
  <c r="H174"/>
  <c r="AR173"/>
  <c r="H173"/>
  <c r="AR172"/>
  <c r="H172"/>
  <c r="AR171"/>
  <c r="H171"/>
  <c r="AR170"/>
  <c r="H170"/>
  <c r="AR169"/>
  <c r="H169"/>
  <c r="AR168"/>
  <c r="H168"/>
  <c r="AR167"/>
  <c r="H167"/>
  <c r="AR166"/>
  <c r="H166"/>
  <c r="AR165"/>
  <c r="H165"/>
  <c r="AR164"/>
  <c r="H164"/>
  <c r="AR163"/>
  <c r="H163"/>
  <c r="AR162"/>
  <c r="H162"/>
  <c r="AR161"/>
  <c r="H161"/>
  <c r="AR160"/>
  <c r="H160"/>
  <c r="AR159"/>
  <c r="H159"/>
  <c r="AR158"/>
  <c r="H158"/>
  <c r="AR157"/>
  <c r="H157"/>
  <c r="AR156"/>
  <c r="H156"/>
  <c r="AR155"/>
  <c r="H155"/>
  <c r="AR154"/>
  <c r="H154"/>
  <c r="AR153"/>
  <c r="H153"/>
  <c r="AR152"/>
  <c r="H152"/>
  <c r="AR151"/>
  <c r="H151"/>
  <c r="AR150"/>
  <c r="H150"/>
  <c r="AR149"/>
  <c r="H149"/>
  <c r="AR148"/>
  <c r="H148"/>
  <c r="AR147"/>
  <c r="H147"/>
  <c r="AR146"/>
  <c r="H146"/>
  <c r="AR145"/>
  <c r="H145"/>
  <c r="AR144"/>
  <c r="H144"/>
  <c r="AR143"/>
  <c r="H143"/>
  <c r="AR142"/>
  <c r="H142"/>
  <c r="AR141"/>
  <c r="H141"/>
  <c r="AR140"/>
  <c r="H140"/>
  <c r="AR139"/>
  <c r="H139"/>
  <c r="AR138"/>
  <c r="H138"/>
  <c r="AR137"/>
  <c r="H137"/>
  <c r="AR136"/>
  <c r="H136"/>
  <c r="AR135"/>
  <c r="H135"/>
  <c r="AR134"/>
  <c r="H134"/>
  <c r="AR133"/>
  <c r="H133"/>
  <c r="AR132"/>
  <c r="H132"/>
  <c r="AR131"/>
  <c r="H131"/>
  <c r="AR130"/>
  <c r="H130"/>
  <c r="AR129"/>
  <c r="H129"/>
  <c r="AR128"/>
  <c r="H128"/>
  <c r="AR127"/>
  <c r="H127"/>
  <c r="AR126"/>
  <c r="H126"/>
  <c r="AR125"/>
  <c r="H125"/>
  <c r="AR124"/>
  <c r="H124"/>
  <c r="AR123"/>
  <c r="H123"/>
  <c r="AR122"/>
  <c r="H122"/>
  <c r="AR121"/>
  <c r="H121"/>
  <c r="AR120"/>
  <c r="H120"/>
  <c r="AR119"/>
  <c r="H119"/>
  <c r="AR118"/>
  <c r="H118"/>
  <c r="AR117"/>
  <c r="H117"/>
  <c r="AR116"/>
  <c r="H116"/>
  <c r="AR115"/>
  <c r="H115"/>
  <c r="AR114"/>
  <c r="H114"/>
  <c r="AR113"/>
  <c r="H113"/>
  <c r="AR112"/>
  <c r="H112"/>
  <c r="AR111"/>
  <c r="H111"/>
  <c r="AR110"/>
  <c r="H110"/>
  <c r="AR109"/>
  <c r="H109"/>
  <c r="AR108"/>
  <c r="H108"/>
  <c r="AR107"/>
  <c r="H107"/>
  <c r="AR106"/>
  <c r="H106"/>
  <c r="AR105"/>
  <c r="H105"/>
  <c r="AR104"/>
  <c r="H104"/>
  <c r="AR103"/>
  <c r="H103"/>
  <c r="AR102"/>
  <c r="H102"/>
  <c r="AR101"/>
  <c r="H101"/>
  <c r="AR100"/>
  <c r="H100"/>
  <c r="AR99"/>
  <c r="H99"/>
  <c r="AR98"/>
  <c r="H98"/>
  <c r="AR97"/>
  <c r="H97"/>
  <c r="AR96"/>
  <c r="H96"/>
  <c r="AR95"/>
  <c r="H95"/>
  <c r="AR94"/>
  <c r="H94"/>
  <c r="AR93"/>
  <c r="H93"/>
  <c r="AR92"/>
  <c r="H92"/>
  <c r="AR91"/>
  <c r="H91"/>
  <c r="AR90"/>
  <c r="H90"/>
  <c r="AR89"/>
  <c r="H89"/>
  <c r="AR88"/>
  <c r="H88"/>
  <c r="AR87"/>
  <c r="H87"/>
  <c r="AR86"/>
  <c r="H86"/>
  <c r="AR85"/>
  <c r="H85"/>
  <c r="AR84"/>
  <c r="H84"/>
  <c r="AR83"/>
  <c r="H83"/>
  <c r="AR82"/>
  <c r="H82"/>
  <c r="AR81"/>
  <c r="H81"/>
  <c r="AR80"/>
  <c r="H80"/>
  <c r="AR79"/>
  <c r="AI79"/>
  <c r="H79"/>
  <c r="G79"/>
  <c r="AR78"/>
  <c r="AI78"/>
  <c r="H78"/>
  <c r="G78"/>
  <c r="AR77"/>
  <c r="AI77"/>
  <c r="H77"/>
  <c r="G77"/>
  <c r="AR76"/>
  <c r="AI76"/>
  <c r="H76"/>
  <c r="G76"/>
  <c r="AR75"/>
  <c r="AI75"/>
  <c r="H75"/>
  <c r="G75"/>
  <c r="AR74"/>
  <c r="AI74"/>
  <c r="H74"/>
  <c r="G74"/>
  <c r="AR73"/>
  <c r="AI73"/>
  <c r="H73"/>
  <c r="G73"/>
  <c r="AR72"/>
  <c r="AI72"/>
  <c r="H72"/>
  <c r="G72"/>
  <c r="AR71"/>
  <c r="AI71"/>
  <c r="H71"/>
  <c r="G71"/>
  <c r="AR70"/>
  <c r="AI70"/>
  <c r="H70"/>
  <c r="G70"/>
  <c r="AR69"/>
  <c r="AI69"/>
  <c r="H69"/>
  <c r="G69"/>
  <c r="AR68"/>
  <c r="AI68"/>
  <c r="H68"/>
  <c r="G68"/>
  <c r="AR67"/>
  <c r="AI67"/>
  <c r="H67"/>
  <c r="G67"/>
  <c r="AR66"/>
  <c r="AI66"/>
  <c r="H66"/>
  <c r="G66"/>
  <c r="AR65"/>
  <c r="AI65"/>
  <c r="H65"/>
  <c r="G65"/>
  <c r="AR64"/>
  <c r="AI64"/>
  <c r="H64"/>
  <c r="G64"/>
  <c r="AR63"/>
  <c r="AI63"/>
  <c r="H63"/>
  <c r="G63"/>
  <c r="AR62"/>
  <c r="AI62"/>
  <c r="H62"/>
  <c r="G62"/>
  <c r="AR61"/>
  <c r="AI61"/>
  <c r="H61"/>
  <c r="G61"/>
  <c r="AR60"/>
  <c r="AI60"/>
  <c r="H60"/>
  <c r="G60"/>
  <c r="AR59"/>
  <c r="AI59"/>
  <c r="H59"/>
  <c r="G59"/>
  <c r="AR58"/>
  <c r="AI58"/>
  <c r="H58"/>
  <c r="G58"/>
  <c r="AR57"/>
  <c r="AI57"/>
  <c r="H57"/>
  <c r="G57"/>
  <c r="AR56"/>
  <c r="AI56"/>
  <c r="H56"/>
  <c r="G56"/>
  <c r="AR55"/>
  <c r="AI55"/>
  <c r="H55"/>
  <c r="G55"/>
  <c r="AR54"/>
  <c r="AI54"/>
  <c r="H54"/>
  <c r="G54"/>
  <c r="AR53"/>
  <c r="AI53"/>
  <c r="H53"/>
  <c r="G53"/>
  <c r="AR52"/>
  <c r="AI52"/>
  <c r="H52"/>
  <c r="G52"/>
  <c r="AR51"/>
  <c r="AI51"/>
  <c r="H51"/>
  <c r="G51"/>
  <c r="AR50"/>
  <c r="AI50"/>
  <c r="H50"/>
  <c r="G50"/>
  <c r="AR49"/>
  <c r="AI49"/>
  <c r="H49"/>
  <c r="G49"/>
  <c r="AR48"/>
  <c r="AI48"/>
  <c r="H48"/>
  <c r="G48"/>
  <c r="AR47"/>
  <c r="AI47"/>
  <c r="H47"/>
  <c r="G47"/>
  <c r="AR46"/>
  <c r="AI46"/>
  <c r="H46"/>
  <c r="G46"/>
  <c r="AR45"/>
  <c r="AI45"/>
  <c r="H45"/>
  <c r="G45"/>
  <c r="AR44"/>
  <c r="AI44"/>
  <c r="H44"/>
  <c r="G44"/>
  <c r="AR43"/>
  <c r="AI43"/>
  <c r="H43"/>
  <c r="G43"/>
  <c r="AR42"/>
  <c r="AI42"/>
  <c r="H42"/>
  <c r="G42"/>
  <c r="AR41"/>
  <c r="AI41"/>
  <c r="H41"/>
  <c r="G41"/>
  <c r="AR40"/>
  <c r="AI40"/>
  <c r="H40"/>
  <c r="G40"/>
  <c r="AR39"/>
  <c r="AI39"/>
  <c r="H39"/>
  <c r="G39"/>
  <c r="AR38"/>
  <c r="AI38"/>
  <c r="H38"/>
  <c r="G38"/>
  <c r="AR37"/>
  <c r="AI37"/>
  <c r="H37"/>
  <c r="G37"/>
  <c r="AR36"/>
  <c r="AI36"/>
  <c r="H36"/>
  <c r="G36"/>
  <c r="AR35"/>
  <c r="AI35"/>
  <c r="H35"/>
  <c r="G35"/>
  <c r="AR34"/>
  <c r="AI34"/>
  <c r="H34"/>
  <c r="G34"/>
  <c r="AR33"/>
  <c r="AI33"/>
  <c r="H33"/>
  <c r="G33"/>
  <c r="AR32"/>
  <c r="AI32"/>
  <c r="H32"/>
  <c r="G32"/>
  <c r="AR31"/>
  <c r="AI31"/>
  <c r="H31"/>
  <c r="G31"/>
  <c r="AR30"/>
  <c r="AI30"/>
  <c r="H30"/>
  <c r="G30"/>
  <c r="AR29"/>
  <c r="AI29"/>
  <c r="H29"/>
  <c r="G29"/>
  <c r="AR28"/>
  <c r="AI28"/>
  <c r="H28"/>
  <c r="G28"/>
  <c r="AR27"/>
  <c r="AI27"/>
  <c r="H27"/>
  <c r="G27"/>
  <c r="AR26"/>
  <c r="AI26"/>
  <c r="H26"/>
  <c r="G26"/>
  <c r="AR25"/>
  <c r="AI25"/>
  <c r="H25"/>
  <c r="G25"/>
  <c r="AR24"/>
  <c r="AI24"/>
  <c r="H24"/>
  <c r="G24"/>
  <c r="AR23"/>
  <c r="AI23"/>
  <c r="H23"/>
  <c r="G23"/>
  <c r="AR22"/>
  <c r="AI22"/>
  <c r="H22"/>
  <c r="G22"/>
  <c r="AR21"/>
  <c r="AI21"/>
  <c r="H21"/>
  <c r="G21"/>
  <c r="AR20"/>
  <c r="AI20"/>
  <c r="H20"/>
  <c r="G20"/>
  <c r="AR19"/>
  <c r="AI19"/>
  <c r="H19"/>
  <c r="G19"/>
  <c r="AR18"/>
  <c r="AI18"/>
  <c r="H18"/>
  <c r="G18"/>
  <c r="AR17"/>
  <c r="AI17"/>
  <c r="H17"/>
  <c r="G17"/>
  <c r="AR16"/>
  <c r="AM16"/>
  <c r="AI16"/>
  <c r="H16"/>
  <c r="G16"/>
  <c r="AR15"/>
  <c r="AM15"/>
  <c r="AI15"/>
  <c r="H15"/>
  <c r="G15"/>
  <c r="AR14"/>
  <c r="AM14"/>
  <c r="AI14"/>
  <c r="H14"/>
  <c r="G14"/>
  <c r="AR13"/>
  <c r="AM13"/>
  <c r="AI13"/>
  <c r="H13"/>
  <c r="G13"/>
  <c r="AR12"/>
  <c r="AM12"/>
  <c r="AI12"/>
  <c r="H12"/>
  <c r="G12"/>
  <c r="AR11"/>
  <c r="AM11"/>
  <c r="AI11"/>
  <c r="H11"/>
  <c r="G11"/>
  <c r="AV10"/>
  <c r="AR10"/>
  <c r="AM10"/>
  <c r="AI10"/>
  <c r="H10"/>
  <c r="G10"/>
  <c r="E10"/>
  <c r="AV9"/>
  <c r="AS9"/>
  <c r="AR9"/>
  <c r="AO9"/>
  <c r="AM9"/>
  <c r="AI9"/>
  <c r="X9"/>
  <c r="T9"/>
  <c r="N9"/>
  <c r="H9"/>
  <c r="G9"/>
  <c r="F9"/>
  <c r="E9"/>
  <c r="AV8"/>
  <c r="AS8"/>
  <c r="AR8"/>
  <c r="AQ8"/>
  <c r="AO8"/>
  <c r="AM8"/>
  <c r="AJ8"/>
  <c r="AI8"/>
  <c r="AF8"/>
  <c r="X8"/>
  <c r="U8"/>
  <c r="T8"/>
  <c r="N8"/>
  <c r="M8"/>
  <c r="L8"/>
  <c r="H8"/>
  <c r="G8"/>
  <c r="F8"/>
  <c r="E8"/>
  <c r="D8"/>
  <c r="BF7"/>
  <c r="AV7"/>
  <c r="AS7"/>
  <c r="AR7"/>
  <c r="AQ7"/>
  <c r="AO7"/>
  <c r="AM7"/>
  <c r="AJ7"/>
  <c r="AI7"/>
  <c r="AF7"/>
  <c r="X7"/>
  <c r="V7"/>
  <c r="U7"/>
  <c r="T7"/>
  <c r="R7"/>
  <c r="N7"/>
  <c r="M7"/>
  <c r="L7"/>
  <c r="K7"/>
  <c r="H7"/>
  <c r="G7"/>
  <c r="F7"/>
  <c r="E7"/>
  <c r="D7"/>
  <c r="BF6"/>
  <c r="AW6"/>
  <c r="AV6"/>
  <c r="AS6"/>
  <c r="AR6"/>
  <c r="AQ6"/>
  <c r="AO6"/>
  <c r="AM6"/>
  <c r="AJ6"/>
  <c r="AI6"/>
  <c r="AF6"/>
  <c r="X6"/>
  <c r="V6"/>
  <c r="U6"/>
  <c r="T6"/>
  <c r="R6"/>
  <c r="O6"/>
  <c r="N6"/>
  <c r="M6"/>
  <c r="L6"/>
  <c r="K6"/>
  <c r="H6"/>
  <c r="G6"/>
  <c r="F6"/>
  <c r="E6"/>
  <c r="D6"/>
  <c r="BG5"/>
  <c r="BF5"/>
  <c r="BE5"/>
  <c r="BC5"/>
  <c r="AY5"/>
  <c r="AW5"/>
  <c r="AV5"/>
  <c r="AT5"/>
  <c r="AS5"/>
  <c r="AR5"/>
  <c r="AQ5"/>
  <c r="AP5"/>
  <c r="AO5"/>
  <c r="AM5"/>
  <c r="AJ5"/>
  <c r="AI5"/>
  <c r="AG5"/>
  <c r="AF5"/>
  <c r="AE5"/>
  <c r="AB5"/>
  <c r="Z5"/>
  <c r="X5"/>
  <c r="V5"/>
  <c r="U5"/>
  <c r="T5"/>
  <c r="S5"/>
  <c r="R5"/>
  <c r="P5"/>
  <c r="O5"/>
  <c r="N5"/>
  <c r="M5"/>
  <c r="L5"/>
  <c r="K5"/>
  <c r="J5"/>
  <c r="H5"/>
  <c r="G5"/>
  <c r="F5"/>
  <c r="E5"/>
  <c r="D5"/>
  <c r="BH4"/>
  <c r="BG4"/>
  <c r="BF4"/>
  <c r="BE4"/>
  <c r="BD4"/>
  <c r="BC4"/>
  <c r="BB4"/>
  <c r="BA4"/>
  <c r="AZ4"/>
  <c r="AY4"/>
  <c r="AX4"/>
  <c r="AW4"/>
  <c r="AV4"/>
  <c r="AU4"/>
  <c r="AT4"/>
  <c r="AS4"/>
  <c r="AR4"/>
  <c r="AQ4"/>
  <c r="AP4"/>
  <c r="AO4"/>
  <c r="AN4"/>
  <c r="AM4"/>
  <c r="AL4"/>
  <c r="AK4"/>
  <c r="AJ4"/>
  <c r="AI4"/>
  <c r="AH4"/>
  <c r="AG4"/>
  <c r="AF4"/>
  <c r="AE4"/>
  <c r="AD4"/>
  <c r="AC4"/>
  <c r="AB4"/>
  <c r="AA4"/>
  <c r="Z4"/>
  <c r="Y4"/>
  <c r="X4"/>
  <c r="W4"/>
  <c r="V4"/>
  <c r="U4"/>
  <c r="T4"/>
  <c r="S4"/>
  <c r="R4"/>
  <c r="Q4"/>
  <c r="P4"/>
  <c r="O4"/>
  <c r="N4"/>
  <c r="M4"/>
  <c r="L4"/>
  <c r="K4"/>
  <c r="J4"/>
  <c r="I4"/>
  <c r="H4"/>
  <c r="G4"/>
  <c r="F4"/>
  <c r="E4"/>
  <c r="D4"/>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E3"/>
  <c r="D3"/>
  <c r="C3"/>
  <c r="A3"/>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D2"/>
  <c r="A1"/>
  <c r="L2" i="11"/>
  <c r="K2"/>
  <c r="J2"/>
  <c r="I2"/>
  <c r="H2"/>
  <c r="G2"/>
  <c r="F2"/>
  <c r="E2"/>
  <c r="E1"/>
  <c r="A1"/>
  <c r="N2" i="10"/>
  <c r="M2"/>
  <c r="L2"/>
  <c r="K2"/>
  <c r="J2"/>
  <c r="I2"/>
  <c r="H2"/>
  <c r="G2"/>
  <c r="F2"/>
  <c r="E2"/>
  <c r="E1"/>
  <c r="A1"/>
  <c r="M2" i="9"/>
  <c r="L2"/>
  <c r="K2"/>
  <c r="J2"/>
  <c r="I2"/>
  <c r="H2"/>
  <c r="G2"/>
  <c r="F2"/>
  <c r="E2"/>
  <c r="E1"/>
  <c r="A1"/>
  <c r="E2" i="8"/>
  <c r="E1"/>
  <c r="A1"/>
  <c r="E2" i="7"/>
  <c r="E1"/>
  <c r="A1"/>
  <c r="K2" i="6"/>
  <c r="J2"/>
  <c r="I2"/>
  <c r="H2"/>
  <c r="G2"/>
  <c r="F2"/>
  <c r="E2"/>
  <c r="E1"/>
  <c r="A1"/>
  <c r="O2" i="5"/>
  <c r="N2"/>
  <c r="M2"/>
  <c r="L2"/>
  <c r="K2"/>
  <c r="J2"/>
  <c r="I2"/>
  <c r="H2"/>
  <c r="G2"/>
  <c r="F2"/>
  <c r="E2"/>
  <c r="N1"/>
  <c r="E1"/>
  <c r="A1"/>
  <c r="Q2" i="4"/>
  <c r="P2"/>
  <c r="O2"/>
  <c r="N2"/>
  <c r="M2"/>
  <c r="L2"/>
  <c r="K2"/>
  <c r="J2"/>
  <c r="I2"/>
  <c r="H2"/>
  <c r="G2"/>
  <c r="F2"/>
  <c r="E2"/>
  <c r="E1"/>
  <c r="A1"/>
  <c r="BO2" i="3"/>
  <c r="BN2"/>
  <c r="BM2"/>
  <c r="BL2"/>
  <c r="BK2"/>
  <c r="BJ2"/>
  <c r="BI2"/>
  <c r="BH2"/>
  <c r="BG2"/>
  <c r="BF2"/>
  <c r="BE2"/>
  <c r="BD2"/>
  <c r="BC2"/>
  <c r="BB2"/>
  <c r="BA2"/>
  <c r="AZ2"/>
  <c r="AY2"/>
  <c r="AX2"/>
  <c r="AW2"/>
  <c r="AV2"/>
  <c r="AU2"/>
  <c r="AT2"/>
  <c r="AS2"/>
  <c r="AR2"/>
  <c r="AQ2"/>
  <c r="AP2"/>
  <c r="AO2"/>
  <c r="AN2"/>
  <c r="AM2"/>
  <c r="AL2"/>
  <c r="AK2"/>
  <c r="AJ2"/>
  <c r="AI2"/>
  <c r="AH2"/>
  <c r="AG2"/>
  <c r="AF2"/>
  <c r="AE2"/>
  <c r="AD2"/>
  <c r="AC2"/>
  <c r="AB2"/>
  <c r="AA2"/>
  <c r="Z2"/>
  <c r="Y2"/>
  <c r="X2"/>
  <c r="W2"/>
  <c r="V2"/>
  <c r="U2"/>
  <c r="T2"/>
  <c r="S2"/>
  <c r="R2"/>
  <c r="Q2"/>
  <c r="P2"/>
  <c r="O2"/>
  <c r="N2"/>
  <c r="M2"/>
  <c r="L2"/>
  <c r="K2"/>
  <c r="J2"/>
  <c r="I2"/>
  <c r="H2"/>
  <c r="G2"/>
  <c r="F2"/>
  <c r="E2"/>
  <c r="AS1"/>
  <c r="AC1"/>
  <c r="N1"/>
  <c r="E1"/>
  <c r="A1"/>
  <c r="L2" i="2"/>
  <c r="K2"/>
  <c r="J2"/>
  <c r="I2"/>
  <c r="H2"/>
  <c r="G2"/>
  <c r="F2"/>
  <c r="E2"/>
  <c r="E1"/>
  <c r="A1"/>
  <c r="AB5" i="1"/>
  <c r="AA5"/>
  <c r="Z5"/>
  <c r="Y5"/>
  <c r="X5"/>
  <c r="W5"/>
  <c r="V5"/>
  <c r="U5"/>
  <c r="T5"/>
  <c r="S5"/>
  <c r="R5"/>
  <c r="Q5"/>
  <c r="P5"/>
  <c r="O5"/>
  <c r="N5"/>
  <c r="M5"/>
  <c r="L5"/>
  <c r="K5"/>
  <c r="J5"/>
  <c r="I5"/>
  <c r="H5"/>
  <c r="G5"/>
  <c r="F5"/>
</calcChain>
</file>

<file path=xl/comments1.xml><?xml version="1.0" encoding="utf-8"?>
<comments xmlns="http://schemas.openxmlformats.org/spreadsheetml/2006/main">
  <authors>
    <author>Microsoft Office User</author>
  </authors>
  <commentList>
    <comment ref="N2" authorId="0">
      <text>
        <r>
          <rPr>
            <sz val="12"/>
            <color rgb="FF000000"/>
            <rFont val="Calibri"/>
            <family val="1"/>
          </rPr>
          <t>कृपया प्रसव अवस्थाका जटिलता माथि भन्दा बाहेक अन्य खुलाउने लेख्नुहोस्</t>
        </r>
      </text>
    </comment>
  </commentList>
</comments>
</file>

<file path=xl/sharedStrings.xml><?xml version="1.0" encoding="utf-8"?>
<sst xmlns="http://schemas.openxmlformats.org/spreadsheetml/2006/main" count="10091" uniqueCount="3696">
  <si>
    <t>Organisation Units</t>
  </si>
  <si>
    <t>Relationship Types</t>
  </si>
  <si>
    <t>Options</t>
  </si>
  <si>
    <t>Boolean</t>
  </si>
  <si>
    <t>True only</t>
  </si>
  <si>
    <t>Identifier</t>
  </si>
  <si>
    <t>Type</t>
  </si>
  <si>
    <t>Name</t>
  </si>
  <si>
    <t>Value Type</t>
  </si>
  <si>
    <t>Option Set</t>
  </si>
  <si>
    <t>Possible Values</t>
  </si>
  <si>
    <t>Metadata version</t>
  </si>
  <si>
    <t>bjDvmb4bfuf</t>
  </si>
  <si>
    <t>categoryCombos</t>
  </si>
  <si>
    <t>default *</t>
  </si>
  <si>
    <t>Gfd61LgnBoD</t>
  </si>
  <si>
    <t>options</t>
  </si>
  <si>
    <t>Siddhalek Rural Municipality</t>
  </si>
  <si>
    <t>Municipality</t>
  </si>
  <si>
    <t>Phaktanlung Rural Municipality, Mikwakhola Rural Municipality, Meringden Rural Municipality, Maiwakhola Rural Municipality, Aatharai Tribeni Rural Municipality, Phungling Municipality, Yangwarak Rural Municipality, Sirijanga Rural Municipality, Sidingba Rural Municipality, Bhotkhola Rural Municipality, Makalu Rural Municipality, Silichong Rural Municipality, Chichila Rural Municipality, Sabhapokhari Rural Municipality, Khandabari Municipality, Panchakhapan Municipality, Chainapur Municipality, Madi Municipality, Dharmadevi Municipality, Khumbu Pasanglhamu Rural Municipality, Mahakulung Rural Municipality, Sotang Rural Municipality, Dhudhakoshi Rural Municipality, Dhudha Koushika Rural Municipality, Necha Salyan Rural Municipality</t>
  </si>
  <si>
    <t>SHsxZPz3WKl</t>
  </si>
  <si>
    <t>Krishnanagar Municipality</t>
  </si>
  <si>
    <t>XtsrulYgCG1</t>
  </si>
  <si>
    <t>Mahadewa Rural Municipality</t>
  </si>
  <si>
    <t>N0UJ0RreV2N</t>
  </si>
  <si>
    <t>Tilagupha Municipality</t>
  </si>
  <si>
    <t>Zec2hHKUxJP</t>
  </si>
  <si>
    <t>Helambu Rural Municipality</t>
  </si>
  <si>
    <t>XSTwLHXrfi9</t>
  </si>
  <si>
    <t>Naraharinath Rural Municipality</t>
  </si>
  <si>
    <t>QIfCEM4SBJO</t>
  </si>
  <si>
    <t>Jiri Municipality</t>
  </si>
  <si>
    <t>iHQiUfmqoq8</t>
  </si>
  <si>
    <t>605 Kalikot</t>
  </si>
  <si>
    <t>District</t>
  </si>
  <si>
    <t>101 Taplejung, 102 Sankhuwasabha, 103 Solukhumbu, 104 Okhaldhunga, 105 Khotang, 106 Bhojpur, 107 Dhankuta, 108 Terhathum, 109 Panchthar, 110 Ilam, 111 Jhapa, 112 Morang, 113 Sunsari, 114 Udayapur, 201 Saptari, 202 Siraha, 203 Dhanusa, 204 Mahottari, 205 Sarlahi, 206 Rautahat, 207 Bara, 208 Parsa, 301 Dolakha, 302 Sindhupalchok, 303 Rasuwa</t>
  </si>
  <si>
    <t>M2p4AxD46nA</t>
  </si>
  <si>
    <t>Chhinnamasta Rural Municipality</t>
  </si>
  <si>
    <t>RhSXdp3Ru53</t>
  </si>
  <si>
    <t>Gaidahawa Rural Municipality</t>
  </si>
  <si>
    <t>AFbJAotfqLB</t>
  </si>
  <si>
    <t>Unknown</t>
  </si>
  <si>
    <t>HBsAg</t>
  </si>
  <si>
    <t>Reactive, Non Reactive, Unknown</t>
  </si>
  <si>
    <t>Krs3KdsaX5e</t>
  </si>
  <si>
    <t>Stable</t>
  </si>
  <si>
    <t>Mother's Condition</t>
  </si>
  <si>
    <t>Recovered, Stable, Referred out, LAMA, Absconded, Died</t>
  </si>
  <si>
    <t>LKSNRny6cuv</t>
  </si>
  <si>
    <t>Gadhimai Municipality</t>
  </si>
  <si>
    <t>N4wBG8T5IMa</t>
  </si>
  <si>
    <t>Cephalic</t>
  </si>
  <si>
    <t>Child</t>
  </si>
  <si>
    <t>Cephalic, Breech, Shoulder, Unknown, Not Checked</t>
  </si>
  <si>
    <t>BB9bAVTvvLA</t>
  </si>
  <si>
    <t>JB40.0 Puerperal sepsis</t>
  </si>
  <si>
    <t>ICD_SMP_PreviousDeliveries</t>
  </si>
  <si>
    <t>JA01 Ectopic pregnancy, JA05 Complications following abortion, ectopic or molar pregnancy, JA24 Pre-eclampsia, JA25 Eclampsia, JA41 Antepartum haemorrhage, JA43 Postpartum haemorrhage, JA43.0 Third-stage haemorrhage, JA60.0 Mild hyperemesis gravidarum, JB03 Long labour, JB06 Obstructed labour due to other causes, JB0A.1 Rupture of uterus during labour, JB0Y Other specified complications of labour or delivery, JB40.0 Puerperal sepsis, JB40.1 Infection of obstetric surgical wound</t>
  </si>
  <si>
    <t>xPhRdhYjy5Q</t>
  </si>
  <si>
    <t>Rapti Rural Municipality</t>
  </si>
  <si>
    <t>NMelmImt6tz</t>
  </si>
  <si>
    <t>Tilathi Koiladi Rural Municipality</t>
  </si>
  <si>
    <t>Narat0DF9sY</t>
  </si>
  <si>
    <t>Bitthadchir Rural Municipality</t>
  </si>
  <si>
    <t>B4f5W5I05Xl</t>
  </si>
  <si>
    <t>Sidingba Rural Municipality</t>
  </si>
  <si>
    <t>idlwdDUEvog</t>
  </si>
  <si>
    <t>Phidim Municipality</t>
  </si>
  <si>
    <t>fquVjueeNl5</t>
  </si>
  <si>
    <t>Banganga Municipality</t>
  </si>
  <si>
    <t>y6AtDA84hkl</t>
  </si>
  <si>
    <t>Devchuli Municipality</t>
  </si>
  <si>
    <t>yU93mrcyCC9</t>
  </si>
  <si>
    <t>Mahalaxmi Municipality</t>
  </si>
  <si>
    <t>SD1EVUSqhSY</t>
  </si>
  <si>
    <t>Shitaganga Municipality</t>
  </si>
  <si>
    <t>iFOz81Xrw81</t>
  </si>
  <si>
    <t>बच्चा</t>
  </si>
  <si>
    <t>Pregnancy Service</t>
  </si>
  <si>
    <t>आमा, बच्चा, आमा र बच्चा दुवै</t>
  </si>
  <si>
    <t>EaiHcHYvfqF</t>
  </si>
  <si>
    <t>2 जनजाती (२)</t>
  </si>
  <si>
    <t>Ethnic Code</t>
  </si>
  <si>
    <t>1 दलित (१), 2 जनजाती (२), 3 मधेसी (३), 4 मुस्लिम (४), 5 ब्राह्मण/ क्षेत्री (५), 6 अन्य (६)</t>
  </si>
  <si>
    <t>bNDaGC81g9j</t>
  </si>
  <si>
    <t>Kalika Rural Municipality</t>
  </si>
  <si>
    <t>maD8dbiRm2D</t>
  </si>
  <si>
    <t>Balara Municipality</t>
  </si>
  <si>
    <t>VtMe3Xw2eJE</t>
  </si>
  <si>
    <t>Solu Dhudhakunda Municipality</t>
  </si>
  <si>
    <t>M5ed4Tr1BdM</t>
  </si>
  <si>
    <t>Sabaila Municipality</t>
  </si>
  <si>
    <t>fpcxp5HcX2i</t>
  </si>
  <si>
    <t>आमा र बच्चा दुवै</t>
  </si>
  <si>
    <t>YtJcy1Vyxwl</t>
  </si>
  <si>
    <t>Mallarani Rural Municipality</t>
  </si>
  <si>
    <t>A2Wzsls1TW1</t>
  </si>
  <si>
    <t>Stillbirth</t>
  </si>
  <si>
    <t>Still Born</t>
  </si>
  <si>
    <t>Live Birth, Stillbirth, Termination of pregnancy</t>
  </si>
  <si>
    <t>rdnbXv7P6L7</t>
  </si>
  <si>
    <t>Phungling Municipality</t>
  </si>
  <si>
    <t>bpBrKWcorkE</t>
  </si>
  <si>
    <t>Sunkoshi Rural Municipality</t>
  </si>
  <si>
    <t>bte9g1BGR27</t>
  </si>
  <si>
    <t>105 Khotang</t>
  </si>
  <si>
    <t>ffXJm0FUPqN</t>
  </si>
  <si>
    <t>Temal Rural Municipality</t>
  </si>
  <si>
    <t>Yd5Saefe1JT</t>
  </si>
  <si>
    <t>Chakraghatta Rural Municipality</t>
  </si>
  <si>
    <t>B9jF6b6jw0s</t>
  </si>
  <si>
    <t>Badigad Rural Municipality</t>
  </si>
  <si>
    <t>yx1txTfZlxY</t>
  </si>
  <si>
    <t>Gurbhakot Municipality</t>
  </si>
  <si>
    <t>mZH4bBeJsZ5</t>
  </si>
  <si>
    <t>Parbatikunda Rural Municipality</t>
  </si>
  <si>
    <t>EbgbaF1x5hp</t>
  </si>
  <si>
    <t>Termination of pregnancy</t>
  </si>
  <si>
    <t>z1BqKlperjZ</t>
  </si>
  <si>
    <t>Kakani Rural Municipality</t>
  </si>
  <si>
    <t>N3fZiXD5uH1</t>
  </si>
  <si>
    <t>Bheriganga Municipality</t>
  </si>
  <si>
    <t>RHE3hPIVwQL</t>
  </si>
  <si>
    <t>Major</t>
  </si>
  <si>
    <t>Disabled</t>
  </si>
  <si>
    <t>Major, Minor, Other</t>
  </si>
  <si>
    <t>vFETYpoWqCb</t>
  </si>
  <si>
    <t>Dewangunj Rural Municipality</t>
  </si>
  <si>
    <t>VIQTc58aX5a</t>
  </si>
  <si>
    <t>Gaidakot Municipality</t>
  </si>
  <si>
    <t>vtXJLJpJKDK</t>
  </si>
  <si>
    <t>Surnaya Rural Municipality</t>
  </si>
  <si>
    <t>iZwjnQ8hI51</t>
  </si>
  <si>
    <t>Barbardiya Municipality</t>
  </si>
  <si>
    <t>zFoxQvWPW4b</t>
  </si>
  <si>
    <t>Birgunj Metropolitian City</t>
  </si>
  <si>
    <t>jTS0MnCGgl6</t>
  </si>
  <si>
    <t>Bhumlu Rural Municipality</t>
  </si>
  <si>
    <t>uRVKw6OxxU8</t>
  </si>
  <si>
    <t>Dhulikhel Municipality</t>
  </si>
  <si>
    <t>eQRTRhnf3aM</t>
  </si>
  <si>
    <t>Gandaki Rural Municipality</t>
  </si>
  <si>
    <t>gGkrHcox74x</t>
  </si>
  <si>
    <t>Shambhunath Municipality</t>
  </si>
  <si>
    <t>FYUnWvWnpTA</t>
  </si>
  <si>
    <t>Rainadevi Chhahara Rural Municipality</t>
  </si>
  <si>
    <t>T7HNyZtnCQH</t>
  </si>
  <si>
    <t>Phikkal Rural Municipality</t>
  </si>
  <si>
    <t>HzjAGvMZw99</t>
  </si>
  <si>
    <t>Babai Rural Municipality</t>
  </si>
  <si>
    <t>BUTnbz63wQi</t>
  </si>
  <si>
    <t>Madhav Narayan Municipality</t>
  </si>
  <si>
    <t>f2euMB8Et0o</t>
  </si>
  <si>
    <t>JA43.0 Third-stage haemorrhage</t>
  </si>
  <si>
    <t>r2xSuC1ZxXG</t>
  </si>
  <si>
    <t>Dewahi Gonahi Municipality</t>
  </si>
  <si>
    <t>HSlUu6UuLEY</t>
  </si>
  <si>
    <t>Ramprasad Rai Rural Municipality</t>
  </si>
  <si>
    <t>WO7OHx9UbmY</t>
  </si>
  <si>
    <t>Manebhanjyang Rural Municipality</t>
  </si>
  <si>
    <t>PMoO1AmUDXY</t>
  </si>
  <si>
    <t>Bangalachuli Rural Municipality</t>
  </si>
  <si>
    <t>PQMtG7hhPtH</t>
  </si>
  <si>
    <t>Loharpatti Municipality</t>
  </si>
  <si>
    <t>GB801JHT3Ee</t>
  </si>
  <si>
    <t>Dasharathchand Municipality</t>
  </si>
  <si>
    <t>hx0oZheIg8i</t>
  </si>
  <si>
    <t>Hansapur Municipality</t>
  </si>
  <si>
    <t>c5p7RIRVhEq</t>
  </si>
  <si>
    <t>घर</t>
  </si>
  <si>
    <t>Place of birth</t>
  </si>
  <si>
    <t>स्वास्थ्य संस्था, घर, Transit</t>
  </si>
  <si>
    <t>HCIQloicy7v</t>
  </si>
  <si>
    <t>Naugad  Rural Municipality</t>
  </si>
  <si>
    <t>YCmjGlQYsvt</t>
  </si>
  <si>
    <t>Indrasarowar Rural Municipality</t>
  </si>
  <si>
    <t>KL9NoMU9deG</t>
  </si>
  <si>
    <t>Baijanath Rural Municipality</t>
  </si>
  <si>
    <t>qf0NiY3qZVU</t>
  </si>
  <si>
    <t>Bishnupur Rural Municipality</t>
  </si>
  <si>
    <t>NogLGZQ1I7z</t>
  </si>
  <si>
    <t>Chhathar Rural Municipality</t>
  </si>
  <si>
    <t>dI5VI5aPpCi</t>
  </si>
  <si>
    <t>Tamakoshi Rural Municipality</t>
  </si>
  <si>
    <t>jvfjz5NZpl9</t>
  </si>
  <si>
    <t>Beldandi Rural Municipality</t>
  </si>
  <si>
    <t>SPjm5hlCj6f</t>
  </si>
  <si>
    <t>Jaundice</t>
  </si>
  <si>
    <t>Child's Condition</t>
  </si>
  <si>
    <t>Normal, Infection, Asphyxia, Handicap, Hypothermia, Jaundice, Other</t>
  </si>
  <si>
    <t>Wgh3WobxO4M</t>
  </si>
  <si>
    <t>Siyari Rural Municipality</t>
  </si>
  <si>
    <t>xVvL5Ufi4i9</t>
  </si>
  <si>
    <t>Walling Municipality</t>
  </si>
  <si>
    <t>vEpyts0hTID</t>
  </si>
  <si>
    <t>Positive</t>
  </si>
  <si>
    <t>WHOMCH RPR test</t>
  </si>
  <si>
    <t>Negative, Positive, Not Performed</t>
  </si>
  <si>
    <t>Oe0B6O1Wco9</t>
  </si>
  <si>
    <t>Tansen Municipality</t>
  </si>
  <si>
    <t>UXuds3DGWfB</t>
  </si>
  <si>
    <t>Induced Labor</t>
  </si>
  <si>
    <t>Labor Situation</t>
  </si>
  <si>
    <t>Spontaneous, Augmentation, Induced Labor</t>
  </si>
  <si>
    <t>zHJb8L2pCM4</t>
  </si>
  <si>
    <t>Baraha Pokhari Rural Municipality</t>
  </si>
  <si>
    <t>yeTU7UA4BSD</t>
  </si>
  <si>
    <t>होइन</t>
  </si>
  <si>
    <t>Anemia</t>
  </si>
  <si>
    <t>हो, होइन</t>
  </si>
  <si>
    <t>xHdjUAAVkNO</t>
  </si>
  <si>
    <t>Janak Nandini Rural Municipality</t>
  </si>
  <si>
    <t>FqHxO0QBl0q</t>
  </si>
  <si>
    <t>Jaimuni Municipality</t>
  </si>
  <si>
    <t>l4OwH0fAv5S</t>
  </si>
  <si>
    <t>Baraha Municipality</t>
  </si>
  <si>
    <t>xxlFceTVhzL</t>
  </si>
  <si>
    <t>Marshyangdi Rural Municipality</t>
  </si>
  <si>
    <t>XbYhwfG1W7m</t>
  </si>
  <si>
    <t>Bulingtar Rural Municipality</t>
  </si>
  <si>
    <t>KiPe6G4Zmew</t>
  </si>
  <si>
    <t>Dakshinkali Municipality</t>
  </si>
  <si>
    <t>l63ixpzUEwd</t>
  </si>
  <si>
    <t>JA25 Eclampsia</t>
  </si>
  <si>
    <t>ICD_SMP_PNC</t>
  </si>
  <si>
    <t>JA24 Pre-eclampsia, JA25 Eclampsia, JA43 Postpartum haemorrhage, JA43.0 Third-stage haemorrhage, JB40.0 Puerperal sepsis, JB40.1 Infection of obstetric surgical wound</t>
  </si>
  <si>
    <t>stOjGx8Z1EJ</t>
  </si>
  <si>
    <t>Chhayanath Rara Municipality</t>
  </si>
  <si>
    <t>rxGeXBceUoL</t>
  </si>
  <si>
    <t>Samsi Rural Municipality</t>
  </si>
  <si>
    <t>dUlY9hncbEw</t>
  </si>
  <si>
    <t>Shivaraj Municipality</t>
  </si>
  <si>
    <t>IsUhZYprLFL</t>
  </si>
  <si>
    <t>Shahid Lakhan Rural Municipality</t>
  </si>
  <si>
    <t>PYxIbiD03XU</t>
  </si>
  <si>
    <t>Rolpa Municipality</t>
  </si>
  <si>
    <t>RovJxA5q73u</t>
  </si>
  <si>
    <t>312 Makwanpur</t>
  </si>
  <si>
    <t>q7PdqRUZ16R</t>
  </si>
  <si>
    <t>VDRL</t>
  </si>
  <si>
    <t>RuzdxZAAlRl</t>
  </si>
  <si>
    <t>306 Kathmandu</t>
  </si>
  <si>
    <t>W0hgjze2UjR</t>
  </si>
  <si>
    <t>Tadi Rural Municipality</t>
  </si>
  <si>
    <t>WngWGRNje1l</t>
  </si>
  <si>
    <t>Sunchhahari Rural Municipality</t>
  </si>
  <si>
    <t>Ye7UKJQNlyq</t>
  </si>
  <si>
    <t>Rajapur Municipality</t>
  </si>
  <si>
    <t>GR1LaEjKxeT</t>
  </si>
  <si>
    <t>Darma Rural Municipality</t>
  </si>
  <si>
    <t>abXy9q4afMI</t>
  </si>
  <si>
    <t>Cesarean Section</t>
  </si>
  <si>
    <t>Delivery Type</t>
  </si>
  <si>
    <t>Normal/Vaginal, Forceps, Vaccum, Cesarean Section, Unknown</t>
  </si>
  <si>
    <t>WzNp4KGnBvM</t>
  </si>
  <si>
    <t>607 Jajarkot</t>
  </si>
  <si>
    <t>lLILcBF4Ezo</t>
  </si>
  <si>
    <t>Birth Type</t>
  </si>
  <si>
    <t>Singleton, Twin, Triplet, Others, Unknown</t>
  </si>
  <si>
    <t>GzV9KJVPeNv</t>
  </si>
  <si>
    <t>706 Doti</t>
  </si>
  <si>
    <t>niGn8YOlvoH</t>
  </si>
  <si>
    <t>Ishanath Municipality</t>
  </si>
  <si>
    <t>i6xjXgUUy5h</t>
  </si>
  <si>
    <t>410 Parbat</t>
  </si>
  <si>
    <t>NojPDebeaHa</t>
  </si>
  <si>
    <t>506 Palpa</t>
  </si>
  <si>
    <t>GhSydxDx1DM</t>
  </si>
  <si>
    <t>गरेको</t>
  </si>
  <si>
    <t>Pregnancy Check Protocol Wise</t>
  </si>
  <si>
    <t>गरेको, नगरेको</t>
  </si>
  <si>
    <t>pmQDnpEIEwj</t>
  </si>
  <si>
    <t>Bhajani Municipality</t>
  </si>
  <si>
    <t>WWIdM7E5Ok9</t>
  </si>
  <si>
    <t>ICD_SMP_ANCS</t>
  </si>
  <si>
    <t>JA01 Ectopic pregnancy, JA05 Complications following abortion, ectopic or molar pregnancy, JA24 Pre-eclampsia, JA25 Eclampsia, JA41 Antepartum haemorrhage, JA60.0 Mild hyperemesis gravidarum</t>
  </si>
  <si>
    <t>E4gAVdVz40t</t>
  </si>
  <si>
    <t>Nawadurga Rural Municipality</t>
  </si>
  <si>
    <t>SASwpi1X0xc</t>
  </si>
  <si>
    <t>Ganyapdhura Rural Municipality</t>
  </si>
  <si>
    <t>z3Iuiv0qbBS</t>
  </si>
  <si>
    <t>Banagad Kupinde Municipality</t>
  </si>
  <si>
    <t>Xx6siwuo3br</t>
  </si>
  <si>
    <t>Benighat Rorang Rural Municipality</t>
  </si>
  <si>
    <t>tMHRnSGrGpQ</t>
  </si>
  <si>
    <t>Barahatal Rural Municipality</t>
  </si>
  <si>
    <t>yxvjVYAp1Rk</t>
  </si>
  <si>
    <t>Hima Rural Municipality</t>
  </si>
  <si>
    <t>SDUORvbGi07</t>
  </si>
  <si>
    <t>Bishnu Rural Municipality</t>
  </si>
  <si>
    <t>tLyq7cwGtsH</t>
  </si>
  <si>
    <t>Dhorchaur Rural Municipality</t>
  </si>
  <si>
    <t>S6nAfRsfG24</t>
  </si>
  <si>
    <t>Aadarsha Rural Municipality</t>
  </si>
  <si>
    <t>ZYftGBmoTwm</t>
  </si>
  <si>
    <t>Duikholi Rural Municipality</t>
  </si>
  <si>
    <t>loiw33roQLJ</t>
  </si>
  <si>
    <t>छैन</t>
  </si>
  <si>
    <t>SMP-TD-TDVaccine</t>
  </si>
  <si>
    <t>छ, छैन</t>
  </si>
  <si>
    <t>kjsU2SdLW5l</t>
  </si>
  <si>
    <t>Lumbini Province</t>
  </si>
  <si>
    <t>Province</t>
  </si>
  <si>
    <t>Koshi Province, Madhesh Province, Bagmati Province, Gandaki Province, Lumbini Province, Karnali Province, Sudurpashchim Province</t>
  </si>
  <si>
    <t>EqHH8PSrwbW</t>
  </si>
  <si>
    <t>Kepilasgadhi Rural Municipality</t>
  </si>
  <si>
    <t>oKqy1ItS26X</t>
  </si>
  <si>
    <t>Gauriganj Rural Municipality</t>
  </si>
  <si>
    <t>jr710ld4l2E</t>
  </si>
  <si>
    <t>Kumakh Malika Rural Municipality</t>
  </si>
  <si>
    <t>SJ3szJutOyS</t>
  </si>
  <si>
    <t>Other paramedical personnel</t>
  </si>
  <si>
    <t>Delivery Person</t>
  </si>
  <si>
    <t>Layperson, Midwife, Not stated, Nurse, Other paramedical personnel, Physician, SBA</t>
  </si>
  <si>
    <t>lmZuPFTCo1a</t>
  </si>
  <si>
    <t>Mugumakarmarog Rural Municipality</t>
  </si>
  <si>
    <t>YGjAWd4KSyk</t>
  </si>
  <si>
    <t>Marma Rural Municipality</t>
  </si>
  <si>
    <t>DirADZjTCRh</t>
  </si>
  <si>
    <t>Chaudandigadhi Municipality</t>
  </si>
  <si>
    <t>FZDBURt5xG2</t>
  </si>
  <si>
    <t>3 मधेसी (३)</t>
  </si>
  <si>
    <t>GdhydesErYi</t>
  </si>
  <si>
    <t>सबै</t>
  </si>
  <si>
    <t>Swelling</t>
  </si>
  <si>
    <t>हात, मुख, खुट्टा, हात र खुट्टा, हात र मुख, मुख र खुट्टा, सबै</t>
  </si>
  <si>
    <t>Pp0wVgidLSP</t>
  </si>
  <si>
    <t>Bahragaun Muktikshetra Rural Municipality</t>
  </si>
  <si>
    <t>bTzJyMjjhev</t>
  </si>
  <si>
    <t>O+ve</t>
  </si>
  <si>
    <t>Blood Group</t>
  </si>
  <si>
    <t>A+ve, A-ve, B+ve, B-ve, O+ve, O-ve, AB+ve, AB-ve</t>
  </si>
  <si>
    <t>y8mZX259K7s</t>
  </si>
  <si>
    <t>Tripurasundari Rural Municipality</t>
  </si>
  <si>
    <t>lhTm8TyI5qi</t>
  </si>
  <si>
    <t>702 Bajhang</t>
  </si>
  <si>
    <t>AFeaoZjUsXc</t>
  </si>
  <si>
    <t>Bateshwor Rural Municipality</t>
  </si>
  <si>
    <t>XgTB9GpReG8</t>
  </si>
  <si>
    <t>Ghodaghodi Municipality</t>
  </si>
  <si>
    <t>JDGRQ3qkngt</t>
  </si>
  <si>
    <t>Ajirkot Rural Municipality</t>
  </si>
  <si>
    <t>Uk3yslBofmW</t>
  </si>
  <si>
    <t>503 Pyuthan</t>
  </si>
  <si>
    <t>jjwvS4nidCb</t>
  </si>
  <si>
    <t>Birtamod Municipality</t>
  </si>
  <si>
    <t>HAf5qWbBIWY</t>
  </si>
  <si>
    <t>Chandranagar Rural Municipality</t>
  </si>
  <si>
    <t>bCCD5qLqeGp</t>
  </si>
  <si>
    <t>Barekot Rural Municipality</t>
  </si>
  <si>
    <t>oUfi5AuX2no</t>
  </si>
  <si>
    <t>Banphikot Rural Municipality</t>
  </si>
  <si>
    <t>T066vAMK8pe</t>
  </si>
  <si>
    <t>Biruwa Rural Municipality</t>
  </si>
  <si>
    <t>llQ8zTkHA9m</t>
  </si>
  <si>
    <t>MmBdbelBhkW</t>
  </si>
  <si>
    <t>Isma Rural Municipality</t>
  </si>
  <si>
    <t>aUu1WR7nEAo</t>
  </si>
  <si>
    <t>Chainapur Municipality</t>
  </si>
  <si>
    <t>ejhd6XlDKhm</t>
  </si>
  <si>
    <t>Birendranagar Municipality</t>
  </si>
  <si>
    <t>fx2flt4WIyk</t>
  </si>
  <si>
    <t>Bansgadhi Municipality</t>
  </si>
  <si>
    <t>qd5aw1PQI95</t>
  </si>
  <si>
    <t>JB03 Long labour</t>
  </si>
  <si>
    <t>fGbtQYKIbwC</t>
  </si>
  <si>
    <t>Gujara Municipality</t>
  </si>
  <si>
    <t>AhdA3Lx65fB</t>
  </si>
  <si>
    <t>Ghiring Rural Municipality</t>
  </si>
  <si>
    <t>ZDD9HiyEsW9</t>
  </si>
  <si>
    <t>डिपो</t>
  </si>
  <si>
    <t>Family Planning</t>
  </si>
  <si>
    <t>आई. यु. सी. डी, इम्प्लान्ट, टयुबेक्टोमी, डिपो, सायना प्रेस, पिल्स</t>
  </si>
  <si>
    <t>YjkfsTWjdLO</t>
  </si>
  <si>
    <t>Ramdhuni Municipality</t>
  </si>
  <si>
    <t>xqmC1YOFa26</t>
  </si>
  <si>
    <t>JA24 Pre-eclampsia</t>
  </si>
  <si>
    <t>oHJnB3wdwQq</t>
  </si>
  <si>
    <t>छ</t>
  </si>
  <si>
    <t>SwellingCheck</t>
  </si>
  <si>
    <t>pp2NOUezHtT</t>
  </si>
  <si>
    <t>Bihadi Rural Municipality</t>
  </si>
  <si>
    <t>D9KSCMhhqic</t>
  </si>
  <si>
    <t>708 Kailali</t>
  </si>
  <si>
    <t>gezZJuyEHA0</t>
  </si>
  <si>
    <t>Chaurpati Rural Municipality</t>
  </si>
  <si>
    <t>C03grs7b6ia</t>
  </si>
  <si>
    <t>Bungdikali Rural Municipality</t>
  </si>
  <si>
    <t>lPdae5NXAUJ</t>
  </si>
  <si>
    <t>Stillbirth of unknown timing</t>
  </si>
  <si>
    <t>Outcome</t>
  </si>
  <si>
    <t>Live Born (Alive), Antepartum Stillbirth, Intrapartum Stillbirth, Stillbirth of unknown timing, Neonatal death, Miscarriage, Termination of pregnancy</t>
  </si>
  <si>
    <t>dbukoc9TvKf</t>
  </si>
  <si>
    <t>Khiji Demba Rural Municipality</t>
  </si>
  <si>
    <t>nH8ljXlRyYb</t>
  </si>
  <si>
    <t>Bhimeshwor Municipality</t>
  </si>
  <si>
    <t>WQEg4tItNSZ</t>
  </si>
  <si>
    <t>705 Dadeldhura</t>
  </si>
  <si>
    <t>iX4vTbsgedg</t>
  </si>
  <si>
    <t>Devghat Rural Municipality</t>
  </si>
  <si>
    <t>ck21XgpZ926</t>
  </si>
  <si>
    <t>Chhatrakot Rural Municipality</t>
  </si>
  <si>
    <t>mx12QvuhZwv</t>
  </si>
  <si>
    <t>Miklajung Rural Municipality</t>
  </si>
  <si>
    <t>oNGfKaLNt5T</t>
  </si>
  <si>
    <t>Rapti Sonari Rural Municipality</t>
  </si>
  <si>
    <t>TnWT5Dh2Z9B</t>
  </si>
  <si>
    <t>Baglung Municipality</t>
  </si>
  <si>
    <t>t8sgWivP3TA</t>
  </si>
  <si>
    <t>Mahakali Municipality</t>
  </si>
  <si>
    <t>IZHZBZFSVj5</t>
  </si>
  <si>
    <t>Chingad Rural Municipality</t>
  </si>
  <si>
    <t>Hw1Lkknqqto</t>
  </si>
  <si>
    <t>Mirchaiya Municipality</t>
  </si>
  <si>
    <t>UCCVSYxKJko</t>
  </si>
  <si>
    <t>Bhimphedi Rural Municipality</t>
  </si>
  <si>
    <t>dAoPcVZsdcH</t>
  </si>
  <si>
    <t>Non Reactive</t>
  </si>
  <si>
    <t>mCpwHhyRmuU</t>
  </si>
  <si>
    <t>Garuda Municipality</t>
  </si>
  <si>
    <t>cbFzUVaCXtK</t>
  </si>
  <si>
    <t>Madhyapur Thimi Municipality</t>
  </si>
  <si>
    <t>ETRgUeBxXL3</t>
  </si>
  <si>
    <t>Not stated</t>
  </si>
  <si>
    <t>YCgsKGx4fgF</t>
  </si>
  <si>
    <t>सुत्केरी अवस्था</t>
  </si>
  <si>
    <t>Situation_Mother'sDeath</t>
  </si>
  <si>
    <t>गर्भावस्था, प्रसूति अवस्था, सुत्केरी अवस्था</t>
  </si>
  <si>
    <t>RXMvFb38JIP</t>
  </si>
  <si>
    <t>Yasodhara Rural Municipality</t>
  </si>
  <si>
    <t>RbHr5E1j90s</t>
  </si>
  <si>
    <t>Manara Shisawa Municipality</t>
  </si>
  <si>
    <t>KPuqtsRrK8P</t>
  </si>
  <si>
    <t>Adanchuli Rural Municipality</t>
  </si>
  <si>
    <t>da1X0ObWb1q</t>
  </si>
  <si>
    <t>Bhagawanpur Rural Municipality</t>
  </si>
  <si>
    <t>OsHO7bWeDUS</t>
  </si>
  <si>
    <t>Neshang Rural Municipality</t>
  </si>
  <si>
    <t>RaUrUv4LxpR</t>
  </si>
  <si>
    <t>Kalinchowk Rural Municipality</t>
  </si>
  <si>
    <t>KiIRN6PJvZy</t>
  </si>
  <si>
    <t>z947RHcjLSb</t>
  </si>
  <si>
    <t>Janaki Rural Municipality</t>
  </si>
  <si>
    <t>fusnXaYTeeH</t>
  </si>
  <si>
    <t>CB2Cw9PwiS8</t>
  </si>
  <si>
    <t>Sarawal Rural Municipality</t>
  </si>
  <si>
    <t>bsZnG2ZVT7x</t>
  </si>
  <si>
    <t>Lisankhu Pakhar Rural Municipality</t>
  </si>
  <si>
    <t>SmJaSjPiXJh</t>
  </si>
  <si>
    <t>Melauli Municipality</t>
  </si>
  <si>
    <t>dlyrtkRPcDP</t>
  </si>
  <si>
    <t>A-ve</t>
  </si>
  <si>
    <t>Y7dDL783Lk8</t>
  </si>
  <si>
    <t>Tribeni Municipality</t>
  </si>
  <si>
    <t>hIoNZUebKaw</t>
  </si>
  <si>
    <t>Breech</t>
  </si>
  <si>
    <t>SMP-D-Baby_Presentation</t>
  </si>
  <si>
    <t>None, Cephalic, Breech, Shoulder</t>
  </si>
  <si>
    <t>N8TRVTpPT5h</t>
  </si>
  <si>
    <t>Shuklaphanta Municipality</t>
  </si>
  <si>
    <t>XILs9pgvQdy</t>
  </si>
  <si>
    <t>Bhairabi Rural Municipality</t>
  </si>
  <si>
    <t>AA33oXfJmSA</t>
  </si>
  <si>
    <t>Ilam Municipality</t>
  </si>
  <si>
    <t>ylznT34EsMJ</t>
  </si>
  <si>
    <t>Rainas Municipality</t>
  </si>
  <si>
    <t>E8TR1Jk4nn1</t>
  </si>
  <si>
    <t>JA01 Ectopic pregnancy</t>
  </si>
  <si>
    <t>vTydWx0krBR</t>
  </si>
  <si>
    <t>Falelung Rural Municipality</t>
  </si>
  <si>
    <t>PQ52Bw1wZeK</t>
  </si>
  <si>
    <t>Sulikot Rural Municipality</t>
  </si>
  <si>
    <t>LbgLGRhEtHR</t>
  </si>
  <si>
    <t>Baganaskali Rural Municipality</t>
  </si>
  <si>
    <t>zCfBBI72uLm</t>
  </si>
  <si>
    <t>ICD_SMP_Deliveries</t>
  </si>
  <si>
    <t>JA24 Pre-eclampsia, JA25 Eclampsia, JB03 Long labour, JB06 Obstructed labour due to other causes, JB0A.1 Rupture of uterus during labour, JB0Y Other specified complications of labour or delivery</t>
  </si>
  <si>
    <t>y2SObl0soIM</t>
  </si>
  <si>
    <t>Ichchha Kamana Rural Municipality</t>
  </si>
  <si>
    <t>wNJwISqrNw4</t>
  </si>
  <si>
    <t>Mangalsen Municipality</t>
  </si>
  <si>
    <t>e2MDx3rpwfX</t>
  </si>
  <si>
    <t>Dhobini Rural Municipality</t>
  </si>
  <si>
    <t>YWRczShGIKH</t>
  </si>
  <si>
    <t>Barju Rural Municipality</t>
  </si>
  <si>
    <t>pgP9oMZb94p</t>
  </si>
  <si>
    <t>Jhapa Rural Municipality</t>
  </si>
  <si>
    <t>I3qFArkqOdS</t>
  </si>
  <si>
    <t>Jitpur Simara Sub-Metropolitian City</t>
  </si>
  <si>
    <t>yOwkSWC5PQP</t>
  </si>
  <si>
    <t>Duduwa Rural Municipality</t>
  </si>
  <si>
    <t>UNNNBEiJvqf</t>
  </si>
  <si>
    <t>606 Dailekh</t>
  </si>
  <si>
    <t>igpB9yymbMo</t>
  </si>
  <si>
    <t>Budhiganga Rural Municipality</t>
  </si>
  <si>
    <t>SMwSDLty3xy</t>
  </si>
  <si>
    <t>पुगेको (&gt;३७ हप्ता)</t>
  </si>
  <si>
    <t>Duration</t>
  </si>
  <si>
    <t>पुगेको (&gt;३७ हप्ता), नपुगेको (&lt; = ३७ हप्ता)</t>
  </si>
  <si>
    <t>eoT37lqiJgl</t>
  </si>
  <si>
    <t>Khairahani Municipality</t>
  </si>
  <si>
    <t>bffH5LCX5WJ</t>
  </si>
  <si>
    <t>Pheta Rural Municipality</t>
  </si>
  <si>
    <t>XHkHQmyae2u</t>
  </si>
  <si>
    <t>Binayi Tribeni Rural Municipality</t>
  </si>
  <si>
    <t>ukLoKfne3aq</t>
  </si>
  <si>
    <t>Sainamaina Municipality</t>
  </si>
  <si>
    <t>FfWZp2RaX5b</t>
  </si>
  <si>
    <t>Sunapati Rural Municipality</t>
  </si>
  <si>
    <t>c9dmVK0aoLe</t>
  </si>
  <si>
    <t>Tarakeshwor Rural Municipality</t>
  </si>
  <si>
    <t>iAS9EFPLhUq</t>
  </si>
  <si>
    <t>Urlabari Municipality</t>
  </si>
  <si>
    <t>M4K5Zyh2Tnz</t>
  </si>
  <si>
    <t>B-ve</t>
  </si>
  <si>
    <t>pNdAhbLMqye</t>
  </si>
  <si>
    <t>Sonama Rural Municipality</t>
  </si>
  <si>
    <t>QdWmPnBUuTE</t>
  </si>
  <si>
    <t>Udayapurgadhi Rural Municipality</t>
  </si>
  <si>
    <t>LiAKjYTKaXI</t>
  </si>
  <si>
    <t>Hilihan Rural Municipality</t>
  </si>
  <si>
    <t>HYkpSAefKJ9</t>
  </si>
  <si>
    <t>Maharajganj Municipality</t>
  </si>
  <si>
    <t>JqL7ztZIayG</t>
  </si>
  <si>
    <t>Chumanubri Rural Municipality</t>
  </si>
  <si>
    <t>DB1PCBxNcFQ</t>
  </si>
  <si>
    <t>Chure Rural Municipality</t>
  </si>
  <si>
    <t>kUDjwWiE3HL</t>
  </si>
  <si>
    <t>Galchhi Rural Municipality</t>
  </si>
  <si>
    <t>qPyoxwZK5Zk</t>
  </si>
  <si>
    <t>d2pWANWy2uY</t>
  </si>
  <si>
    <t>None</t>
  </si>
  <si>
    <t>f6zr99LuJp6</t>
  </si>
  <si>
    <t>Naraphu Rural Municipality</t>
  </si>
  <si>
    <t>xim19N6C5lC</t>
  </si>
  <si>
    <t>202 Siraha</t>
  </si>
  <si>
    <t>NHcpA7Gukhi</t>
  </si>
  <si>
    <t>Itahari Sub-Metropolitian City</t>
  </si>
  <si>
    <t>lojSOFZ3JVj</t>
  </si>
  <si>
    <t>Bhokraha Rural Municipality</t>
  </si>
  <si>
    <t>UcQs1wpTn7X</t>
  </si>
  <si>
    <t>108 Terhathum</t>
  </si>
  <si>
    <t>ajCrTaA6Dki</t>
  </si>
  <si>
    <t>Godawari Municipality</t>
  </si>
  <si>
    <t>rnt4qNoe9o6</t>
  </si>
  <si>
    <t>Kalika Municipality</t>
  </si>
  <si>
    <t>wvOnHOsbQcV</t>
  </si>
  <si>
    <t>Chhededaha Rural Municipality</t>
  </si>
  <si>
    <t>v4HYqaIfW1c</t>
  </si>
  <si>
    <t>Dharche Rural Municipality</t>
  </si>
  <si>
    <t>is0mLC9DDKF</t>
  </si>
  <si>
    <t>Khandadevi Rural Municipality</t>
  </si>
  <si>
    <t>DHKIF8CCKtn</t>
  </si>
  <si>
    <t>Rubi Valley Rural Municipality</t>
  </si>
  <si>
    <t>EydQRn8YGkO</t>
  </si>
  <si>
    <t>Lungri Rural Municipality</t>
  </si>
  <si>
    <t>lueviwKfaZu</t>
  </si>
  <si>
    <t>स्वास्थ्य संस्था</t>
  </si>
  <si>
    <t>S7p0RMtNt5d</t>
  </si>
  <si>
    <t>709 Kanchanpur</t>
  </si>
  <si>
    <t>FEaCcqaomTg</t>
  </si>
  <si>
    <t>Yamunamai Rural Municipality</t>
  </si>
  <si>
    <t>e0L54G96FZV</t>
  </si>
  <si>
    <t>608 Rukum West</t>
  </si>
  <si>
    <t>sk2a2fxTfNt</t>
  </si>
  <si>
    <t>Devtal Rural Municipality</t>
  </si>
  <si>
    <t>LXFjfaP38O0</t>
  </si>
  <si>
    <t>107 Dhankuta</t>
  </si>
  <si>
    <t>SdYVHsdUV2P</t>
  </si>
  <si>
    <t>Ramechhap Municipality</t>
  </si>
  <si>
    <t>Q1sAlQJogGA</t>
  </si>
  <si>
    <t>Musikot Municipality</t>
  </si>
  <si>
    <t>ok2lFN9tdZo</t>
  </si>
  <si>
    <t>Mathagadhi Rural Municipality</t>
  </si>
  <si>
    <t>hOYSiF7RRa4</t>
  </si>
  <si>
    <t>Twin</t>
  </si>
  <si>
    <t>f3a1w98JkXe</t>
  </si>
  <si>
    <t>Kaudena Rural Municipality</t>
  </si>
  <si>
    <t>IiShm6nDSZ1</t>
  </si>
  <si>
    <t>Haldibari Rural Municipality</t>
  </si>
  <si>
    <t>XpYl4U2CO1w</t>
  </si>
  <si>
    <t>Meringden Rural Municipality</t>
  </si>
  <si>
    <t>RP36LcMxknV</t>
  </si>
  <si>
    <t>Jayaprithbi Municipality</t>
  </si>
  <si>
    <t>QOvATUM9LUQ</t>
  </si>
  <si>
    <t>Miscarriage</t>
  </si>
  <si>
    <t>aT1C1NNkVEY</t>
  </si>
  <si>
    <t>Khadak Municipality</t>
  </si>
  <si>
    <t>KG13hsclCbw</t>
  </si>
  <si>
    <t>Sanibheri Rural Municipality</t>
  </si>
  <si>
    <t>KfybSQzGq5L</t>
  </si>
  <si>
    <t>Siranchowk Rural Municipality</t>
  </si>
  <si>
    <t>jEbmraXMr67</t>
  </si>
  <si>
    <t>Laxmipur Patari Rural Municipality</t>
  </si>
  <si>
    <t>YDu6Paa8LOB</t>
  </si>
  <si>
    <t>507 Nawalparasi West</t>
  </si>
  <si>
    <t>T3zCMPkpeCX</t>
  </si>
  <si>
    <t>Haripurwa Municipality</t>
  </si>
  <si>
    <t>Vj0uc6QZiPV</t>
  </si>
  <si>
    <t>Narainapur Rural Municipality</t>
  </si>
  <si>
    <t>Uh4Yjz8Hlz0</t>
  </si>
  <si>
    <t>Makalu Rural Municipality</t>
  </si>
  <si>
    <t>VpqBmCuLNwb</t>
  </si>
  <si>
    <t>Shadananda Municipality</t>
  </si>
  <si>
    <t>JAQVMpsaHam</t>
  </si>
  <si>
    <t>Purbakhola Rural Municipality</t>
  </si>
  <si>
    <t>jZqzpNiBm2Z</t>
  </si>
  <si>
    <t>Bhoome Rural Municipality</t>
  </si>
  <si>
    <t>uJbfzwhU3dQ</t>
  </si>
  <si>
    <t>Rambha Rural Municipality</t>
  </si>
  <si>
    <t>PCnhImdVxz9</t>
  </si>
  <si>
    <t>Ishworpur Municipality</t>
  </si>
  <si>
    <t>tx5tn7QNHob</t>
  </si>
  <si>
    <t>703 Darchula</t>
  </si>
  <si>
    <t>UVHAjrx7tCk</t>
  </si>
  <si>
    <t>Panchakhapan Municipality</t>
  </si>
  <si>
    <t>nyOinVCU7vX</t>
  </si>
  <si>
    <t>Shailung Rural Municipality</t>
  </si>
  <si>
    <t>AZcogwTHaNJ</t>
  </si>
  <si>
    <t>Pipara Rural Municipality</t>
  </si>
  <si>
    <t>NcVZF1ekKdp</t>
  </si>
  <si>
    <t>Khumbu Pasanglhamu Rural Municipality</t>
  </si>
  <si>
    <t>NdtzGdvNgUE</t>
  </si>
  <si>
    <t>407 Tanahu</t>
  </si>
  <si>
    <t>eeJohWg5B1D</t>
  </si>
  <si>
    <t>Parsa Rural Municipality</t>
  </si>
  <si>
    <t>RR2rEd1m9De</t>
  </si>
  <si>
    <t>Spontaneous</t>
  </si>
  <si>
    <t>HkFuwcHtutO</t>
  </si>
  <si>
    <t>Siraha Municipality</t>
  </si>
  <si>
    <t>d1JI7XiR09V</t>
  </si>
  <si>
    <t>Mandavi Rural Municipality</t>
  </si>
  <si>
    <t>ZhbJg8PM2ZH</t>
  </si>
  <si>
    <t>Kamala Municipality</t>
  </si>
  <si>
    <t>sEjdq4wUJip</t>
  </si>
  <si>
    <t>203 Dhanusa</t>
  </si>
  <si>
    <t>a2LkZvqcTyR</t>
  </si>
  <si>
    <t>Tribeni Rural Municipality</t>
  </si>
  <si>
    <t>nyeQIdwMBkZ</t>
  </si>
  <si>
    <t>JA43 Postpartum haemorrhage</t>
  </si>
  <si>
    <t>O0sBeSCxaQl</t>
  </si>
  <si>
    <t>LWuqWiHuOJT</t>
  </si>
  <si>
    <t>आमा</t>
  </si>
  <si>
    <t>GTkG6Anx7hq</t>
  </si>
  <si>
    <t>Mahakulung Rural Municipality</t>
  </si>
  <si>
    <t>iDufSVpdcup</t>
  </si>
  <si>
    <t>Mayadevi Rural Municipality</t>
  </si>
  <si>
    <t>gY6LypsDS8q</t>
  </si>
  <si>
    <t>Nagarjun Municipality</t>
  </si>
  <si>
    <t>qL4GHJE3CnQ</t>
  </si>
  <si>
    <t>Infection</t>
  </si>
  <si>
    <t>EpRvQ984Z73</t>
  </si>
  <si>
    <t>Runtigadhi Rural Municipality</t>
  </si>
  <si>
    <t>pvj9yEbtAni</t>
  </si>
  <si>
    <t>Sinja Rural Municipality</t>
  </si>
  <si>
    <t>KVD8ZfM9wJy</t>
  </si>
  <si>
    <t>Other</t>
  </si>
  <si>
    <t>baOS7lB4E6R</t>
  </si>
  <si>
    <t>Mithila Bihari Municipality</t>
  </si>
  <si>
    <t>zKgno3TnMe5</t>
  </si>
  <si>
    <t>Mudkechula Rural Municipality</t>
  </si>
  <si>
    <t>k5BPtdzejZM</t>
  </si>
  <si>
    <t>Handicap</t>
  </si>
  <si>
    <t>BnUgUaefXDw</t>
  </si>
  <si>
    <t>Resunga Municipality</t>
  </si>
  <si>
    <t>u7i3R1bQ0fF</t>
  </si>
  <si>
    <t>Gorkha Municipality</t>
  </si>
  <si>
    <t>ofSoKmdNDfN</t>
  </si>
  <si>
    <t>Baitedhar Rural Municipality</t>
  </si>
  <si>
    <t>Ep8b7OPXSYz</t>
  </si>
  <si>
    <t>Mahottari Rural Municipality</t>
  </si>
  <si>
    <t>IxPKBH2vEhc</t>
  </si>
  <si>
    <t>Bagmati Municipality</t>
  </si>
  <si>
    <t>M8JH0tNliUn</t>
  </si>
  <si>
    <t>Sukidaha Rural Municipality</t>
  </si>
  <si>
    <t>tKclI5Qs8KB</t>
  </si>
  <si>
    <t>Belhi Chapena Rural Municipality</t>
  </si>
  <si>
    <t>qYnU7jbVwu1</t>
  </si>
  <si>
    <t>Bardagoriya Rural Municipality</t>
  </si>
  <si>
    <t>Xi1zXdCpXy4</t>
  </si>
  <si>
    <t>Dhudha Koushika Rural Municipality</t>
  </si>
  <si>
    <t>wFmuUvqane5</t>
  </si>
  <si>
    <t>510 Dang</t>
  </si>
  <si>
    <t>dkunQANBrkN</t>
  </si>
  <si>
    <t>Malika Rural Municipality</t>
  </si>
  <si>
    <t>pQILb3EFAOM</t>
  </si>
  <si>
    <t>Pakhribas Municipality</t>
  </si>
  <si>
    <t>p5BNYjM6O6t</t>
  </si>
  <si>
    <t>Simroungadh Municipality</t>
  </si>
  <si>
    <t>BgJkE8Z3tME</t>
  </si>
  <si>
    <t>Dhawalagiri Rural Municipality</t>
  </si>
  <si>
    <t>LupwSzyyrsF</t>
  </si>
  <si>
    <t>Palata Rural Municipality</t>
  </si>
  <si>
    <t>DZGCXGDtDxQ</t>
  </si>
  <si>
    <t>JA41 Antepartum haemorrhage</t>
  </si>
  <si>
    <t>GEbeStgBbe4</t>
  </si>
  <si>
    <t>Kankai Municipality</t>
  </si>
  <si>
    <t>GxblPUKs2a6</t>
  </si>
  <si>
    <t>Parawanipur Rural Municipality</t>
  </si>
  <si>
    <t>lwCKPz2WyaG</t>
  </si>
  <si>
    <t>JB06 Obstructed labour due to other causes</t>
  </si>
  <si>
    <t>K6ND4zXqbpw</t>
  </si>
  <si>
    <t>409 Syangja</t>
  </si>
  <si>
    <t>uHp6B3LqCBb</t>
  </si>
  <si>
    <t>707 Achham</t>
  </si>
  <si>
    <t>OthT440UB56</t>
  </si>
  <si>
    <t>Buddhashanti Rural Municipality</t>
  </si>
  <si>
    <t>MF7jOJr4XaA</t>
  </si>
  <si>
    <t>Belaka Municipality</t>
  </si>
  <si>
    <t>g2kdhzLm7Bm</t>
  </si>
  <si>
    <t>601 Dolpa</t>
  </si>
  <si>
    <t>cbrawb3sItt</t>
  </si>
  <si>
    <t>Bahudarmai Municipality</t>
  </si>
  <si>
    <t>qYMrilQSJE2</t>
  </si>
  <si>
    <t>Satyawoti Rural Municipality</t>
  </si>
  <si>
    <t>f4c0csFW1m6</t>
  </si>
  <si>
    <t>112 Morang</t>
  </si>
  <si>
    <t>cZcg8ieuuAE</t>
  </si>
  <si>
    <t>Balawa Municipality</t>
  </si>
  <si>
    <t>GCuOB755yxf</t>
  </si>
  <si>
    <t>Transit</t>
  </si>
  <si>
    <t>Death_Place</t>
  </si>
  <si>
    <t>SlgnilEKdAq</t>
  </si>
  <si>
    <t>Phaktanlung Rural Municipality</t>
  </si>
  <si>
    <t>BN6KeZPtfim</t>
  </si>
  <si>
    <t>Khotehang Rural Municipality</t>
  </si>
  <si>
    <t>RejB3Rwk0eW</t>
  </si>
  <si>
    <t>Balan-Bihul Rural Municipality</t>
  </si>
  <si>
    <t>Z1qyXDIIeHG</t>
  </si>
  <si>
    <t>Jaljala Rural Municipality</t>
  </si>
  <si>
    <t>dl8V6GxWW1c</t>
  </si>
  <si>
    <t>Naukunda Rural Municipality</t>
  </si>
  <si>
    <t>DMTUQoDPL0X</t>
  </si>
  <si>
    <t>Bheri Malika Municipality</t>
  </si>
  <si>
    <t>HaPELKxqm7N</t>
  </si>
  <si>
    <t>Inaruwa Municipality</t>
  </si>
  <si>
    <t>TASoAHhRkQF</t>
  </si>
  <si>
    <t>Aarughat Rural Municipality</t>
  </si>
  <si>
    <t>Xo8NW8kWWo2</t>
  </si>
  <si>
    <t>Damak Municipality</t>
  </si>
  <si>
    <t>Q0ZMY0cF3OL</t>
  </si>
  <si>
    <t>EUS64QZ6ZA6</t>
  </si>
  <si>
    <t>Diprung Rural Municipality</t>
  </si>
  <si>
    <t>VWTiKhtf1uT</t>
  </si>
  <si>
    <t>Nepalganj Sub-Metropolitian City</t>
  </si>
  <si>
    <t>cHNIkKJMT7i</t>
  </si>
  <si>
    <t>Bhimdatta Municipality</t>
  </si>
  <si>
    <t>HtRPkdNqaez</t>
  </si>
  <si>
    <t>Punarbas Municipality</t>
  </si>
  <si>
    <t>LLCBxwWCazW</t>
  </si>
  <si>
    <t>Offered a choice of management a chooses induction with vaginal PGE2</t>
  </si>
  <si>
    <t>PROM Management</t>
  </si>
  <si>
    <t>Not offered a choice of management, Offered a choice of management a chooses induction with vaginal PGE2, Offered a choice of management and chooses expectant management</t>
  </si>
  <si>
    <t>BaCs6x5jTLo</t>
  </si>
  <si>
    <t>Surunga Municipality</t>
  </si>
  <si>
    <t>BkO8zUrY7zo</t>
  </si>
  <si>
    <t>Ruru Rural Municipality</t>
  </si>
  <si>
    <t>hKjiDJngQQS</t>
  </si>
  <si>
    <t>Reactive</t>
  </si>
  <si>
    <t>vzEyMhQkSaI</t>
  </si>
  <si>
    <t>Chichila Rural Municipality</t>
  </si>
  <si>
    <t>Nhjqa46sor1</t>
  </si>
  <si>
    <t>Aatharai Rural Municipality</t>
  </si>
  <si>
    <t>FCW0EGpn8MS</t>
  </si>
  <si>
    <t>Tinau Rural Municipality</t>
  </si>
  <si>
    <t>cSH5MTvPeKh</t>
  </si>
  <si>
    <t>WwEst7h1joZ</t>
  </si>
  <si>
    <t>Mahankal Rural Municipality</t>
  </si>
  <si>
    <t>vuTkQhqxQ5h</t>
  </si>
  <si>
    <t>Aiselukharka Rural Municipality</t>
  </si>
  <si>
    <t>DHsHGmuz5VE</t>
  </si>
  <si>
    <t>301 Dolakha</t>
  </si>
  <si>
    <t>zTd6vLumEfG</t>
  </si>
  <si>
    <t>405 Kaski</t>
  </si>
  <si>
    <t>U3mvAcyAlUi</t>
  </si>
  <si>
    <t>610 Surkhet</t>
  </si>
  <si>
    <t>cyUFlb08WMt</t>
  </si>
  <si>
    <t>Bhangaha Municipality</t>
  </si>
  <si>
    <t>iQlQehNOU5W</t>
  </si>
  <si>
    <t>Meghang Rural Municipality</t>
  </si>
  <si>
    <t>rPQcWXJiLi6</t>
  </si>
  <si>
    <t>Thaha Municipality</t>
  </si>
  <si>
    <t>f2MoDGu2V3c</t>
  </si>
  <si>
    <t>Joshipur Rural Municipality</t>
  </si>
  <si>
    <t>GW4KBJzvFQE</t>
  </si>
  <si>
    <t>पुरुष</t>
  </si>
  <si>
    <t>Gender</t>
  </si>
  <si>
    <t>पुरुष, महिला</t>
  </si>
  <si>
    <t>r0b2ycPRekw</t>
  </si>
  <si>
    <t>Susta Rural Municipality</t>
  </si>
  <si>
    <t>UTE0CJQB1nC</t>
  </si>
  <si>
    <t>Bhaktapur Municipality</t>
  </si>
  <si>
    <t>qAGPiC7BEmm</t>
  </si>
  <si>
    <t>Augmentation</t>
  </si>
  <si>
    <t>v7TU2k1Juw5</t>
  </si>
  <si>
    <t>Paiyu Rural Municipality</t>
  </si>
  <si>
    <t>OgiRQ7vh0D8</t>
  </si>
  <si>
    <t>305 Nuwakot</t>
  </si>
  <si>
    <t>Huy0Hxb2eAR</t>
  </si>
  <si>
    <t>K2bWL2DJBIp</t>
  </si>
  <si>
    <t>Mai Jogmai Rural Municipality</t>
  </si>
  <si>
    <t>RN9tr2vo1dz</t>
  </si>
  <si>
    <t>Likhu Rural Municipality</t>
  </si>
  <si>
    <t>V4r1YmLPZp5</t>
  </si>
  <si>
    <t>411 Baglung</t>
  </si>
  <si>
    <t>PilmOKdJCTl</t>
  </si>
  <si>
    <t>A+ve</t>
  </si>
  <si>
    <t>wMFG67gJCgh</t>
  </si>
  <si>
    <t>Ram Gopalpur Municipality</t>
  </si>
  <si>
    <t>KkN1Qi8wdZo</t>
  </si>
  <si>
    <t>Bandipur Rural Municipality</t>
  </si>
  <si>
    <t>jxQLHGKTH3U</t>
  </si>
  <si>
    <t>इम्प्लान्ट</t>
  </si>
  <si>
    <t>dC6tl9prtWA</t>
  </si>
  <si>
    <t>208 Parsa</t>
  </si>
  <si>
    <t>hGRVZe56VxM</t>
  </si>
  <si>
    <t>Bhimsen Rural Municipality</t>
  </si>
  <si>
    <t>yqdkPcj7Fx5</t>
  </si>
  <si>
    <t>Dhangadhi Sub-Metropolitian City</t>
  </si>
  <si>
    <t>IBf0GO8DlVt</t>
  </si>
  <si>
    <t>होईन</t>
  </si>
  <si>
    <t>Albendazole</t>
  </si>
  <si>
    <t>हो, होईन</t>
  </si>
  <si>
    <t>iLC6aDEnSg9</t>
  </si>
  <si>
    <t>4 मुस्लिम (४)</t>
  </si>
  <si>
    <t>iilRSMCmFGm</t>
  </si>
  <si>
    <t>जटिल</t>
  </si>
  <si>
    <t>Choose Condition</t>
  </si>
  <si>
    <t>समान्य, जटिल</t>
  </si>
  <si>
    <t>TVrO3iA7eWh</t>
  </si>
  <si>
    <t>Normal/Vaginal</t>
  </si>
  <si>
    <t>Mode of delivery</t>
  </si>
  <si>
    <t>Normal/Vaginal, Forceps, Vaccum, C-Section, Unknown</t>
  </si>
  <si>
    <t>lTLnpFKIbYE</t>
  </si>
  <si>
    <t>Ramnagar Rural Municipality</t>
  </si>
  <si>
    <t>TmrhmXuavPj</t>
  </si>
  <si>
    <t>Dudhapokhari Rural Municipality</t>
  </si>
  <si>
    <t>jNxvACSO6v7</t>
  </si>
  <si>
    <t>114 Udayapur</t>
  </si>
  <si>
    <t>xbCQSCZNinF</t>
  </si>
  <si>
    <t>310 Ramechhap</t>
  </si>
  <si>
    <t>kzYuo3NBbjs</t>
  </si>
  <si>
    <t>Tarakhola Rural Municipality</t>
  </si>
  <si>
    <t>PL7zjAVdptV</t>
  </si>
  <si>
    <t>Sundarbazar Municipality</t>
  </si>
  <si>
    <t>MAoc83wJg5z</t>
  </si>
  <si>
    <t>xqcjXq9affu</t>
  </si>
  <si>
    <t>Nurse</t>
  </si>
  <si>
    <t>aiY3tqum3Ef</t>
  </si>
  <si>
    <t>Ratnanagar Municipality</t>
  </si>
  <si>
    <t>FaK89JV1yhV</t>
  </si>
  <si>
    <t>Champadevi Rural Municipality</t>
  </si>
  <si>
    <t>PWEX6dI1jaQ</t>
  </si>
  <si>
    <t>Bagmati Rural Municipality</t>
  </si>
  <si>
    <t>rdWV2Hti7Y0</t>
  </si>
  <si>
    <t>Myanglung Municipality</t>
  </si>
  <si>
    <t>EXW2mIqRpTa</t>
  </si>
  <si>
    <t>704 Baitadi</t>
  </si>
  <si>
    <t>zzbjynluaR6</t>
  </si>
  <si>
    <t>गर्भावस्था</t>
  </si>
  <si>
    <t>pbFX2GTJ4Ae</t>
  </si>
  <si>
    <t>Chhathar Jorpati Rural Municipality</t>
  </si>
  <si>
    <t>frWsH2twBFr</t>
  </si>
  <si>
    <t>Dungeshwor Rural Municipality</t>
  </si>
  <si>
    <t>HRllJaF82m2</t>
  </si>
  <si>
    <t>Nq5P8pFWjbI</t>
  </si>
  <si>
    <t>Chaubise Rural Municipality</t>
  </si>
  <si>
    <t>PXd3kacKBcx</t>
  </si>
  <si>
    <t>GLBEvvxdS0N</t>
  </si>
  <si>
    <t>Dipayal Silgadhi Municipality</t>
  </si>
  <si>
    <t>tTNaukMxay4</t>
  </si>
  <si>
    <t>Nilkhantha Municipality</t>
  </si>
  <si>
    <t>GMPtY5DHJGQ</t>
  </si>
  <si>
    <t>Wh5K2bLNVx9</t>
  </si>
  <si>
    <t>Bhanu Municipality</t>
  </si>
  <si>
    <t>cTwddHDIkjo</t>
  </si>
  <si>
    <t>Bhagawatimai Rural Municipality</t>
  </si>
  <si>
    <t>Wxh1lFsfdob</t>
  </si>
  <si>
    <t>Referred out</t>
  </si>
  <si>
    <t>PX1j1mssCEz</t>
  </si>
  <si>
    <t>Died</t>
  </si>
  <si>
    <t>NzBTd4FU15D</t>
  </si>
  <si>
    <t>Thantikandh Rural Municipality</t>
  </si>
  <si>
    <t>hvVRDJwKz1G</t>
  </si>
  <si>
    <t>Turmakhand Rural Municipality</t>
  </si>
  <si>
    <t>JOSf7PtWj97</t>
  </si>
  <si>
    <t>Tripurasundari Municipality</t>
  </si>
  <si>
    <t>OQuUAuDc0Di</t>
  </si>
  <si>
    <t>Gharpajhong Rural Municipality</t>
  </si>
  <si>
    <t>YMtmA7Vd8ex</t>
  </si>
  <si>
    <t>Saptakoshi Municipality</t>
  </si>
  <si>
    <t>pbPwC7Et4Ym</t>
  </si>
  <si>
    <t>LAMA</t>
  </si>
  <si>
    <t>Qqbc3MpwJb3</t>
  </si>
  <si>
    <t>Bhotkhola Rural Municipality</t>
  </si>
  <si>
    <t>D5K3HojWYij</t>
  </si>
  <si>
    <t>Parashuram Municipality</t>
  </si>
  <si>
    <t>y78ktbuZhcz</t>
  </si>
  <si>
    <t>Doramba Rural Municipality</t>
  </si>
  <si>
    <t>TLtbaZgYtiR</t>
  </si>
  <si>
    <t>JB0Y Other specified complications of labour or delivery</t>
  </si>
  <si>
    <t>CLyOZPVChsj</t>
  </si>
  <si>
    <t>Shantinagar Rural Municipality</t>
  </si>
  <si>
    <t>tZsWdkWg7CP</t>
  </si>
  <si>
    <t>Shankharapur Municipality</t>
  </si>
  <si>
    <t>Rwi4EoBfT8Q</t>
  </si>
  <si>
    <t>Mellekh Rural Municipality</t>
  </si>
  <si>
    <t>x9WUc81aPHb</t>
  </si>
  <si>
    <t>Sammarimai Rural Municipality</t>
  </si>
  <si>
    <t>m0kT9vIA9c3</t>
  </si>
  <si>
    <t>Tyamke Maiyum Rural Municipality</t>
  </si>
  <si>
    <t>bYWkWoB2JcS</t>
  </si>
  <si>
    <t>Mahabu Rural Municipality</t>
  </si>
  <si>
    <t>cYFbMAiC24i</t>
  </si>
  <si>
    <t>6 अन्य (६)</t>
  </si>
  <si>
    <t>hQZBYwJtQpm</t>
  </si>
  <si>
    <t>Devdaha Municipality</t>
  </si>
  <si>
    <t>QfEgOAwBpzL</t>
  </si>
  <si>
    <t>Balephi Rural Municipality</t>
  </si>
  <si>
    <t>mRDxHuVyq8t</t>
  </si>
  <si>
    <t>Laligurans Municipality</t>
  </si>
  <si>
    <t>tFMcEFwylqq</t>
  </si>
  <si>
    <t>Panchakanya Rural Municipality</t>
  </si>
  <si>
    <t>mDTopAClewY</t>
  </si>
  <si>
    <t>Panchdebal Binayak Municipality</t>
  </si>
  <si>
    <t>CLqI0gq6l4q</t>
  </si>
  <si>
    <t>Himali Rural Municipality</t>
  </si>
  <si>
    <t>Np8Nkj4Dgav</t>
  </si>
  <si>
    <t>Subarna Rural Municipality</t>
  </si>
  <si>
    <t>ssQAMvV0BB5</t>
  </si>
  <si>
    <t>Chhipaharmai Rural Municipality</t>
  </si>
  <si>
    <t>fh5RXOMtEno</t>
  </si>
  <si>
    <t>Lekam Rural Municipality</t>
  </si>
  <si>
    <t>fwrOv8OugqL</t>
  </si>
  <si>
    <t>ZKXwG9xz9tq</t>
  </si>
  <si>
    <t>JYZoGP4hnBe</t>
  </si>
  <si>
    <t>Budhanilkhantha Municipality</t>
  </si>
  <si>
    <t>drRcQapEEzd</t>
  </si>
  <si>
    <t>Asphyxia</t>
  </si>
  <si>
    <t>uhHgnWHLGwz</t>
  </si>
  <si>
    <t>Lahan Municipality</t>
  </si>
  <si>
    <t>aOTBLULFFU9</t>
  </si>
  <si>
    <t>AB+ve</t>
  </si>
  <si>
    <t>wDPLKCxJIrv</t>
  </si>
  <si>
    <t>Kawasoti Municipality</t>
  </si>
  <si>
    <t>QSPNPIn5PUQ</t>
  </si>
  <si>
    <t>Gauriganga Municipality</t>
  </si>
  <si>
    <t>S4iA5Eex500</t>
  </si>
  <si>
    <t>303 Rasuwa</t>
  </si>
  <si>
    <t>d96yGcoRjHm</t>
  </si>
  <si>
    <t>Rupakot Majhuwagadhi Municipality</t>
  </si>
  <si>
    <t>tvtzlMlKepr</t>
  </si>
  <si>
    <t>Janakpur Sub-Metropolitian City</t>
  </si>
  <si>
    <t>nRpCA8x2eRh</t>
  </si>
  <si>
    <t>Bharatpur Metropolitian City</t>
  </si>
  <si>
    <t>RH5eUlRw3vp</t>
  </si>
  <si>
    <t>Jagarnathpur Rural Municipality</t>
  </si>
  <si>
    <t>m9HAY801VHY</t>
  </si>
  <si>
    <t>Kedarsyun Rural Municipality</t>
  </si>
  <si>
    <t>hM4FvGa8qUa</t>
  </si>
  <si>
    <t>Sabhapokhari Rural Municipality</t>
  </si>
  <si>
    <t>KuP5RebljxE</t>
  </si>
  <si>
    <t>हात र मुख</t>
  </si>
  <si>
    <t>PFiNgtPDWxj</t>
  </si>
  <si>
    <t>Budhinanda Municipality</t>
  </si>
  <si>
    <t>buUTBk8XKxr</t>
  </si>
  <si>
    <t>Brindaban Municipality</t>
  </si>
  <si>
    <t>KWFFuBYO5t2</t>
  </si>
  <si>
    <t>Lekabeshi Municipality</t>
  </si>
  <si>
    <t>r70j3aLS6TN</t>
  </si>
  <si>
    <t>मृत</t>
  </si>
  <si>
    <t>Outcome_status</t>
  </si>
  <si>
    <t>जिवित, मृत</t>
  </si>
  <si>
    <t>JioJXjxFI0B</t>
  </si>
  <si>
    <t>Dordi Rural Municipality</t>
  </si>
  <si>
    <t>ejnO06mvSGE</t>
  </si>
  <si>
    <t>Chamunda Bindrasaini Municipality</t>
  </si>
  <si>
    <t>F5BsT248TRP</t>
  </si>
  <si>
    <t>Sirijanga Rural Municipality</t>
  </si>
  <si>
    <t>t65bBS5snT2</t>
  </si>
  <si>
    <t>Gramthan Rural Municipality</t>
  </si>
  <si>
    <t>RGdDoACF70Y</t>
  </si>
  <si>
    <t>Aadarsha Kotwal Rural Municipality</t>
  </si>
  <si>
    <t>yx6vnF6Vi5L</t>
  </si>
  <si>
    <t>rmZ2hhJbw0k</t>
  </si>
  <si>
    <t>Dupcheshwor Rural Municipality</t>
  </si>
  <si>
    <t>hHlTr9lZZgJ</t>
  </si>
  <si>
    <t>जिवित</t>
  </si>
  <si>
    <t>xZs92OPf2dG</t>
  </si>
  <si>
    <t>Barhadashi Rural Municipality</t>
  </si>
  <si>
    <t>x27cRnmuTYV</t>
  </si>
  <si>
    <t>Shoulder</t>
  </si>
  <si>
    <t>OKnncu2fNT9</t>
  </si>
  <si>
    <t>Lalbandi Municipality</t>
  </si>
  <si>
    <t>mUtMK5OSbUd</t>
  </si>
  <si>
    <t>Aalital Rural Municipality</t>
  </si>
  <si>
    <t>lc9m5VP7vB8</t>
  </si>
  <si>
    <t>Lamki Chuha Municipality</t>
  </si>
  <si>
    <t>w00yLBxs4Nb</t>
  </si>
  <si>
    <t>604 Jumla</t>
  </si>
  <si>
    <t>SzZyj2mmnmv</t>
  </si>
  <si>
    <t>Katari Municipality</t>
  </si>
  <si>
    <t>WoUmttPo3QC</t>
  </si>
  <si>
    <t>Rampur Municipality</t>
  </si>
  <si>
    <t>FI7Pow6OdoH</t>
  </si>
  <si>
    <t>Bungal Municipality</t>
  </si>
  <si>
    <t>OiSB4QrXw7B</t>
  </si>
  <si>
    <t>Chulachuli Rural Municipality</t>
  </si>
  <si>
    <t>q9198gm7oXc</t>
  </si>
  <si>
    <t>Manahari Rural Municipality</t>
  </si>
  <si>
    <t>ktCsqB9PuJK</t>
  </si>
  <si>
    <t>Tokha Municipality</t>
  </si>
  <si>
    <t>oSoyInyct24</t>
  </si>
  <si>
    <t>Durgathali Rural Municipality</t>
  </si>
  <si>
    <t>jvep0wSVDJn</t>
  </si>
  <si>
    <t>Mai Municipality</t>
  </si>
  <si>
    <t>BPocTr5SxFu</t>
  </si>
  <si>
    <t>406 Lamjung</t>
  </si>
  <si>
    <t>aw2FLLAkA4v</t>
  </si>
  <si>
    <t>Molung Rural Municipality</t>
  </si>
  <si>
    <t>BdtExiPrJCa</t>
  </si>
  <si>
    <t>dNGEK47vHCA</t>
  </si>
  <si>
    <t>Kalimati Rural Municipality</t>
  </si>
  <si>
    <t>gz7PUkd9T0T</t>
  </si>
  <si>
    <t>Bishrampur Rural Municipality</t>
  </si>
  <si>
    <t>taxj7IkB05J</t>
  </si>
  <si>
    <t>Khaniyabas Rural Municipality</t>
  </si>
  <si>
    <t>NULRGqVdgES</t>
  </si>
  <si>
    <t>Normal</t>
  </si>
  <si>
    <t>Y6pukfAgkWL</t>
  </si>
  <si>
    <t>Dharmadevi Municipality</t>
  </si>
  <si>
    <t>sWo8itPzF2q</t>
  </si>
  <si>
    <t>Arjun Choupari Rural Municipality</t>
  </si>
  <si>
    <t>iuojVMdUl2T</t>
  </si>
  <si>
    <t>Vaccum</t>
  </si>
  <si>
    <t>oa4uybD3pNk</t>
  </si>
  <si>
    <t>Netrawati Rural Municipality</t>
  </si>
  <si>
    <t>dZaKXk7C4Aj</t>
  </si>
  <si>
    <t>Badimalika Municipality</t>
  </si>
  <si>
    <t>Uiix3oZpeZP</t>
  </si>
  <si>
    <t>Minor</t>
  </si>
  <si>
    <t>EfCudBVM9kt</t>
  </si>
  <si>
    <t>Chandannath Municipality</t>
  </si>
  <si>
    <t>OeYDuYyCCgA</t>
  </si>
  <si>
    <t>Raksirang Rural Municipality</t>
  </si>
  <si>
    <t>ubVxw0xqgi1</t>
  </si>
  <si>
    <t>GpoukrEbVLj</t>
  </si>
  <si>
    <t>205 Sarlahi</t>
  </si>
  <si>
    <t>bf0dMaiaf6p</t>
  </si>
  <si>
    <t>NtQT6AdgCHi</t>
  </si>
  <si>
    <t>Duhun Rural Municipality</t>
  </si>
  <si>
    <t>pFQWrPFZVgz</t>
  </si>
  <si>
    <t>Suryodaya Municipality</t>
  </si>
  <si>
    <t>WV6Wf95EA8d</t>
  </si>
  <si>
    <t>204 Mahottari</t>
  </si>
  <si>
    <t>hghfDSPUu5v</t>
  </si>
  <si>
    <t>Koshi Rural Municipality</t>
  </si>
  <si>
    <t>E853HhQ1bda</t>
  </si>
  <si>
    <t>Banepa Municipality</t>
  </si>
  <si>
    <t>isQSxX5knkc</t>
  </si>
  <si>
    <t>१६ हप्ता सम्म</t>
  </si>
  <si>
    <t>MNH - 4 Times (16,20-24,32 and 36 Weeks)</t>
  </si>
  <si>
    <t>१६ हप्ता सम्म, २०-२४ हप्ता, ३२ हप्ता, ३६ हप्ता</t>
  </si>
  <si>
    <t>ecFkOTcOdH3</t>
  </si>
  <si>
    <t>Yes</t>
  </si>
  <si>
    <t>Allergy</t>
  </si>
  <si>
    <t>Yes, None Known</t>
  </si>
  <si>
    <t>iHbyjmfUoT7</t>
  </si>
  <si>
    <t>111 Jhapa</t>
  </si>
  <si>
    <t>c1Ujw75dAUk</t>
  </si>
  <si>
    <t>Sharada Municipality</t>
  </si>
  <si>
    <t>aBdFQh3NIuw</t>
  </si>
  <si>
    <t>Dhanakaul Rural Municipality</t>
  </si>
  <si>
    <t>vLf5ZyDkKsc</t>
  </si>
  <si>
    <t>Jaleshwor Municipality</t>
  </si>
  <si>
    <t>XTaq5MdpmR0</t>
  </si>
  <si>
    <t>504 Gulmi</t>
  </si>
  <si>
    <t>Hgqypbog7vf</t>
  </si>
  <si>
    <t>Chhedagad Municipality</t>
  </si>
  <si>
    <t>gUL6rTt7R73</t>
  </si>
  <si>
    <t>Not offered a choice of management</t>
  </si>
  <si>
    <t>Kj30So1gP3H</t>
  </si>
  <si>
    <t>Aanbu Khaireni Rural Municipality</t>
  </si>
  <si>
    <t>XkDEMun2ANM</t>
  </si>
  <si>
    <t>501 Rukum East</t>
  </si>
  <si>
    <t>WHDieg5lPio</t>
  </si>
  <si>
    <t>Puchaundi Municipality</t>
  </si>
  <si>
    <t>Eb5YAiVnokC</t>
  </si>
  <si>
    <t>Palhinandan Rural Municipality</t>
  </si>
  <si>
    <t>wyOcGXvKAEI</t>
  </si>
  <si>
    <t>Om Satiya Rural Municipality</t>
  </si>
  <si>
    <t>RUhuyBrMyYt</t>
  </si>
  <si>
    <t>Badi Kedar Rural Municipality</t>
  </si>
  <si>
    <t>oLjiaiyKFtm</t>
  </si>
  <si>
    <t>Bhotekoshi Rural Municipality</t>
  </si>
  <si>
    <t>l3S3shUMnvV</t>
  </si>
  <si>
    <t>Putalibazar Municipality</t>
  </si>
  <si>
    <t>FbdWH3G7ANh</t>
  </si>
  <si>
    <t>Pokhara Lekhnath Metropolitian City</t>
  </si>
  <si>
    <t>eC2yVbLAfEN</t>
  </si>
  <si>
    <t>Jagadulla Rural Municipality</t>
  </si>
  <si>
    <t>R3SCcpdcJJj</t>
  </si>
  <si>
    <t>Jwalamukhi Rural Municipality</t>
  </si>
  <si>
    <t>GIqAR5PwFfJ</t>
  </si>
  <si>
    <t>Durga Bhagawati Rural Municipality</t>
  </si>
  <si>
    <t>VefO9o2nGGN</t>
  </si>
  <si>
    <t>Phedikhola Rural Municipality</t>
  </si>
  <si>
    <t>WpdGdkFGQ3F</t>
  </si>
  <si>
    <t>Ganeshman Charnath Municipality</t>
  </si>
  <si>
    <t>roQOQNqiYew</t>
  </si>
  <si>
    <t>Kalyanpur Municipality</t>
  </si>
  <si>
    <t>CM7alJLzVU6</t>
  </si>
  <si>
    <t>Kabilashi Municipality</t>
  </si>
  <si>
    <t>w0DoPrHBZj3</t>
  </si>
  <si>
    <t>Tumbewa Rural Municipality</t>
  </si>
  <si>
    <t>tyW71ghUE0H</t>
  </si>
  <si>
    <t>Namkha Rural Municipality</t>
  </si>
  <si>
    <t>KNSHJyEyATY</t>
  </si>
  <si>
    <t>Tamankhola Rural Municipality</t>
  </si>
  <si>
    <t>i02HwsTz9XY</t>
  </si>
  <si>
    <t>B+ve</t>
  </si>
  <si>
    <t>mCIj2EaMvqx</t>
  </si>
  <si>
    <t>Ratuwamai Municipality</t>
  </si>
  <si>
    <t>O9Bznvw8HNp</t>
  </si>
  <si>
    <t>JB0A.1 Rupture of uterus during labour</t>
  </si>
  <si>
    <t>UlBSKMb9lK1</t>
  </si>
  <si>
    <t>C-Section</t>
  </si>
  <si>
    <t>cfCXBvn7JmV</t>
  </si>
  <si>
    <t>Suryabinayak Municipality</t>
  </si>
  <si>
    <t>l2k4gR9tDBT</t>
  </si>
  <si>
    <t>Chauri Deurali Rural Municipality</t>
  </si>
  <si>
    <t>lq8BuHRczVr</t>
  </si>
  <si>
    <t>Raskot Municipality</t>
  </si>
  <si>
    <t>hfSSZH7XtpC</t>
  </si>
  <si>
    <t>पाएको</t>
  </si>
  <si>
    <t>Nyano</t>
  </si>
  <si>
    <t>पाएको, नपाएको</t>
  </si>
  <si>
    <t>JC6ZS0hEjuK</t>
  </si>
  <si>
    <t>401 Gorkha</t>
  </si>
  <si>
    <t>LY7qFxTf8Wq</t>
  </si>
  <si>
    <t>Chandrakot Rural Municipality</t>
  </si>
  <si>
    <t>dTGC5KKUAU1</t>
  </si>
  <si>
    <t>104 Okhaldhunga</t>
  </si>
  <si>
    <t>FmHBf0hvNz6</t>
  </si>
  <si>
    <t>Others</t>
  </si>
  <si>
    <t>ftQxmSaPxhM</t>
  </si>
  <si>
    <t>Live Birth</t>
  </si>
  <si>
    <t>db5OVYUzzsI</t>
  </si>
  <si>
    <t>Sandhikharka Municipality</t>
  </si>
  <si>
    <t>BoyKZH0P4r3</t>
  </si>
  <si>
    <t>Lamahi Municipality</t>
  </si>
  <si>
    <t>mZ8PlwVXEhO</t>
  </si>
  <si>
    <t>Phedap Rural Municipality</t>
  </si>
  <si>
    <t>oZJZy358b4u</t>
  </si>
  <si>
    <t>Chame Rural Municipality</t>
  </si>
  <si>
    <t>ogxdWZC3mIW</t>
  </si>
  <si>
    <t>Rajpur Municipality</t>
  </si>
  <si>
    <t>sWTh8qhDRXN</t>
  </si>
  <si>
    <t>Mandan Deupur Municipality</t>
  </si>
  <si>
    <t>Cyg2LIFPaxX</t>
  </si>
  <si>
    <t>Sudurpashchim Province</t>
  </si>
  <si>
    <t>H77eHBeI0WG</t>
  </si>
  <si>
    <t>313 Chitwan</t>
  </si>
  <si>
    <t>szI6jC2ULNt</t>
  </si>
  <si>
    <t>Kohalpur Municipality</t>
  </si>
  <si>
    <t>b7rB4DonEzB</t>
  </si>
  <si>
    <t>Dhakari Rural Municipality</t>
  </si>
  <si>
    <t>tihv2zs5UWz</t>
  </si>
  <si>
    <t>Antepartum Stillbirth</t>
  </si>
  <si>
    <t>TcqZXwCSLmy</t>
  </si>
  <si>
    <t>UUqzsEfyKb4</t>
  </si>
  <si>
    <t>Silichong Rural Municipality</t>
  </si>
  <si>
    <t>wXEpAqraks3</t>
  </si>
  <si>
    <t>Retro Virus</t>
  </si>
  <si>
    <t>ifHvLGGGLtl</t>
  </si>
  <si>
    <t>Beni Municipality</t>
  </si>
  <si>
    <t>vsmvO35cNuX</t>
  </si>
  <si>
    <t>Khandabari Municipality</t>
  </si>
  <si>
    <t>iQvLEtwJdOo</t>
  </si>
  <si>
    <t>106 Bhojpur</t>
  </si>
  <si>
    <t>wYAxxWFWgs9</t>
  </si>
  <si>
    <t>Melanchi Municipality</t>
  </si>
  <si>
    <t>km3ztMqtDAn</t>
  </si>
  <si>
    <t>s1jE6eK5kL8</t>
  </si>
  <si>
    <t>Midwife</t>
  </si>
  <si>
    <t>VNHhGHCq1aM</t>
  </si>
  <si>
    <t>Shivapuri Rural Municipality</t>
  </si>
  <si>
    <t>mBztKkq4Cbf</t>
  </si>
  <si>
    <t>Rajbiraj Municipality</t>
  </si>
  <si>
    <t>p9rJWevVYZU</t>
  </si>
  <si>
    <t>Mahashila Rural Municipality</t>
  </si>
  <si>
    <t>CwJGwfCxNKL</t>
  </si>
  <si>
    <t>Baragadhi Rural Municipality</t>
  </si>
  <si>
    <t>yhy7Pj96Iun</t>
  </si>
  <si>
    <t>Madhesh Province</t>
  </si>
  <si>
    <t>GCAYTElLWur</t>
  </si>
  <si>
    <t>Necha Salyan Rural Municipality</t>
  </si>
  <si>
    <t>yoP6f67jWQE</t>
  </si>
  <si>
    <t>समान्य</t>
  </si>
  <si>
    <t>jOj2iuJhwSF</t>
  </si>
  <si>
    <t>Sanni Tribeni Rural Municipality</t>
  </si>
  <si>
    <t>HR1p24wHb3T</t>
  </si>
  <si>
    <t>Pandab Gufa Rural Municipality</t>
  </si>
  <si>
    <t>mhlCQKs4NfD</t>
  </si>
  <si>
    <t>Sotang Rural Municipality</t>
  </si>
  <si>
    <t>kb3fEJ3Ck5t</t>
  </si>
  <si>
    <t>603 Humla</t>
  </si>
  <si>
    <t>s2kJ5RJ8i9M</t>
  </si>
  <si>
    <t>Thasang Rural Municipality</t>
  </si>
  <si>
    <t>Vzbt60w33Wc</t>
  </si>
  <si>
    <t>Forceps</t>
  </si>
  <si>
    <t>wjw3WbyiJsR</t>
  </si>
  <si>
    <t>Physician</t>
  </si>
  <si>
    <t>OnUimvumDHk</t>
  </si>
  <si>
    <t>Hupsekot Rural Municipality</t>
  </si>
  <si>
    <t>tW3mCTLnf6d</t>
  </si>
  <si>
    <t>eTwDVwypBDP</t>
  </si>
  <si>
    <t>mnQcnfiEWdo</t>
  </si>
  <si>
    <t>Makawanpurgadhi Rural Municipality</t>
  </si>
  <si>
    <t>Bd31B4WEpjb</t>
  </si>
  <si>
    <t>Narayan Municipality</t>
  </si>
  <si>
    <t>w2hys1LjEmb</t>
  </si>
  <si>
    <t>२०-२४ हप्ता</t>
  </si>
  <si>
    <t>K7HHqak2Uov</t>
  </si>
  <si>
    <t>403 Mustang</t>
  </si>
  <si>
    <t>AL3vprrDbCy</t>
  </si>
  <si>
    <t>Hanumannagar Kankalini Municipality</t>
  </si>
  <si>
    <t>L6GKGLEVZlm</t>
  </si>
  <si>
    <t>Ekadara Rural Municipality</t>
  </si>
  <si>
    <t>eIGL9YxJk72</t>
  </si>
  <si>
    <t>Falgunanda Rural Municipality</t>
  </si>
  <si>
    <t>Xs6a47pnBdL</t>
  </si>
  <si>
    <t>Pakaha Mainpur Rural Municipality</t>
  </si>
  <si>
    <t>EIhCJitb9i6</t>
  </si>
  <si>
    <t>Pachal Jharana Rural Municipality</t>
  </si>
  <si>
    <t>o6RWI1d6BWP</t>
  </si>
  <si>
    <t>Dalome Rural Municipality</t>
  </si>
  <si>
    <t>sdDVkfxhXzs</t>
  </si>
  <si>
    <t>Arun Rural Municipality</t>
  </si>
  <si>
    <t>Ya5RDtwE8wJ</t>
  </si>
  <si>
    <t>Tirahut Rural Municipality</t>
  </si>
  <si>
    <t>nduhkkIFZGS</t>
  </si>
  <si>
    <t>Agnisair Krishna Sabaran Rural Municipality</t>
  </si>
  <si>
    <t>f9Bkqm9NoAX</t>
  </si>
  <si>
    <t>Not Checked</t>
  </si>
  <si>
    <t>g2vI8N8ySsT</t>
  </si>
  <si>
    <t>Ramaroshan Rural Municipality</t>
  </si>
  <si>
    <t>STqyc7dRbD1</t>
  </si>
  <si>
    <t>Chhireshwornath Municipality</t>
  </si>
  <si>
    <t>YsJRVCdtd6l</t>
  </si>
  <si>
    <t>Bagachour Municipality</t>
  </si>
  <si>
    <t>BnLwORfhADK</t>
  </si>
  <si>
    <t>Offered a choice of management and chooses expectant management</t>
  </si>
  <si>
    <t>cmrhhXHnQJH</t>
  </si>
  <si>
    <t>Triyuga Municipality</t>
  </si>
  <si>
    <t>ce8vJYIayAY</t>
  </si>
  <si>
    <t>Talkot Rural Municipality</t>
  </si>
  <si>
    <t>lWbRPmIOCZb</t>
  </si>
  <si>
    <t>Sundarharaicha Municipality</t>
  </si>
  <si>
    <t>HOnz51s0vSu</t>
  </si>
  <si>
    <t>E101W9XoGSg</t>
  </si>
  <si>
    <t>Thakurbaba Municipality</t>
  </si>
  <si>
    <t>GyCdUNDZp8L</t>
  </si>
  <si>
    <t>Live Born (Alive)</t>
  </si>
  <si>
    <t>Dvldkcaz03T</t>
  </si>
  <si>
    <t>Rajpur Rural Municipality</t>
  </si>
  <si>
    <t>NEJoaGU9xzw</t>
  </si>
  <si>
    <t>609 Salyan</t>
  </si>
  <si>
    <t>avqY3bStVXe</t>
  </si>
  <si>
    <t>खुट्टा</t>
  </si>
  <si>
    <t>cUBtlCwEimO</t>
  </si>
  <si>
    <t>Kalaiya Sub-Metropolitian City</t>
  </si>
  <si>
    <t>g8iCImEmuC5</t>
  </si>
  <si>
    <t>Chandragiri Municipality</t>
  </si>
  <si>
    <t>uyVa1rICsMI</t>
  </si>
  <si>
    <t>Machhapuchchhre Rural Municipality</t>
  </si>
  <si>
    <t>CGQ7gCUAhra</t>
  </si>
  <si>
    <t>SlTaGnAKIky</t>
  </si>
  <si>
    <t>Aathbis Municipality</t>
  </si>
  <si>
    <t>bJJF34jsnVe</t>
  </si>
  <si>
    <t>Lomanthang Rural Municipality</t>
  </si>
  <si>
    <t>DL98EDYKUFX</t>
  </si>
  <si>
    <t>Shikhar Municipality</t>
  </si>
  <si>
    <t>mRruOI3ew04</t>
  </si>
  <si>
    <t>Butwal Sub-Metropolitian City</t>
  </si>
  <si>
    <t>jxpOEpqkKc8</t>
  </si>
  <si>
    <t>आई. यु. सी. डी</t>
  </si>
  <si>
    <t>VxEEunBJiBX</t>
  </si>
  <si>
    <t>नगरेको</t>
  </si>
  <si>
    <t>u2lb8ouwqq9</t>
  </si>
  <si>
    <t>Sandakpur Rural Municipality</t>
  </si>
  <si>
    <t>XJniVQIui1z</t>
  </si>
  <si>
    <t>Letang Municipality</t>
  </si>
  <si>
    <t>BlMxCPzLVKE</t>
  </si>
  <si>
    <t>Belbari Municipality</t>
  </si>
  <si>
    <t>cn3XotMwkGY</t>
  </si>
  <si>
    <t>Nawarajpur Rural Municipality</t>
  </si>
  <si>
    <t>PxqauO4BU8E</t>
  </si>
  <si>
    <t>Mahabharat Rural Municipality</t>
  </si>
  <si>
    <t>ceswe1AhlMv</t>
  </si>
  <si>
    <t>Basbariya Rural Municipality</t>
  </si>
  <si>
    <t>avXwdss1sq1</t>
  </si>
  <si>
    <t>Malarani Rural Municipality</t>
  </si>
  <si>
    <t>rgQt2gGz81U</t>
  </si>
  <si>
    <t>Guthichaur Rural Municipality</t>
  </si>
  <si>
    <t>VijD4XJTLPZ</t>
  </si>
  <si>
    <t>Fakfokathum Rural Municipality</t>
  </si>
  <si>
    <t>DUzIaN831Ac</t>
  </si>
  <si>
    <t>टयुबेक्टोमी</t>
  </si>
  <si>
    <t>EdIqWcCUjCc</t>
  </si>
  <si>
    <t>Intrapartum Stillbirth</t>
  </si>
  <si>
    <t>z4vjkRIvvnp</t>
  </si>
  <si>
    <t>F8iPAOD409z</t>
  </si>
  <si>
    <t>XjrBvTmX6oW</t>
  </si>
  <si>
    <t>Dakneshwori Municipality</t>
  </si>
  <si>
    <t>oKtWyJa4EEx</t>
  </si>
  <si>
    <t>206 Rautahat</t>
  </si>
  <si>
    <t>NNRjKPO68hF</t>
  </si>
  <si>
    <t>311 Sindhuli</t>
  </si>
  <si>
    <t>nRQW9eQTpzu</t>
  </si>
  <si>
    <t>Aurahi Municipality</t>
  </si>
  <si>
    <t>L3tX6PIjigU</t>
  </si>
  <si>
    <t>Bhirkot Municipaity</t>
  </si>
  <si>
    <t>HqMf8JLkgR1</t>
  </si>
  <si>
    <t>Bogatan Rural Municipality</t>
  </si>
  <si>
    <t>IyBrNmNpayi</t>
  </si>
  <si>
    <t>Matihani Municipality</t>
  </si>
  <si>
    <t>MHy0qEhzd7E</t>
  </si>
  <si>
    <t>Shailyashikhar Municipality</t>
  </si>
  <si>
    <t>A9N1sbkG8UH</t>
  </si>
  <si>
    <t>Parsagadhi Municipality</t>
  </si>
  <si>
    <t>xEKlVBaXIzZ</t>
  </si>
  <si>
    <t>Thulibheri Municipality</t>
  </si>
  <si>
    <t>J6uBwlIEjNo</t>
  </si>
  <si>
    <t>Shey Phoksundo Rural Municipality</t>
  </si>
  <si>
    <t>f7dXEJqkA2A</t>
  </si>
  <si>
    <t>Kalikamai Rural Municipality</t>
  </si>
  <si>
    <t>XOnUKnc4sIW</t>
  </si>
  <si>
    <t>Ramgram Municipality</t>
  </si>
  <si>
    <t>tVv3VLOy1BR</t>
  </si>
  <si>
    <t>Maiwakhola Rural Municipality</t>
  </si>
  <si>
    <t>CSUrN9sHxwS</t>
  </si>
  <si>
    <t>Belkotgadhi Municipality</t>
  </si>
  <si>
    <t>HAMp5fizumJ</t>
  </si>
  <si>
    <t>Bardibas Municipality</t>
  </si>
  <si>
    <t>avEMfy4MKQA</t>
  </si>
  <si>
    <t>Patam Municipality</t>
  </si>
  <si>
    <t>arcQqDIpyVu</t>
  </si>
  <si>
    <t>Kailari Rural Municipality</t>
  </si>
  <si>
    <t>KGjvHB09fOc</t>
  </si>
  <si>
    <t>701 Bajura</t>
  </si>
  <si>
    <t>MfifStoRK7b</t>
  </si>
  <si>
    <t>मुख र खुट्टा</t>
  </si>
  <si>
    <t>NiYy8i8gfOV</t>
  </si>
  <si>
    <t>Rohini Rural Municipality</t>
  </si>
  <si>
    <t>VFufpXF2rqX</t>
  </si>
  <si>
    <t>Gaushala Municipality</t>
  </si>
  <si>
    <t>lbQHnY0XMes</t>
  </si>
  <si>
    <t>SBA</t>
  </si>
  <si>
    <t>TfaqfvUFzti</t>
  </si>
  <si>
    <t>5 ब्राह्मण/ क्षेत्री (५)</t>
  </si>
  <si>
    <t>bnTduc3MrXo</t>
  </si>
  <si>
    <t>Dhanauji Rural Municipality</t>
  </si>
  <si>
    <t>kmtbyca4Tl2</t>
  </si>
  <si>
    <t>Modi Rural Municipality</t>
  </si>
  <si>
    <t>lIUF1YUOnu5</t>
  </si>
  <si>
    <t>Kaike Rural Municipality</t>
  </si>
  <si>
    <t>nedqI46Ixp4</t>
  </si>
  <si>
    <t>Malangawa Municipality</t>
  </si>
  <si>
    <t>rF1uHjM7Snq</t>
  </si>
  <si>
    <t>Kamalamai Municipality</t>
  </si>
  <si>
    <t>AfdYKKMqtMF</t>
  </si>
  <si>
    <t>404 Myagdi</t>
  </si>
  <si>
    <t>VeI4D41WrBT</t>
  </si>
  <si>
    <t>Naraha Rural Municipality</t>
  </si>
  <si>
    <t>f9vHSvhqUee</t>
  </si>
  <si>
    <t>Bhadrapur Municipality</t>
  </si>
  <si>
    <t>XLjLLJdUGiD</t>
  </si>
  <si>
    <t>Shuklagandaki Municipality</t>
  </si>
  <si>
    <t>V1EdOaqfJuF</t>
  </si>
  <si>
    <t>Tila Rural Municipality</t>
  </si>
  <si>
    <t>x5xhjJdhedC</t>
  </si>
  <si>
    <t>Kotahimai Rural Municipality</t>
  </si>
  <si>
    <t>to1bx4osGME</t>
  </si>
  <si>
    <t>Kanchan Rural Municipality</t>
  </si>
  <si>
    <t>R9OGiMpW78L</t>
  </si>
  <si>
    <t>Bhumikasthan Municipality</t>
  </si>
  <si>
    <t>zDr4nrRhT4l</t>
  </si>
  <si>
    <t>Bethanchowk Rural Municipality</t>
  </si>
  <si>
    <t>frXu3yUrvQB</t>
  </si>
  <si>
    <t>Siddharthanagar Municipality</t>
  </si>
  <si>
    <t>kXhDviVa5eD</t>
  </si>
  <si>
    <t>Rupani Rural Municipality</t>
  </si>
  <si>
    <t>Q3wW2mYyNSf</t>
  </si>
  <si>
    <t>Kageshwori Manahara Municipality</t>
  </si>
  <si>
    <t>rXcq3Hxdf50</t>
  </si>
  <si>
    <t>Thawang Rural Municipality</t>
  </si>
  <si>
    <t>Qi8IT5Nqig5</t>
  </si>
  <si>
    <t>३२ हप्ता</t>
  </si>
  <si>
    <t>QPc0xnd83d5</t>
  </si>
  <si>
    <t>Gulmi Durbar Gaunpaika</t>
  </si>
  <si>
    <t>dkGjet6mkW7</t>
  </si>
  <si>
    <t>Bardaghat Municipality</t>
  </si>
  <si>
    <t>eg8Bg3qRAQM</t>
  </si>
  <si>
    <t>Dhudhakoshi Rural Municipality</t>
  </si>
  <si>
    <t>SJemAb05PXS</t>
  </si>
  <si>
    <t>Aamchowk Rural Municipality</t>
  </si>
  <si>
    <t>dloKGDYvE6H</t>
  </si>
  <si>
    <t>Sunawal Municipality</t>
  </si>
  <si>
    <t>DJwNAHcToJ2</t>
  </si>
  <si>
    <t>Indrawoti Rural Municipality</t>
  </si>
  <si>
    <t>sTcF2B4quEJ</t>
  </si>
  <si>
    <t>Madi Municipality</t>
  </si>
  <si>
    <t>XH69fnVs2mY</t>
  </si>
  <si>
    <t>Gaurishankar Rural Municipality</t>
  </si>
  <si>
    <t>KW05TFYC9bg</t>
  </si>
  <si>
    <t>Ws17eM5v8bj</t>
  </si>
  <si>
    <t>Myagde Rural Municipality</t>
  </si>
  <si>
    <t>k29O96RfLgL</t>
  </si>
  <si>
    <t>हात र खुट्टा</t>
  </si>
  <si>
    <t>rBVtXT5aRH9</t>
  </si>
  <si>
    <t>Arnama Rural Municipality</t>
  </si>
  <si>
    <t>G7HTb8TKPVV</t>
  </si>
  <si>
    <t>Menchhayayem Rural Municipality</t>
  </si>
  <si>
    <t>P5DKfic4SCh</t>
  </si>
  <si>
    <t>Sigas Rural Municipality</t>
  </si>
  <si>
    <t>z2w467ItIEH</t>
  </si>
  <si>
    <t>Phatuwa Bijayapur Municipality</t>
  </si>
  <si>
    <t>K9kICd3j65T</t>
  </si>
  <si>
    <t>Ghorahi Sub-Metropolitian City</t>
  </si>
  <si>
    <t>rt9bW0uaYzL</t>
  </si>
  <si>
    <t>Bijayanagar Rural Municipality</t>
  </si>
  <si>
    <t>QrAY3Z4f1ul</t>
  </si>
  <si>
    <t>Namobuddha Municipality</t>
  </si>
  <si>
    <t>NKs3nQ5yDee</t>
  </si>
  <si>
    <t>101 Taplejung</t>
  </si>
  <si>
    <t>vzIzL7ET520</t>
  </si>
  <si>
    <t>Mukhiyapatti Musaharmiya Rural Municipality</t>
  </si>
  <si>
    <t>LrOMfuS7xUL</t>
  </si>
  <si>
    <t>b70KIOqldV3</t>
  </si>
  <si>
    <t>Ganga Jamuna Rural Municipality</t>
  </si>
  <si>
    <t>Kmox8hHRHGF</t>
  </si>
  <si>
    <t>Tapli Rural Municipality</t>
  </si>
  <si>
    <t>mqmJX2L5ggT</t>
  </si>
  <si>
    <t>Paterwa Sugauli Rural Municipality</t>
  </si>
  <si>
    <t>QcWC9XpLIOY</t>
  </si>
  <si>
    <t>Khatyad Rural Municipality</t>
  </si>
  <si>
    <t>OCK2cCr24d5</t>
  </si>
  <si>
    <t>HIV Test Result</t>
  </si>
  <si>
    <t>Positive, Negative, Not Performed</t>
  </si>
  <si>
    <t>ZjWN1q0du0o</t>
  </si>
  <si>
    <t>Dhanapalthan Rural Municipality</t>
  </si>
  <si>
    <t>EC9aYM1wyVq</t>
  </si>
  <si>
    <t>मृत जन्म</t>
  </si>
  <si>
    <t>Neonatal Condition</t>
  </si>
  <si>
    <t>जिवित जन्म, मृत जन्म</t>
  </si>
  <si>
    <t>erJluauj4CB</t>
  </si>
  <si>
    <t>Kharpunath Rural Municipality</t>
  </si>
  <si>
    <t>FQPltxBSpAw</t>
  </si>
  <si>
    <t>Dullu Municipality</t>
  </si>
  <si>
    <t>JVgrCoX1Yoa</t>
  </si>
  <si>
    <t>Kapilbastu Municipality</t>
  </si>
  <si>
    <t>CIPT3L1e27c</t>
  </si>
  <si>
    <t>Tulsipur Sub-Metropolitian City</t>
  </si>
  <si>
    <t>PXgyNwTaXeO</t>
  </si>
  <si>
    <t>Tribeni Nalagad Municipality</t>
  </si>
  <si>
    <t>fLtH2DWCoup</t>
  </si>
  <si>
    <t>402 Manang</t>
  </si>
  <si>
    <t>IwubPL7E7jo</t>
  </si>
  <si>
    <t>Purbichouki Rural Municipality</t>
  </si>
  <si>
    <t>N6USN8urXXt</t>
  </si>
  <si>
    <t>Biratnagar Metropolitian City</t>
  </si>
  <si>
    <t>cgYCKFH2MVe</t>
  </si>
  <si>
    <t>Sakela Rural Municipality</t>
  </si>
  <si>
    <t>xZ0Z4Kb0NKL</t>
  </si>
  <si>
    <t>SMP-AD-DeliveryTreatmentServiceTaken</t>
  </si>
  <si>
    <t>घर, स्वास्थ्य संस्था</t>
  </si>
  <si>
    <t>K8kLItbEJIN</t>
  </si>
  <si>
    <t>103 Solukhumbu</t>
  </si>
  <si>
    <t>OE9pdRSAFbt</t>
  </si>
  <si>
    <t>Sunwarshi Municipality</t>
  </si>
  <si>
    <t>y4Sr31WiwiU</t>
  </si>
  <si>
    <t>Not Performed</t>
  </si>
  <si>
    <t>Z0jQZpsIqrh</t>
  </si>
  <si>
    <t>सायना प्रेस</t>
  </si>
  <si>
    <t>ChGszfoNc2E</t>
  </si>
  <si>
    <t>Duhabi Municipality</t>
  </si>
  <si>
    <t>I3I2JDt6KE4</t>
  </si>
  <si>
    <t>Uttargaya Rural Municipality</t>
  </si>
  <si>
    <t>dG3r3AtNHXy</t>
  </si>
  <si>
    <t>Marchawari Rural Municipality</t>
  </si>
  <si>
    <t>TC5m6cHaOdC</t>
  </si>
  <si>
    <t>Kanaka Sundari Gaun Palika</t>
  </si>
  <si>
    <t>vxBgJqbGmtI</t>
  </si>
  <si>
    <t>Mahawai Rural Municipality</t>
  </si>
  <si>
    <t>ZzHzXupLxKU</t>
  </si>
  <si>
    <t>Pacharauta Municipality</t>
  </si>
  <si>
    <t>GYq6tqkBKnF</t>
  </si>
  <si>
    <t>Haripur Municipality</t>
  </si>
  <si>
    <t>oTXlrEIIRIv</t>
  </si>
  <si>
    <t>Aairawati Rural Municipality</t>
  </si>
  <si>
    <t>iiaGACEnxiI</t>
  </si>
  <si>
    <t>Dhankuta Municipality</t>
  </si>
  <si>
    <t>PrlkwVFD7v2</t>
  </si>
  <si>
    <t>O-ve</t>
  </si>
  <si>
    <t>yc0BocbujoZ</t>
  </si>
  <si>
    <t>Ghyanglekha Rural Municipality</t>
  </si>
  <si>
    <t>EG9W03wvWvA</t>
  </si>
  <si>
    <t>Chhabis Pathibhara Rural Municipality</t>
  </si>
  <si>
    <t>JxTMTu7Dtj1</t>
  </si>
  <si>
    <t>Bigu Rural Municipality</t>
  </si>
  <si>
    <t>gaNIgQQhaMm</t>
  </si>
  <si>
    <t>JA05 Complications following abortion, ectopic or molar pregnancy</t>
  </si>
  <si>
    <t>l1ETyWrXvxx</t>
  </si>
  <si>
    <t>Bhojpur Municipality</t>
  </si>
  <si>
    <t>otkQ1bJw1uX</t>
  </si>
  <si>
    <t>Bakaiya Rural Municipality</t>
  </si>
  <si>
    <t>HVbaHdJorAW</t>
  </si>
  <si>
    <t>Mahagadhimai Municipality</t>
  </si>
  <si>
    <t>ce1N6seTTZb</t>
  </si>
  <si>
    <t>Kamal Bazar Municipality</t>
  </si>
  <si>
    <t>tRStAUgADYa</t>
  </si>
  <si>
    <t>Aurahi Rural Municipality</t>
  </si>
  <si>
    <t>pYQXltxSxeC</t>
  </si>
  <si>
    <t>307 Bhaktapur</t>
  </si>
  <si>
    <t>DilqYkRT6h8</t>
  </si>
  <si>
    <t>Kirtipur Municipality</t>
  </si>
  <si>
    <t>MGvlb3c8MWN</t>
  </si>
  <si>
    <t>Kathekhola Rural Municipality</t>
  </si>
  <si>
    <t>A9FRZGN0CZR</t>
  </si>
  <si>
    <t>Madhuwan Municipality</t>
  </si>
  <si>
    <t>tUnat9BJkqc</t>
  </si>
  <si>
    <t>नपाएको</t>
  </si>
  <si>
    <t>zJYo8zfSiqo</t>
  </si>
  <si>
    <t>AB-ve</t>
  </si>
  <si>
    <t>P3zjqfdNFNZ</t>
  </si>
  <si>
    <t>Gajuri Rural Municipality</t>
  </si>
  <si>
    <t>hGG1MCB5cyk</t>
  </si>
  <si>
    <t>Nisdi Rural Municipality</t>
  </si>
  <si>
    <t>iQ6qRFTMd5N</t>
  </si>
  <si>
    <t>Nagarain Municipality</t>
  </si>
  <si>
    <t>nQy0IFnb0EG</t>
  </si>
  <si>
    <t>Galyang Municipality</t>
  </si>
  <si>
    <t>m9T1fsGuOve</t>
  </si>
  <si>
    <t>Subarnabati Rural Municipality</t>
  </si>
  <si>
    <t>DomxfGAQdyu</t>
  </si>
  <si>
    <t>Negative</t>
  </si>
  <si>
    <t>LBB6UE1v2XV</t>
  </si>
  <si>
    <t>Rupa Rural Municipality</t>
  </si>
  <si>
    <t>WPuBt4UsuYO</t>
  </si>
  <si>
    <t>Kushma Municipality</t>
  </si>
  <si>
    <t>ACpJnG9sBG5</t>
  </si>
  <si>
    <t>Koshi Province</t>
  </si>
  <si>
    <t>uVrFVqrGIQl</t>
  </si>
  <si>
    <t>Pathari Shanishchare Municipality</t>
  </si>
  <si>
    <t>z5PjIiKk34F</t>
  </si>
  <si>
    <t>Karjanha Municipality</t>
  </si>
  <si>
    <t>Cf4730FzUcC</t>
  </si>
  <si>
    <t>Bareng Rural Municipality</t>
  </si>
  <si>
    <t>OcJM45gTiSX</t>
  </si>
  <si>
    <t>Halesi Tuwachung Municipality</t>
  </si>
  <si>
    <t>YvX0kSq1jp6</t>
  </si>
  <si>
    <t>Chankheli Rural Municipality</t>
  </si>
  <si>
    <t>bPdok64c99F</t>
  </si>
  <si>
    <t>Chapakot Municipality</t>
  </si>
  <si>
    <t>tqCQMruOo2h</t>
  </si>
  <si>
    <t>Yangbarak Rural Municipality</t>
  </si>
  <si>
    <t>drOWOVhfoZu</t>
  </si>
  <si>
    <t>None Known</t>
  </si>
  <si>
    <t>Ngmch2E54rH</t>
  </si>
  <si>
    <t>Gaur Municipality</t>
  </si>
  <si>
    <t>aiC5OOqkGo5</t>
  </si>
  <si>
    <t>vhiomTrJGtN</t>
  </si>
  <si>
    <t>JB40.1 Infection of obstetric surgical wound</t>
  </si>
  <si>
    <t>zR0Km7lNSgJ</t>
  </si>
  <si>
    <t>Bindabasini Rural Municipality</t>
  </si>
  <si>
    <t>W5UOPi0SH2h</t>
  </si>
  <si>
    <t>Kispang Rural Municipality</t>
  </si>
  <si>
    <t>IzvoTv1dAO3</t>
  </si>
  <si>
    <t>BodeBarsain Municipality</t>
  </si>
  <si>
    <t>sdhd1VRT0HD</t>
  </si>
  <si>
    <t>Shivasatakshi Municipality</t>
  </si>
  <si>
    <t>A16SOb3fau5</t>
  </si>
  <si>
    <t>Aandhikhola Rural Municipality</t>
  </si>
  <si>
    <t>CPSY9ea64GO</t>
  </si>
  <si>
    <t>Khajura Rural Municipality</t>
  </si>
  <si>
    <t>JOklCJDlikp</t>
  </si>
  <si>
    <t>Panauti Municipality</t>
  </si>
  <si>
    <t>q0l2VVwo1Au</t>
  </si>
  <si>
    <t>Karnali Province</t>
  </si>
  <si>
    <t>dIcKJLIZB9j</t>
  </si>
  <si>
    <t>Roshi Rural Municipality</t>
  </si>
  <si>
    <t>YGQE6rPHVJx</t>
  </si>
  <si>
    <t>Likhu Pike Rural Municipality</t>
  </si>
  <si>
    <t>AJ9Gn9nHpvW</t>
  </si>
  <si>
    <t>Chandrapur Municipality</t>
  </si>
  <si>
    <t>iqYeQ3jS0Tr</t>
  </si>
  <si>
    <t>Pyuthan Municipality</t>
  </si>
  <si>
    <t>o0gHZ2wusGN</t>
  </si>
  <si>
    <t>Singleton</t>
  </si>
  <si>
    <t>jkv3z3MSVgP</t>
  </si>
  <si>
    <t>Prasauni Rural Municipality</t>
  </si>
  <si>
    <t>PX5BLkbeV5g</t>
  </si>
  <si>
    <t>Shuddhodhan Rural Municipality</t>
  </si>
  <si>
    <t>rKjjus6oIJ6</t>
  </si>
  <si>
    <t>Melung Rural Municipality</t>
  </si>
  <si>
    <t>XZOC3K92sa9</t>
  </si>
  <si>
    <t>Gosaikunda Rural Municipality</t>
  </si>
  <si>
    <t>mF8gwR8tFaZ</t>
  </si>
  <si>
    <t>Bensi Shahar Municipality</t>
  </si>
  <si>
    <t>WWXi6bzjPwt</t>
  </si>
  <si>
    <t>304 Dhading</t>
  </si>
  <si>
    <t>dUswNRKX5Ua</t>
  </si>
  <si>
    <t>Kanepokhari Rural Municipality</t>
  </si>
  <si>
    <t>aZ5Opl6oYMa</t>
  </si>
  <si>
    <t>Barahathawa Municipality</t>
  </si>
  <si>
    <t>IVfNwpqNPQj</t>
  </si>
  <si>
    <t>Sukhipur Municipality</t>
  </si>
  <si>
    <t>xKEw0wAm8kq</t>
  </si>
  <si>
    <t>Thori Rural Municipality</t>
  </si>
  <si>
    <t>NPwNBpkaToZ</t>
  </si>
  <si>
    <t>Simta Rural Municipality</t>
  </si>
  <si>
    <t>f7htQr8FXmb</t>
  </si>
  <si>
    <t>Lalitpur Metropolitian City</t>
  </si>
  <si>
    <t>h8QsepUQCJW</t>
  </si>
  <si>
    <t>Putha Uttanganga Rural Municipality</t>
  </si>
  <si>
    <t>JxWxaPWfrVO</t>
  </si>
  <si>
    <t>Thakre Rural Municipality</t>
  </si>
  <si>
    <t>k6e9B3yaGQ8</t>
  </si>
  <si>
    <t>Changunarayan Municipality</t>
  </si>
  <si>
    <t>n0Hc8762Mak</t>
  </si>
  <si>
    <t>Geruwa Rural Municipality</t>
  </si>
  <si>
    <t>cklFH9flwyR</t>
  </si>
  <si>
    <t>Dhangadhimai Municipality</t>
  </si>
  <si>
    <t>KYsx9GT5z8s</t>
  </si>
  <si>
    <t>yKGWqCg1hKJ</t>
  </si>
  <si>
    <t>पिल्स</t>
  </si>
  <si>
    <t>CDxFiEyvP21</t>
  </si>
  <si>
    <t>sBEZU4oW36C</t>
  </si>
  <si>
    <t>Recovered</t>
  </si>
  <si>
    <t>pDXCQerDOv6</t>
  </si>
  <si>
    <t>Mangsebung Rural Municipality</t>
  </si>
  <si>
    <t>PXtUMGNc3lw</t>
  </si>
  <si>
    <t>Badhaiyatal Rural Municipality</t>
  </si>
  <si>
    <t>cSBE15iCImc</t>
  </si>
  <si>
    <t>Thalara Rural Municipality</t>
  </si>
  <si>
    <t>LB5MDCzfBmV</t>
  </si>
  <si>
    <t>Phalebas Municipality</t>
  </si>
  <si>
    <t>XdH4jVhBPBG</t>
  </si>
  <si>
    <t>Madane Rural Municipality</t>
  </si>
  <si>
    <t>iA6rwQV0erY</t>
  </si>
  <si>
    <t>Panini Rural Municipality</t>
  </si>
  <si>
    <t>Mn391YJ5EFj</t>
  </si>
  <si>
    <t>Annapurna Rural Municipality</t>
  </si>
  <si>
    <t>SWBFpzbssOo</t>
  </si>
  <si>
    <t>Ajayameru Rural Municipality</t>
  </si>
  <si>
    <t>T27W9IHR3zJ</t>
  </si>
  <si>
    <t>Palungtar Municipality</t>
  </si>
  <si>
    <t>et32DDJ6nyF</t>
  </si>
  <si>
    <t>Kwhola Sothar Rural Municipality</t>
  </si>
  <si>
    <t>mM3RxKB9PAP</t>
  </si>
  <si>
    <t>207 Bara</t>
  </si>
  <si>
    <t>MTTC85wseq8</t>
  </si>
  <si>
    <t>509 Kapilbastu</t>
  </si>
  <si>
    <t>Vrt0zNFCvGv</t>
  </si>
  <si>
    <t>Umakunda Rural Municipality</t>
  </si>
  <si>
    <t>EbMwgHGEVKE</t>
  </si>
  <si>
    <t>308 Lalitpur</t>
  </si>
  <si>
    <t>r1azx0kReQF</t>
  </si>
  <si>
    <t>505 Arghakhanchi</t>
  </si>
  <si>
    <t>ZHObyA2Po4d</t>
  </si>
  <si>
    <t>Laxminiya Rural Municipality</t>
  </si>
  <si>
    <t>ZyYbKNVlxZ1</t>
  </si>
  <si>
    <t>Gokulganga Rural Municipality</t>
  </si>
  <si>
    <t>cSlTxeCChkR</t>
  </si>
  <si>
    <t>r6LR0Bv2PTN</t>
  </si>
  <si>
    <t>Marin Rural Municipality</t>
  </si>
  <si>
    <t>lRSQ0xLFtaU</t>
  </si>
  <si>
    <t>GQ7S6wB7fOx</t>
  </si>
  <si>
    <t>Shahidnagar Municipality</t>
  </si>
  <si>
    <t>XVZrZWgr78e</t>
  </si>
  <si>
    <t>मुख</t>
  </si>
  <si>
    <t>JSZmxz6xJ5f</t>
  </si>
  <si>
    <t>जिवित जन्म</t>
  </si>
  <si>
    <t>wcP7T4FKEMd</t>
  </si>
  <si>
    <t>Golanjor Rural Municipality</t>
  </si>
  <si>
    <t>hkeNJSIlHNW</t>
  </si>
  <si>
    <t>नपुगेको (&lt; = ३७ हप्ता)</t>
  </si>
  <si>
    <t>bB62j4JgpM4</t>
  </si>
  <si>
    <t>GMV1kaXy6Xb</t>
  </si>
  <si>
    <t>Mechinagar Municipality</t>
  </si>
  <si>
    <t>h1kKuz9kyAE</t>
  </si>
  <si>
    <t>Lr06Efm1VEy</t>
  </si>
  <si>
    <t>K.I. Singh Rural Municipality</t>
  </si>
  <si>
    <t>mt6IIO4B4Vf</t>
  </si>
  <si>
    <t>Rajdevi Municipality</t>
  </si>
  <si>
    <t>qHrFuh0Ocuw</t>
  </si>
  <si>
    <t>Sakhuwa Prasauni Rural Municipality</t>
  </si>
  <si>
    <t>vrrDQ6LYpz9</t>
  </si>
  <si>
    <t>Dogada Kedar Rural Municipality</t>
  </si>
  <si>
    <t>kXFS9VnyOc7</t>
  </si>
  <si>
    <t>Sayal Rural Municipality</t>
  </si>
  <si>
    <t>DSecoD4xw0m</t>
  </si>
  <si>
    <t>Nisikhola Rural Municipality</t>
  </si>
  <si>
    <t>QqUWQ2hjlLd</t>
  </si>
  <si>
    <t>Bahrabise Municipality</t>
  </si>
  <si>
    <t>MilfEK4witp</t>
  </si>
  <si>
    <t>602 Mugu</t>
  </si>
  <si>
    <t>AisWo7zl5J4</t>
  </si>
  <si>
    <t>408 Nawalparasi East</t>
  </si>
  <si>
    <t>ramjT3rTxDy</t>
  </si>
  <si>
    <t>Jorayal Rural Municipality</t>
  </si>
  <si>
    <t>OZoQaGB4hyA</t>
  </si>
  <si>
    <t>Gulariya Municipality</t>
  </si>
  <si>
    <t>MpeJJ6lHva1</t>
  </si>
  <si>
    <t>Kali Gandaki Rural Municipality</t>
  </si>
  <si>
    <t>PfzeK6CkVzR</t>
  </si>
  <si>
    <t>302 Sindhupalchok</t>
  </si>
  <si>
    <t>XNSwyOxnJWc</t>
  </si>
  <si>
    <t>Chishankhu Gadhi Rural Municipality</t>
  </si>
  <si>
    <t>lwhVM3SRqjq</t>
  </si>
  <si>
    <t>Khandachakra Municipality</t>
  </si>
  <si>
    <t>Tcy0wHXsjtN</t>
  </si>
  <si>
    <t>502 Rolpa</t>
  </si>
  <si>
    <t>I7eRXWZ7MJj</t>
  </si>
  <si>
    <t>110 Ilam</t>
  </si>
  <si>
    <t>zfid7euzIm1</t>
  </si>
  <si>
    <t>Bhimad Municipality</t>
  </si>
  <si>
    <t>F9BRjjhu0GH</t>
  </si>
  <si>
    <t>Yangwarak Rural Municipality</t>
  </si>
  <si>
    <t>frO7u0vZk6f</t>
  </si>
  <si>
    <t>Boudhimai Municipality</t>
  </si>
  <si>
    <t>K11zgDjAZVd</t>
  </si>
  <si>
    <t>Kathmandu Metropolitian City</t>
  </si>
  <si>
    <t>ndbGVpmE75X</t>
  </si>
  <si>
    <t>Suddhodhan Rural Municipality</t>
  </si>
  <si>
    <t>xrutvjvfkSg</t>
  </si>
  <si>
    <t>३६ हप्ता</t>
  </si>
  <si>
    <t>myMve24lzEN</t>
  </si>
  <si>
    <t>512 Bardiya</t>
  </si>
  <si>
    <t>K7ALnyce3ms</t>
  </si>
  <si>
    <t>Dilasaini Rural Municipality</t>
  </si>
  <si>
    <t>Qd9ILIwLJft</t>
  </si>
  <si>
    <t>309 Kavrepalanchok</t>
  </si>
  <si>
    <t>JGvehNb4uTj</t>
  </si>
  <si>
    <t>Lamidanda Rural Municipality</t>
  </si>
  <si>
    <t>ZUOAV5yA3JG</t>
  </si>
  <si>
    <t>Mithila Municipality</t>
  </si>
  <si>
    <t>SQkUPJ56vhj</t>
  </si>
  <si>
    <t>Maulapur Municipality</t>
  </si>
  <si>
    <t>cgB3PsX45wj</t>
  </si>
  <si>
    <t>Naubahini Rural Municipality</t>
  </si>
  <si>
    <t>cgfevO6qPNb</t>
  </si>
  <si>
    <t>Negative (-ve)</t>
  </si>
  <si>
    <t>Urine Sugar</t>
  </si>
  <si>
    <t>Positive (+ve), Negative (-ve)</t>
  </si>
  <si>
    <t>xTyAzqrYozH</t>
  </si>
  <si>
    <t>Tinpatan Rural Municipality</t>
  </si>
  <si>
    <t>l4POaEYLt97</t>
  </si>
  <si>
    <t>Karaiyamai Rural Municipality</t>
  </si>
  <si>
    <t>D5hljfQxMJg</t>
  </si>
  <si>
    <t>Junichande Rural Municipality</t>
  </si>
  <si>
    <t>RwC9iQVU8M8</t>
  </si>
  <si>
    <t>Godaita Municipality</t>
  </si>
  <si>
    <t>CD1SmRwWvto</t>
  </si>
  <si>
    <t>Krishnapur Municipality</t>
  </si>
  <si>
    <t>IrQNnW9V2ae</t>
  </si>
  <si>
    <t>Tatopani Rural Municipality</t>
  </si>
  <si>
    <t>NmIRjZIIOfF</t>
  </si>
  <si>
    <t>Hetauda Sub-Metropolitian City</t>
  </si>
  <si>
    <t>QikKrj7F3cC</t>
  </si>
  <si>
    <t>गरेको होइन</t>
  </si>
  <si>
    <t>Use of Naval Ointment</t>
  </si>
  <si>
    <t>गरेको हो, गरेको होइन</t>
  </si>
  <si>
    <t>Fh20IQTh0Sm</t>
  </si>
  <si>
    <t>Bariyarpatti Rural Municipality</t>
  </si>
  <si>
    <t>pLEFHyyCLu3</t>
  </si>
  <si>
    <t>yUp4BmCjbb2</t>
  </si>
  <si>
    <t>102 Sankhuwasabha</t>
  </si>
  <si>
    <t>ywdpy6F8XcF</t>
  </si>
  <si>
    <t>Sworgadwari Municipality</t>
  </si>
  <si>
    <t>Ie7S7AfCOA4</t>
  </si>
  <si>
    <t>Budhiganga Municipality</t>
  </si>
  <si>
    <t>JFEhttkoMs4</t>
  </si>
  <si>
    <t>Pokhariya Municipality</t>
  </si>
  <si>
    <t>W3ZHIWmnoYt</t>
  </si>
  <si>
    <t>Pancheshwor Rural Municipality</t>
  </si>
  <si>
    <t>q4glehMMEwq</t>
  </si>
  <si>
    <t>Simkot Rural Municipality</t>
  </si>
  <si>
    <t>MiVsFH1Ybr6</t>
  </si>
  <si>
    <t>Buddhabhumi Municipality</t>
  </si>
  <si>
    <t>ClnBTsAtRGo</t>
  </si>
  <si>
    <t>Bideha Municipality</t>
  </si>
  <si>
    <t>U5VTCke9Cze</t>
  </si>
  <si>
    <t>Masta Rural Municipality</t>
  </si>
  <si>
    <t>Xbzrng24RX6</t>
  </si>
  <si>
    <t>हात</t>
  </si>
  <si>
    <t>xwrEvzkOCXg</t>
  </si>
  <si>
    <t>lcZfrbAeuxd</t>
  </si>
  <si>
    <t>WT3Skfg7hAx</t>
  </si>
  <si>
    <t>Panchkhal Municipality</t>
  </si>
  <si>
    <t>ZuFcLmQPG0O</t>
  </si>
  <si>
    <t>W3g8r8kQJbS</t>
  </si>
  <si>
    <t>Gadhawa Rural Municipality</t>
  </si>
  <si>
    <t>uA5OQYhvckA</t>
  </si>
  <si>
    <t>Kanchanrup Municipality</t>
  </si>
  <si>
    <t>H2OyVFADcnX</t>
  </si>
  <si>
    <t>Laljhadi Rural Municipality</t>
  </si>
  <si>
    <t>Jfanf4ZIMje</t>
  </si>
  <si>
    <t>s36Y5hzaM7r</t>
  </si>
  <si>
    <t>hHsSeGYjmSr</t>
  </si>
  <si>
    <t>Suryagadhi Rural Municipality</t>
  </si>
  <si>
    <t>vcno4BOI7ql</t>
  </si>
  <si>
    <t>Byas Municipality</t>
  </si>
  <si>
    <t>u5m53UUoa2s</t>
  </si>
  <si>
    <t>OkWynHJ9wpB</t>
  </si>
  <si>
    <t>Sakhuwa Nankarkatti Rural Municipality</t>
  </si>
  <si>
    <t>Cbjy7cYGPNy</t>
  </si>
  <si>
    <t>Khanikhola Rural Municipality</t>
  </si>
  <si>
    <t>so90YjYRbCD</t>
  </si>
  <si>
    <t>Chhatradev Rural Municipality</t>
  </si>
  <si>
    <t>VBsDKTtf7ER</t>
  </si>
  <si>
    <t>dfoVeRIW48h</t>
  </si>
  <si>
    <t>vBOdPk5rjeL</t>
  </si>
  <si>
    <t>rsPgkoF9mhV</t>
  </si>
  <si>
    <t>Byas Rural Municipality</t>
  </si>
  <si>
    <t>CvfXamPOSXo</t>
  </si>
  <si>
    <t>snBP9YqluQ2</t>
  </si>
  <si>
    <t>Apihimal Rural Municipality</t>
  </si>
  <si>
    <t>wHw5vViLn1P</t>
  </si>
  <si>
    <t>Triplet</t>
  </si>
  <si>
    <t>CQXGrPzbdD8</t>
  </si>
  <si>
    <t>Naumule Rural Municipality</t>
  </si>
  <si>
    <t>XDjBOjXb6SW</t>
  </si>
  <si>
    <t>Kachanakawal Rural Municipality</t>
  </si>
  <si>
    <t>EYcPOPnxcid</t>
  </si>
  <si>
    <t>mmAiLsc4dUX</t>
  </si>
  <si>
    <t>201 Saptari</t>
  </si>
  <si>
    <t>E7ZimGIFJea</t>
  </si>
  <si>
    <t>Aatharai Tribeni Rural Municipality</t>
  </si>
  <si>
    <t>pkfcZpKsYSH</t>
  </si>
  <si>
    <t>Gadhi Rural Municipality</t>
  </si>
  <si>
    <t>Q5tNBBhTFwC</t>
  </si>
  <si>
    <t>Jugal Rural Municipality</t>
  </si>
  <si>
    <t>mjhv9SuTiwC</t>
  </si>
  <si>
    <t>Chhatreshwori Rural Municipality</t>
  </si>
  <si>
    <t>qgJPh4DeLdb</t>
  </si>
  <si>
    <t>Ribdikot Rural Municipality</t>
  </si>
  <si>
    <t>mCUM20ToBSP</t>
  </si>
  <si>
    <t>F6OWwdthwcV</t>
  </si>
  <si>
    <t>Malikarjun Rural Municipality</t>
  </si>
  <si>
    <t>v0GqvJ3hiKs</t>
  </si>
  <si>
    <t>Madi Rural Municipality</t>
  </si>
  <si>
    <t>t7ZUZLOXxHK</t>
  </si>
  <si>
    <t>Jahada Rural Municipality</t>
  </si>
  <si>
    <t>uTIKlrR3f22</t>
  </si>
  <si>
    <t>Kailash Rural Municipality</t>
  </si>
  <si>
    <t>fpnnANaqTog</t>
  </si>
  <si>
    <t>Kamal Rural Municipality</t>
  </si>
  <si>
    <t>hLxjmfX5RgD</t>
  </si>
  <si>
    <t>Kolhabi Municipality</t>
  </si>
  <si>
    <t>JlQneBmSWcw</t>
  </si>
  <si>
    <t>mjXehSM7Pk2</t>
  </si>
  <si>
    <t>Jante Dhunga Rural Municipality</t>
  </si>
  <si>
    <t>GVQmogkpxhw</t>
  </si>
  <si>
    <t>Kummayak Rural Municipality</t>
  </si>
  <si>
    <t>bVg6HU7h80C</t>
  </si>
  <si>
    <t>1 दलित (१)</t>
  </si>
  <si>
    <t>wNfPV0QMs7n</t>
  </si>
  <si>
    <t>Nashong Rural Municipality</t>
  </si>
  <si>
    <t>CTKBGChDlMf</t>
  </si>
  <si>
    <t>Chaurjahari Municipality</t>
  </si>
  <si>
    <t>BFXIVv1gKAU</t>
  </si>
  <si>
    <t>Panchapuri Municipality</t>
  </si>
  <si>
    <t>rra2TNkUtsp</t>
  </si>
  <si>
    <t>Amargadhi Municipality</t>
  </si>
  <si>
    <t>FS0JydKnO6C</t>
  </si>
  <si>
    <t>Bannigadhi Jayagadh Rural Municipality</t>
  </si>
  <si>
    <t>vaKtyMGomYi</t>
  </si>
  <si>
    <t>Madhya Nepal Municipality</t>
  </si>
  <si>
    <t>v4cZmbYgVXH</t>
  </si>
  <si>
    <t>Harinas Rural Municipality</t>
  </si>
  <si>
    <t>EMvc6eCNmHp</t>
  </si>
  <si>
    <t>Rhishing Rural Municipality</t>
  </si>
  <si>
    <t>KYapkplUIim</t>
  </si>
  <si>
    <t>Mohanyal Rural Municipality</t>
  </si>
  <si>
    <t>qMj7SmPQvbA</t>
  </si>
  <si>
    <t>Rautamai Rural Municipality</t>
  </si>
  <si>
    <t>VmPdhojuWYi</t>
  </si>
  <si>
    <t>Lumbini Sanskritik Municipality</t>
  </si>
  <si>
    <t>c5bHzNOH9ge</t>
  </si>
  <si>
    <t>Kapurkot Rural Municipality</t>
  </si>
  <si>
    <t>D8EH8CPRoug</t>
  </si>
  <si>
    <t>Belouri Municipality</t>
  </si>
  <si>
    <t>CDrNusk1oST</t>
  </si>
  <si>
    <t>Layperson</t>
  </si>
  <si>
    <t>oa7GbITS17N</t>
  </si>
  <si>
    <t>Hatuwagadhi Rural Municipality</t>
  </si>
  <si>
    <t>FVX1dpkn5DR</t>
  </si>
  <si>
    <t>Sangurigadhi Rural Municipality</t>
  </si>
  <si>
    <t>TwdaLWzG0s8</t>
  </si>
  <si>
    <t>Neonatal death</t>
  </si>
  <si>
    <t>L5nR2xOjvb1</t>
  </si>
  <si>
    <t>Bagmati Province</t>
  </si>
  <si>
    <t>xhCl7WSwDuH</t>
  </si>
  <si>
    <t>109 Panchthar</t>
  </si>
  <si>
    <t>e3SdLuFphrm</t>
  </si>
  <si>
    <t>Chharka Tangsong Rural Municipality</t>
  </si>
  <si>
    <t>iex121keUrQ</t>
  </si>
  <si>
    <t>kZvKCZT6MLq</t>
  </si>
  <si>
    <t>Sanphebagar Municipality</t>
  </si>
  <si>
    <t>vqtwEyYAT7y</t>
  </si>
  <si>
    <t>Panchpokhari Thangpal Rural Municipality</t>
  </si>
  <si>
    <t>ceBlLzzQayY</t>
  </si>
  <si>
    <t>Katahariya Municipality</t>
  </si>
  <si>
    <t>BJFyMMWdt1S</t>
  </si>
  <si>
    <t>Surma Rural Municipality</t>
  </si>
  <si>
    <t>jVP84tthvFz</t>
  </si>
  <si>
    <t>Tarakeshwor Municipality</t>
  </si>
  <si>
    <t>O9VI9OE4RsV</t>
  </si>
  <si>
    <t>Kaligandaki Rural Municipality</t>
  </si>
  <si>
    <t>EyZAxT3ygnK</t>
  </si>
  <si>
    <t>Gurans Rural Municipality</t>
  </si>
  <si>
    <t>xYU2N84o2Rg</t>
  </si>
  <si>
    <t>Madhya Bindu Municipality</t>
  </si>
  <si>
    <t>Gzx03rCkZEe</t>
  </si>
  <si>
    <t>113 Sunsari</t>
  </si>
  <si>
    <t>bfMhkIAGWMh</t>
  </si>
  <si>
    <t>Positive (+ve)</t>
  </si>
  <si>
    <t>Urine Protein</t>
  </si>
  <si>
    <t>E2GlezvQ5pr</t>
  </si>
  <si>
    <t>JA60.0 Mild hyperemesis gravidarum</t>
  </si>
  <si>
    <t>AVdFHNSEFlJ</t>
  </si>
  <si>
    <t>DMSdapbiSXY</t>
  </si>
  <si>
    <t>Dolpo Buddha Rural Municipality</t>
  </si>
  <si>
    <t>JQxYfy6VSGI</t>
  </si>
  <si>
    <t>Kanda Rural Municipality</t>
  </si>
  <si>
    <t>okqwvh8wx9Y</t>
  </si>
  <si>
    <t>Gaumukhi Rural Municipality</t>
  </si>
  <si>
    <t>ZWZ2w5rvxDv</t>
  </si>
  <si>
    <t>Katahari Rural Municipality</t>
  </si>
  <si>
    <t>X99nusX058Z</t>
  </si>
  <si>
    <t>Dhurkot Rural Municipality</t>
  </si>
  <si>
    <t>EAdcnn8OPfm</t>
  </si>
  <si>
    <t>Shivalaya Rural Municipality</t>
  </si>
  <si>
    <t>expqrmvsTnR</t>
  </si>
  <si>
    <t>Mangala Rural Municipality</t>
  </si>
  <si>
    <t>WBxVbTQY0m3</t>
  </si>
  <si>
    <t>Paroha Municipality</t>
  </si>
  <si>
    <t>anbeBY0SQH8</t>
  </si>
  <si>
    <t>Nijagadh Municipality</t>
  </si>
  <si>
    <t>GVTJpHIh0iN</t>
  </si>
  <si>
    <t>Golbazar Municipality</t>
  </si>
  <si>
    <t>gCNWRCx9ZGr</t>
  </si>
  <si>
    <t>Rapti Municipality</t>
  </si>
  <si>
    <t>kzjscbegiG3</t>
  </si>
  <si>
    <t>Pauwa Dunma Rural Municipality</t>
  </si>
  <si>
    <t>ytUrcR6nUdg</t>
  </si>
  <si>
    <t>Brahmapuri Rural Municipality</t>
  </si>
  <si>
    <t>KJQeBFcQooj</t>
  </si>
  <si>
    <t>Galkot Municipality</t>
  </si>
  <si>
    <t>vo2JzF5zXRS</t>
  </si>
  <si>
    <t>f4HwDZTupMU</t>
  </si>
  <si>
    <t>NHlqPJsNpma</t>
  </si>
  <si>
    <t>Gokarneshwor Municipality</t>
  </si>
  <si>
    <t>PoqspwfCKsv</t>
  </si>
  <si>
    <t>Hypothermia</t>
  </si>
  <si>
    <t>V5romBqHPya</t>
  </si>
  <si>
    <t>Tanjakot Rural Municipality</t>
  </si>
  <si>
    <t>vrwc9Nul4t0</t>
  </si>
  <si>
    <t>Deumai Municipality</t>
  </si>
  <si>
    <t>cXdGOxKHbru</t>
  </si>
  <si>
    <t>unM18X68sNS</t>
  </si>
  <si>
    <t>Raghuganga Rural Municipality</t>
  </si>
  <si>
    <t>H2oJJer4UNq</t>
  </si>
  <si>
    <t>Khaptad Chhanna Rural Municipality</t>
  </si>
  <si>
    <t>cvoTrf51FSH</t>
  </si>
  <si>
    <t>Bhageshwor Rural Municipality</t>
  </si>
  <si>
    <t>LFtVNsm3ed8</t>
  </si>
  <si>
    <t>Aathabisakot Municipality</t>
  </si>
  <si>
    <t>Jyze0H2FX62</t>
  </si>
  <si>
    <t>Mikwakhola Rural Municipality</t>
  </si>
  <si>
    <t>V1AMz5T7OE4</t>
  </si>
  <si>
    <t>Chaukune Rural Municipality</t>
  </si>
  <si>
    <t>MHd3mUbQZzF</t>
  </si>
  <si>
    <t>Salpa Silichho Rural Municipality</t>
  </si>
  <si>
    <t>TgohsMmBY4H</t>
  </si>
  <si>
    <t>Patarasi Rural Municipality</t>
  </si>
  <si>
    <t>YlgdIFCuybP</t>
  </si>
  <si>
    <t>Absconded</t>
  </si>
  <si>
    <t>gwREWWtLsvK</t>
  </si>
  <si>
    <t>Nsxl4tlTQzu</t>
  </si>
  <si>
    <t>Kuse Rural Municipality</t>
  </si>
  <si>
    <t>Gi6xbWGpL1d</t>
  </si>
  <si>
    <t>हो</t>
  </si>
  <si>
    <t>J0h5Swe9zuC</t>
  </si>
  <si>
    <t>X9Wuo3EUCgv</t>
  </si>
  <si>
    <t>Sisne Rural Municipality</t>
  </si>
  <si>
    <t>YacwsaeiSAm</t>
  </si>
  <si>
    <t>Tilottama Municipality</t>
  </si>
  <si>
    <t>vgsWIO2QQ3V</t>
  </si>
  <si>
    <t>प्रसूति अवस्था</t>
  </si>
  <si>
    <t>JNRBnojeJD9</t>
  </si>
  <si>
    <t>Manthali  Municipality</t>
  </si>
  <si>
    <t>upqxhWfTSQN</t>
  </si>
  <si>
    <t>igl4TqDYokW</t>
  </si>
  <si>
    <t>गरेको हो</t>
  </si>
  <si>
    <t>eW0hwS68FZi</t>
  </si>
  <si>
    <t>Rong Rural Municipality</t>
  </si>
  <si>
    <t>Ey27DTQAss8</t>
  </si>
  <si>
    <t>Rangeli Municipality</t>
  </si>
  <si>
    <t>YWFRfcmaNNq</t>
  </si>
  <si>
    <t>utz8VdqimQG</t>
  </si>
  <si>
    <t>hWd5pqjp8F7</t>
  </si>
  <si>
    <t>511 Banke</t>
  </si>
  <si>
    <t>wDWXzaq3f8T</t>
  </si>
  <si>
    <t>Kerabari Rural Municipality</t>
  </si>
  <si>
    <t>kDsFOvBPH7B</t>
  </si>
  <si>
    <t>Sarkegad Rural Municipality</t>
  </si>
  <si>
    <t>TkQPU1j5sPl</t>
  </si>
  <si>
    <t>Khalsa Chhintang Sahidbhumi Rural Municipality</t>
  </si>
  <si>
    <t>miwy17SEi6Y</t>
  </si>
  <si>
    <t>Jhimaruk Rural Municipality</t>
  </si>
  <si>
    <t>WabHSAIqPYL</t>
  </si>
  <si>
    <t>508 Rupandehi</t>
  </si>
  <si>
    <t>nCSr6Zg5qKf</t>
  </si>
  <si>
    <t>Jirabhawani Rural Municipality</t>
  </si>
  <si>
    <t>Lup23R9hDd2</t>
  </si>
  <si>
    <t>Siddhicharan Municipality</t>
  </si>
  <si>
    <t>DGVqx9QeXmC</t>
  </si>
  <si>
    <t>Xs5hgp7OWcQ</t>
  </si>
  <si>
    <t>Pratapapur Rural Municipality</t>
  </si>
  <si>
    <t>ORRuFxj4ZId</t>
  </si>
  <si>
    <t>Dharan Sub-Metropolitian City</t>
  </si>
  <si>
    <t>lRklf2GHTCX</t>
  </si>
  <si>
    <t>kzB3B42PYPs</t>
  </si>
  <si>
    <t>Swami Kartik Rural Municipality</t>
  </si>
  <si>
    <t>fVkgl6tkLYR</t>
  </si>
  <si>
    <t>Gauradaha Municipality</t>
  </si>
  <si>
    <t>uwl7jojlY5C</t>
  </si>
  <si>
    <t>Gaumul Rural Municipality</t>
  </si>
  <si>
    <t>HWIdY0X1JAa</t>
  </si>
  <si>
    <t>Soru Rural Municipality</t>
  </si>
  <si>
    <t>yTAbOK2ZkkC</t>
  </si>
  <si>
    <t>Arjundhara Municipality</t>
  </si>
  <si>
    <t>g9FCd0AOgl5</t>
  </si>
  <si>
    <t>Tikapur Municipality</t>
  </si>
  <si>
    <t>HWcxCcPozuB</t>
  </si>
  <si>
    <t>Dhanushadham Municipality</t>
  </si>
  <si>
    <t>kq1RNM2grTm</t>
  </si>
  <si>
    <t>Sarumarani Rural Municipality</t>
  </si>
  <si>
    <t>zo4v791tpCF</t>
  </si>
  <si>
    <t>Harinagara Rural Municipality</t>
  </si>
  <si>
    <t>H1cdlRsXvHK</t>
  </si>
  <si>
    <t>Dhunibenshi Municipality</t>
  </si>
  <si>
    <t>WCLcyhcgL7A</t>
  </si>
  <si>
    <t>YKHAPzOd7fV</t>
  </si>
  <si>
    <t>Gandaki Province</t>
  </si>
  <si>
    <t>B86m4uCHWgU</t>
  </si>
  <si>
    <t>Bidur Municipality</t>
  </si>
  <si>
    <t>rUheQdkTwu8</t>
  </si>
  <si>
    <t>Choutara Sangachowkgadhi Municipality</t>
  </si>
  <si>
    <t>Ed9wCgYOzt4</t>
  </si>
  <si>
    <t>JaPlp3tfudO</t>
  </si>
  <si>
    <t>Dangisharan Rural Municipality</t>
  </si>
  <si>
    <t>x2Ea4eMVqRZ</t>
  </si>
  <si>
    <t>TsSZYVcXH04</t>
  </si>
  <si>
    <t>O9LpDiTdV2v</t>
  </si>
  <si>
    <t>Bedkot Municipality</t>
  </si>
  <si>
    <t>sJvel46Awpn</t>
  </si>
  <si>
    <t>Dudhouli Municipality</t>
  </si>
  <si>
    <t>V4lazNyGZUd</t>
  </si>
  <si>
    <t>Dhorpatan Municipality</t>
  </si>
  <si>
    <t>UrCzqrooerV</t>
  </si>
  <si>
    <t>महिला</t>
  </si>
  <si>
    <t>klrlqqZkPaU</t>
  </si>
  <si>
    <t>Konjyosom Rural Municipality</t>
  </si>
  <si>
    <t>JCQCyDVg3fS</t>
  </si>
  <si>
    <t>Hariwan Municipality</t>
  </si>
  <si>
    <t>wevY4QjhvMb</t>
  </si>
  <si>
    <t>Hariharpurgaghi Rural Municipality</t>
  </si>
  <si>
    <t>C6VdaInio3i</t>
  </si>
  <si>
    <t>Shivanath Rural Municipality</t>
  </si>
  <si>
    <t>K59HMyJxUXf</t>
  </si>
  <si>
    <t>programs</t>
  </si>
  <si>
    <t>मातृ तथा नवजात शिशु स्वास्थ्य</t>
  </si>
  <si>
    <t>KDoIg4W1zLu</t>
  </si>
  <si>
    <t>programRuleActions</t>
  </si>
  <si>
    <t>GY4dkxGPF1t</t>
  </si>
  <si>
    <t>vyXGYBJSVMV</t>
  </si>
  <si>
    <t>HBt9bZ89l4l</t>
  </si>
  <si>
    <t>d8WWKDtLiC4</t>
  </si>
  <si>
    <t>g3Ixs02hYxv</t>
  </si>
  <si>
    <t>nlbS8SWfIgs</t>
  </si>
  <si>
    <t>Ql5Zhy73gcX</t>
  </si>
  <si>
    <t>Pp6LQLljxkP</t>
  </si>
  <si>
    <t>cHfJKVRBPHU</t>
  </si>
  <si>
    <t>I3AszSWWu2o</t>
  </si>
  <si>
    <t>jZalYC4QIOV</t>
  </si>
  <si>
    <t>UdqiXY1coFC</t>
  </si>
  <si>
    <t>SEqnXKKrjal</t>
  </si>
  <si>
    <t>OOf7QJukiai</t>
  </si>
  <si>
    <t>DD57o45AJEB</t>
  </si>
  <si>
    <t>upLSIePp9qd</t>
  </si>
  <si>
    <t>mMQ3Xb1vb5K</t>
  </si>
  <si>
    <t>pc5t4XHVg1T</t>
  </si>
  <si>
    <t>ANmzpt5g8tC</t>
  </si>
  <si>
    <t>lOre4P7hFRe</t>
  </si>
  <si>
    <t>e3V1FCv3bIM</t>
  </si>
  <si>
    <t>L5Jn5TJUvBw</t>
  </si>
  <si>
    <t>abnhOZyxHA7</t>
  </si>
  <si>
    <t>uTqhOd86kHf</t>
  </si>
  <si>
    <t>Ce2Szrlfimr</t>
  </si>
  <si>
    <t>PDsFe58UxO3</t>
  </si>
  <si>
    <t>cvPjEUtzG0a</t>
  </si>
  <si>
    <t>ATr58BkPgDa</t>
  </si>
  <si>
    <t>PFJUZSZTA3C</t>
  </si>
  <si>
    <t>uatgl37oCzi</t>
  </si>
  <si>
    <t>YRePgc1Ng8w</t>
  </si>
  <si>
    <t>WYBqRcIETf7</t>
  </si>
  <si>
    <t>QSxHQrMuNgV</t>
  </si>
  <si>
    <t>GMYFr2il628</t>
  </si>
  <si>
    <t>sGw7xqECgta</t>
  </si>
  <si>
    <t>tEDjiiEvAIE</t>
  </si>
  <si>
    <t>f0eTeU2JREs</t>
  </si>
  <si>
    <t>ZViaeMskTS4</t>
  </si>
  <si>
    <t>rKK84HSnOHP</t>
  </si>
  <si>
    <t>GQPDDUhNXOi</t>
  </si>
  <si>
    <t>LVXpRc4YNbP</t>
  </si>
  <si>
    <t>Lg1856l8W3J</t>
  </si>
  <si>
    <t>jXTmpeiTgr4</t>
  </si>
  <si>
    <t>rfLh9pAwXdO</t>
  </si>
  <si>
    <t>TaQONitT4gH</t>
  </si>
  <si>
    <t>GVsVDZ688Pl</t>
  </si>
  <si>
    <t>YCoNIFWFyjt</t>
  </si>
  <si>
    <t>hnRB9qg1RJI</t>
  </si>
  <si>
    <t>FKSGE44Ffqa</t>
  </si>
  <si>
    <t>kCoQPzsuEiS</t>
  </si>
  <si>
    <t>fDinwkKzqOn</t>
  </si>
  <si>
    <t>vfWy02BVFZB</t>
  </si>
  <si>
    <t>e0RtAhyfHFp</t>
  </si>
  <si>
    <t>MW9nN5Qsn6D</t>
  </si>
  <si>
    <t>wLGzqAzMwPm</t>
  </si>
  <si>
    <t>hSRInmbh5Fq</t>
  </si>
  <si>
    <t>JFZFfHeoHxh</t>
  </si>
  <si>
    <t>Y8nUIQItXe1</t>
  </si>
  <si>
    <t>JrMKSdAE5uU</t>
  </si>
  <si>
    <t>gfOe2OZgqYm</t>
  </si>
  <si>
    <t>nxQnodcszeN</t>
  </si>
  <si>
    <t>tIzhRaAf51u</t>
  </si>
  <si>
    <t>Viwj3xrWfgf</t>
  </si>
  <si>
    <t>yfHbY14g7q7</t>
  </si>
  <si>
    <t>DYObgmN0Q4I</t>
  </si>
  <si>
    <t>zpn6zvdIBpf</t>
  </si>
  <si>
    <t>RECNX7bTrtw</t>
  </si>
  <si>
    <t>ZEsBTXNkKEW</t>
  </si>
  <si>
    <t>XTTOIsnoEbo</t>
  </si>
  <si>
    <t>K7gtlnlSCIc</t>
  </si>
  <si>
    <t>L1MGd7tb2Jc</t>
  </si>
  <si>
    <t>HB3616ev7aG</t>
  </si>
  <si>
    <t>CwNf9EUHhmV</t>
  </si>
  <si>
    <t>LV1MZf6I1vg</t>
  </si>
  <si>
    <t>EHktmkgq6eF</t>
  </si>
  <si>
    <t>bJ1D75w4XiM</t>
  </si>
  <si>
    <t>oIpdL90RovX</t>
  </si>
  <si>
    <t>snzqhD3DfV2</t>
  </si>
  <si>
    <t>h673txuYNlN</t>
  </si>
  <si>
    <t>P8clrzbRJYL</t>
  </si>
  <si>
    <t>pgjTABlEAPE</t>
  </si>
  <si>
    <t>KphYHBdmbau</t>
  </si>
  <si>
    <t>YkZkB7PrclM</t>
  </si>
  <si>
    <t>H5N5g70pBdS</t>
  </si>
  <si>
    <t>oPh0UFhBTl5</t>
  </si>
  <si>
    <t>Q3WQZiVLO7b</t>
  </si>
  <si>
    <t>aKDg6JYBqaW</t>
  </si>
  <si>
    <t>Z2xw1NmSPPO</t>
  </si>
  <si>
    <t>DQITmdsHNb5</t>
  </si>
  <si>
    <t>ycAlqm2sOwv</t>
  </si>
  <si>
    <t>jJP5o0qAWCx</t>
  </si>
  <si>
    <t>kvkkMYpTj1U</t>
  </si>
  <si>
    <t>WiAHqtt8CLx</t>
  </si>
  <si>
    <t>b2eMhGZB42I</t>
  </si>
  <si>
    <t>WRiBKnsnkR4</t>
  </si>
  <si>
    <t>Dnaj9anf5kn</t>
  </si>
  <si>
    <t>UpEidwwSbQF</t>
  </si>
  <si>
    <t>HHtnRXUBC5m</t>
  </si>
  <si>
    <t>w1pKjY4AWHs</t>
  </si>
  <si>
    <t>m422pDaZjrV</t>
  </si>
  <si>
    <t>GloQ84meRor</t>
  </si>
  <si>
    <t>XBDTVbAvwiv</t>
  </si>
  <si>
    <t>aah8YJUVQR8</t>
  </si>
  <si>
    <t>CTpgaomHCX5</t>
  </si>
  <si>
    <t>Sqp1JipOIcL</t>
  </si>
  <si>
    <t>YqwIdwVxd0K</t>
  </si>
  <si>
    <t>yN6RVoNCNbE</t>
  </si>
  <si>
    <t>NqfZhkkhqhc</t>
  </si>
  <si>
    <t>kPQbuAAO14l</t>
  </si>
  <si>
    <t>rYwzAPuTJdr</t>
  </si>
  <si>
    <t>TaCIdKRotJS</t>
  </si>
  <si>
    <t>rxVJLt8uWIy</t>
  </si>
  <si>
    <t>xIpqVJYAbSa</t>
  </si>
  <si>
    <t>MKWvIpJa34G</t>
  </si>
  <si>
    <t>mniTENHG1SM</t>
  </si>
  <si>
    <t>i9wL8TPAkI2</t>
  </si>
  <si>
    <t>nOgE0oBJ0uQ</t>
  </si>
  <si>
    <t>j0MCpH9WvJZ</t>
  </si>
  <si>
    <t>f9gAHVJELk0</t>
  </si>
  <si>
    <t>UnH2bN70eEa</t>
  </si>
  <si>
    <t>fsjhwD1NajR</t>
  </si>
  <si>
    <t>pdxePTHXoqE</t>
  </si>
  <si>
    <t>egIBroiWI20</t>
  </si>
  <si>
    <t>DLVYck1npcZ</t>
  </si>
  <si>
    <t>wKLH0H1RoOB</t>
  </si>
  <si>
    <t>HSfyneTcrjf</t>
  </si>
  <si>
    <t>xjJAqunwv2j</t>
  </si>
  <si>
    <t>DspHm7pv78L</t>
  </si>
  <si>
    <t>mIWWSReaZnU</t>
  </si>
  <si>
    <t>dMlY8PB1Qd8</t>
  </si>
  <si>
    <t>ni5DkOt5hSV</t>
  </si>
  <si>
    <t>lzjCnLzORRK</t>
  </si>
  <si>
    <t>CsrRwnCkTYj</t>
  </si>
  <si>
    <t>GLevLNI9wkl</t>
  </si>
  <si>
    <t>categories</t>
  </si>
  <si>
    <t>default</t>
  </si>
  <si>
    <t>vsmAhG18JSl</t>
  </si>
  <si>
    <t>programStages</t>
  </si>
  <si>
    <t>गर्भवती जाँच</t>
  </si>
  <si>
    <t>JsYUmRVyxDw</t>
  </si>
  <si>
    <t>अघिल्ला गर्भहरुको विवरण</t>
  </si>
  <si>
    <t>n3AJQDDLDbZ</t>
  </si>
  <si>
    <t>टी .डी. खोप लगाएको विवरण</t>
  </si>
  <si>
    <t>RQeCTBrhh3Q</t>
  </si>
  <si>
    <t>सुत्केरी पछिको सेवा</t>
  </si>
  <si>
    <t>Lm53iIq7zMr</t>
  </si>
  <si>
    <t>रगत दिएको विवरण</t>
  </si>
  <si>
    <t>JQnHPKqFZ0H</t>
  </si>
  <si>
    <t>यातायात, उत्प्रेरणा तथा न्यानो झोलाको विवरण</t>
  </si>
  <si>
    <t>dh411K5LInS</t>
  </si>
  <si>
    <t>नवशिशुको विवरण</t>
  </si>
  <si>
    <t>JgAcRGoxNQn</t>
  </si>
  <si>
    <t>प्रयोगशाला परिक्षण</t>
  </si>
  <si>
    <t>Mdd3KGHuhLs</t>
  </si>
  <si>
    <t>परिणामहरू</t>
  </si>
  <si>
    <t>Gdf45yp6r0Q</t>
  </si>
  <si>
    <t>प्रशुती सम्बन्धी विवरण</t>
  </si>
  <si>
    <t>zFg34B9wY9r</t>
  </si>
  <si>
    <t>programRules</t>
  </si>
  <si>
    <t>Bagmati Province</t>
  </si>
  <si>
    <t>R0D8yXss9dY</t>
  </si>
  <si>
    <t>Terhathum</t>
  </si>
  <si>
    <t>lkLZpVyJxD2</t>
  </si>
  <si>
    <t>MNH - Check that LMP date given is before event date (visit date)</t>
  </si>
  <si>
    <t>Z1yd2Fkbvna</t>
  </si>
  <si>
    <t>Nawalparasi East</t>
  </si>
  <si>
    <t>N442ev4rLz6</t>
  </si>
  <si>
    <t>Dolpa</t>
  </si>
  <si>
    <t>KX2BvkpAzwT</t>
  </si>
  <si>
    <t>Mustang</t>
  </si>
  <si>
    <t>tiiNo9KmYUU</t>
  </si>
  <si>
    <t>Dhankuta</t>
  </si>
  <si>
    <t>kTLyDMFgx5I</t>
  </si>
  <si>
    <t>Mahottari</t>
  </si>
  <si>
    <t>Ss7K80Nr8Zn</t>
  </si>
  <si>
    <t>Taplejung</t>
  </si>
  <si>
    <t>gmBo7hS8NEx</t>
  </si>
  <si>
    <t>Other severe allergy</t>
  </si>
  <si>
    <t>n6gPTvziyXo</t>
  </si>
  <si>
    <t>Darchula</t>
  </si>
  <si>
    <t>Rsoi1Cozrk5</t>
  </si>
  <si>
    <t>Jhapa</t>
  </si>
  <si>
    <t>RguRv8DMkVF</t>
  </si>
  <si>
    <t>Karnali Province</t>
  </si>
  <si>
    <t>zZ84KXVDU6R</t>
  </si>
  <si>
    <t>MNH - II - NeonatalCondition</t>
  </si>
  <si>
    <t>KI3o6ZpFihI</t>
  </si>
  <si>
    <t>Baglung</t>
  </si>
  <si>
    <t>LxQGrLCmTGD</t>
  </si>
  <si>
    <t>MNH - ANC - Birth_Weight</t>
  </si>
  <si>
    <t>AjBU4zDPn43</t>
  </si>
  <si>
    <t>Sunsari</t>
  </si>
  <si>
    <t>vx5CYMx3bzZ</t>
  </si>
  <si>
    <t>Other penicillin allergy</t>
  </si>
  <si>
    <t>CR3ZyNoL1wG</t>
  </si>
  <si>
    <t>MNH - D - Labor Complications</t>
  </si>
  <si>
    <t>q9ri4Fb3SJt</t>
  </si>
  <si>
    <t>Lalitpur</t>
  </si>
  <si>
    <t>rccNK612394</t>
  </si>
  <si>
    <t>Dhading</t>
  </si>
  <si>
    <t>TUQTWmWfaVM</t>
  </si>
  <si>
    <t>Saptari</t>
  </si>
  <si>
    <t>QsW15VyIKrV</t>
  </si>
  <si>
    <t>MNH - Outcome-BabyStatus</t>
  </si>
  <si>
    <t>GsHQ8pkGIzo</t>
  </si>
  <si>
    <t>Banke</t>
  </si>
  <si>
    <t>x064l1ueon7</t>
  </si>
  <si>
    <t>Kailali</t>
  </si>
  <si>
    <t>IfcHbXVQgbE</t>
  </si>
  <si>
    <t>Lumbini Province</t>
  </si>
  <si>
    <t>VGp6AR8ZdrC</t>
  </si>
  <si>
    <t>Koshi Province</t>
  </si>
  <si>
    <t>g3UbRpecB4i</t>
  </si>
  <si>
    <t>PregnancyYES</t>
  </si>
  <si>
    <t>ket4E2TM6hf</t>
  </si>
  <si>
    <t>Rupandehi</t>
  </si>
  <si>
    <t>IpPGMPvYbKb</t>
  </si>
  <si>
    <t>Other medicine allergy</t>
  </si>
  <si>
    <t>QigIa4htRo9</t>
  </si>
  <si>
    <t>Manang</t>
  </si>
  <si>
    <t>L9gyaRhaIRx</t>
  </si>
  <si>
    <t>Madhesh Province</t>
  </si>
  <si>
    <t>xUWPWuaqeVI</t>
  </si>
  <si>
    <t>Kalikot</t>
  </si>
  <si>
    <t>LUUmkvPUe4j</t>
  </si>
  <si>
    <t>Surkhet</t>
  </si>
  <si>
    <t>Jp5XKDYi2Dl</t>
  </si>
  <si>
    <t>Sindhuli</t>
  </si>
  <si>
    <t>vRsyVDYQYTv</t>
  </si>
  <si>
    <t>Mugu</t>
  </si>
  <si>
    <t>fjBI2Ofjae2</t>
  </si>
  <si>
    <t>NyanoBagYes</t>
  </si>
  <si>
    <t>ucn21iUEBwn</t>
  </si>
  <si>
    <t>Morang</t>
  </si>
  <si>
    <t>GbSWYL6wkDZ</t>
  </si>
  <si>
    <t>Siraha</t>
  </si>
  <si>
    <t>ftbyV2UhBec</t>
  </si>
  <si>
    <t>Rukum East</t>
  </si>
  <si>
    <t>CJhFZl6mBM9</t>
  </si>
  <si>
    <t>Doti</t>
  </si>
  <si>
    <t>vweWLIudERK</t>
  </si>
  <si>
    <t>MNH - Calculate gestational age from LMP and : display as indicator</t>
  </si>
  <si>
    <t>F8yI5ggw186</t>
  </si>
  <si>
    <t>Myagdi</t>
  </si>
  <si>
    <t>ofRaAWhJIsh</t>
  </si>
  <si>
    <t>Solukhumbu</t>
  </si>
  <si>
    <t>Oubcz5Mk9ql</t>
  </si>
  <si>
    <t>MNH - LMPDate</t>
  </si>
  <si>
    <t>zPHR9rEWZVR</t>
  </si>
  <si>
    <t>PregnancyNO</t>
  </si>
  <si>
    <t>XgnHbfmZTdk</t>
  </si>
  <si>
    <t>Kathmandu</t>
  </si>
  <si>
    <t>IJmlSYaPCAv</t>
  </si>
  <si>
    <t>Bara</t>
  </si>
  <si>
    <t>sSSvLriKi6U</t>
  </si>
  <si>
    <t>Dailekh</t>
  </si>
  <si>
    <t>T5FaH07bKYG</t>
  </si>
  <si>
    <t>MNH - Hide visit 32 week value of ANC visit as per protocol</t>
  </si>
  <si>
    <t>QmbVa6D6G3g</t>
  </si>
  <si>
    <t>Bardiya</t>
  </si>
  <si>
    <t>BcZ2yHtzSqy</t>
  </si>
  <si>
    <t>MNH - PD - Birth Weight</t>
  </si>
  <si>
    <t>nhYjVeigNWD</t>
  </si>
  <si>
    <t>Dolakha</t>
  </si>
  <si>
    <t>K7VaWe5ZiRP</t>
  </si>
  <si>
    <t>MNH - Hide visit 28 week value of ANC visit as per protocol</t>
  </si>
  <si>
    <t>qVUGRzdqpzy</t>
  </si>
  <si>
    <t>Gulmi</t>
  </si>
  <si>
    <t>VMMNaZdc8uu</t>
  </si>
  <si>
    <t>Okhaldhunga</t>
  </si>
  <si>
    <t>Hf9MxTaYIV0</t>
  </si>
  <si>
    <t>MNH_PrimiCheck</t>
  </si>
  <si>
    <t>Jhfp6qRsMdE</t>
  </si>
  <si>
    <t>Dhanusa</t>
  </si>
  <si>
    <t>OmZUewjYLUE</t>
  </si>
  <si>
    <t>Kapilbastu</t>
  </si>
  <si>
    <t>WnJg4V9gdc1</t>
  </si>
  <si>
    <t>Panchthar</t>
  </si>
  <si>
    <t>JrCk1rbPbzJ</t>
  </si>
  <si>
    <t>TransportationNO</t>
  </si>
  <si>
    <t>AWDanrLkh6L</t>
  </si>
  <si>
    <t>Nawalparasi West</t>
  </si>
  <si>
    <t>Ad058lDJcEN</t>
  </si>
  <si>
    <t>Parsa</t>
  </si>
  <si>
    <t>esxCNmjUuar</t>
  </si>
  <si>
    <t>Tanahu</t>
  </si>
  <si>
    <t>NgN5kSDzwJq</t>
  </si>
  <si>
    <t>Sarlahi</t>
  </si>
  <si>
    <t>xlpwyakEdtw</t>
  </si>
  <si>
    <t>Bhaktapur</t>
  </si>
  <si>
    <t>pvL7FwBjLAN</t>
  </si>
  <si>
    <t>WHOMCH Chronic Conditions</t>
  </si>
  <si>
    <t>sYedmTjopWB</t>
  </si>
  <si>
    <t>Ramechhap</t>
  </si>
  <si>
    <t>UfaK3Hegads</t>
  </si>
  <si>
    <t>Kavrepalanchok</t>
  </si>
  <si>
    <t>rXmWEffdLYb</t>
  </si>
  <si>
    <t>MNH - Add Days 280 Days LMP</t>
  </si>
  <si>
    <t>OruujpY5SS1</t>
  </si>
  <si>
    <t>Arghakhanchi</t>
  </si>
  <si>
    <t>NRYirPufnbn</t>
  </si>
  <si>
    <t>Parbat</t>
  </si>
  <si>
    <t>WyQDvQHBCZi</t>
  </si>
  <si>
    <t>MNH - Hide visit 16 week value of ANC visit as per protocol</t>
  </si>
  <si>
    <t>NFboNFDrlgH</t>
  </si>
  <si>
    <t>Sudurpashchim Province</t>
  </si>
  <si>
    <t>YfXxsN5azQp</t>
  </si>
  <si>
    <t>Hide Section</t>
  </si>
  <si>
    <t>QO8SviHzArz</t>
  </si>
  <si>
    <t>MNH - Estimate the due date 280 Days from LMP</t>
  </si>
  <si>
    <t>HBR5uyUHxEG</t>
  </si>
  <si>
    <t>Chitwan</t>
  </si>
  <si>
    <t>ANmSlQlGZpK</t>
  </si>
  <si>
    <t>Lamjung</t>
  </si>
  <si>
    <t>WSJizMeVzNU</t>
  </si>
  <si>
    <t>Bhojpur</t>
  </si>
  <si>
    <t>wwOojmqX2sK</t>
  </si>
  <si>
    <t>Jumla</t>
  </si>
  <si>
    <t>nNJdfR3a52R</t>
  </si>
  <si>
    <t>Rasuwa</t>
  </si>
  <si>
    <t>NP5JQ9FAbvt</t>
  </si>
  <si>
    <t>Bajhang</t>
  </si>
  <si>
    <t>KfAfMGt7U79</t>
  </si>
  <si>
    <t>MNH - II - NeonatalConditionFalse</t>
  </si>
  <si>
    <t>sZXlx2daOtq</t>
  </si>
  <si>
    <t>Palpa</t>
  </si>
  <si>
    <t>jR4pbUJMxAp</t>
  </si>
  <si>
    <t>Khotang</t>
  </si>
  <si>
    <t>UV1Cmo1Y3bR</t>
  </si>
  <si>
    <t>Makwanpur</t>
  </si>
  <si>
    <t>MvO1IQ8jEmW</t>
  </si>
  <si>
    <t>Nuwakot</t>
  </si>
  <si>
    <t>gvaDiR8ZEMj</t>
  </si>
  <si>
    <t>MNH - Hide visit Between 20 to 24 value of ANC visit as per protocol</t>
  </si>
  <si>
    <t>MNVmljrZNH2</t>
  </si>
  <si>
    <t>Jajarkot</t>
  </si>
  <si>
    <t>B9tZrhbfq9n</t>
  </si>
  <si>
    <t>Bajura</t>
  </si>
  <si>
    <t>GFRozr9sjPA</t>
  </si>
  <si>
    <t>MNH_SwellingCheck</t>
  </si>
  <si>
    <t>fmoYYKAugap</t>
  </si>
  <si>
    <t>TransportationYES</t>
  </si>
  <si>
    <t>POqsENSxdEd</t>
  </si>
  <si>
    <t>Syangja</t>
  </si>
  <si>
    <t>K7sgOx8uakv</t>
  </si>
  <si>
    <t>Humla</t>
  </si>
  <si>
    <t>j6iC7yILsUk</t>
  </si>
  <si>
    <t>Gandaki Province</t>
  </si>
  <si>
    <t>t4hIRDT9lfW</t>
  </si>
  <si>
    <t>Ilam</t>
  </si>
  <si>
    <t>FfCsQfcC9MC</t>
  </si>
  <si>
    <t>Rautahat</t>
  </si>
  <si>
    <t>i602dYTGOJS</t>
  </si>
  <si>
    <t>Baitadi</t>
  </si>
  <si>
    <t>wsBJfX6APAv</t>
  </si>
  <si>
    <t>Sindhupalchok</t>
  </si>
  <si>
    <t>iVldWcxyAeE</t>
  </si>
  <si>
    <t>Other Chronic Condition</t>
  </si>
  <si>
    <t>lcFbdAGVYfv</t>
  </si>
  <si>
    <t>Rukum West</t>
  </si>
  <si>
    <t>Tgu1DM1RRIC</t>
  </si>
  <si>
    <t>Dang</t>
  </si>
  <si>
    <t>JwNbhSf4B4G</t>
  </si>
  <si>
    <t>HideSection</t>
  </si>
  <si>
    <t>d4FJ4Az1j3f</t>
  </si>
  <si>
    <t>Sankhuwasabha</t>
  </si>
  <si>
    <t>wr7ygKRwNUD</t>
  </si>
  <si>
    <t>MNH_has_value_address_area_check</t>
  </si>
  <si>
    <t>wXXmMFhLUYh</t>
  </si>
  <si>
    <t>MNH - Hide visit 34 week value of ANC visit as per protocol</t>
  </si>
  <si>
    <t>d4Cf9mbMyiw</t>
  </si>
  <si>
    <t>Kaski</t>
  </si>
  <si>
    <t>gKFNrbBVSsp</t>
  </si>
  <si>
    <t>Udayapur</t>
  </si>
  <si>
    <t>a2MOelDzJS9</t>
  </si>
  <si>
    <t>Dadeldhura</t>
  </si>
  <si>
    <t>E1WOhoEYpmV</t>
  </si>
  <si>
    <t>MNH - Hide visit 36 week value of ANC visit as per protocol</t>
  </si>
  <si>
    <t>FEKZzIcTELk</t>
  </si>
  <si>
    <t>Salyan</t>
  </si>
  <si>
    <t>ze1RocFdvwE</t>
  </si>
  <si>
    <t>Kanchanpur</t>
  </si>
  <si>
    <t>gY4wdB3nbJr</t>
  </si>
  <si>
    <t>Rolpa</t>
  </si>
  <si>
    <t>LuimRCiKwPJ</t>
  </si>
  <si>
    <t>Gorkha</t>
  </si>
  <si>
    <t>WxUgJFZMmDF</t>
  </si>
  <si>
    <t>Pyuthan</t>
  </si>
  <si>
    <t>WinSLZtXv8I</t>
  </si>
  <si>
    <t>MNH - Hide visit Between 38 to 40 value of ANC visit as per protocol</t>
  </si>
  <si>
    <t>HllvX50cXC0</t>
  </si>
  <si>
    <t>categoryOptionCombos</t>
  </si>
  <si>
    <t>S1EHDiKo9bW</t>
  </si>
  <si>
    <t>trackedEntityAttributes</t>
  </si>
  <si>
    <t>प्रदेश *</t>
  </si>
  <si>
    <t>TEXT</t>
  </si>
  <si>
    <t>Vi2zVxwc05k</t>
  </si>
  <si>
    <t>ई-मेल</t>
  </si>
  <si>
    <t>EMAIL</t>
  </si>
  <si>
    <t>BNcupjySWTY</t>
  </si>
  <si>
    <t>आखिरी रजस्वला भएको मिति(गते महिना साल)(LMP)  *
(YYYY-MM-DD)</t>
  </si>
  <si>
    <t>DATE</t>
  </si>
  <si>
    <t>EWFhOqCrPBX</t>
  </si>
  <si>
    <t>सम्पर्क नं/मोबाईल नं</t>
  </si>
  <si>
    <t>PHONE_NUMBER</t>
  </si>
  <si>
    <t>LeelllbVRYW</t>
  </si>
  <si>
    <t>प्रसवको अनुमानित मिति(गते महिना साल)(EDD)
(YYYY-MM-DD)</t>
  </si>
  <si>
    <t>ze4jTINKRre</t>
  </si>
  <si>
    <t>टोल</t>
  </si>
  <si>
    <t>OEvuxRFFkKG</t>
  </si>
  <si>
    <t>पहिले टी.डी. खोप लगाएको छ कि छैन ?</t>
  </si>
  <si>
    <t>q3NpuWzGvso</t>
  </si>
  <si>
    <t>प्रणाली नं</t>
  </si>
  <si>
    <t>PX3WWmyY0g0</t>
  </si>
  <si>
    <t>राष्ट्रिय परिचयपत्र नं</t>
  </si>
  <si>
    <t>GELdFmHdBeq</t>
  </si>
  <si>
    <t>Gravida</t>
  </si>
  <si>
    <t>NUMBER</t>
  </si>
  <si>
    <t>nVrdcUpsOnO</t>
  </si>
  <si>
    <t>रक्त समूह</t>
  </si>
  <si>
    <t>MqBkcXtzszn</t>
  </si>
  <si>
    <t>सेवाग्राहीको  थर *</t>
  </si>
  <si>
    <t>j9UDLMABvmF</t>
  </si>
  <si>
    <t>नक्सामा ठेगाना</t>
  </si>
  <si>
    <t>COORDINATE</t>
  </si>
  <si>
    <t>JQZ0c0t6BTc</t>
  </si>
  <si>
    <t>नक्सामा ठेगाना छान्नुहोस्</t>
  </si>
  <si>
    <t>TRUE_ONLY</t>
  </si>
  <si>
    <t>smhwRCPk1j0</t>
  </si>
  <si>
    <t>Primi</t>
  </si>
  <si>
    <t>BOOLEAN</t>
  </si>
  <si>
    <t>i607dSgfm4F</t>
  </si>
  <si>
    <t>उमेर *</t>
  </si>
  <si>
    <t>mDR6zfT5lEl</t>
  </si>
  <si>
    <t>वडा नं *</t>
  </si>
  <si>
    <t>INTEGER</t>
  </si>
  <si>
    <t>yifOETNxcrj</t>
  </si>
  <si>
    <t>जाती कोड *</t>
  </si>
  <si>
    <t>eo54yWBzEE6</t>
  </si>
  <si>
    <t>नगर/गाउँपालिका *</t>
  </si>
  <si>
    <t>fDkrYoZxJW3</t>
  </si>
  <si>
    <t>मूल दर्ता नं</t>
  </si>
  <si>
    <t>Z6vPv9TxH6I</t>
  </si>
  <si>
    <t>पतिको नाम थर</t>
  </si>
  <si>
    <t>kDMuBUg6Zjf</t>
  </si>
  <si>
    <t>जिल्ला *</t>
  </si>
  <si>
    <t>yBYTz1M15tf</t>
  </si>
  <si>
    <t>सेवाग्राहीको नाम *</t>
  </si>
  <si>
    <t>N2QoizuG1lm</t>
  </si>
  <si>
    <t>programTrackedEntityAttributes</t>
  </si>
  <si>
    <t>azjySk2tfEZ</t>
  </si>
  <si>
    <t>z8F3yL5Pch4</t>
  </si>
  <si>
    <t>HKQCuCcwGwo</t>
  </si>
  <si>
    <t>fKkqI0oIdyd</t>
  </si>
  <si>
    <t>PADqVtJpbjz</t>
  </si>
  <si>
    <t>clQtche89o2</t>
  </si>
  <si>
    <t>WNYOZUuwdHD</t>
  </si>
  <si>
    <t>X7OwUlEqPfo</t>
  </si>
  <si>
    <t>BJVJGorKIhj</t>
  </si>
  <si>
    <t>rIXgqV1U4zb</t>
  </si>
  <si>
    <t>sSovjADqWO0</t>
  </si>
  <si>
    <t>lbRjDPlLvOH</t>
  </si>
  <si>
    <t>CIHochsp6Vw</t>
  </si>
  <si>
    <t>YPtj0DB632r</t>
  </si>
  <si>
    <t>MdwGZL9LtMO</t>
  </si>
  <si>
    <t>ciMOQIbGPkl</t>
  </si>
  <si>
    <t>eqdX3KR6A09</t>
  </si>
  <si>
    <t>ABj6NmssNnr</t>
  </si>
  <si>
    <t>VEeQ411d1UA</t>
  </si>
  <si>
    <t>GR4gCyOrb53</t>
  </si>
  <si>
    <t>cTj4GCxDpA3</t>
  </si>
  <si>
    <t>vSLhW6QEKDK</t>
  </si>
  <si>
    <t>Wv0JcH6nXPS</t>
  </si>
  <si>
    <t>optionGroups</t>
  </si>
  <si>
    <t>dDAPr1L9hTw</t>
  </si>
  <si>
    <t>P0it2JvWHJq</t>
  </si>
  <si>
    <t>obg2ynBSobZ</t>
  </si>
  <si>
    <t>G2tY4U5vPKT</t>
  </si>
  <si>
    <t>Za5didRILFl</t>
  </si>
  <si>
    <t>Rukum West</t>
  </si>
  <si>
    <t>lWD7KvJLkT2</t>
  </si>
  <si>
    <t>iBtiPZeuW7l</t>
  </si>
  <si>
    <t>wEvcFcKVuv0</t>
  </si>
  <si>
    <t>lpkSeyECyYL</t>
  </si>
  <si>
    <t>qHZ1X3U4TCj</t>
  </si>
  <si>
    <t>GpgxhBZVUmj</t>
  </si>
  <si>
    <t>eQNOFKd17s7</t>
  </si>
  <si>
    <t>jp4umJFmzEV</t>
  </si>
  <si>
    <t>Sudurpachchim Province</t>
  </si>
  <si>
    <t>UBJA0RHqBet</t>
  </si>
  <si>
    <t>eBXREFOw0nq</t>
  </si>
  <si>
    <t>QKRaYtsrviC</t>
  </si>
  <si>
    <t>agEZa9QqeFs</t>
  </si>
  <si>
    <t>g0TaYo7saoF</t>
  </si>
  <si>
    <t>CPOaqrVXxYy</t>
  </si>
  <si>
    <t>oXdhinU3kDY</t>
  </si>
  <si>
    <t>BZKaKzu2OMB</t>
  </si>
  <si>
    <t>npMBhMLFmvt</t>
  </si>
  <si>
    <t>Rasuwa</t>
  </si>
  <si>
    <t>uVZKWHSyC8Q</t>
  </si>
  <si>
    <t>Rautahat</t>
  </si>
  <si>
    <t>DX1S4FT2XDO</t>
  </si>
  <si>
    <t>Ah7wooQDBr5</t>
  </si>
  <si>
    <t>xtzN2hxOHyA</t>
  </si>
  <si>
    <t>Ij5e96NP8iP</t>
  </si>
  <si>
    <t>uv0NMjsKur0</t>
  </si>
  <si>
    <t>QgasCNcsNlh</t>
  </si>
  <si>
    <t>ja8gJ3UWQ7w</t>
  </si>
  <si>
    <t>yXW63ijAMCB</t>
  </si>
  <si>
    <t>f38DNXwNUAX</t>
  </si>
  <si>
    <t>KoPsLNXmqID</t>
  </si>
  <si>
    <t>Darchula</t>
  </si>
  <si>
    <t>EbRPVb37vtA</t>
  </si>
  <si>
    <t>aH3mBKPqytB</t>
  </si>
  <si>
    <t>L37bAqWZcvr</t>
  </si>
  <si>
    <t>uZMMeGBIBLD</t>
  </si>
  <si>
    <t>REWlAuiPgQ1</t>
  </si>
  <si>
    <t>Oz6KB3Rl6FJ</t>
  </si>
  <si>
    <t>FqiODOMT20L</t>
  </si>
  <si>
    <t>Pbf0dewcBb9</t>
  </si>
  <si>
    <t>Kp0BrMJsyx7</t>
  </si>
  <si>
    <t>f391XDmEuse</t>
  </si>
  <si>
    <t>MqQZAS0vgci</t>
  </si>
  <si>
    <t>VWmKHq9d2Wz</t>
  </si>
  <si>
    <t>VHUyeA90lL1</t>
  </si>
  <si>
    <t>gqXG6xr5Peo</t>
  </si>
  <si>
    <t>yuWyWdj0NZy</t>
  </si>
  <si>
    <t>szaLwUnjP7r</t>
  </si>
  <si>
    <t>NolFstsNGoJ</t>
  </si>
  <si>
    <t>uwLC1N1aNaB</t>
  </si>
  <si>
    <t>Siraha</t>
  </si>
  <si>
    <t>lTSFdBWSNRf</t>
  </si>
  <si>
    <t>iS60l2Ntxll</t>
  </si>
  <si>
    <t>kUyKyBumW6x</t>
  </si>
  <si>
    <t>zNMsObbHa8J</t>
  </si>
  <si>
    <t>Baitadi</t>
  </si>
  <si>
    <t>uDW2bufWuBk</t>
  </si>
  <si>
    <t>B59tLsWZkHC</t>
  </si>
  <si>
    <t>UmGqv2cynEm</t>
  </si>
  <si>
    <t>Hq9ymqYqX0A</t>
  </si>
  <si>
    <t>Parbat</t>
  </si>
  <si>
    <t>iPoSdjfF4kS</t>
  </si>
  <si>
    <t>mmRVFSpcFgB</t>
  </si>
  <si>
    <t>Rukum East</t>
  </si>
  <si>
    <t>BzpYKLNIQi7</t>
  </si>
  <si>
    <t>s76Yp2x4Aaj</t>
  </si>
  <si>
    <t>CDTcSO8IoVh</t>
  </si>
  <si>
    <t>sITQrw3yafN</t>
  </si>
  <si>
    <t>vX03QxslIEj</t>
  </si>
  <si>
    <t>WiGuC5xLhRi</t>
  </si>
  <si>
    <t>Id1w4goGtY0</t>
  </si>
  <si>
    <t>TUHVA04jBqO</t>
  </si>
  <si>
    <t>RXh00x8Ura0</t>
  </si>
  <si>
    <t>Nawalparasi West</t>
  </si>
  <si>
    <t>FMWdOWYuezR</t>
  </si>
  <si>
    <t>Vl3bnGJISI2</t>
  </si>
  <si>
    <t>HojVoGC7K8p</t>
  </si>
  <si>
    <t>GNxHZIvlBGN</t>
  </si>
  <si>
    <t>QyckidAJb6n</t>
  </si>
  <si>
    <t>GFmd028JoPJ</t>
  </si>
  <si>
    <t>tLsmFuaLBdZ</t>
  </si>
  <si>
    <t>T9f2CMlZs93</t>
  </si>
  <si>
    <t>beavLVMOsOK</t>
  </si>
  <si>
    <t>Doti</t>
  </si>
  <si>
    <t>edknA2D7xkN</t>
  </si>
  <si>
    <t>g2ccwKGkbFC</t>
  </si>
  <si>
    <t>xYerKDKCefk</t>
  </si>
  <si>
    <t>categoryOptions</t>
  </si>
  <si>
    <t>B4kxqi2BxXF</t>
  </si>
  <si>
    <t>programStageSections</t>
  </si>
  <si>
    <t>dbbiRplGReR</t>
  </si>
  <si>
    <t>Fyn20bdx8Wc</t>
  </si>
  <si>
    <t>रगत दिइएको विवरण</t>
  </si>
  <si>
    <t>vidrpwXVlZO</t>
  </si>
  <si>
    <t>Management</t>
  </si>
  <si>
    <t>gcv2f7OZTCA</t>
  </si>
  <si>
    <t>Current Pregnancy</t>
  </si>
  <si>
    <t>sZHeIBdupem</t>
  </si>
  <si>
    <t>QI1RsMI60TJ</t>
  </si>
  <si>
    <t>Previous Deliveries</t>
  </si>
  <si>
    <t>PIerd3kZApa</t>
  </si>
  <si>
    <t>अन्य सेवा</t>
  </si>
  <si>
    <t>KsWOcIlolq5</t>
  </si>
  <si>
    <t>प्रोटोकल अनुसार गर्भवती जाँच</t>
  </si>
  <si>
    <t>Dh3k9hBVIxH</t>
  </si>
  <si>
    <t>iPLstSfs7KB</t>
  </si>
  <si>
    <t>टी .डी. खोपको विवरण</t>
  </si>
  <si>
    <t>t6bijFliMSL</t>
  </si>
  <si>
    <t>Delivery Related Information</t>
  </si>
  <si>
    <t>ulToVXMAPkh</t>
  </si>
  <si>
    <t>WHOMCH</t>
  </si>
  <si>
    <t>zQYSbusHNvP</t>
  </si>
  <si>
    <t>j5tOpBzNYMO</t>
  </si>
  <si>
    <t>programSections</t>
  </si>
  <si>
    <t>ब्यक्तिगत विवरण</t>
  </si>
  <si>
    <t>URCyxZRwW5k</t>
  </si>
  <si>
    <t>ठेगाना</t>
  </si>
  <si>
    <t>Nk1PdZ8w9ri</t>
  </si>
  <si>
    <t>सम्पर्क जानकारी</t>
  </si>
  <si>
    <t>gf1Ol65lcVq</t>
  </si>
  <si>
    <t>गर्भवती विवरण</t>
  </si>
  <si>
    <t>ztXzDu2FIJz</t>
  </si>
  <si>
    <t>परिचय</t>
  </si>
  <si>
    <t>pswDOsNOUbK</t>
  </si>
  <si>
    <t>optionSets</t>
  </si>
  <si>
    <t>mQHUrLn4dyS</t>
  </si>
  <si>
    <t>GtobYmwQmwS</t>
  </si>
  <si>
    <t>IvhiCbChScI</t>
  </si>
  <si>
    <t>OYse7MNk9mO</t>
  </si>
  <si>
    <t>rpxUZLumLk0</t>
  </si>
  <si>
    <t>s5DsrOO60aP</t>
  </si>
  <si>
    <t>UFWEVbmhNDu</t>
  </si>
  <si>
    <t>vyYxiRtmtbP</t>
  </si>
  <si>
    <t>RlyY3QJ9dxB</t>
  </si>
  <si>
    <t>dJTKm6DZq8P</t>
  </si>
  <si>
    <t>nb4deJCI4Vg</t>
  </si>
  <si>
    <t>odZ8MJJPEuQ</t>
  </si>
  <si>
    <t>S7rEhEKVsnO</t>
  </si>
  <si>
    <t>jaNQVHQzWUQ</t>
  </si>
  <si>
    <t>Xcegrt4y3Z7</t>
  </si>
  <si>
    <t>ctmZ0XMfq6q</t>
  </si>
  <si>
    <t>AGLA63Kgt23</t>
  </si>
  <si>
    <t>qah4Z3gyj3B</t>
  </si>
  <si>
    <t>J64UCNttNtQ</t>
  </si>
  <si>
    <t>s6d3LD6Cytp</t>
  </si>
  <si>
    <t>MmegBAowO5M</t>
  </si>
  <si>
    <t>wL7X7Llf9fN</t>
  </si>
  <si>
    <t>wrSCZ2fX8Ao</t>
  </si>
  <si>
    <t>prPkuTqYA3T</t>
  </si>
  <si>
    <t>G6RyDq5kgy7</t>
  </si>
  <si>
    <t>E178eJZJdFs</t>
  </si>
  <si>
    <t>PEbxU2yeYch</t>
  </si>
  <si>
    <t>ZFznB50OuJU</t>
  </si>
  <si>
    <t>IiK2zVUTuvv</t>
  </si>
  <si>
    <t>oxTxJhnE2Xr</t>
  </si>
  <si>
    <t>oAC1A971vCf</t>
  </si>
  <si>
    <t>ZlfW14g9T5l</t>
  </si>
  <si>
    <t>yPRW3ROZiTZ</t>
  </si>
  <si>
    <t>zwb9tJ98mMg</t>
  </si>
  <si>
    <t>ICeehNyTiIX</t>
  </si>
  <si>
    <t>tpO1EUzE6ZS</t>
  </si>
  <si>
    <t>uG8MX45axcP</t>
  </si>
  <si>
    <t>JdUH80vCi3h</t>
  </si>
  <si>
    <t>JEeZXCFCYha</t>
  </si>
  <si>
    <t>TC96M0bIHF5</t>
  </si>
  <si>
    <t>cDW2ERZxTUY</t>
  </si>
  <si>
    <t>vbKIBFsXIO0</t>
  </si>
  <si>
    <t>UsfJIH5SATW</t>
  </si>
  <si>
    <t>opXisopYqSG</t>
  </si>
  <si>
    <t>MtpxPIUHjfT</t>
  </si>
  <si>
    <t>v6iargqqZXA</t>
  </si>
  <si>
    <t>Uzwci0pOubu</t>
  </si>
  <si>
    <t>SRGCa1GtYMj</t>
  </si>
  <si>
    <t>SdIxWcT4O2G</t>
  </si>
  <si>
    <t>na4W36uWk6g</t>
  </si>
  <si>
    <t>trackedEntityTypes</t>
  </si>
  <si>
    <t>Pregnant Person</t>
  </si>
  <si>
    <t>oFYxBfe4oUN</t>
  </si>
  <si>
    <t>dataElements</t>
  </si>
  <si>
    <t>कारण लेख्नुहोस्</t>
  </si>
  <si>
    <t>dirvsPhXe5z</t>
  </si>
  <si>
    <t>सुन्निएको छ कि छैन ?</t>
  </si>
  <si>
    <t>p3L95pPVLx8</t>
  </si>
  <si>
    <t>WHOMCH Proteinuria (urinstix)</t>
  </si>
  <si>
    <t>QpTlQdTqJv6</t>
  </si>
  <si>
    <t>भिटामिन ए दिएको मिती
(YYYY-MM-DD)</t>
  </si>
  <si>
    <t>Yf4l1RhqDvf</t>
  </si>
  <si>
    <t>Other severe allergy specified</t>
  </si>
  <si>
    <t>a2EQngqNhUy</t>
  </si>
  <si>
    <t>प्रसव अवस्थाका जटिलता</t>
  </si>
  <si>
    <t>k9kaaFapmsE</t>
  </si>
  <si>
    <t>सातौं गर्भवती जाँच (३६ हप्ता)</t>
  </si>
  <si>
    <t>r592R7hgG5p</t>
  </si>
  <si>
    <t>OzcwQtG30fR</t>
  </si>
  <si>
    <t>गर्भावस्थाका जटिलता</t>
  </si>
  <si>
    <t>mNP4759xBLD</t>
  </si>
  <si>
    <t>नाभी मलमको प्रयोग</t>
  </si>
  <si>
    <t>s3CQBiE9Xgc</t>
  </si>
  <si>
    <t>हालको उमेर</t>
  </si>
  <si>
    <t>INTEGER_POSITIVE</t>
  </si>
  <si>
    <t>T0oHQ2PX0vI</t>
  </si>
  <si>
    <t>WHOMCH Smoking</t>
  </si>
  <si>
    <t>nnkcvb8EndS</t>
  </si>
  <si>
    <t>PJb5Hym9A3D</t>
  </si>
  <si>
    <t>रगत दिइएको मात्रा</t>
  </si>
  <si>
    <t>RAzspHzaC8g</t>
  </si>
  <si>
    <t>WHOMCH Recurrent eclamptic seizures</t>
  </si>
  <si>
    <t>Tp9uk4iKxbz</t>
  </si>
  <si>
    <t>गर्भ परिणाम</t>
  </si>
  <si>
    <t>viWbv3Wxbw7</t>
  </si>
  <si>
    <t>बच्चाको अवस्था</t>
  </si>
  <si>
    <t>MSoDpzLGJHD</t>
  </si>
  <si>
    <t>जन्म किसिम</t>
  </si>
  <si>
    <t>zSrT9mIXfxh</t>
  </si>
  <si>
    <t>शिशुको हृदय गती</t>
  </si>
  <si>
    <t>kYuaJq6eiRd</t>
  </si>
  <si>
    <t>नवशिशुको अवस्था</t>
  </si>
  <si>
    <t>DM5lmA58VdW</t>
  </si>
  <si>
    <t>आमाको अवस्था</t>
  </si>
  <si>
    <t>Dw8sKNFOVTH</t>
  </si>
  <si>
    <t>KMC सेवा दिएको</t>
  </si>
  <si>
    <t>vC042fTkXvB</t>
  </si>
  <si>
    <t>Other medicine allergy specified</t>
  </si>
  <si>
    <t>X72yjg8V5e3</t>
  </si>
  <si>
    <t>WHOMCH Medication</t>
  </si>
  <si>
    <t>goy1682gIWf</t>
  </si>
  <si>
    <t>Slept under ITN (insecticide treated bednet)</t>
  </si>
  <si>
    <t>WnZfjglQd09</t>
  </si>
  <si>
    <t>छैटौं गर्भवती जाँच (३४ हप्ता)</t>
  </si>
  <si>
    <t>q7dIAgOxfhU</t>
  </si>
  <si>
    <t>Albumin</t>
  </si>
  <si>
    <t>slZ63IghtEs</t>
  </si>
  <si>
    <t>LNQjHwqIQev</t>
  </si>
  <si>
    <t>P6IXn7vJDgo</t>
  </si>
  <si>
    <t>ECV conversion remaining 1 week after ECV was performed</t>
  </si>
  <si>
    <t>USfBZHIYelp</t>
  </si>
  <si>
    <t>यातायात खर्च (रु.)</t>
  </si>
  <si>
    <t>yzkaduI5RwE</t>
  </si>
  <si>
    <t>तौल</t>
  </si>
  <si>
    <t>oqeeYFzob8X</t>
  </si>
  <si>
    <t>आखिरी रजस्वला भएको मिति(गते महिना साल)(LMP)
(YYYY-MM-DD)</t>
  </si>
  <si>
    <t>xMiEfx1zaGk</t>
  </si>
  <si>
    <t>आइरन चक्कि वितरण संख्या</t>
  </si>
  <si>
    <t>UHJ3EvOTnhA</t>
  </si>
  <si>
    <t>MOnvtNmCVvM</t>
  </si>
  <si>
    <t>v6PUlS8qRrd</t>
  </si>
  <si>
    <t>ypQzG57oNij</t>
  </si>
  <si>
    <t>गर्भनिरोध साधन प्रयोग</t>
  </si>
  <si>
    <t>c1AV61Pw8JE</t>
  </si>
  <si>
    <t>WHOMCH Proteinuria (concentration mg/dL)</t>
  </si>
  <si>
    <t>GoZEL0hIsZw</t>
  </si>
  <si>
    <t>Use of insecticide treate bednet (ITN) is promoted</t>
  </si>
  <si>
    <t>yR0V5tbKP1Z</t>
  </si>
  <si>
    <t>मृत्यु मिती
(YYYY-MM-DD)</t>
  </si>
  <si>
    <t>B0KwoAXqEG4</t>
  </si>
  <si>
    <t>WHOMCH Allergies (drugs and/or severe food allergies)</t>
  </si>
  <si>
    <t>eHRumu0UWaK</t>
  </si>
  <si>
    <t>गर्भवती उत्प्रेरणा खर्च पाएको मिति
(YYYY-MM-DD)</t>
  </si>
  <si>
    <t>aQwjqvZ1vfl</t>
  </si>
  <si>
    <t>पाठेघरको उचाई (से.मी.)</t>
  </si>
  <si>
    <t>M2qFoqoYJBt</t>
  </si>
  <si>
    <t>प्रसूती भएको मिति र समय
(YYYY-MM-DDTHH:mm)</t>
  </si>
  <si>
    <t>DATETIME</t>
  </si>
  <si>
    <t>rCdQCAYB9e4</t>
  </si>
  <si>
    <t>विकलाङ्ग</t>
  </si>
  <si>
    <t>jIKPasfocB9</t>
  </si>
  <si>
    <t>Date of first day of LMP</t>
  </si>
  <si>
    <t>nmZlYXYHW3y</t>
  </si>
  <si>
    <t>ECV performed by skilled birth attendant ≥ 37 weeks of gestation</t>
  </si>
  <si>
    <t>o8jEmmodLLl</t>
  </si>
  <si>
    <t>सुत्केरी जाँच सेवा लिएको स्थान</t>
  </si>
  <si>
    <t>vaKCnNpPV88</t>
  </si>
  <si>
    <t>प्रसव ब्यथाको अवस्था</t>
  </si>
  <si>
    <t>RXvxSC2KGnq</t>
  </si>
  <si>
    <t>आमाको मृत्यु स्थिति छान्नुहोस्</t>
  </si>
  <si>
    <t>nIzYpjFa5Qk</t>
  </si>
  <si>
    <t>मृत जन्म</t>
  </si>
  <si>
    <t>DcbQ74LfAHY</t>
  </si>
  <si>
    <t>अवधि</t>
  </si>
  <si>
    <t>iksQN8XHdCU</t>
  </si>
  <si>
    <t>न्यानो झोला पाएको मिति
(YYYY-MM-DD)</t>
  </si>
  <si>
    <t>X99ZT19n2uT</t>
  </si>
  <si>
    <t>शिशुको प्रीजेन्टेसन</t>
  </si>
  <si>
    <t>kIKxY6qHJpU</t>
  </si>
  <si>
    <t>HIV test result</t>
  </si>
  <si>
    <t>LB2H6ULuzIf</t>
  </si>
  <si>
    <t>दोस्रो गर्भवती जाँच (१६ हप्ता सम्म)</t>
  </si>
  <si>
    <t>Abvqt3BHIqb</t>
  </si>
  <si>
    <t>Oxytocin</t>
  </si>
  <si>
    <t>pgGpBBYGKEM</t>
  </si>
  <si>
    <t>गर्भवती उत्प्रेरणा खर्च वितरण</t>
  </si>
  <si>
    <t>GNZll8tgucT</t>
  </si>
  <si>
    <t>HIV Positive</t>
  </si>
  <si>
    <t>wWFDLHvOV0n</t>
  </si>
  <si>
    <t>Erythromycin given for 10 days attributable to pPROM</t>
  </si>
  <si>
    <t>vRbS7LzMQAZ</t>
  </si>
  <si>
    <t>गर्भवती खर्च (रु.)</t>
  </si>
  <si>
    <t>X3j5grsIyw2</t>
  </si>
  <si>
    <t>भर्ना भएको मिति र समय
(YYYY-MM-DDTHH:mm)</t>
  </si>
  <si>
    <t>W6RvHOBuTHl</t>
  </si>
  <si>
    <t>imlTNQ1osjZ</t>
  </si>
  <si>
    <t>Other penicillin allergy specified</t>
  </si>
  <si>
    <t>Ri6qfsIIbLg</t>
  </si>
  <si>
    <t>q702Ay8jTOV</t>
  </si>
  <si>
    <t>मृत्यु मिति र समय 
(YYYY-MM-DDTHH:mm)</t>
  </si>
  <si>
    <t>eu66cx6RoDD</t>
  </si>
  <si>
    <t>जन्म तौल(ग्राम)</t>
  </si>
  <si>
    <t>MRzH8bNJLvB</t>
  </si>
  <si>
    <t>Other chronic condition</t>
  </si>
  <si>
    <t>ypHQ5dUyrGQ</t>
  </si>
  <si>
    <t>तेस्रो गर्भवती जाँच (२०-२४ हप्ता)</t>
  </si>
  <si>
    <t>szAMcOwLGvE</t>
  </si>
  <si>
    <t>Kos9VTAyCXA</t>
  </si>
  <si>
    <t>स्थिति चयन गर्नुहोस्</t>
  </si>
  <si>
    <t>DGWkDlms5cA</t>
  </si>
  <si>
    <t>Clinical signs of extreme pallor</t>
  </si>
  <si>
    <t>QbT2Lv8iQOH</t>
  </si>
  <si>
    <t>जुकाको औषधि</t>
  </si>
  <si>
    <t>ighVnyMkQCp</t>
  </si>
  <si>
    <t>q5NtxpazyK8</t>
  </si>
  <si>
    <t>Antihypertensive drug given according to national guidelines</t>
  </si>
  <si>
    <t>TbYyMOcVmdd</t>
  </si>
  <si>
    <t>जन्मेको १ घण्टाभित्र स्तनपान गराएको</t>
  </si>
  <si>
    <t>t57vOuoKLOd</t>
  </si>
  <si>
    <t>प्रसूतिको किसिम</t>
  </si>
  <si>
    <t>AlwvcHwtPwo</t>
  </si>
  <si>
    <t>तौल (कि.ग्रा.)</t>
  </si>
  <si>
    <t>KFzZR8gWLlv</t>
  </si>
  <si>
    <t>WHOMCH Haematocrit value</t>
  </si>
  <si>
    <t>PERCENTAGE</t>
  </si>
  <si>
    <t>J6Q1RS6z6HA</t>
  </si>
  <si>
    <t>प्रोटोकल अनुसार ८ पटक जाँच गरेको ?</t>
  </si>
  <si>
    <t>u4cA95rPeEx</t>
  </si>
  <si>
    <t>Diastolic रक्तचाप</t>
  </si>
  <si>
    <t>UXS01j5Uraz</t>
  </si>
  <si>
    <t>WHOMCH Ongoing or initiated ARV regimen</t>
  </si>
  <si>
    <t>oSjk62Ahyx3</t>
  </si>
  <si>
    <t>न्यानो झोला</t>
  </si>
  <si>
    <t>BEDs6ERgG0G</t>
  </si>
  <si>
    <t>प्रोटोकोल अनुसार चार पटक (१६, २०-२४, ३२ र ३६) गर्भ जाँच पूरा गरेको</t>
  </si>
  <si>
    <t>oVYqq6yXjBS</t>
  </si>
  <si>
    <t>Haemoglobin</t>
  </si>
  <si>
    <t>XYesPsdB5Cr</t>
  </si>
  <si>
    <t>ANAdEOILePM</t>
  </si>
  <si>
    <t>बच्चाको अवस्थिती</t>
  </si>
  <si>
    <t>PiZ8k9zjGKh</t>
  </si>
  <si>
    <t>Systolic रक्तचाप</t>
  </si>
  <si>
    <t>udEidWNnhYF</t>
  </si>
  <si>
    <t>WHOMCH MgSO4 injection given</t>
  </si>
  <si>
    <t>Mnc17tzRmGW</t>
  </si>
  <si>
    <t>डिस्चार्ज मिति र समय
(YYYY-MM-DDTHH:mm)</t>
  </si>
  <si>
    <t>ErG5CWSzHwK</t>
  </si>
  <si>
    <t>प्रसूती भएको स्थान</t>
  </si>
  <si>
    <t>JwOn7Js769e</t>
  </si>
  <si>
    <t>गर्भावस्थाको जटिलता</t>
  </si>
  <si>
    <t>lTq1LZUw2Pl</t>
  </si>
  <si>
    <t>प्रसुतिको किसिम</t>
  </si>
  <si>
    <t>k2h3cIa0E1Y</t>
  </si>
  <si>
    <t>ECV offered by skilled birth attendant ≥ 37 weeks of gestation</t>
  </si>
  <si>
    <t>yYh8zi7ddRL</t>
  </si>
  <si>
    <t>Diabetes</t>
  </si>
  <si>
    <t>v87DEGAEwzy</t>
  </si>
  <si>
    <t>उचाइ (से.मि.)</t>
  </si>
  <si>
    <t>fG7XmwaofuQ</t>
  </si>
  <si>
    <t>सुत्केरी जाँच सेवा लिएको</t>
  </si>
  <si>
    <t>sUQkjVxT73J</t>
  </si>
  <si>
    <t>अवधी नपुगेको</t>
  </si>
  <si>
    <t>ZCb7w2cdxAy</t>
  </si>
  <si>
    <t>रक्तअल्पता</t>
  </si>
  <si>
    <t>bFGavBJA5kp</t>
  </si>
  <si>
    <t>CC: Other chronic condition specified</t>
  </si>
  <si>
    <t>CmHpnkFAqf1</t>
  </si>
  <si>
    <t>समय
(HH:mm)</t>
  </si>
  <si>
    <t>TIME</t>
  </si>
  <si>
    <t>wO19d5V6ENc</t>
  </si>
  <si>
    <t>CTngjf0Fy64</t>
  </si>
  <si>
    <t>शिशुको अवस्था</t>
  </si>
  <si>
    <t>lzZpHHfcSAk</t>
  </si>
  <si>
    <t>Penicillin allergy</t>
  </si>
  <si>
    <t>NqVLX9YPHXT</t>
  </si>
  <si>
    <t>आठौं गर्भवती जाँच (३८ - ४० हप्ता)</t>
  </si>
  <si>
    <t>xOTc6VCp2QR</t>
  </si>
  <si>
    <t>यातायात खर्च पाएको मिति
(YYYY-MM-DD)</t>
  </si>
  <si>
    <t>H7cXPNUSuZm</t>
  </si>
  <si>
    <t>कारण लेख्नुहोस</t>
  </si>
  <si>
    <t>yE1eH64EJAj</t>
  </si>
  <si>
    <t>प्रसव अवस्थाका जटिलता (अन्य खुलाउने)</t>
  </si>
  <si>
    <t>Pd3PBU1ojyh</t>
  </si>
  <si>
    <t>ypMx7AbosGM</t>
  </si>
  <si>
    <t>प्रोटोकल अनुसार ४ पटक</t>
  </si>
  <si>
    <t>m67vmO9EfzK</t>
  </si>
  <si>
    <t>Blood Sugar</t>
  </si>
  <si>
    <t>Jxf5IRCXtXO</t>
  </si>
  <si>
    <t>WHOMCH Penicillin given</t>
  </si>
  <si>
    <t>dpVaz6PWHf7</t>
  </si>
  <si>
    <t>Autoimmune disease</t>
  </si>
  <si>
    <t>queCXHrt9AM</t>
  </si>
  <si>
    <t>WHOMCH Eclamptic convulsions</t>
  </si>
  <si>
    <t>irr53G5M2pb</t>
  </si>
  <si>
    <t>WHOMCH Hemoglobin value</t>
  </si>
  <si>
    <t>UOR00LDGLWY</t>
  </si>
  <si>
    <t>Wp83xhdnRec</t>
  </si>
  <si>
    <t>यातायात खर्च वितरण</t>
  </si>
  <si>
    <t>KxiXPnihIVd</t>
  </si>
  <si>
    <t>dX55nQ55KOY</t>
  </si>
  <si>
    <t>चौथो गर्भवती जाँच (२८ हप्ता)</t>
  </si>
  <si>
    <t>F7virl8bNks</t>
  </si>
  <si>
    <t>लिङ्ग</t>
  </si>
  <si>
    <t>eOuQS4ubUea</t>
  </si>
  <si>
    <t>टी.डी. खोप लगाएको  भए यहाँ ( ✔ ) गर्नुहोस्</t>
  </si>
  <si>
    <t>qn02OqMfOwm</t>
  </si>
  <si>
    <t>rLdRHWLOw4A</t>
  </si>
  <si>
    <t>Renal disease</t>
  </si>
  <si>
    <t>y1Fm3WnjKWg</t>
  </si>
  <si>
    <t>WHOMCH Ultrasound estimate of due date</t>
  </si>
  <si>
    <t>v625poDJGkO</t>
  </si>
  <si>
    <t>के तपाइँ प्रोटोकल अनुसार गर्भावस्था जाँचको स्थिति अद्यावधिक गर्न चाहनुहुन्छ?</t>
  </si>
  <si>
    <t>HPehddIHYeW</t>
  </si>
  <si>
    <t>Chronic hypertension</t>
  </si>
  <si>
    <t>KTjz8yB6iCs</t>
  </si>
  <si>
    <t>गर्भवती जाँच (जुनसुकै समयको)</t>
  </si>
  <si>
    <t>TQcBYg90B5p</t>
  </si>
  <si>
    <t>Gestational Week at Visit</t>
  </si>
  <si>
    <t>M6BiiZL6h1b</t>
  </si>
  <si>
    <t>डेलिभरी स्वास्थ्यकर्मी</t>
  </si>
  <si>
    <t>dI5VkJYUigs</t>
  </si>
  <si>
    <t>पाँचौं गर्भवती जाँच (३२ हप्ता)</t>
  </si>
  <si>
    <t>KqPSQdJ0tuD</t>
  </si>
  <si>
    <t>सुन्निएको</t>
  </si>
  <si>
    <t>RqGndaj6IFL</t>
  </si>
  <si>
    <t>p5O7IRxXAsT</t>
  </si>
  <si>
    <t>आमाको मृत्यु स्थान छान्नुहोस्</t>
  </si>
  <si>
    <t>VyedfnGilJq</t>
  </si>
  <si>
    <t>XFZH0oeDiWB</t>
  </si>
  <si>
    <t>पहिलो गर्भवती जाँच (१२ हप्ता सम्म)</t>
  </si>
  <si>
    <t>bi9FN2il4hD</t>
  </si>
  <si>
    <t>C89WH84DPU1</t>
  </si>
  <si>
    <t>programRuleVariables</t>
  </si>
  <si>
    <t>MNH - ANC - Other severe allergy</t>
  </si>
  <si>
    <t>dMaWK8kw774</t>
  </si>
  <si>
    <t>MNH-D-LaborComplications</t>
  </si>
  <si>
    <t>ks00XY6uMLw</t>
  </si>
  <si>
    <t>MNH - SwellingCheck</t>
  </si>
  <si>
    <t>vrwjsWVKDEl</t>
  </si>
  <si>
    <t>MNH - LMP Date Calculate gestational week
(YYYY-MM-DD)</t>
  </si>
  <si>
    <t>umWQnrxYOIR</t>
  </si>
  <si>
    <t>MNH - ANC - LMPDate
(YYYY-MM-DD)</t>
  </si>
  <si>
    <t>GJjsPePqWDp</t>
  </si>
  <si>
    <t>MNH - Gravida</t>
  </si>
  <si>
    <t>d6DBa3gl9iD</t>
  </si>
  <si>
    <t>MNH - Province</t>
  </si>
  <si>
    <t>UgxSSYEe37v</t>
  </si>
  <si>
    <t>ppYnZ5x9vpi</t>
  </si>
  <si>
    <t>MNH - PD - Birth Weight</t>
  </si>
  <si>
    <t>xCXmgtsHzdi</t>
  </si>
  <si>
    <t>MNH - ANC - Gestational Age</t>
  </si>
  <si>
    <t>VIA4yF7RbeO</t>
  </si>
  <si>
    <t>MNH - Hide Section</t>
  </si>
  <si>
    <t>isRKwQl0b9z</t>
  </si>
  <si>
    <t>MNH - ANC - Gestational Week</t>
  </si>
  <si>
    <t>u6EoOHUsRZ7</t>
  </si>
  <si>
    <t>MNH - TMN - NyanoJhola</t>
  </si>
  <si>
    <t>YLhkbCQrQGO</t>
  </si>
  <si>
    <t>MNH - Municipality</t>
  </si>
  <si>
    <t>XRCOIG1y0eA</t>
  </si>
  <si>
    <t>MNH - LMP Date
(YYYY-MM-DD)</t>
  </si>
  <si>
    <t>P7VkQ0J5n02</t>
  </si>
  <si>
    <t>MNH - TMN -Transportation</t>
  </si>
  <si>
    <t>kbnnHt7AaQB</t>
  </si>
  <si>
    <t>MNH - ANC - Penicillin Allergy</t>
  </si>
  <si>
    <t>GZLkzNoTlkw</t>
  </si>
  <si>
    <t>MNH - primiCheck</t>
  </si>
  <si>
    <t>ykoPSQqI92T</t>
  </si>
  <si>
    <t>MNH - ANC - Other medicine allergy</t>
  </si>
  <si>
    <t>u5yoauzqfJb</t>
  </si>
  <si>
    <t>MNH - TMN - Pregnancy</t>
  </si>
  <si>
    <t>pEGpcdYB9Zl</t>
  </si>
  <si>
    <t>MNH - Other Chronic Condition</t>
  </si>
  <si>
    <t>UrMYson9h5i</t>
  </si>
  <si>
    <t>MNH - District</t>
  </si>
  <si>
    <t>kQyFt75935Z</t>
  </si>
  <si>
    <t>MNH - GravidaCheck</t>
  </si>
  <si>
    <t>HOZvuqqSKDf</t>
  </si>
  <si>
    <t>MNH - ANC - WHOMCH Chronic Conditions</t>
  </si>
  <si>
    <t>NsW024I9gRY</t>
  </si>
  <si>
    <t>MNH - ANC - WHOMCH Allergies</t>
  </si>
  <si>
    <t>tC6wlpPZIiB</t>
  </si>
  <si>
    <t>MNH - LMP280Days
(YYYY-MM-DD)</t>
  </si>
  <si>
    <t>DdbxSObRkVw</t>
  </si>
  <si>
    <t>MNH - Has_value_address_area_check</t>
  </si>
  <si>
    <t>WYSBuyOb9GP</t>
  </si>
  <si>
    <t>tZDqQqCYgOI</t>
  </si>
  <si>
    <t>MNH - ANC-Birth_Weight</t>
  </si>
  <si>
    <t>eEFpra3qL3T</t>
  </si>
  <si>
    <t>programStageDataElements</t>
  </si>
  <si>
    <t>iF8D7D3Ltnu</t>
  </si>
  <si>
    <t>VumjgoMpvUW</t>
  </si>
  <si>
    <t>riHsgoP9FHD</t>
  </si>
  <si>
    <t>sxhbtCJsFNK</t>
  </si>
  <si>
    <t>LreWWcClWa5</t>
  </si>
  <si>
    <t>bS2N1QV2FfZ</t>
  </si>
  <si>
    <t>F9Qo5kJ9Lf3</t>
  </si>
  <si>
    <t>zk1sYF54tgu</t>
  </si>
  <si>
    <t>m6oSEkiFsdi</t>
  </si>
  <si>
    <t>MEOu4ePpSlq</t>
  </si>
  <si>
    <t>hhK15W6htyv</t>
  </si>
  <si>
    <t>CfQjj9jQduv</t>
  </si>
  <si>
    <t>A8SNbB5g7fG</t>
  </si>
  <si>
    <t>MYtWutftEsQ</t>
  </si>
  <si>
    <t>NcRcbhSNlcm</t>
  </si>
  <si>
    <t>yP0PteCDIwh</t>
  </si>
  <si>
    <t>LvK0MxKKH1s</t>
  </si>
  <si>
    <t>YqKt1xE3Gmu</t>
  </si>
  <si>
    <t>lK06MNOm5e6</t>
  </si>
  <si>
    <t>cTNjK7VScZt</t>
  </si>
  <si>
    <t>bKz64HU5Kxv</t>
  </si>
  <si>
    <t>Fma2AygEkKN</t>
  </si>
  <si>
    <t>hPZDxY2oTO3</t>
  </si>
  <si>
    <t>cadlJVW795n</t>
  </si>
  <si>
    <t>xzXDorGZIug</t>
  </si>
  <si>
    <t>xK2PLJtT7pZ</t>
  </si>
  <si>
    <t>FaSPtRyZjTX</t>
  </si>
  <si>
    <t>i2RIJwsuaTS</t>
  </si>
  <si>
    <t>irsmbGfeCFm</t>
  </si>
  <si>
    <t>oaX6b9mvZ1e</t>
  </si>
  <si>
    <t>vYLVZIhfhT8</t>
  </si>
  <si>
    <t>ZddpadGao3a</t>
  </si>
  <si>
    <t>ZYa6Wj9YWoj</t>
  </si>
  <si>
    <t>OfLcD3phksx</t>
  </si>
  <si>
    <t>T4c9mGYr6FL</t>
  </si>
  <si>
    <t>titdAohvzIk</t>
  </si>
  <si>
    <t>GOj79zKQWv9</t>
  </si>
  <si>
    <t>fVuFDiEmeTT</t>
  </si>
  <si>
    <t>uNV3gu989sL</t>
  </si>
  <si>
    <t>VTfiqDikhcE</t>
  </si>
  <si>
    <t>klDLMSbRuKE</t>
  </si>
  <si>
    <t>Dfz6uVmuzXi</t>
  </si>
  <si>
    <t>tWSHnKZM0jV</t>
  </si>
  <si>
    <t>crGUqvicEYI</t>
  </si>
  <si>
    <t>rtVd9SKgF7J</t>
  </si>
  <si>
    <t>orf4jMBDWtq</t>
  </si>
  <si>
    <t>PcmzTOBm6K3</t>
  </si>
  <si>
    <t>W1TyQP9owzJ</t>
  </si>
  <si>
    <t>siadihKcTyP</t>
  </si>
  <si>
    <t>nDZlOPj9Fkr</t>
  </si>
  <si>
    <t>JecXQisW9Zg</t>
  </si>
  <si>
    <t>MIuJ74qYZsq</t>
  </si>
  <si>
    <t>lOhxN3cKwzu</t>
  </si>
  <si>
    <t>hXj0UBsebrN</t>
  </si>
  <si>
    <t>zm02iSMfaoD</t>
  </si>
  <si>
    <t>oFZ5rDFupyW</t>
  </si>
  <si>
    <t>cmN1w6rfgkR</t>
  </si>
  <si>
    <t>nVnr6NuHncb</t>
  </si>
  <si>
    <t>c4j4FDAG7gQ</t>
  </si>
  <si>
    <t>eP6hG0H77Ay</t>
  </si>
  <si>
    <t>smDrQWXwOJM</t>
  </si>
  <si>
    <t>hOKio6ns0zf</t>
  </si>
  <si>
    <t>JoUh5KxoSxQ</t>
  </si>
  <si>
    <t>Vwm2eAaKE48</t>
  </si>
  <si>
    <t>bo1sHvrlAwt</t>
  </si>
  <si>
    <t>x8GzFXH61mf</t>
  </si>
  <si>
    <t>mhmBna6WNez</t>
  </si>
  <si>
    <t>OeHLEreeajS</t>
  </si>
  <si>
    <t>cRrrxX9kSlj</t>
  </si>
  <si>
    <t>vdIO6DGTS21</t>
  </si>
  <si>
    <t>O5PPrebAAdV</t>
  </si>
  <si>
    <t>cGGEveiIFeZ</t>
  </si>
  <si>
    <t>wzns4EklHnT</t>
  </si>
  <si>
    <t>GieQfBq9wj4</t>
  </si>
  <si>
    <t>blF2JBjfV1w</t>
  </si>
  <si>
    <t>iGMDHIhJ46h</t>
  </si>
  <si>
    <t>pXxEv2oplSs</t>
  </si>
  <si>
    <t>Ie1w0yBzEav</t>
  </si>
  <si>
    <t>qeZ7C9ueeib</t>
  </si>
  <si>
    <t>Hiu3WWRFkPk</t>
  </si>
  <si>
    <t>h9ooDbgL20D</t>
  </si>
  <si>
    <t>NPGO6JsQ9Dl</t>
  </si>
  <si>
    <t>MLalEHqpUel</t>
  </si>
  <si>
    <t>fv3Fcii76BV</t>
  </si>
  <si>
    <t>IgGkZSvTbKo</t>
  </si>
  <si>
    <t>laPfT6aaGbN</t>
  </si>
  <si>
    <t>CUW6dqJxVdk</t>
  </si>
  <si>
    <t>tFFks7KKXPh</t>
  </si>
  <si>
    <t>zx3Mo2PBoVl</t>
  </si>
  <si>
    <t>M4SWlAUMYvy</t>
  </si>
  <si>
    <t>SmQdHYp0UA6</t>
  </si>
  <si>
    <t>ihmpqUcCZ7d</t>
  </si>
  <si>
    <t>Wp0yYFZkR5b</t>
  </si>
  <si>
    <t>yINnWeG1Hfo</t>
  </si>
  <si>
    <t>wtQkCYK0sgW</t>
  </si>
  <si>
    <t>WltS9LLFts5</t>
  </si>
  <si>
    <t>qXU3CLWGvmQ</t>
  </si>
  <si>
    <t>XgeWSGZPcYH</t>
  </si>
  <si>
    <t>JlVuYpeHPrL</t>
  </si>
  <si>
    <t>FMUisj9S42V</t>
  </si>
  <si>
    <t>ASGEUbhVrm5</t>
  </si>
  <si>
    <t>buians8JpEj</t>
  </si>
  <si>
    <t>zWM8LcRC9MD</t>
  </si>
  <si>
    <t>zhBZ1jH7sIk</t>
  </si>
  <si>
    <t>BYdZkXKHAk3</t>
  </si>
  <si>
    <t>bkVSRG3fW2m</t>
  </si>
  <si>
    <t>vocnLnJMdP0</t>
  </si>
  <si>
    <t>CuRjVWWK10x</t>
  </si>
  <si>
    <t>C1gsOecIe8M</t>
  </si>
  <si>
    <t>HwrKkdRRXhA</t>
  </si>
  <si>
    <t>skbr8QupISD</t>
  </si>
  <si>
    <t>msGw7HAqr9q</t>
  </si>
  <si>
    <t>YUZnxyKYTjy</t>
  </si>
  <si>
    <t>vGTwsAcg2Zj</t>
  </si>
  <si>
    <t>g3Oyvl3vwPa</t>
  </si>
  <si>
    <t>wQLp10pqyRf</t>
  </si>
  <si>
    <t>HToiwhAv6py</t>
  </si>
  <si>
    <t>ZyeXHgfrkH1</t>
  </si>
  <si>
    <t>u9JpUu5yd6i</t>
  </si>
  <si>
    <t>qNdjMupQ64m</t>
  </si>
  <si>
    <t>FkiTYsDALIV</t>
  </si>
  <si>
    <t>O73Xw7SK5jc</t>
  </si>
  <si>
    <t>A5fcAVL9UJt</t>
  </si>
  <si>
    <t>hXJxLftiANw</t>
  </si>
  <si>
    <t>x1pNmTLrldp</t>
  </si>
  <si>
    <t>EEqZJHreFQ7</t>
  </si>
  <si>
    <t>CboEiQVcD7g</t>
  </si>
  <si>
    <t>ZxUsdtRnQfo</t>
  </si>
  <si>
    <t>cv6K1WkWI69</t>
  </si>
  <si>
    <t>sjBzR6fZFM8</t>
  </si>
  <si>
    <t>I3eNmtJMhYz</t>
  </si>
  <si>
    <t>qPZQZWeBL6j</t>
  </si>
  <si>
    <t>hvGveofOFlL</t>
  </si>
  <si>
    <t>aaVoQGl9jgE</t>
  </si>
  <si>
    <t>homMHsoLe4r</t>
  </si>
  <si>
    <t>organisationUnit</t>
  </si>
  <si>
    <t>Manahari Hospital</t>
  </si>
  <si>
    <t>true</t>
  </si>
  <si>
    <t>boolean</t>
  </si>
  <si>
    <t>false</t>
  </si>
  <si>
    <t>No</t>
  </si>
  <si>
    <t>Description</t>
  </si>
  <si>
    <t>प्रसवको अनुमानित मिति(गते महिना साल)(EDD)</t>
  </si>
  <si>
    <t>आखिरी रजस्वला भएको मिति(गते महिना साल)(LMP)</t>
  </si>
  <si>
    <t>भिटामिन ए दिएको मिती</t>
  </si>
  <si>
    <t>कृपया प्रसव अवस्थाका जटिलता माथि भन्दा बाहेक अन्य खुलाउने लेख्नुहोस्</t>
  </si>
  <si>
    <t>भर्ना भएको मिति र समय</t>
  </si>
  <si>
    <t>प्रसूती भएको मिति र समय</t>
  </si>
  <si>
    <t>डिस्चार्ज मिति र समय</t>
  </si>
  <si>
    <t>मृत्यु मिती</t>
  </si>
  <si>
    <t>मृत्यु मिति र समय</t>
  </si>
  <si>
    <t>समय</t>
  </si>
  <si>
    <t>न्यानो झोला पाएको मिति</t>
  </si>
  <si>
    <t>गर्भवती उत्प्रेरणा खर्च पाएको मिति</t>
  </si>
  <si>
    <t>यातायात खर्च पाएको मिति</t>
  </si>
  <si>
    <t>Version: TRACKER_PROGRAM_GENERATED_v3</t>
  </si>
  <si>
    <t>TEI id</t>
  </si>
  <si>
    <t>Org Unit *</t>
  </si>
  <si>
    <t>No geometry</t>
  </si>
  <si>
    <t>दर्ता मिति *
(YYYY-MM-DD)</t>
  </si>
  <si>
    <t>Incident Date
(YYYY-MM-DD)</t>
  </si>
  <si>
    <t>Event id</t>
  </si>
  <si>
    <t>TEI Id</t>
  </si>
  <si>
    <t>Report date *
(YYYY-MM-DD)</t>
  </si>
  <si>
    <t>Visit date *
(YYYY-MM-DD)</t>
  </si>
  <si>
    <t>eeWf5i2qHll</t>
  </si>
  <si>
    <t>Yyy</t>
  </si>
  <si>
    <t>Gg</t>
  </si>
  <si>
    <t>O1xrbCQ71Gc</t>
  </si>
  <si>
    <t>अनिता</t>
  </si>
  <si>
    <t>प्रजा</t>
  </si>
  <si>
    <t>सुक बहदुर प्रजा</t>
  </si>
  <si>
    <t>ज्यमिरे</t>
  </si>
  <si>
    <t>chBJdUWdp9P</t>
  </si>
  <si>
    <t>दिल्ली</t>
  </si>
  <si>
    <t>लामा</t>
  </si>
  <si>
    <t>राम लामा</t>
  </si>
  <si>
    <t>kXVadJSyp9u</t>
  </si>
  <si>
    <t>बिमला</t>
  </si>
  <si>
    <t>राइ</t>
  </si>
  <si>
    <t>पुर्ण राइ</t>
  </si>
  <si>
    <t>yUE3wQ1LfFa</t>
  </si>
  <si>
    <t>सरदा</t>
  </si>
  <si>
    <t>श्रेष्ठ</t>
  </si>
  <si>
    <t>शंकर बाबू श्रेष्ठ</t>
  </si>
  <si>
    <t>VovqBbjYzew</t>
  </si>
  <si>
    <t>सजिता</t>
  </si>
  <si>
    <t>थिङ</t>
  </si>
  <si>
    <t>बिजय थिङ</t>
  </si>
  <si>
    <t>PPctvS0S2Th</t>
  </si>
  <si>
    <t>जमुना</t>
  </si>
  <si>
    <t>स्याङ्तान</t>
  </si>
  <si>
    <t>सुक ब. स्याङ्तान</t>
  </si>
  <si>
    <t>मनहरी</t>
  </si>
  <si>
    <t>iRB3RRwSIhY</t>
  </si>
  <si>
    <t>मनमाया</t>
  </si>
  <si>
    <t>चेपाङ</t>
  </si>
  <si>
    <t>ज्योति प्रजा</t>
  </si>
  <si>
    <t>Di8tMMXO8Bh</t>
  </si>
  <si>
    <t>जुनमाया</t>
  </si>
  <si>
    <t>रमेस प्रजा</t>
  </si>
  <si>
    <t>मनहरि</t>
  </si>
  <si>
    <t>V8OqNvXNSgG</t>
  </si>
  <si>
    <t>लक्ष्मी</t>
  </si>
  <si>
    <t>मोक्तान</t>
  </si>
  <si>
    <t>bJNEfR2BFPT</t>
  </si>
  <si>
    <t>बिनिता</t>
  </si>
  <si>
    <t>कान्छाराम मोक्तान</t>
  </si>
  <si>
    <t>z4mqtaHKmov</t>
  </si>
  <si>
    <t>कुमारी</t>
  </si>
  <si>
    <t>सुदर्शन मोक्तान</t>
  </si>
  <si>
    <t>GGvQwXtsQlR</t>
  </si>
  <si>
    <t>पार्वती</t>
  </si>
  <si>
    <t>सुनार</t>
  </si>
  <si>
    <t>जीवन सुनार</t>
  </si>
  <si>
    <t>WjoKKOJaMz0</t>
  </si>
  <si>
    <t>मुना</t>
  </si>
  <si>
    <t>तामाङ</t>
  </si>
  <si>
    <t>सुनिल तमाङ</t>
  </si>
  <si>
    <t>PyLr9QpWKsY</t>
  </si>
  <si>
    <t>जनम थिङ</t>
  </si>
  <si>
    <t>q8hTk2pWnMP</t>
  </si>
  <si>
    <t>टुकमान मोक्तान</t>
  </si>
  <si>
    <t>c0ijNkInsGz</t>
  </si>
  <si>
    <t>पुण</t>
  </si>
  <si>
    <t>ब्लोन</t>
  </si>
  <si>
    <t>दिवस कु. व्लोन</t>
  </si>
  <si>
    <t>DkRvcATofQP</t>
  </si>
  <si>
    <t>डोल्मा</t>
  </si>
  <si>
    <t>कुमार लामा</t>
  </si>
  <si>
    <t>t0owLZn9Hqo</t>
  </si>
  <si>
    <t>पबित्रा</t>
  </si>
  <si>
    <t>तमाङ</t>
  </si>
  <si>
    <t>राजु तामाङ</t>
  </si>
  <si>
    <t>u7rl4YnmZt7</t>
  </si>
  <si>
    <t>सुनिता</t>
  </si>
  <si>
    <t>सम्भु श्रेष्ठ</t>
  </si>
  <si>
    <t>QEUv4I7y9B5</t>
  </si>
  <si>
    <t>Manisa</t>
  </si>
  <si>
    <t>Upreti Basnet</t>
  </si>
  <si>
    <t>Ajaya Basnet</t>
  </si>
  <si>
    <t>Hadikhola</t>
  </si>
  <si>
    <t>aF8AFxBXtdi</t>
  </si>
  <si>
    <t>Buddhi</t>
  </si>
  <si>
    <t>Maya Lopchan</t>
  </si>
  <si>
    <t>Ram Kumar Lopchan</t>
  </si>
  <si>
    <t>Handikhola</t>
  </si>
  <si>
    <t>b62ek3hUyTv</t>
  </si>
  <si>
    <t>कल्पना</t>
  </si>
  <si>
    <t>गोले</t>
  </si>
  <si>
    <t>सुजन गोले</t>
  </si>
  <si>
    <t>CouVmrCgY5A</t>
  </si>
  <si>
    <t>अन्जना</t>
  </si>
  <si>
    <t>पाखृन</t>
  </si>
  <si>
    <t>भुपाल पाखृन</t>
  </si>
  <si>
    <t>mCPKKBONJEh</t>
  </si>
  <si>
    <t>सर्मिला</t>
  </si>
  <si>
    <t>सन्दिप कु. राई</t>
  </si>
  <si>
    <t>VxbiUVe3PpF</t>
  </si>
  <si>
    <t>रमिला</t>
  </si>
  <si>
    <t>अजय मोक्तान</t>
  </si>
  <si>
    <t>GGXC3yXLfLl</t>
  </si>
  <si>
    <t>सरस्वती</t>
  </si>
  <si>
    <t>वाइवा</t>
  </si>
  <si>
    <t>राज कु. घलान</t>
  </si>
  <si>
    <t>h3wBe3dzqt4</t>
  </si>
  <si>
    <t>चन्द्र मक्तान</t>
  </si>
  <si>
    <t>बेजौना</t>
  </si>
  <si>
    <t>b6gvYa6TeEc</t>
  </si>
  <si>
    <t>ज्ञानी</t>
  </si>
  <si>
    <t>माया जिम्बा</t>
  </si>
  <si>
    <t>नीरोज जिम्बा</t>
  </si>
  <si>
    <t>bDS8h4ImGw1</t>
  </si>
  <si>
    <t>रिजाल</t>
  </si>
  <si>
    <t>कासीनाथ रिजाल</t>
  </si>
  <si>
    <t>सिम्पानी</t>
  </si>
  <si>
    <t>czrIWofeHGe</t>
  </si>
  <si>
    <t>Fulmaya</t>
  </si>
  <si>
    <t>Moktan</t>
  </si>
  <si>
    <t>Hip Lal Moktan</t>
  </si>
  <si>
    <t>Thadokhola</t>
  </si>
  <si>
    <t>Pn1yjEgWUa0</t>
  </si>
  <si>
    <t>सुनी</t>
  </si>
  <si>
    <t>सुशील लामा</t>
  </si>
  <si>
    <t>ramantar</t>
  </si>
  <si>
    <t>DRXLpcydXmm</t>
  </si>
  <si>
    <t>कान्छी</t>
  </si>
  <si>
    <t>लोकेन्द्र थापा</t>
  </si>
  <si>
    <t>ramaulee</t>
  </si>
  <si>
    <t>fTp1sVDyWcq</t>
  </si>
  <si>
    <t>राज कुमार रिजाल</t>
  </si>
  <si>
    <t>KNLAMxCe3GF</t>
  </si>
  <si>
    <t>दीपा</t>
  </si>
  <si>
    <t>सीतौला</t>
  </si>
  <si>
    <t>बिक्रम नेउपनी</t>
  </si>
  <si>
    <t>बीजौना</t>
  </si>
  <si>
    <t>HBtpR0bf6UL</t>
  </si>
  <si>
    <t>सोस्तिका</t>
  </si>
  <si>
    <t>राई</t>
  </si>
  <si>
    <t>प्रज्वल राई</t>
  </si>
  <si>
    <t>प्रतपुर</t>
  </si>
  <si>
    <t>SJrO1iQQGT7</t>
  </si>
  <si>
    <t>शृमिती</t>
  </si>
  <si>
    <t>बिष्णु लाल सुनार</t>
  </si>
  <si>
    <t>dx4TsIz0r6Q</t>
  </si>
  <si>
    <t>जानुका</t>
  </si>
  <si>
    <t>भुजेल</t>
  </si>
  <si>
    <t>राम हरि भुजेल</t>
  </si>
  <si>
    <t>o8wIxfJPHr4</t>
  </si>
  <si>
    <t>शोदा</t>
  </si>
  <si>
    <t>dhakal</t>
  </si>
  <si>
    <t>सुमन dhakal</t>
  </si>
  <si>
    <t>सिम्पनी</t>
  </si>
  <si>
    <t>UVHjuC7rcXQ</t>
  </si>
  <si>
    <t>सुमित्रा</t>
  </si>
  <si>
    <t>दीमा मिक्तान</t>
  </si>
  <si>
    <t>uz8NHSbflTE</t>
  </si>
  <si>
    <t>प्रकश थिङ</t>
  </si>
  <si>
    <t>सिम्पनि</t>
  </si>
  <si>
    <t>meX1BntGs1A</t>
  </si>
  <si>
    <t>प्राजा</t>
  </si>
  <si>
    <t>राज कुमार प्रजा</t>
  </si>
  <si>
    <t>SOnHBD11pXj</t>
  </si>
  <si>
    <t>राज कुमार पर्जा</t>
  </si>
  <si>
    <t>WKQqk9UZ6sX</t>
  </si>
  <si>
    <t>कान्ची</t>
  </si>
  <si>
    <t>उज्ज्वल प्रजा</t>
  </si>
  <si>
    <t>नयाबस्ती</t>
  </si>
  <si>
    <t>mGlL6u5o6le</t>
  </si>
  <si>
    <t>सुकु</t>
  </si>
  <si>
    <t>सीरी प्रजा</t>
  </si>
  <si>
    <t>AwLVDy1LT7w</t>
  </si>
  <si>
    <t>रोजिना</t>
  </si>
  <si>
    <t>sangbo</t>
  </si>
  <si>
    <t>सुजन सङ्बो</t>
  </si>
  <si>
    <t>Hh4RLAyp4CA</t>
  </si>
  <si>
    <t>सुस्मिता</t>
  </si>
  <si>
    <t>थापा</t>
  </si>
  <si>
    <t>सुनिल थापा</t>
  </si>
  <si>
    <t>रयैया</t>
  </si>
  <si>
    <t>kCMZfAcawwx</t>
  </si>
  <si>
    <t>बिजय प्रजा</t>
  </si>
  <si>
    <t>रजैया</t>
  </si>
  <si>
    <t>XKXh5sIXEoZ</t>
  </si>
  <si>
    <t>बिष्णु</t>
  </si>
  <si>
    <t>क</t>
  </si>
  <si>
    <t>सुरेश बी क</t>
  </si>
  <si>
    <t>QWtJSbYL5IC</t>
  </si>
  <si>
    <t>आस्मिता</t>
  </si>
  <si>
    <t>कालाखेती</t>
  </si>
  <si>
    <t>रबिन्द्र कालाखीती</t>
  </si>
  <si>
    <t>aAQq7tkJgXy</t>
  </si>
  <si>
    <t>sangita</t>
  </si>
  <si>
    <t>मस्रङे मगर</t>
  </si>
  <si>
    <t>दिनेश मगर</t>
  </si>
  <si>
    <t>Wrxs0IOVeFz</t>
  </si>
  <si>
    <t>भिक्तोर प्रजा</t>
  </si>
  <si>
    <t>yOwF7UdYTBa</t>
  </si>
  <si>
    <t>माया</t>
  </si>
  <si>
    <t>सन्जीब थिङ</t>
  </si>
  <si>
    <t>UsEDQcmXWM4</t>
  </si>
  <si>
    <t>मानिशा</t>
  </si>
  <si>
    <t>आर्यल</t>
  </si>
  <si>
    <t>कृष्ण हरि सामरी</t>
  </si>
  <si>
    <t>h1kdJMB8ak3</t>
  </si>
  <si>
    <t>रमिता</t>
  </si>
  <si>
    <t>राजन राइ</t>
  </si>
  <si>
    <t>g7eOBevA7dE</t>
  </si>
  <si>
    <t>मिलन वायबा</t>
  </si>
  <si>
    <t>RBfC88B6YNX</t>
  </si>
  <si>
    <t>सपना</t>
  </si>
  <si>
    <t>बुद्धि बहादुर प्रजा</t>
  </si>
  <si>
    <t>CyNz9qHsag5</t>
  </si>
  <si>
    <t>काबिता</t>
  </si>
  <si>
    <t>गिरी</t>
  </si>
  <si>
    <t>पुस्कल गिरी</t>
  </si>
  <si>
    <t>vHyGXFmiq5e</t>
  </si>
  <si>
    <t>रकेश गिरी</t>
  </si>
  <si>
    <t>G2gFqAApzz3</t>
  </si>
  <si>
    <t>कमल सुनार</t>
  </si>
  <si>
    <t>gx86BwGeW5p</t>
  </si>
  <si>
    <t>अन्जु</t>
  </si>
  <si>
    <t>बाबुराम सुनार</t>
  </si>
  <si>
    <t>jX6qfDjIbIS</t>
  </si>
  <si>
    <t>रशिला</t>
  </si>
  <si>
    <t>bot</t>
  </si>
  <si>
    <t>बिष्णु bot</t>
  </si>
  <si>
    <t>रमौली</t>
  </si>
  <si>
    <t>YdTZntxt5G2</t>
  </si>
  <si>
    <t>रबीना</t>
  </si>
  <si>
    <t>रमेश सुनार</t>
  </si>
  <si>
    <t>रमन्तर</t>
  </si>
  <si>
    <t>IPK7X3D7Fq4</t>
  </si>
  <si>
    <t>सन्ध्या</t>
  </si>
  <si>
    <t>सुशान प्रजा</t>
  </si>
  <si>
    <t>O8lmcyu7Y40</t>
  </si>
  <si>
    <t>आबिना</t>
  </si>
  <si>
    <t>अर्याल</t>
  </si>
  <si>
    <t>आकश प्रजा</t>
  </si>
  <si>
    <t>oCFapDHu8pq</t>
  </si>
  <si>
    <t>फुल्माया</t>
  </si>
  <si>
    <t>रानु प्रजा</t>
  </si>
  <si>
    <t>e4EuEf8aWOx</t>
  </si>
  <si>
    <t>रीता</t>
  </si>
  <si>
    <t>नमराज थिङ</t>
  </si>
  <si>
    <t>ZKnCdJ129xD</t>
  </si>
  <si>
    <t>सानू</t>
  </si>
  <si>
    <t>अधिकारी</t>
  </si>
  <si>
    <t>हरी कृष्ण अधिकरी</t>
  </si>
  <si>
    <t>vIqU3ZSFIVl</t>
  </si>
  <si>
    <t>मीरा</t>
  </si>
  <si>
    <t>राना</t>
  </si>
  <si>
    <t>अमन mashrangaa मगर</t>
  </si>
  <si>
    <t>Ww2ZJStSHy6</t>
  </si>
  <si>
    <t>बिष्णु अधिकारि</t>
  </si>
  <si>
    <t>i7gqVoUFibf</t>
  </si>
  <si>
    <t>कुमारी मोक्तान</t>
  </si>
  <si>
    <t>सबिन बल</t>
  </si>
  <si>
    <t>WhJky2wttoI</t>
  </si>
  <si>
    <t>सुभद्रा</t>
  </si>
  <si>
    <t>नेपाली</t>
  </si>
  <si>
    <t>राजन परीयार</t>
  </si>
  <si>
    <t>EkQ9ZEKZ9VD</t>
  </si>
  <si>
    <t>सजीता</t>
  </si>
  <si>
    <t>कार्की</t>
  </si>
  <si>
    <t>अर्जुन कर्की</t>
  </si>
  <si>
    <t>MXYhhWphDZ9</t>
  </si>
  <si>
    <t>सुमीता</t>
  </si>
  <si>
    <t>शम्भु श्रेष्ठ</t>
  </si>
  <si>
    <t>WjC5mzdmIiw</t>
  </si>
  <si>
    <t>माया प्रजा</t>
  </si>
  <si>
    <t>निशान प्रजा</t>
  </si>
  <si>
    <t>yCpbGtXM8DW</t>
  </si>
  <si>
    <t>सुप्रीया</t>
  </si>
  <si>
    <t>प्रभाश</t>
  </si>
  <si>
    <t>uS3WlFGyhWf</t>
  </si>
  <si>
    <t>सबीता</t>
  </si>
  <si>
    <t>गोबिन्द सुनार</t>
  </si>
  <si>
    <t>Iuo0oWJvTNI</t>
  </si>
  <si>
    <t>रजनी</t>
  </si>
  <si>
    <t>जेनीस रुम्बा</t>
  </si>
  <si>
    <t>b9FJBJwL5xs</t>
  </si>
  <si>
    <t>भिम</t>
  </si>
  <si>
    <t>लक्षुमन</t>
  </si>
  <si>
    <t>प्रतापपुर</t>
  </si>
  <si>
    <t>wqQlMyTflEV</t>
  </si>
  <si>
    <t>निर्जला</t>
  </si>
  <si>
    <t>माइकल प्रजा</t>
  </si>
  <si>
    <t>बेलुवा</t>
  </si>
  <si>
    <t>bUrKDYazZeS</t>
  </si>
  <si>
    <t>लोप्चन</t>
  </si>
  <si>
    <t>भिमसेन लोप्चन</t>
  </si>
  <si>
    <t>pfQ07AdMBYY</t>
  </si>
  <si>
    <t>कन्चन</t>
  </si>
  <si>
    <t>सुमन मोक्तान</t>
  </si>
  <si>
    <t>pwsaim0d46j</t>
  </si>
  <si>
    <t>सुस्मा</t>
  </si>
  <si>
    <t>अनिल लोप्चन</t>
  </si>
  <si>
    <t>kWfh3c5hCKx</t>
  </si>
  <si>
    <t>प्रमिला</t>
  </si>
  <si>
    <t>dimdung</t>
  </si>
  <si>
    <t>युबराज dindung</t>
  </si>
  <si>
    <t>hDqgIAw1FoN</t>
  </si>
  <si>
    <t>स्यङ्तन</t>
  </si>
  <si>
    <t>रमन स्यङ्तन</t>
  </si>
  <si>
    <t>oCx6zvkwxFE</t>
  </si>
  <si>
    <t>बिध्या</t>
  </si>
  <si>
    <t>सिल्वाल</t>
  </si>
  <si>
    <t>नमरज सिल्वाल</t>
  </si>
  <si>
    <t>लोथर</t>
  </si>
  <si>
    <t>g3zPqiFDd4Z</t>
  </si>
  <si>
    <t>सोमलाल</t>
  </si>
  <si>
    <t>खर्यङा</t>
  </si>
  <si>
    <t>SdKjFAqBppE</t>
  </si>
  <si>
    <t>पुष्पा</t>
  </si>
  <si>
    <t>लो</t>
  </si>
  <si>
    <t>इशक लो</t>
  </si>
  <si>
    <t>खरङ्या</t>
  </si>
  <si>
    <t>p4XhyqUYIl2</t>
  </si>
  <si>
    <t>राम कुमर सुनार</t>
  </si>
  <si>
    <t>नयाबस्ति</t>
  </si>
  <si>
    <t>VD9MayWTdR6</t>
  </si>
  <si>
    <t>अस्मिता</t>
  </si>
  <si>
    <t>केशव राई</t>
  </si>
  <si>
    <t>DQi4Yd8xvy3</t>
  </si>
  <si>
    <t>भिक्टाेर प्रजा</t>
  </si>
  <si>
    <t>G4lX2XLrJ2P</t>
  </si>
  <si>
    <t>रन्जिता</t>
  </si>
  <si>
    <t>शाह</t>
  </si>
  <si>
    <t>बिकाश</t>
  </si>
  <si>
    <t>बसन्तपुर</t>
  </si>
  <si>
    <t>sDOz513cy9X</t>
  </si>
  <si>
    <t>सानी</t>
  </si>
  <si>
    <t>शुक्र बहादुर तामाङ</t>
  </si>
  <si>
    <t>Z71dRGSK32B</t>
  </si>
  <si>
    <t>भिक्टोर</t>
  </si>
  <si>
    <t>x9sTvTbW8oR</t>
  </si>
  <si>
    <t>सुमिना</t>
  </si>
  <si>
    <t>अर्जुन थिङ</t>
  </si>
  <si>
    <t>qHx6vFwppb1</t>
  </si>
  <si>
    <t>निरुशा</t>
  </si>
  <si>
    <t>जय बहादुर राइ</t>
  </si>
  <si>
    <t>xFARFGNPod5</t>
  </si>
  <si>
    <t>हरि</t>
  </si>
  <si>
    <t>गुरुङ</t>
  </si>
  <si>
    <t>जिवन गुरुङ</t>
  </si>
  <si>
    <t>f8eAa5Cu3Mp</t>
  </si>
  <si>
    <t>स्वस्तिका</t>
  </si>
  <si>
    <t>प्रबल राई</t>
  </si>
  <si>
    <t>omUDQopWBW4</t>
  </si>
  <si>
    <t>बिरबहादुर स्याङ्बो</t>
  </si>
  <si>
    <t>ज्यामिरे</t>
  </si>
  <si>
    <t>vmVLylgDCsl</t>
  </si>
  <si>
    <t>रिता</t>
  </si>
  <si>
    <t>मुक्तान</t>
  </si>
  <si>
    <t>ललित बा. मुक्तान</t>
  </si>
  <si>
    <t>नया बस्ति</t>
  </si>
  <si>
    <t>EA2cokETzQw</t>
  </si>
  <si>
    <t>गोमा</t>
  </si>
  <si>
    <t>सुरेश कुमार सुनार</t>
  </si>
  <si>
    <t>D1GFWIX1J1t</t>
  </si>
  <si>
    <t>देवि</t>
  </si>
  <si>
    <t>लाल बा. तामाङ</t>
  </si>
  <si>
    <t>सुनाचुरि</t>
  </si>
  <si>
    <t>pyHMTfTCKTu</t>
  </si>
  <si>
    <t>राम कु.सुनार</t>
  </si>
  <si>
    <t>शिविर</t>
  </si>
  <si>
    <t>tCHIymJUiE0</t>
  </si>
  <si>
    <t>सबिना</t>
  </si>
  <si>
    <t>सोम बा. राई</t>
  </si>
  <si>
    <t>सुनाचुरी</t>
  </si>
  <si>
    <t>aFOaKq9K85C</t>
  </si>
  <si>
    <t>दिल कुमार मुक्तन</t>
  </si>
  <si>
    <t>खर्ङगा</t>
  </si>
  <si>
    <t>HTAzq1LEd9S</t>
  </si>
  <si>
    <t>सरस्वोती</t>
  </si>
  <si>
    <t>दिपक मुक्तान</t>
  </si>
  <si>
    <t>o6OZ8gppsz5</t>
  </si>
  <si>
    <t>आस्था</t>
  </si>
  <si>
    <t>बिनोद राई</t>
  </si>
  <si>
    <t>गोदाम</t>
  </si>
  <si>
    <t>oSx87rDYQD4</t>
  </si>
  <si>
    <t>सबिता</t>
  </si>
  <si>
    <t>थिङ्ग</t>
  </si>
  <si>
    <t>सन्जित थिङ्ग</t>
  </si>
  <si>
    <t>सिबिर</t>
  </si>
  <si>
    <t>wZIrunPJ269</t>
  </si>
  <si>
    <t>रजिना</t>
  </si>
  <si>
    <t>सुबेदि</t>
  </si>
  <si>
    <t>कबिराज सुबेदि</t>
  </si>
  <si>
    <t>z0Hnoux6iW8</t>
  </si>
  <si>
    <t>दिलमाया</t>
  </si>
  <si>
    <t>महेन्द्र मोक्तान</t>
  </si>
  <si>
    <t>दुसाबगर</t>
  </si>
  <si>
    <t>y7mgOr9mNYs</t>
  </si>
  <si>
    <t>सिमपानी</t>
  </si>
  <si>
    <t>uihrL85Dn0M</t>
  </si>
  <si>
    <t>रतिमाया</t>
  </si>
  <si>
    <t>पत्रुश प्रजा</t>
  </si>
  <si>
    <t>चुरेडाडा</t>
  </si>
  <si>
    <t>hlMWgMt1JMk</t>
  </si>
  <si>
    <t>निरोज लामा</t>
  </si>
  <si>
    <t>खरङगा</t>
  </si>
  <si>
    <t>ZUxnGuw3Un0</t>
  </si>
  <si>
    <t>संिगता</t>
  </si>
  <si>
    <t>दिपक प्रजा</t>
  </si>
  <si>
    <t>hZuNHHYv0vW</t>
  </si>
  <si>
    <t>दियाली</t>
  </si>
  <si>
    <t>रमेश दियालि</t>
  </si>
  <si>
    <t>QJqpCRuB7R6</t>
  </si>
  <si>
    <t>शुशिला</t>
  </si>
  <si>
    <t>पदराज मुक्तान</t>
  </si>
  <si>
    <t>फरिवाङग</t>
  </si>
  <si>
    <t>aqYMWGTru8Y</t>
  </si>
  <si>
    <t>आशा</t>
  </si>
  <si>
    <t>स्याङ्ताङ्ग</t>
  </si>
  <si>
    <t>आदेश ब्लोन</t>
  </si>
  <si>
    <t>ko8Q16ehMlQ</t>
  </si>
  <si>
    <t>मगर</t>
  </si>
  <si>
    <t>युबराज राना मगर</t>
  </si>
  <si>
    <t>YFvVHs6bRjs</t>
  </si>
  <si>
    <t>प्रर्मिला</t>
  </si>
  <si>
    <t>बर्तौला</t>
  </si>
  <si>
    <t>केदर बर्तौला</t>
  </si>
  <si>
    <t>बेलवा</t>
  </si>
  <si>
    <t>z9EXee044hy</t>
  </si>
  <si>
    <t>अन्जली</t>
  </si>
  <si>
    <t>राज सुनार</t>
  </si>
  <si>
    <t>TlP2REbDT6o</t>
  </si>
  <si>
    <t>मधु</t>
  </si>
  <si>
    <t>पुकार राई</t>
  </si>
  <si>
    <t>MaFFFkuP7T0</t>
  </si>
  <si>
    <t>सुरोज राई</t>
  </si>
  <si>
    <t>रमनटार</t>
  </si>
  <si>
    <t>AYHpHxleOZE</t>
  </si>
  <si>
    <t>आरती</t>
  </si>
  <si>
    <t>बुद्ध मुक्तान</t>
  </si>
  <si>
    <t>Yb0FwznJC8L</t>
  </si>
  <si>
    <t>मनिशा</t>
  </si>
  <si>
    <t>दियालि</t>
  </si>
  <si>
    <t>विशाल दियालि</t>
  </si>
  <si>
    <t>खरङग्ग</t>
  </si>
  <si>
    <t>z0ME1raCsFr</t>
  </si>
  <si>
    <t>स्यङ्ताङ्ग</t>
  </si>
  <si>
    <t>मिलन सिङ ब्लोन</t>
  </si>
  <si>
    <t>प्यन्चे</t>
  </si>
  <si>
    <t>R80wJgnugly</t>
  </si>
  <si>
    <t>शान्ती</t>
  </si>
  <si>
    <t>दुर्गा दास स्यङ्ताङ्ग</t>
  </si>
  <si>
    <t>OuUEHbATeQM</t>
  </si>
  <si>
    <t>सुना</t>
  </si>
  <si>
    <t>अशोक प्रजा</t>
  </si>
  <si>
    <t>प्येन्चे</t>
  </si>
  <si>
    <t>FlGOSM8yUCC</t>
  </si>
  <si>
    <t>साबिना</t>
  </si>
  <si>
    <t>प्रदिप राई</t>
  </si>
  <si>
    <t>प्रतापुर</t>
  </si>
  <si>
    <t>W1bjvgI2zoM</t>
  </si>
  <si>
    <t>s1ACRDyLd4V</t>
  </si>
  <si>
    <t>रन्जना</t>
  </si>
  <si>
    <t>खतुन</t>
  </si>
  <si>
    <t>अब्दुल रहमान</t>
  </si>
  <si>
    <t>चैइपुर</t>
  </si>
  <si>
    <t>epKuqhmuVXj</t>
  </si>
  <si>
    <t>बिद्दी</t>
  </si>
  <si>
    <t>घलान</t>
  </si>
  <si>
    <t>सुबास घलान</t>
  </si>
  <si>
    <t>jIMWbWGOpAW</t>
  </si>
  <si>
    <t>बिद्दिमाया</t>
  </si>
  <si>
    <t>मोहन थिङ</t>
  </si>
  <si>
    <t>JJfdBqtVq3J</t>
  </si>
  <si>
    <t>चमेली</t>
  </si>
  <si>
    <t>प्रबिन कु ब्लोन</t>
  </si>
</sst>
</file>

<file path=xl/styles.xml><?xml version="1.0" encoding="utf-8"?>
<styleSheet xmlns="http://schemas.openxmlformats.org/spreadsheetml/2006/main">
  <numFmts count="1">
    <numFmt numFmtId="164" formatCode="yyyy\-mm\-dd;@"/>
  </numFmts>
  <fonts count="6">
    <font>
      <sz val="12"/>
      <color rgb="FF000000"/>
      <name val="Calibri"/>
      <family val="1"/>
    </font>
    <font>
      <sz val="10"/>
      <color rgb="FF000000"/>
      <name val="Arial"/>
      <family val="2"/>
    </font>
    <font>
      <sz val="11"/>
      <color theme="1"/>
      <name val="Calibri"/>
      <family val="2"/>
    </font>
    <font>
      <sz val="10"/>
      <color theme="1"/>
      <name val="Arial"/>
      <family val="2"/>
    </font>
    <font>
      <sz val="11"/>
      <color rgb="FF000000"/>
      <name val="Calibri"/>
      <family val="2"/>
    </font>
    <font>
      <sz val="10"/>
      <color theme="1"/>
      <name val="Arial"/>
      <family val="1"/>
    </font>
  </fonts>
  <fills count="7">
    <fill>
      <patternFill patternType="none"/>
    </fill>
    <fill>
      <patternFill patternType="gray125"/>
    </fill>
    <fill>
      <patternFill patternType="solid">
        <fgColor rgb="FFFFFFFF"/>
      </patternFill>
    </fill>
    <fill>
      <patternFill patternType="solid">
        <fgColor rgb="FFFFCA28"/>
      </patternFill>
    </fill>
    <fill>
      <patternFill patternType="solid">
        <fgColor rgb="FFFFEE58"/>
      </patternFill>
    </fill>
    <fill>
      <patternFill patternType="solid">
        <fgColor rgb="FFFFA726"/>
      </patternFill>
    </fill>
    <fill>
      <patternFill patternType="solid">
        <fgColor rgb="FFFF7043"/>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applyAlignment="1">
      <alignment horizontal="center" vertical="center" wrapText="1" shrinkToFit="1"/>
    </xf>
    <xf numFmtId="0" fontId="0" fillId="3" borderId="0" xfId="0" applyFill="1" applyAlignment="1">
      <alignment horizontal="center" vertical="center" wrapText="1" shrinkToFit="1"/>
    </xf>
    <xf numFmtId="0" fontId="0" fillId="4" borderId="0" xfId="0" applyFill="1" applyAlignment="1">
      <alignment horizontal="center" vertical="center" wrapText="1" shrinkToFit="1"/>
    </xf>
    <xf numFmtId="0" fontId="0" fillId="5" borderId="0" xfId="0" applyFill="1" applyAlignment="1">
      <alignment horizontal="center" vertical="center" wrapText="1" shrinkToFit="1"/>
    </xf>
    <xf numFmtId="0" fontId="0" fillId="6" borderId="0" xfId="0" applyFill="1" applyAlignment="1">
      <alignment horizontal="center" vertical="center" wrapText="1" shrinkToFit="1"/>
    </xf>
    <xf numFmtId="0" fontId="1" fillId="0" borderId="0" xfId="0" applyFont="1"/>
    <xf numFmtId="164" fontId="1" fillId="0" borderId="0" xfId="0" applyNumberFormat="1" applyFont="1"/>
    <xf numFmtId="0" fontId="2" fillId="0" borderId="0" xfId="0" applyFont="1"/>
    <xf numFmtId="0" fontId="3" fillId="0" borderId="0" xfId="0" applyFont="1"/>
    <xf numFmtId="0" fontId="4" fillId="0" borderId="0" xfId="0" applyFont="1"/>
    <xf numFmtId="21" fontId="0" fillId="0" borderId="0" xfId="0" applyNumberFormat="1"/>
    <xf numFmtId="0" fontId="5" fillId="0" borderId="0" xfId="0" applyFont="1"/>
    <xf numFmtId="0" fontId="0" fillId="4" borderId="0" xfId="0" applyFill="1" applyAlignment="1">
      <alignment horizontal="center" vertical="center" wrapText="1" shrinkToFit="1"/>
    </xf>
    <xf numFmtId="0" fontId="0" fillId="3" borderId="0" xfId="0" applyFill="1" applyAlignment="1">
      <alignment horizontal="center" vertical="center" wrapText="1" shrinkToFit="1"/>
    </xf>
    <xf numFmtId="0" fontId="0" fillId="5" borderId="0" xfId="0" applyFill="1" applyAlignment="1">
      <alignment horizontal="center" vertical="center" wrapText="1" shrinkToFit="1"/>
    </xf>
    <xf numFmtId="0" fontId="0" fillId="6" borderId="0" xfId="0" applyFill="1" applyAlignment="1">
      <alignment horizontal="center" vertical="center" wrapText="1" shrinkToFit="1"/>
    </xf>
    <xf numFmtId="0" fontId="0" fillId="2" borderId="0" xfId="0" applyFill="1" applyAlignment="1">
      <alignment horizontal="center"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B138"/>
  <sheetViews>
    <sheetView tabSelected="1" zoomScaleNormal="100" workbookViewId="0">
      <pane ySplit="5" topLeftCell="A6" activePane="bottomLeft" state="frozen"/>
      <selection pane="bottomLeft" activeCell="G11" sqref="G11"/>
    </sheetView>
  </sheetViews>
  <sheetFormatPr defaultColWidth="11" defaultRowHeight="15.75"/>
  <cols>
    <col min="1" max="2" width="20" customWidth="1"/>
    <col min="3" max="3" width="20" hidden="1" customWidth="1"/>
    <col min="4" max="28" width="20" customWidth="1"/>
  </cols>
  <sheetData>
    <row r="1" spans="1:28" ht="47.25" hidden="1">
      <c r="A1" s="1" t="s">
        <v>3218</v>
      </c>
    </row>
    <row r="2" spans="1:28" hidden="1"/>
    <row r="3" spans="1:28" hidden="1"/>
    <row r="4" spans="1:28" ht="30" customHeight="1"/>
    <row r="5" spans="1:28" ht="50.1" customHeight="1">
      <c r="A5" s="1" t="s">
        <v>3219</v>
      </c>
      <c r="B5" s="1" t="s">
        <v>3220</v>
      </c>
      <c r="C5" s="1" t="s">
        <v>3221</v>
      </c>
      <c r="D5" s="1" t="s">
        <v>3222</v>
      </c>
      <c r="E5" s="1" t="s">
        <v>3223</v>
      </c>
      <c r="F5" s="2" t="str">
        <f>_PX3WWmyY0g0</f>
        <v>राष्ट्रिय परिचयपत्र नं</v>
      </c>
      <c r="G5" s="2" t="str">
        <f>_q3NpuWzGvso</f>
        <v>प्रणाली नं</v>
      </c>
      <c r="H5" s="2" t="str">
        <f>_fDkrYoZxJW3</f>
        <v>मूल दर्ता नं</v>
      </c>
      <c r="I5" s="2" t="str">
        <f>_yBYTz1M15tf</f>
        <v>सेवाग्राहीको नाम *</v>
      </c>
      <c r="J5" s="2" t="str">
        <f>_MqBkcXtzszn</f>
        <v>सेवाग्राहीको  थर *</v>
      </c>
      <c r="K5" s="2" t="str">
        <f>_i607dSgfm4F</f>
        <v>उमेर *</v>
      </c>
      <c r="L5" s="2" t="str">
        <f>_yifOETNxcrj</f>
        <v>जाती कोड *</v>
      </c>
      <c r="M5" s="2" t="str">
        <f>_nVrdcUpsOnO</f>
        <v>रक्त समूह</v>
      </c>
      <c r="N5" s="2" t="str">
        <f>_Z6vPv9TxH6I</f>
        <v>पतिको नाम थर</v>
      </c>
      <c r="O5" s="2" t="str">
        <f>_JQZ0c0t6BTc</f>
        <v>नक्सामा ठेगाना छान्नुहोस्</v>
      </c>
      <c r="P5" s="2" t="str">
        <f>_j9UDLMABvmF</f>
        <v>नक्सामा ठेगाना</v>
      </c>
      <c r="Q5" s="2" t="str">
        <f>_S1EHDiKo9bW</f>
        <v>प्रदेश *</v>
      </c>
      <c r="R5" s="2" t="str">
        <f>_kDMuBUg6Zjf</f>
        <v>जिल्ला *</v>
      </c>
      <c r="S5" s="2" t="str">
        <f>_eo54yWBzEE6</f>
        <v>नगर/गाउँपालिका *</v>
      </c>
      <c r="T5" s="2" t="str">
        <f>_mDR6zfT5lEl</f>
        <v>वडा नं *</v>
      </c>
      <c r="U5" s="2" t="str">
        <f>_ze4jTINKRre</f>
        <v>टोल</v>
      </c>
      <c r="V5" s="2" t="str">
        <f>_EWFhOqCrPBX</f>
        <v>सम्पर्क नं/मोबाईल नं</v>
      </c>
      <c r="W5" s="2" t="str">
        <f>_Vi2zVxwc05k</f>
        <v>ई-मेल</v>
      </c>
      <c r="X5" s="2" t="str">
        <f>_BNcupjySWTY</f>
        <v>आखिरी रजस्वला भएको मिति(गते महिना साल)(LMP)  *
(YYYY-MM-DD)</v>
      </c>
      <c r="Y5" s="2" t="str">
        <f>_LeelllbVRYW</f>
        <v>प्रसवको अनुमानित मिति(गते महिना साल)(EDD)
(YYYY-MM-DD)</v>
      </c>
      <c r="Z5" s="2" t="str">
        <f>_smhwRCPk1j0</f>
        <v>Primi</v>
      </c>
      <c r="AA5" s="2" t="str">
        <f>_GELdFmHdBeq</f>
        <v>Gravida</v>
      </c>
      <c r="AB5" s="2" t="str">
        <f>_OEvuxRFFkKG</f>
        <v>पहिले टी.डी. खोप लगाएको छ कि छैन ?</v>
      </c>
    </row>
    <row r="6" spans="1:28">
      <c r="A6" s="6" t="s">
        <v>3228</v>
      </c>
      <c r="B6" t="s">
        <v>3199</v>
      </c>
      <c r="D6" s="7">
        <v>43509</v>
      </c>
      <c r="H6" s="6">
        <v>11</v>
      </c>
      <c r="I6" s="8" t="s">
        <v>3229</v>
      </c>
      <c r="K6" s="6">
        <v>11</v>
      </c>
      <c r="L6" s="9" t="s">
        <v>321</v>
      </c>
      <c r="M6" s="9" t="s">
        <v>329</v>
      </c>
      <c r="N6" s="10" t="s">
        <v>3230</v>
      </c>
      <c r="Q6" t="s">
        <v>1903</v>
      </c>
      <c r="R6" t="s">
        <v>237</v>
      </c>
      <c r="S6" t="s">
        <v>1009</v>
      </c>
      <c r="T6" s="6">
        <v>4</v>
      </c>
      <c r="U6" s="10" t="s">
        <v>3230</v>
      </c>
      <c r="V6" s="6">
        <v>333</v>
      </c>
      <c r="X6" s="7">
        <v>43509</v>
      </c>
      <c r="Z6" t="s">
        <v>1064</v>
      </c>
    </row>
    <row r="7" spans="1:28">
      <c r="A7" s="6" t="s">
        <v>3231</v>
      </c>
      <c r="B7" t="s">
        <v>3199</v>
      </c>
      <c r="D7" s="7">
        <v>43622</v>
      </c>
      <c r="E7" s="11"/>
      <c r="H7" s="6">
        <v>25101</v>
      </c>
      <c r="I7" s="8" t="s">
        <v>3232</v>
      </c>
      <c r="J7" t="s">
        <v>3233</v>
      </c>
      <c r="K7" s="6">
        <v>28</v>
      </c>
      <c r="L7" s="12" t="s">
        <v>81</v>
      </c>
      <c r="M7" s="9"/>
      <c r="N7" s="10" t="s">
        <v>3234</v>
      </c>
      <c r="Q7" t="s">
        <v>1903</v>
      </c>
      <c r="R7" t="s">
        <v>237</v>
      </c>
      <c r="S7" t="s">
        <v>1009</v>
      </c>
      <c r="T7" s="6">
        <v>9</v>
      </c>
      <c r="U7" s="10" t="s">
        <v>3235</v>
      </c>
      <c r="V7" s="6"/>
      <c r="X7" s="7">
        <v>43489</v>
      </c>
      <c r="Z7" t="s">
        <v>1064</v>
      </c>
    </row>
    <row r="8" spans="1:28">
      <c r="A8" s="6" t="s">
        <v>3236</v>
      </c>
      <c r="B8" t="s">
        <v>3199</v>
      </c>
      <c r="D8" s="7">
        <v>43625</v>
      </c>
      <c r="E8" s="11"/>
      <c r="H8" s="6"/>
      <c r="I8" s="8" t="s">
        <v>3237</v>
      </c>
      <c r="J8" t="s">
        <v>3238</v>
      </c>
      <c r="K8" s="6">
        <v>20</v>
      </c>
      <c r="L8" s="9" t="s">
        <v>81</v>
      </c>
      <c r="M8" s="9"/>
      <c r="N8" s="10" t="s">
        <v>3239</v>
      </c>
      <c r="Q8" t="s">
        <v>1903</v>
      </c>
      <c r="R8" t="s">
        <v>237</v>
      </c>
      <c r="S8" t="s">
        <v>1009</v>
      </c>
      <c r="T8" s="6">
        <v>6</v>
      </c>
      <c r="U8" s="6"/>
      <c r="V8" s="6"/>
      <c r="X8" s="7">
        <v>43382</v>
      </c>
      <c r="Z8" t="s">
        <v>1064</v>
      </c>
    </row>
    <row r="9" spans="1:28">
      <c r="A9" s="6" t="s">
        <v>3240</v>
      </c>
      <c r="B9" t="s">
        <v>3199</v>
      </c>
      <c r="D9" s="7">
        <v>43625</v>
      </c>
      <c r="E9" s="11"/>
      <c r="H9" s="6">
        <v>15650</v>
      </c>
      <c r="I9" s="8" t="s">
        <v>3241</v>
      </c>
      <c r="J9" t="s">
        <v>3242</v>
      </c>
      <c r="K9" s="6">
        <v>21</v>
      </c>
      <c r="L9" s="9" t="s">
        <v>81</v>
      </c>
      <c r="M9" s="9"/>
      <c r="N9" s="10" t="s">
        <v>3243</v>
      </c>
      <c r="Q9" t="s">
        <v>1903</v>
      </c>
      <c r="R9" t="s">
        <v>237</v>
      </c>
      <c r="S9" t="s">
        <v>1009</v>
      </c>
      <c r="T9" s="6">
        <v>6</v>
      </c>
      <c r="U9" s="6"/>
      <c r="V9" s="6">
        <v>9811814205</v>
      </c>
      <c r="X9" s="7">
        <v>43379</v>
      </c>
      <c r="Z9" t="s">
        <v>1064</v>
      </c>
    </row>
    <row r="10" spans="1:28">
      <c r="A10" s="6" t="s">
        <v>3244</v>
      </c>
      <c r="B10" t="s">
        <v>3199</v>
      </c>
      <c r="D10" s="7">
        <v>43625</v>
      </c>
      <c r="E10" s="11"/>
      <c r="H10" s="6">
        <v>15365</v>
      </c>
      <c r="I10" s="8" t="s">
        <v>3245</v>
      </c>
      <c r="J10" t="s">
        <v>3246</v>
      </c>
      <c r="K10" s="6">
        <v>22</v>
      </c>
      <c r="L10" s="9" t="s">
        <v>81</v>
      </c>
      <c r="M10" s="9"/>
      <c r="N10" s="10" t="s">
        <v>3247</v>
      </c>
      <c r="Q10" t="s">
        <v>1903</v>
      </c>
      <c r="R10" t="s">
        <v>237</v>
      </c>
      <c r="S10" t="s">
        <v>1009</v>
      </c>
      <c r="T10" s="6">
        <v>6</v>
      </c>
      <c r="U10" s="6"/>
      <c r="V10" s="6"/>
      <c r="X10" s="7">
        <v>43406</v>
      </c>
      <c r="Z10" t="s">
        <v>1064</v>
      </c>
    </row>
    <row r="11" spans="1:28">
      <c r="A11" s="6" t="s">
        <v>3248</v>
      </c>
      <c r="B11" t="s">
        <v>3199</v>
      </c>
      <c r="D11" s="7">
        <v>43625</v>
      </c>
      <c r="E11" s="11"/>
      <c r="H11" s="6"/>
      <c r="I11" s="8" t="s">
        <v>3249</v>
      </c>
      <c r="J11" t="s">
        <v>3250</v>
      </c>
      <c r="K11" s="6">
        <v>23</v>
      </c>
      <c r="L11" s="9" t="s">
        <v>81</v>
      </c>
      <c r="M11" s="9"/>
      <c r="N11" s="10" t="s">
        <v>3251</v>
      </c>
      <c r="Q11" t="s">
        <v>1903</v>
      </c>
      <c r="R11" t="s">
        <v>237</v>
      </c>
      <c r="S11" t="s">
        <v>1009</v>
      </c>
      <c r="T11" s="6">
        <v>6</v>
      </c>
      <c r="U11" s="6"/>
      <c r="V11" s="6">
        <v>9840568075</v>
      </c>
      <c r="X11" s="7">
        <v>43379</v>
      </c>
      <c r="Z11" t="s">
        <v>1064</v>
      </c>
    </row>
    <row r="12" spans="1:28">
      <c r="A12" s="6" t="s">
        <v>3252</v>
      </c>
      <c r="B12" t="s">
        <v>3199</v>
      </c>
      <c r="D12" s="7">
        <v>43625</v>
      </c>
      <c r="E12" s="11"/>
      <c r="H12" s="6"/>
      <c r="I12" s="8" t="s">
        <v>3253</v>
      </c>
      <c r="J12" t="s">
        <v>3254</v>
      </c>
      <c r="K12" s="6">
        <v>20</v>
      </c>
      <c r="L12" s="9" t="s">
        <v>81</v>
      </c>
      <c r="M12" s="9"/>
      <c r="N12" s="10" t="s">
        <v>3255</v>
      </c>
      <c r="Q12" t="s">
        <v>1903</v>
      </c>
      <c r="R12" t="s">
        <v>237</v>
      </c>
      <c r="S12" t="s">
        <v>1009</v>
      </c>
      <c r="T12" s="6">
        <v>6</v>
      </c>
      <c r="U12" s="10" t="s">
        <v>3256</v>
      </c>
      <c r="V12" s="6"/>
      <c r="X12" s="7">
        <v>43424</v>
      </c>
      <c r="Z12" t="s">
        <v>1064</v>
      </c>
    </row>
    <row r="13" spans="1:28">
      <c r="A13" s="6" t="s">
        <v>3257</v>
      </c>
      <c r="B13" t="s">
        <v>3199</v>
      </c>
      <c r="D13" s="7">
        <v>43625</v>
      </c>
      <c r="E13" s="11"/>
      <c r="H13" s="6">
        <v>17082</v>
      </c>
      <c r="I13" s="8" t="s">
        <v>3258</v>
      </c>
      <c r="J13" t="s">
        <v>3259</v>
      </c>
      <c r="K13" s="6">
        <v>25</v>
      </c>
      <c r="L13" s="9" t="s">
        <v>81</v>
      </c>
      <c r="M13" s="9"/>
      <c r="N13" s="10" t="s">
        <v>3260</v>
      </c>
      <c r="Q13" t="s">
        <v>1903</v>
      </c>
      <c r="R13" t="s">
        <v>237</v>
      </c>
      <c r="S13" t="s">
        <v>1009</v>
      </c>
      <c r="T13" s="6">
        <v>6</v>
      </c>
      <c r="U13" s="10" t="s">
        <v>3256</v>
      </c>
      <c r="V13" s="6"/>
      <c r="X13" s="7">
        <v>43388</v>
      </c>
      <c r="Z13" t="s">
        <v>1064</v>
      </c>
    </row>
    <row r="14" spans="1:28">
      <c r="A14" s="6" t="s">
        <v>3261</v>
      </c>
      <c r="B14" t="s">
        <v>3199</v>
      </c>
      <c r="D14" s="7">
        <v>43625</v>
      </c>
      <c r="E14" s="11"/>
      <c r="H14" s="6">
        <v>17114</v>
      </c>
      <c r="I14" s="8" t="s">
        <v>3262</v>
      </c>
      <c r="J14" t="s">
        <v>3233</v>
      </c>
      <c r="K14" s="6">
        <v>20</v>
      </c>
      <c r="L14" s="9" t="s">
        <v>81</v>
      </c>
      <c r="M14" s="9"/>
      <c r="N14" s="10" t="s">
        <v>3263</v>
      </c>
      <c r="Q14" t="s">
        <v>1903</v>
      </c>
      <c r="R14" t="s">
        <v>237</v>
      </c>
      <c r="S14" t="s">
        <v>1009</v>
      </c>
      <c r="T14" s="6">
        <v>6</v>
      </c>
      <c r="U14" s="10" t="s">
        <v>3264</v>
      </c>
      <c r="V14" s="6"/>
      <c r="X14" s="7">
        <v>43395</v>
      </c>
      <c r="Z14" t="s">
        <v>1064</v>
      </c>
    </row>
    <row r="15" spans="1:28">
      <c r="A15" s="6" t="s">
        <v>3265</v>
      </c>
      <c r="B15" t="s">
        <v>3199</v>
      </c>
      <c r="D15" s="7">
        <v>43625</v>
      </c>
      <c r="E15" s="11"/>
      <c r="H15" s="6"/>
      <c r="I15" s="8" t="s">
        <v>3266</v>
      </c>
      <c r="J15" t="s">
        <v>3267</v>
      </c>
      <c r="K15" s="6">
        <v>31</v>
      </c>
      <c r="L15" s="9" t="s">
        <v>81</v>
      </c>
      <c r="M15" s="9"/>
      <c r="N15" s="6"/>
      <c r="Q15" t="s">
        <v>1903</v>
      </c>
      <c r="R15" t="s">
        <v>237</v>
      </c>
      <c r="S15" t="s">
        <v>1009</v>
      </c>
      <c r="T15" s="6">
        <v>6</v>
      </c>
      <c r="U15" s="6"/>
      <c r="V15" s="6"/>
      <c r="X15" s="7">
        <v>43395</v>
      </c>
      <c r="Z15" t="s">
        <v>1064</v>
      </c>
    </row>
    <row r="16" spans="1:28">
      <c r="A16" s="6" t="s">
        <v>3268</v>
      </c>
      <c r="B16" t="s">
        <v>3199</v>
      </c>
      <c r="D16" s="7">
        <v>43625</v>
      </c>
      <c r="E16" s="11"/>
      <c r="H16" s="6"/>
      <c r="I16" s="8" t="s">
        <v>3269</v>
      </c>
      <c r="J16" t="s">
        <v>3267</v>
      </c>
      <c r="K16" s="6">
        <v>30</v>
      </c>
      <c r="L16" s="9" t="s">
        <v>81</v>
      </c>
      <c r="M16" s="9"/>
      <c r="N16" s="10" t="s">
        <v>3270</v>
      </c>
      <c r="Q16" t="s">
        <v>1903</v>
      </c>
      <c r="R16" t="s">
        <v>237</v>
      </c>
      <c r="S16" t="s">
        <v>1009</v>
      </c>
      <c r="T16" s="6">
        <v>6</v>
      </c>
      <c r="U16" s="6"/>
      <c r="V16" s="6"/>
      <c r="X16" s="7">
        <v>43395</v>
      </c>
      <c r="Z16" t="s">
        <v>1064</v>
      </c>
    </row>
    <row r="17" spans="1:26">
      <c r="A17" s="6" t="s">
        <v>3271</v>
      </c>
      <c r="B17" t="s">
        <v>3199</v>
      </c>
      <c r="D17" s="7">
        <v>43625</v>
      </c>
      <c r="E17" s="11"/>
      <c r="H17" s="6"/>
      <c r="I17" s="8" t="s">
        <v>3272</v>
      </c>
      <c r="J17" t="s">
        <v>3267</v>
      </c>
      <c r="K17" s="6">
        <v>27</v>
      </c>
      <c r="L17" s="9" t="s">
        <v>81</v>
      </c>
      <c r="M17" s="9"/>
      <c r="N17" s="10" t="s">
        <v>3273</v>
      </c>
      <c r="Q17" t="s">
        <v>1903</v>
      </c>
      <c r="R17" t="s">
        <v>237</v>
      </c>
      <c r="S17" t="s">
        <v>1009</v>
      </c>
      <c r="T17" s="6">
        <v>6</v>
      </c>
      <c r="U17" s="6"/>
      <c r="V17" s="6"/>
      <c r="X17" s="7">
        <v>43353</v>
      </c>
      <c r="Z17" t="s">
        <v>1064</v>
      </c>
    </row>
    <row r="18" spans="1:26">
      <c r="A18" s="6" t="s">
        <v>3274</v>
      </c>
      <c r="B18" t="s">
        <v>3199</v>
      </c>
      <c r="D18" s="7">
        <v>43625</v>
      </c>
      <c r="E18" s="11"/>
      <c r="H18" s="6"/>
      <c r="I18" s="8" t="s">
        <v>3275</v>
      </c>
      <c r="J18" t="s">
        <v>3276</v>
      </c>
      <c r="K18" s="6">
        <v>19</v>
      </c>
      <c r="L18" s="9" t="s">
        <v>1867</v>
      </c>
      <c r="M18" s="9"/>
      <c r="N18" s="10" t="s">
        <v>3277</v>
      </c>
      <c r="Q18" t="s">
        <v>1903</v>
      </c>
      <c r="R18" t="s">
        <v>237</v>
      </c>
      <c r="S18" t="s">
        <v>1009</v>
      </c>
      <c r="T18" s="6">
        <v>6</v>
      </c>
      <c r="U18" s="6"/>
      <c r="V18" s="6"/>
      <c r="X18" s="7">
        <v>43427</v>
      </c>
      <c r="Z18" t="s">
        <v>1064</v>
      </c>
    </row>
    <row r="19" spans="1:26">
      <c r="A19" s="6" t="s">
        <v>3278</v>
      </c>
      <c r="B19" t="s">
        <v>3199</v>
      </c>
      <c r="D19" s="7">
        <v>43625</v>
      </c>
      <c r="E19" s="11"/>
      <c r="H19" s="6"/>
      <c r="I19" s="8" t="s">
        <v>3279</v>
      </c>
      <c r="J19" t="s">
        <v>3280</v>
      </c>
      <c r="K19" s="6">
        <v>24</v>
      </c>
      <c r="L19" s="9" t="s">
        <v>81</v>
      </c>
      <c r="M19" s="9"/>
      <c r="N19" s="10" t="s">
        <v>3281</v>
      </c>
      <c r="Q19" t="s">
        <v>1903</v>
      </c>
      <c r="R19" t="s">
        <v>237</v>
      </c>
      <c r="S19" t="s">
        <v>1009</v>
      </c>
      <c r="T19" s="6">
        <v>6</v>
      </c>
      <c r="U19" s="6"/>
      <c r="V19" s="6"/>
      <c r="X19" s="7">
        <v>43418</v>
      </c>
      <c r="Z19" t="s">
        <v>1064</v>
      </c>
    </row>
    <row r="20" spans="1:26">
      <c r="A20" s="6" t="s">
        <v>3282</v>
      </c>
      <c r="B20" t="s">
        <v>3199</v>
      </c>
      <c r="D20" s="7">
        <v>43625</v>
      </c>
      <c r="E20" s="11"/>
      <c r="H20" s="6"/>
      <c r="I20" s="8" t="s">
        <v>3232</v>
      </c>
      <c r="J20" t="s">
        <v>3250</v>
      </c>
      <c r="K20" s="6">
        <v>20</v>
      </c>
      <c r="L20" s="9" t="s">
        <v>81</v>
      </c>
      <c r="M20" s="9"/>
      <c r="N20" s="10" t="s">
        <v>3283</v>
      </c>
      <c r="Q20" t="s">
        <v>1903</v>
      </c>
      <c r="R20" t="s">
        <v>237</v>
      </c>
      <c r="S20" t="s">
        <v>1009</v>
      </c>
      <c r="T20" s="6">
        <v>6</v>
      </c>
      <c r="U20" s="6"/>
      <c r="V20" s="6"/>
      <c r="X20" s="7">
        <v>42986</v>
      </c>
      <c r="Z20" t="s">
        <v>1064</v>
      </c>
    </row>
    <row r="21" spans="1:26">
      <c r="A21" s="6" t="s">
        <v>3284</v>
      </c>
      <c r="B21" t="s">
        <v>3199</v>
      </c>
      <c r="D21" s="7">
        <v>43625</v>
      </c>
      <c r="E21" s="11"/>
      <c r="H21" s="6"/>
      <c r="I21" s="8" t="s">
        <v>3241</v>
      </c>
      <c r="J21" t="s">
        <v>3267</v>
      </c>
      <c r="K21" s="6">
        <v>20</v>
      </c>
      <c r="L21" s="9" t="s">
        <v>81</v>
      </c>
      <c r="M21" s="9"/>
      <c r="N21" s="10" t="s">
        <v>3285</v>
      </c>
      <c r="Q21" t="s">
        <v>1903</v>
      </c>
      <c r="R21" t="s">
        <v>237</v>
      </c>
      <c r="S21" t="s">
        <v>1009</v>
      </c>
      <c r="T21" s="6">
        <v>6</v>
      </c>
      <c r="U21" s="6"/>
      <c r="V21" s="6"/>
      <c r="X21" s="7">
        <v>43408</v>
      </c>
      <c r="Z21" t="s">
        <v>1064</v>
      </c>
    </row>
    <row r="22" spans="1:26">
      <c r="A22" s="6" t="s">
        <v>3286</v>
      </c>
      <c r="B22" t="s">
        <v>3199</v>
      </c>
      <c r="D22" s="7">
        <v>43625</v>
      </c>
      <c r="E22" s="11"/>
      <c r="H22" s="6"/>
      <c r="I22" s="8" t="s">
        <v>3287</v>
      </c>
      <c r="J22" t="s">
        <v>3288</v>
      </c>
      <c r="K22" s="6">
        <v>30</v>
      </c>
      <c r="L22" s="9" t="s">
        <v>81</v>
      </c>
      <c r="M22" s="9"/>
      <c r="N22" s="10" t="s">
        <v>3289</v>
      </c>
      <c r="Q22" t="s">
        <v>1903</v>
      </c>
      <c r="R22" t="s">
        <v>237</v>
      </c>
      <c r="S22" t="s">
        <v>1009</v>
      </c>
      <c r="T22" s="6">
        <v>6</v>
      </c>
      <c r="U22" s="6"/>
      <c r="V22" s="6"/>
      <c r="X22" s="7">
        <v>43374</v>
      </c>
      <c r="Z22" t="s">
        <v>1064</v>
      </c>
    </row>
    <row r="23" spans="1:26">
      <c r="A23" s="6" t="s">
        <v>3290</v>
      </c>
      <c r="B23" t="s">
        <v>3199</v>
      </c>
      <c r="D23" s="7">
        <v>43625</v>
      </c>
      <c r="E23" s="11"/>
      <c r="H23" s="6"/>
      <c r="I23" s="8" t="s">
        <v>3291</v>
      </c>
      <c r="J23" t="s">
        <v>3238</v>
      </c>
      <c r="K23" s="6">
        <v>20</v>
      </c>
      <c r="L23" s="9" t="s">
        <v>81</v>
      </c>
      <c r="M23" s="9"/>
      <c r="N23" s="10" t="s">
        <v>3292</v>
      </c>
      <c r="Q23" t="s">
        <v>1903</v>
      </c>
      <c r="R23" t="s">
        <v>237</v>
      </c>
      <c r="S23" t="s">
        <v>1009</v>
      </c>
      <c r="T23" s="6">
        <v>6</v>
      </c>
      <c r="U23" s="6"/>
      <c r="V23" s="6"/>
      <c r="X23" s="7">
        <v>43424</v>
      </c>
      <c r="Z23" t="s">
        <v>1064</v>
      </c>
    </row>
    <row r="24" spans="1:26">
      <c r="A24" s="6" t="s">
        <v>3293</v>
      </c>
      <c r="B24" t="s">
        <v>3199</v>
      </c>
      <c r="D24" s="7">
        <v>43625</v>
      </c>
      <c r="E24" s="11"/>
      <c r="H24" s="6"/>
      <c r="I24" s="8" t="s">
        <v>3294</v>
      </c>
      <c r="J24" t="s">
        <v>3295</v>
      </c>
      <c r="K24" s="6">
        <v>20</v>
      </c>
      <c r="L24" s="9" t="s">
        <v>1867</v>
      </c>
      <c r="M24" s="9"/>
      <c r="N24" s="10" t="s">
        <v>3296</v>
      </c>
      <c r="Q24" t="s">
        <v>1903</v>
      </c>
      <c r="R24" t="s">
        <v>237</v>
      </c>
      <c r="S24" t="s">
        <v>1009</v>
      </c>
      <c r="T24" s="6">
        <v>6</v>
      </c>
      <c r="U24" s="6"/>
      <c r="V24" s="6"/>
      <c r="X24" s="7">
        <v>43448</v>
      </c>
      <c r="Z24" t="s">
        <v>1064</v>
      </c>
    </row>
    <row r="25" spans="1:26">
      <c r="A25" s="6" t="s">
        <v>3297</v>
      </c>
      <c r="B25" t="s">
        <v>3199</v>
      </c>
      <c r="D25" s="7">
        <v>43625</v>
      </c>
      <c r="E25" s="11"/>
      <c r="H25" s="6"/>
      <c r="I25" s="8" t="s">
        <v>3298</v>
      </c>
      <c r="J25" t="s">
        <v>3246</v>
      </c>
      <c r="K25" s="6">
        <v>25</v>
      </c>
      <c r="L25" s="9" t="s">
        <v>81</v>
      </c>
      <c r="M25" s="9"/>
      <c r="N25" s="10" t="s">
        <v>3299</v>
      </c>
      <c r="Q25" t="s">
        <v>1903</v>
      </c>
      <c r="R25" t="s">
        <v>237</v>
      </c>
      <c r="S25" t="s">
        <v>1009</v>
      </c>
      <c r="T25" s="6">
        <v>6</v>
      </c>
      <c r="U25" s="6"/>
      <c r="V25" s="6"/>
      <c r="X25" s="7">
        <v>43449</v>
      </c>
      <c r="Z25" t="s">
        <v>1064</v>
      </c>
    </row>
    <row r="26" spans="1:26">
      <c r="A26" s="6" t="s">
        <v>3300</v>
      </c>
      <c r="B26" t="s">
        <v>3199</v>
      </c>
      <c r="D26" s="7">
        <v>43653</v>
      </c>
      <c r="E26" s="11"/>
      <c r="H26" s="6">
        <v>29</v>
      </c>
      <c r="I26" s="8" t="s">
        <v>3301</v>
      </c>
      <c r="J26" t="s">
        <v>3302</v>
      </c>
      <c r="K26" s="6">
        <v>22</v>
      </c>
      <c r="L26" s="9" t="s">
        <v>81</v>
      </c>
      <c r="M26" s="9"/>
      <c r="N26" s="10" t="s">
        <v>3303</v>
      </c>
      <c r="Q26" t="s">
        <v>1903</v>
      </c>
      <c r="R26" t="s">
        <v>237</v>
      </c>
      <c r="S26" t="s">
        <v>1009</v>
      </c>
      <c r="T26" s="6">
        <v>3</v>
      </c>
      <c r="U26" s="10" t="s">
        <v>3304</v>
      </c>
      <c r="V26" s="6">
        <v>9865019742</v>
      </c>
      <c r="X26" s="7">
        <v>43613</v>
      </c>
      <c r="Z26" t="s">
        <v>1064</v>
      </c>
    </row>
    <row r="27" spans="1:26">
      <c r="A27" s="6" t="s">
        <v>3305</v>
      </c>
      <c r="B27" t="s">
        <v>3199</v>
      </c>
      <c r="D27" s="7">
        <v>43661</v>
      </c>
      <c r="E27" s="11"/>
      <c r="H27" s="6">
        <v>27</v>
      </c>
      <c r="I27" s="8" t="s">
        <v>3306</v>
      </c>
      <c r="J27" t="s">
        <v>3307</v>
      </c>
      <c r="K27" s="6">
        <v>22</v>
      </c>
      <c r="L27" s="9" t="s">
        <v>1360</v>
      </c>
      <c r="M27" s="9" t="s">
        <v>1120</v>
      </c>
      <c r="N27" s="10" t="s">
        <v>3308</v>
      </c>
      <c r="Q27" t="s">
        <v>1903</v>
      </c>
      <c r="R27" t="s">
        <v>237</v>
      </c>
      <c r="S27" t="s">
        <v>1009</v>
      </c>
      <c r="T27" s="6">
        <v>3</v>
      </c>
      <c r="U27" s="10" t="s">
        <v>3309</v>
      </c>
      <c r="V27" s="6">
        <v>9869002486</v>
      </c>
      <c r="X27" s="7">
        <v>43582</v>
      </c>
      <c r="Z27" t="s">
        <v>1064</v>
      </c>
    </row>
    <row r="28" spans="1:26">
      <c r="A28" s="6" t="s">
        <v>3310</v>
      </c>
      <c r="B28" t="s">
        <v>3199</v>
      </c>
      <c r="D28" s="7">
        <v>43625</v>
      </c>
      <c r="E28" s="11"/>
      <c r="H28" s="6"/>
      <c r="I28" s="8" t="s">
        <v>3311</v>
      </c>
      <c r="J28" t="s">
        <v>3312</v>
      </c>
      <c r="K28" s="6">
        <v>18</v>
      </c>
      <c r="L28" s="9" t="s">
        <v>81</v>
      </c>
      <c r="M28" s="9"/>
      <c r="N28" s="10" t="s">
        <v>3313</v>
      </c>
      <c r="Q28" t="s">
        <v>1903</v>
      </c>
      <c r="R28" t="s">
        <v>237</v>
      </c>
      <c r="S28" t="s">
        <v>1009</v>
      </c>
      <c r="T28" s="6">
        <v>6</v>
      </c>
      <c r="U28" s="6"/>
      <c r="V28" s="6"/>
      <c r="X28" s="7">
        <v>43423</v>
      </c>
      <c r="Z28" t="s">
        <v>1064</v>
      </c>
    </row>
    <row r="29" spans="1:26">
      <c r="A29" s="6" t="s">
        <v>3314</v>
      </c>
      <c r="B29" t="s">
        <v>3199</v>
      </c>
      <c r="D29" s="7">
        <v>43625</v>
      </c>
      <c r="E29" s="11"/>
      <c r="H29" s="6"/>
      <c r="I29" s="8" t="s">
        <v>3315</v>
      </c>
      <c r="J29" t="s">
        <v>3316</v>
      </c>
      <c r="K29" s="6">
        <v>18</v>
      </c>
      <c r="L29" s="9" t="s">
        <v>81</v>
      </c>
      <c r="M29" s="9"/>
      <c r="N29" s="10" t="s">
        <v>3317</v>
      </c>
      <c r="Q29" t="s">
        <v>1903</v>
      </c>
      <c r="R29" t="s">
        <v>237</v>
      </c>
      <c r="S29" t="s">
        <v>1009</v>
      </c>
      <c r="T29" s="6">
        <v>6</v>
      </c>
      <c r="U29" s="6"/>
      <c r="V29" s="6"/>
      <c r="X29" s="7">
        <v>43428</v>
      </c>
      <c r="Z29" t="s">
        <v>1064</v>
      </c>
    </row>
    <row r="30" spans="1:26">
      <c r="A30" s="6" t="s">
        <v>3318</v>
      </c>
      <c r="B30" t="s">
        <v>3199</v>
      </c>
      <c r="D30" s="7">
        <v>43625</v>
      </c>
      <c r="E30" s="11"/>
      <c r="H30" s="6"/>
      <c r="I30" s="8" t="s">
        <v>3319</v>
      </c>
      <c r="J30" t="s">
        <v>3242</v>
      </c>
      <c r="K30" s="6">
        <v>18</v>
      </c>
      <c r="L30" s="9" t="s">
        <v>81</v>
      </c>
      <c r="M30" s="9"/>
      <c r="N30" s="10" t="s">
        <v>3320</v>
      </c>
      <c r="Q30" t="s">
        <v>1903</v>
      </c>
      <c r="R30" t="s">
        <v>237</v>
      </c>
      <c r="S30" t="s">
        <v>1009</v>
      </c>
      <c r="T30" s="6">
        <v>6</v>
      </c>
      <c r="U30" s="6"/>
      <c r="V30" s="6"/>
      <c r="X30" s="7">
        <v>43457</v>
      </c>
      <c r="Z30" t="s">
        <v>1064</v>
      </c>
    </row>
    <row r="31" spans="1:26">
      <c r="A31" s="6" t="s">
        <v>3321</v>
      </c>
      <c r="B31" t="s">
        <v>3199</v>
      </c>
      <c r="D31" s="7">
        <v>43625</v>
      </c>
      <c r="E31" s="11"/>
      <c r="H31" s="6"/>
      <c r="I31" s="8" t="s">
        <v>3322</v>
      </c>
      <c r="J31" t="s">
        <v>3250</v>
      </c>
      <c r="K31" s="6">
        <v>20</v>
      </c>
      <c r="L31" s="9" t="s">
        <v>1867</v>
      </c>
      <c r="M31" s="9"/>
      <c r="N31" s="10" t="s">
        <v>3323</v>
      </c>
      <c r="Q31" t="s">
        <v>1903</v>
      </c>
      <c r="R31" t="s">
        <v>237</v>
      </c>
      <c r="S31" t="s">
        <v>1009</v>
      </c>
      <c r="T31" s="6">
        <v>6</v>
      </c>
      <c r="U31" s="6"/>
      <c r="V31" s="6"/>
      <c r="X31" s="7">
        <v>43371</v>
      </c>
      <c r="Z31" t="s">
        <v>1064</v>
      </c>
    </row>
    <row r="32" spans="1:26">
      <c r="A32" s="6" t="s">
        <v>3324</v>
      </c>
      <c r="B32" t="s">
        <v>3199</v>
      </c>
      <c r="D32" s="7">
        <v>43625</v>
      </c>
      <c r="E32" s="11"/>
      <c r="H32" s="6"/>
      <c r="I32" s="8" t="s">
        <v>3325</v>
      </c>
      <c r="J32" t="s">
        <v>3326</v>
      </c>
      <c r="K32" s="6">
        <v>21</v>
      </c>
      <c r="L32" s="9" t="s">
        <v>81</v>
      </c>
      <c r="M32" s="9"/>
      <c r="N32" s="10" t="s">
        <v>3327</v>
      </c>
      <c r="Q32" t="s">
        <v>1903</v>
      </c>
      <c r="R32" t="s">
        <v>237</v>
      </c>
      <c r="S32" t="s">
        <v>1009</v>
      </c>
      <c r="T32" s="6">
        <v>6</v>
      </c>
      <c r="U32" s="6"/>
      <c r="V32" s="6"/>
      <c r="X32" s="7">
        <v>43460</v>
      </c>
      <c r="Z32" t="s">
        <v>1064</v>
      </c>
    </row>
    <row r="33" spans="1:26">
      <c r="A33" s="6" t="s">
        <v>3328</v>
      </c>
      <c r="B33" t="s">
        <v>3199</v>
      </c>
      <c r="D33" s="7">
        <v>43665</v>
      </c>
      <c r="E33" s="11"/>
      <c r="H33" s="6">
        <v>89</v>
      </c>
      <c r="I33" s="8" t="s">
        <v>3279</v>
      </c>
      <c r="J33" t="s">
        <v>3280</v>
      </c>
      <c r="K33" s="6">
        <v>19</v>
      </c>
      <c r="L33" s="9" t="s">
        <v>81</v>
      </c>
      <c r="M33" s="9" t="s">
        <v>1120</v>
      </c>
      <c r="N33" s="10" t="s">
        <v>3329</v>
      </c>
      <c r="Q33" t="s">
        <v>1903</v>
      </c>
      <c r="R33" t="s">
        <v>237</v>
      </c>
      <c r="S33" t="s">
        <v>1009</v>
      </c>
      <c r="T33" s="6">
        <v>6</v>
      </c>
      <c r="U33" s="10" t="s">
        <v>3330</v>
      </c>
      <c r="V33" s="6">
        <v>9815774918</v>
      </c>
      <c r="X33" s="7">
        <v>43531</v>
      </c>
      <c r="Z33" t="s">
        <v>1064</v>
      </c>
    </row>
    <row r="34" spans="1:26">
      <c r="A34" s="6" t="s">
        <v>3331</v>
      </c>
      <c r="B34" t="s">
        <v>3199</v>
      </c>
      <c r="D34" s="7">
        <v>43665</v>
      </c>
      <c r="E34" s="11"/>
      <c r="H34" s="6"/>
      <c r="I34" s="8" t="s">
        <v>3332</v>
      </c>
      <c r="J34" t="s">
        <v>3333</v>
      </c>
      <c r="K34" s="6">
        <v>26</v>
      </c>
      <c r="L34" s="9" t="s">
        <v>81</v>
      </c>
      <c r="M34" s="9"/>
      <c r="N34" s="10" t="s">
        <v>3334</v>
      </c>
      <c r="Q34" t="s">
        <v>1903</v>
      </c>
      <c r="R34" t="s">
        <v>237</v>
      </c>
      <c r="S34" t="s">
        <v>1009</v>
      </c>
      <c r="T34" s="6">
        <v>8</v>
      </c>
      <c r="U34" s="6"/>
      <c r="V34" s="6"/>
      <c r="X34" s="7">
        <v>43567</v>
      </c>
      <c r="Z34" t="s">
        <v>1064</v>
      </c>
    </row>
    <row r="35" spans="1:26">
      <c r="A35" s="6" t="s">
        <v>3335</v>
      </c>
      <c r="B35" t="s">
        <v>3199</v>
      </c>
      <c r="D35" s="7">
        <v>43665</v>
      </c>
      <c r="E35" s="11"/>
      <c r="H35" s="6"/>
      <c r="I35" s="8" t="s">
        <v>3311</v>
      </c>
      <c r="J35" t="s">
        <v>3336</v>
      </c>
      <c r="K35" s="6">
        <v>24</v>
      </c>
      <c r="L35" s="9" t="s">
        <v>1360</v>
      </c>
      <c r="M35" s="9"/>
      <c r="N35" s="10" t="s">
        <v>3337</v>
      </c>
      <c r="Q35" t="s">
        <v>1903</v>
      </c>
      <c r="R35" t="s">
        <v>237</v>
      </c>
      <c r="S35" t="s">
        <v>1009</v>
      </c>
      <c r="T35" s="6">
        <v>8</v>
      </c>
      <c r="U35" s="10" t="s">
        <v>3338</v>
      </c>
      <c r="V35" s="6"/>
      <c r="X35" s="7">
        <v>43535</v>
      </c>
      <c r="Z35" t="s">
        <v>1064</v>
      </c>
    </row>
    <row r="36" spans="1:26">
      <c r="A36" s="6" t="s">
        <v>3339</v>
      </c>
      <c r="B36" t="s">
        <v>3199</v>
      </c>
      <c r="D36" s="7">
        <v>43667</v>
      </c>
      <c r="E36" s="11"/>
      <c r="H36" s="6">
        <v>27</v>
      </c>
      <c r="I36" s="8" t="s">
        <v>3340</v>
      </c>
      <c r="J36" t="s">
        <v>3341</v>
      </c>
      <c r="K36" s="6">
        <v>32</v>
      </c>
      <c r="L36" s="9" t="s">
        <v>1867</v>
      </c>
      <c r="M36" s="9"/>
      <c r="N36" s="10" t="s">
        <v>3342</v>
      </c>
      <c r="Q36" t="s">
        <v>1903</v>
      </c>
      <c r="R36" t="s">
        <v>237</v>
      </c>
      <c r="S36" t="s">
        <v>1009</v>
      </c>
      <c r="T36" s="6">
        <v>2</v>
      </c>
      <c r="U36" s="10" t="s">
        <v>3343</v>
      </c>
      <c r="V36" s="6">
        <v>9804249745</v>
      </c>
      <c r="X36" s="7">
        <v>43587</v>
      </c>
      <c r="Z36" t="s">
        <v>1064</v>
      </c>
    </row>
    <row r="37" spans="1:26">
      <c r="A37" s="6" t="s">
        <v>3344</v>
      </c>
      <c r="B37" t="s">
        <v>3199</v>
      </c>
      <c r="D37" s="7">
        <v>43668</v>
      </c>
      <c r="E37" s="11"/>
      <c r="H37" s="6">
        <v>13471</v>
      </c>
      <c r="I37" s="8" t="s">
        <v>3345</v>
      </c>
      <c r="J37" t="s">
        <v>3238</v>
      </c>
      <c r="K37" s="6">
        <v>30</v>
      </c>
      <c r="L37" s="9" t="s">
        <v>81</v>
      </c>
      <c r="M37" s="9" t="s">
        <v>806</v>
      </c>
      <c r="N37" s="10" t="s">
        <v>3346</v>
      </c>
      <c r="Q37" t="s">
        <v>1903</v>
      </c>
      <c r="R37" t="s">
        <v>237</v>
      </c>
      <c r="S37" t="s">
        <v>1009</v>
      </c>
      <c r="T37" s="6">
        <v>7</v>
      </c>
      <c r="U37" s="10" t="s">
        <v>3347</v>
      </c>
      <c r="V37" s="6">
        <v>9815284022</v>
      </c>
      <c r="X37" s="7">
        <v>43398</v>
      </c>
      <c r="Z37" t="s">
        <v>1064</v>
      </c>
    </row>
    <row r="38" spans="1:26">
      <c r="A38" s="6" t="s">
        <v>3348</v>
      </c>
      <c r="B38" t="s">
        <v>3199</v>
      </c>
      <c r="D38" s="7">
        <v>43668</v>
      </c>
      <c r="E38" s="11"/>
      <c r="H38" s="6">
        <v>17691</v>
      </c>
      <c r="I38" s="8" t="s">
        <v>3349</v>
      </c>
      <c r="K38" s="6">
        <v>28</v>
      </c>
      <c r="L38" s="9" t="s">
        <v>1360</v>
      </c>
      <c r="M38" s="9"/>
      <c r="N38" s="10" t="s">
        <v>3350</v>
      </c>
      <c r="Q38" t="s">
        <v>1903</v>
      </c>
      <c r="R38" t="s">
        <v>237</v>
      </c>
      <c r="S38" t="s">
        <v>1009</v>
      </c>
      <c r="T38" s="6">
        <v>7</v>
      </c>
      <c r="U38" s="10" t="s">
        <v>3351</v>
      </c>
      <c r="V38" s="6">
        <v>9845637889</v>
      </c>
      <c r="X38" s="7">
        <v>43402</v>
      </c>
      <c r="Z38" t="s">
        <v>1064</v>
      </c>
    </row>
    <row r="39" spans="1:26">
      <c r="A39" s="6" t="s">
        <v>3352</v>
      </c>
      <c r="B39" t="s">
        <v>3199</v>
      </c>
      <c r="D39" s="7">
        <v>43668</v>
      </c>
      <c r="E39" s="11"/>
      <c r="H39" s="6">
        <v>402</v>
      </c>
      <c r="I39" s="8" t="s">
        <v>3266</v>
      </c>
      <c r="J39" t="s">
        <v>3336</v>
      </c>
      <c r="K39" s="6">
        <v>23</v>
      </c>
      <c r="L39" s="9" t="s">
        <v>1360</v>
      </c>
      <c r="M39" s="9"/>
      <c r="N39" s="10" t="s">
        <v>3353</v>
      </c>
      <c r="Q39" t="s">
        <v>1903</v>
      </c>
      <c r="R39" t="s">
        <v>237</v>
      </c>
      <c r="S39" t="s">
        <v>1009</v>
      </c>
      <c r="T39" s="6">
        <v>7</v>
      </c>
      <c r="U39" s="6"/>
      <c r="V39" s="6">
        <v>9818417374</v>
      </c>
      <c r="X39" s="7">
        <v>43545</v>
      </c>
      <c r="Z39" t="s">
        <v>1064</v>
      </c>
    </row>
    <row r="40" spans="1:26">
      <c r="A40" s="6" t="s">
        <v>3354</v>
      </c>
      <c r="B40" t="s">
        <v>3199</v>
      </c>
      <c r="D40" s="7">
        <v>43668</v>
      </c>
      <c r="E40" s="11"/>
      <c r="H40" s="6">
        <v>26717</v>
      </c>
      <c r="I40" s="8" t="s">
        <v>3355</v>
      </c>
      <c r="J40" t="s">
        <v>3356</v>
      </c>
      <c r="K40" s="6">
        <v>22</v>
      </c>
      <c r="L40" s="9" t="s">
        <v>1360</v>
      </c>
      <c r="M40" s="9"/>
      <c r="N40" s="10" t="s">
        <v>3357</v>
      </c>
      <c r="Q40" t="s">
        <v>1903</v>
      </c>
      <c r="R40" t="s">
        <v>237</v>
      </c>
      <c r="S40" t="s">
        <v>1009</v>
      </c>
      <c r="T40" s="6">
        <v>7</v>
      </c>
      <c r="U40" s="10" t="s">
        <v>3358</v>
      </c>
      <c r="V40" s="6">
        <v>9811846423</v>
      </c>
      <c r="X40" s="7">
        <v>43519</v>
      </c>
      <c r="Z40" t="s">
        <v>1064</v>
      </c>
    </row>
    <row r="41" spans="1:26">
      <c r="A41" s="6" t="s">
        <v>3359</v>
      </c>
      <c r="B41" t="s">
        <v>3199</v>
      </c>
      <c r="D41" s="7">
        <v>43668</v>
      </c>
      <c r="E41" s="11"/>
      <c r="H41" s="6">
        <v>27460</v>
      </c>
      <c r="I41" s="8" t="s">
        <v>3360</v>
      </c>
      <c r="J41" t="s">
        <v>3361</v>
      </c>
      <c r="K41" s="6">
        <v>20</v>
      </c>
      <c r="L41" s="9" t="s">
        <v>81</v>
      </c>
      <c r="M41" s="9"/>
      <c r="N41" s="10" t="s">
        <v>3362</v>
      </c>
      <c r="Q41" t="s">
        <v>1903</v>
      </c>
      <c r="R41" t="s">
        <v>237</v>
      </c>
      <c r="S41" t="s">
        <v>1009</v>
      </c>
      <c r="T41" s="6">
        <v>6</v>
      </c>
      <c r="U41" s="10" t="s">
        <v>3363</v>
      </c>
      <c r="V41" s="6">
        <v>9815206085</v>
      </c>
      <c r="X41" s="7">
        <v>43575</v>
      </c>
      <c r="Z41" t="s">
        <v>1064</v>
      </c>
    </row>
    <row r="42" spans="1:26">
      <c r="A42" s="6" t="s">
        <v>3364</v>
      </c>
      <c r="B42" t="s">
        <v>3199</v>
      </c>
      <c r="D42" s="7">
        <v>43668</v>
      </c>
      <c r="E42" s="11"/>
      <c r="H42" s="6">
        <v>16126</v>
      </c>
      <c r="I42" s="8" t="s">
        <v>3365</v>
      </c>
      <c r="K42" s="6">
        <v>25</v>
      </c>
      <c r="L42" s="9" t="s">
        <v>1867</v>
      </c>
      <c r="M42" s="9"/>
      <c r="N42" s="10" t="s">
        <v>3366</v>
      </c>
      <c r="Q42" t="s">
        <v>1903</v>
      </c>
      <c r="R42" t="s">
        <v>237</v>
      </c>
      <c r="S42" t="s">
        <v>1009</v>
      </c>
      <c r="T42" s="6">
        <v>9</v>
      </c>
      <c r="U42" s="6"/>
      <c r="V42" s="6">
        <v>9809298893</v>
      </c>
      <c r="X42" s="7">
        <v>43403</v>
      </c>
      <c r="Z42" t="s">
        <v>1064</v>
      </c>
    </row>
    <row r="43" spans="1:26">
      <c r="A43" s="6" t="s">
        <v>3367</v>
      </c>
      <c r="B43" t="s">
        <v>3199</v>
      </c>
      <c r="D43" s="7">
        <v>43668</v>
      </c>
      <c r="E43" s="11"/>
      <c r="H43" s="6">
        <v>432</v>
      </c>
      <c r="I43" s="8" t="s">
        <v>3368</v>
      </c>
      <c r="J43" t="s">
        <v>3369</v>
      </c>
      <c r="K43" s="6">
        <v>31</v>
      </c>
      <c r="L43" s="9" t="s">
        <v>81</v>
      </c>
      <c r="M43" s="9"/>
      <c r="N43" s="10" t="s">
        <v>3370</v>
      </c>
      <c r="Q43" t="s">
        <v>1903</v>
      </c>
      <c r="R43" t="s">
        <v>237</v>
      </c>
      <c r="S43" t="s">
        <v>1009</v>
      </c>
      <c r="T43" s="6">
        <v>6</v>
      </c>
      <c r="U43" s="6"/>
      <c r="V43" s="6">
        <v>9811226607</v>
      </c>
      <c r="X43" s="7">
        <v>43583</v>
      </c>
      <c r="Z43" t="s">
        <v>1064</v>
      </c>
    </row>
    <row r="44" spans="1:26">
      <c r="A44" s="6" t="s">
        <v>3371</v>
      </c>
      <c r="B44" t="s">
        <v>3199</v>
      </c>
      <c r="D44" s="7">
        <v>43668</v>
      </c>
      <c r="E44" s="11"/>
      <c r="H44" s="6">
        <v>18319</v>
      </c>
      <c r="I44" s="8" t="s">
        <v>3372</v>
      </c>
      <c r="J44" t="s">
        <v>3373</v>
      </c>
      <c r="K44" s="6">
        <v>19</v>
      </c>
      <c r="L44" s="9" t="s">
        <v>1360</v>
      </c>
      <c r="M44" s="9" t="s">
        <v>806</v>
      </c>
      <c r="N44" s="10" t="s">
        <v>3374</v>
      </c>
      <c r="Q44" t="s">
        <v>1903</v>
      </c>
      <c r="R44" t="s">
        <v>237</v>
      </c>
      <c r="S44" t="s">
        <v>1009</v>
      </c>
      <c r="T44" s="6">
        <v>8</v>
      </c>
      <c r="U44" s="10" t="s">
        <v>3375</v>
      </c>
      <c r="V44" s="6">
        <v>9866370031</v>
      </c>
      <c r="X44" s="7">
        <v>43428</v>
      </c>
      <c r="Z44" t="s">
        <v>1064</v>
      </c>
    </row>
    <row r="45" spans="1:26">
      <c r="A45" s="6" t="s">
        <v>3376</v>
      </c>
      <c r="B45" t="s">
        <v>3199</v>
      </c>
      <c r="D45" s="7">
        <v>43668</v>
      </c>
      <c r="E45" s="11"/>
      <c r="H45" s="6">
        <v>442</v>
      </c>
      <c r="I45" s="8" t="s">
        <v>3377</v>
      </c>
      <c r="J45" t="s">
        <v>3312</v>
      </c>
      <c r="K45" s="6">
        <v>35</v>
      </c>
      <c r="L45" s="9" t="s">
        <v>81</v>
      </c>
      <c r="M45" s="9"/>
      <c r="N45" s="10" t="s">
        <v>3378</v>
      </c>
      <c r="Q45" t="s">
        <v>1903</v>
      </c>
      <c r="R45" t="s">
        <v>237</v>
      </c>
      <c r="S45" t="s">
        <v>1009</v>
      </c>
      <c r="T45" s="6">
        <v>6</v>
      </c>
      <c r="U45" s="6"/>
      <c r="V45" s="6">
        <v>9866373902</v>
      </c>
      <c r="X45" s="7">
        <v>43572</v>
      </c>
      <c r="Z45" t="s">
        <v>1064</v>
      </c>
    </row>
    <row r="46" spans="1:26">
      <c r="A46" s="6" t="s">
        <v>3379</v>
      </c>
      <c r="B46" t="s">
        <v>3199</v>
      </c>
      <c r="D46" s="7">
        <v>43668</v>
      </c>
      <c r="E46" s="11"/>
      <c r="H46" s="6">
        <v>17359</v>
      </c>
      <c r="I46" s="8" t="s">
        <v>3377</v>
      </c>
      <c r="J46" t="s">
        <v>3238</v>
      </c>
      <c r="K46" s="6">
        <v>22</v>
      </c>
      <c r="L46" s="9" t="s">
        <v>81</v>
      </c>
      <c r="M46" s="9" t="s">
        <v>329</v>
      </c>
      <c r="N46" s="10" t="s">
        <v>3380</v>
      </c>
      <c r="Q46" t="s">
        <v>1903</v>
      </c>
      <c r="R46" t="s">
        <v>237</v>
      </c>
      <c r="S46" t="s">
        <v>1009</v>
      </c>
      <c r="T46" s="6">
        <v>8</v>
      </c>
      <c r="U46" s="10" t="s">
        <v>3381</v>
      </c>
      <c r="V46" s="6">
        <v>9845729909</v>
      </c>
      <c r="X46" s="7">
        <v>43407</v>
      </c>
      <c r="Z46" t="s">
        <v>1064</v>
      </c>
    </row>
    <row r="47" spans="1:26">
      <c r="A47" s="6" t="s">
        <v>3382</v>
      </c>
      <c r="B47" t="s">
        <v>3199</v>
      </c>
      <c r="D47" s="7">
        <v>43668</v>
      </c>
      <c r="E47" s="11"/>
      <c r="H47" s="6">
        <v>22229</v>
      </c>
      <c r="I47" s="8" t="s">
        <v>3298</v>
      </c>
      <c r="J47" t="s">
        <v>3383</v>
      </c>
      <c r="K47" s="6">
        <v>20</v>
      </c>
      <c r="L47" s="9" t="s">
        <v>81</v>
      </c>
      <c r="M47" s="9"/>
      <c r="N47" s="10" t="s">
        <v>3384</v>
      </c>
      <c r="Q47" t="s">
        <v>1903</v>
      </c>
      <c r="R47" t="s">
        <v>237</v>
      </c>
      <c r="S47" t="s">
        <v>1009</v>
      </c>
      <c r="T47" s="6">
        <v>9</v>
      </c>
      <c r="U47" s="6"/>
      <c r="V47" s="6"/>
      <c r="X47" s="7">
        <v>43489</v>
      </c>
      <c r="Z47" t="s">
        <v>1064</v>
      </c>
    </row>
    <row r="48" spans="1:26">
      <c r="A48" s="6" t="s">
        <v>3385</v>
      </c>
      <c r="B48" t="s">
        <v>3199</v>
      </c>
      <c r="D48" s="7">
        <v>43668</v>
      </c>
      <c r="E48" s="11"/>
      <c r="H48" s="6">
        <v>22229</v>
      </c>
      <c r="I48" s="8" t="s">
        <v>3298</v>
      </c>
      <c r="J48" t="s">
        <v>3233</v>
      </c>
      <c r="K48" s="6">
        <v>20</v>
      </c>
      <c r="L48" s="9" t="s">
        <v>81</v>
      </c>
      <c r="M48" s="9"/>
      <c r="N48" s="10" t="s">
        <v>3386</v>
      </c>
      <c r="Q48" t="s">
        <v>1903</v>
      </c>
      <c r="R48" t="s">
        <v>237</v>
      </c>
      <c r="S48" t="s">
        <v>1009</v>
      </c>
      <c r="T48" s="6">
        <v>9</v>
      </c>
      <c r="U48" s="6"/>
      <c r="V48" s="6">
        <v>9821237986</v>
      </c>
      <c r="X48" s="7">
        <v>43491</v>
      </c>
      <c r="Z48" t="s">
        <v>1064</v>
      </c>
    </row>
    <row r="49" spans="1:26">
      <c r="A49" s="6" t="s">
        <v>3387</v>
      </c>
      <c r="B49" t="s">
        <v>3199</v>
      </c>
      <c r="D49" s="7">
        <v>43668</v>
      </c>
      <c r="E49" s="11"/>
      <c r="H49" s="6">
        <v>28027</v>
      </c>
      <c r="I49" s="8" t="s">
        <v>3388</v>
      </c>
      <c r="J49" t="s">
        <v>3233</v>
      </c>
      <c r="K49" s="6">
        <v>25</v>
      </c>
      <c r="L49" s="9" t="s">
        <v>81</v>
      </c>
      <c r="M49" s="9"/>
      <c r="N49" s="10" t="s">
        <v>3389</v>
      </c>
      <c r="Q49" t="s">
        <v>1903</v>
      </c>
      <c r="R49" t="s">
        <v>237</v>
      </c>
      <c r="S49" t="s">
        <v>1009</v>
      </c>
      <c r="T49" s="6">
        <v>6</v>
      </c>
      <c r="U49" s="10" t="s">
        <v>3390</v>
      </c>
      <c r="V49" s="6"/>
      <c r="X49" s="7">
        <v>43573</v>
      </c>
      <c r="Z49" t="s">
        <v>1064</v>
      </c>
    </row>
    <row r="50" spans="1:26">
      <c r="A50" s="6" t="s">
        <v>3391</v>
      </c>
      <c r="B50" t="s">
        <v>3199</v>
      </c>
      <c r="D50" s="7">
        <v>43668</v>
      </c>
      <c r="E50" s="11"/>
      <c r="H50" s="6">
        <v>25549</v>
      </c>
      <c r="I50" s="8" t="s">
        <v>3392</v>
      </c>
      <c r="J50" t="s">
        <v>3233</v>
      </c>
      <c r="K50" s="6">
        <v>36</v>
      </c>
      <c r="L50" s="9" t="s">
        <v>81</v>
      </c>
      <c r="M50" s="9"/>
      <c r="N50" s="10" t="s">
        <v>3393</v>
      </c>
      <c r="Q50" t="s">
        <v>1903</v>
      </c>
      <c r="R50" t="s">
        <v>237</v>
      </c>
      <c r="S50" t="s">
        <v>1009</v>
      </c>
      <c r="T50" s="6">
        <v>6</v>
      </c>
      <c r="U50" s="6"/>
      <c r="V50" s="6"/>
      <c r="X50" s="7">
        <v>43526</v>
      </c>
      <c r="Z50" t="s">
        <v>1064</v>
      </c>
    </row>
    <row r="51" spans="1:26">
      <c r="A51" s="6" t="s">
        <v>3394</v>
      </c>
      <c r="B51" t="s">
        <v>3199</v>
      </c>
      <c r="D51" s="7">
        <v>43668</v>
      </c>
      <c r="E51" s="11"/>
      <c r="H51" s="6">
        <v>453</v>
      </c>
      <c r="I51" s="8" t="s">
        <v>3395</v>
      </c>
      <c r="J51" t="s">
        <v>3396</v>
      </c>
      <c r="K51" s="6">
        <v>18</v>
      </c>
      <c r="L51" s="9" t="s">
        <v>81</v>
      </c>
      <c r="M51" s="9"/>
      <c r="N51" s="10" t="s">
        <v>3397</v>
      </c>
      <c r="Q51" t="s">
        <v>1903</v>
      </c>
      <c r="R51" t="s">
        <v>237</v>
      </c>
      <c r="S51" t="s">
        <v>1009</v>
      </c>
      <c r="T51" s="6">
        <v>9</v>
      </c>
      <c r="U51" s="6"/>
      <c r="V51" s="6">
        <v>9811882045</v>
      </c>
      <c r="X51" s="7">
        <v>43537</v>
      </c>
      <c r="Z51" t="s">
        <v>1064</v>
      </c>
    </row>
    <row r="52" spans="1:26">
      <c r="A52" s="6" t="s">
        <v>3398</v>
      </c>
      <c r="B52" t="s">
        <v>3199</v>
      </c>
      <c r="D52" s="7">
        <v>43668</v>
      </c>
      <c r="E52" s="11"/>
      <c r="H52" s="6">
        <v>23046</v>
      </c>
      <c r="I52" s="8" t="s">
        <v>3399</v>
      </c>
      <c r="J52" t="s">
        <v>3400</v>
      </c>
      <c r="K52" s="6">
        <v>25</v>
      </c>
      <c r="L52" s="9" t="s">
        <v>1360</v>
      </c>
      <c r="M52" s="9"/>
      <c r="N52" s="10" t="s">
        <v>3401</v>
      </c>
      <c r="Q52" t="s">
        <v>1903</v>
      </c>
      <c r="R52" t="s">
        <v>237</v>
      </c>
      <c r="S52" t="s">
        <v>1009</v>
      </c>
      <c r="T52" s="6">
        <v>9</v>
      </c>
      <c r="U52" s="10" t="s">
        <v>3402</v>
      </c>
      <c r="V52" s="6">
        <v>9806848930</v>
      </c>
      <c r="X52" s="7">
        <v>43504</v>
      </c>
      <c r="Z52" t="s">
        <v>1064</v>
      </c>
    </row>
    <row r="53" spans="1:26">
      <c r="A53" s="6" t="s">
        <v>3403</v>
      </c>
      <c r="B53" t="s">
        <v>3199</v>
      </c>
      <c r="D53" s="7">
        <v>43668</v>
      </c>
      <c r="E53" s="11"/>
      <c r="H53" s="6">
        <v>496</v>
      </c>
      <c r="I53" s="8" t="s">
        <v>3349</v>
      </c>
      <c r="J53" t="s">
        <v>3233</v>
      </c>
      <c r="K53" s="6">
        <v>26</v>
      </c>
      <c r="L53" s="9" t="s">
        <v>81</v>
      </c>
      <c r="M53" s="9"/>
      <c r="N53" s="10" t="s">
        <v>3404</v>
      </c>
      <c r="Q53" t="s">
        <v>1903</v>
      </c>
      <c r="R53" t="s">
        <v>237</v>
      </c>
      <c r="S53" t="s">
        <v>1009</v>
      </c>
      <c r="T53" s="6">
        <v>9</v>
      </c>
      <c r="U53" s="10" t="s">
        <v>3405</v>
      </c>
      <c r="V53" s="6"/>
      <c r="X53" s="7">
        <v>43513</v>
      </c>
      <c r="Z53" t="s">
        <v>1064</v>
      </c>
    </row>
    <row r="54" spans="1:26">
      <c r="A54" s="6" t="s">
        <v>3406</v>
      </c>
      <c r="B54" t="s">
        <v>3199</v>
      </c>
      <c r="D54" s="7">
        <v>43668</v>
      </c>
      <c r="E54" s="11"/>
      <c r="H54" s="6">
        <v>20242</v>
      </c>
      <c r="I54" s="8" t="s">
        <v>3407</v>
      </c>
      <c r="J54" t="s">
        <v>3408</v>
      </c>
      <c r="K54" s="6">
        <v>24</v>
      </c>
      <c r="L54" s="9" t="s">
        <v>1867</v>
      </c>
      <c r="M54" s="9"/>
      <c r="N54" s="10" t="s">
        <v>3409</v>
      </c>
      <c r="Q54" t="s">
        <v>1903</v>
      </c>
      <c r="R54" t="s">
        <v>237</v>
      </c>
      <c r="S54" t="s">
        <v>1009</v>
      </c>
      <c r="T54" s="6">
        <v>7</v>
      </c>
      <c r="U54" s="6"/>
      <c r="V54" s="6">
        <v>9814203375</v>
      </c>
      <c r="X54" s="7">
        <v>43438</v>
      </c>
      <c r="Z54" t="s">
        <v>1064</v>
      </c>
    </row>
    <row r="55" spans="1:26">
      <c r="A55" s="6" t="s">
        <v>3410</v>
      </c>
      <c r="B55" t="s">
        <v>3199</v>
      </c>
      <c r="D55" s="7">
        <v>43668</v>
      </c>
      <c r="E55" s="11"/>
      <c r="H55" s="6">
        <v>26118</v>
      </c>
      <c r="I55" s="8" t="s">
        <v>3411</v>
      </c>
      <c r="J55" t="s">
        <v>3412</v>
      </c>
      <c r="K55" s="6">
        <v>23</v>
      </c>
      <c r="L55" s="9" t="s">
        <v>1360</v>
      </c>
      <c r="M55" s="9" t="s">
        <v>329</v>
      </c>
      <c r="N55" s="10" t="s">
        <v>3413</v>
      </c>
      <c r="Q55" t="s">
        <v>1903</v>
      </c>
      <c r="R55" t="s">
        <v>237</v>
      </c>
      <c r="S55" t="s">
        <v>1009</v>
      </c>
      <c r="T55" s="6">
        <v>8</v>
      </c>
      <c r="U55" s="10" t="s">
        <v>3375</v>
      </c>
      <c r="V55" s="6">
        <v>9865041055</v>
      </c>
      <c r="X55" s="7">
        <v>43499</v>
      </c>
      <c r="Z55" t="s">
        <v>1064</v>
      </c>
    </row>
    <row r="56" spans="1:26">
      <c r="A56" s="6" t="s">
        <v>3414</v>
      </c>
      <c r="B56" t="s">
        <v>3199</v>
      </c>
      <c r="D56" s="7">
        <v>43668</v>
      </c>
      <c r="E56" s="11"/>
      <c r="H56" s="6">
        <v>19724</v>
      </c>
      <c r="I56" s="8" t="s">
        <v>3415</v>
      </c>
      <c r="J56" t="s">
        <v>3416</v>
      </c>
      <c r="K56" s="6">
        <v>25</v>
      </c>
      <c r="L56" s="9" t="s">
        <v>81</v>
      </c>
      <c r="M56" s="9" t="s">
        <v>329</v>
      </c>
      <c r="N56" s="10" t="s">
        <v>3417</v>
      </c>
      <c r="Q56" t="s">
        <v>1903</v>
      </c>
      <c r="R56" t="s">
        <v>237</v>
      </c>
      <c r="S56" t="s">
        <v>1009</v>
      </c>
      <c r="T56" s="6">
        <v>8</v>
      </c>
      <c r="U56" s="6"/>
      <c r="V56" s="6">
        <v>9809243167</v>
      </c>
      <c r="X56" s="7">
        <v>43439</v>
      </c>
      <c r="Z56" t="s">
        <v>1064</v>
      </c>
    </row>
    <row r="57" spans="1:26">
      <c r="A57" s="6" t="s">
        <v>3418</v>
      </c>
      <c r="B57" t="s">
        <v>3199</v>
      </c>
      <c r="D57" s="7">
        <v>43668</v>
      </c>
      <c r="E57" s="11"/>
      <c r="H57" s="6">
        <v>495</v>
      </c>
      <c r="I57" s="8" t="s">
        <v>3269</v>
      </c>
      <c r="J57" t="s">
        <v>3233</v>
      </c>
      <c r="K57" s="6">
        <v>19</v>
      </c>
      <c r="L57" s="9" t="s">
        <v>81</v>
      </c>
      <c r="M57" s="9" t="s">
        <v>1120</v>
      </c>
      <c r="N57" s="10" t="s">
        <v>3419</v>
      </c>
      <c r="Q57" t="s">
        <v>1903</v>
      </c>
      <c r="R57" t="s">
        <v>237</v>
      </c>
      <c r="S57" t="s">
        <v>1009</v>
      </c>
      <c r="T57" s="6">
        <v>6</v>
      </c>
      <c r="U57" s="6"/>
      <c r="V57" s="6">
        <v>9807198052</v>
      </c>
      <c r="X57" s="7">
        <v>43566</v>
      </c>
      <c r="Z57" t="s">
        <v>1064</v>
      </c>
    </row>
    <row r="58" spans="1:26">
      <c r="A58" s="6" t="s">
        <v>3420</v>
      </c>
      <c r="B58" t="s">
        <v>3199</v>
      </c>
      <c r="D58" s="7">
        <v>43668</v>
      </c>
      <c r="E58" s="11"/>
      <c r="H58" s="6">
        <v>16127</v>
      </c>
      <c r="I58" s="8" t="s">
        <v>3421</v>
      </c>
      <c r="J58" t="s">
        <v>3250</v>
      </c>
      <c r="K58" s="6">
        <v>23</v>
      </c>
      <c r="L58" s="9" t="s">
        <v>81</v>
      </c>
      <c r="M58" s="9" t="s">
        <v>329</v>
      </c>
      <c r="N58" s="10" t="s">
        <v>3422</v>
      </c>
      <c r="Q58" t="s">
        <v>1903</v>
      </c>
      <c r="R58" t="s">
        <v>237</v>
      </c>
      <c r="S58" t="s">
        <v>1009</v>
      </c>
      <c r="T58" s="6">
        <v>6</v>
      </c>
      <c r="U58" s="6"/>
      <c r="V58" s="6">
        <v>9811229353</v>
      </c>
      <c r="X58" s="7">
        <v>43413</v>
      </c>
      <c r="Z58" t="s">
        <v>1064</v>
      </c>
    </row>
    <row r="59" spans="1:26">
      <c r="A59" s="6" t="s">
        <v>3423</v>
      </c>
      <c r="B59" t="s">
        <v>3199</v>
      </c>
      <c r="D59" s="7">
        <v>43668</v>
      </c>
      <c r="E59" s="11"/>
      <c r="H59" s="6">
        <v>442</v>
      </c>
      <c r="I59" s="8" t="s">
        <v>3424</v>
      </c>
      <c r="J59" t="s">
        <v>3425</v>
      </c>
      <c r="K59" s="6">
        <v>21</v>
      </c>
      <c r="L59" s="9" t="s">
        <v>1360</v>
      </c>
      <c r="M59" s="9"/>
      <c r="N59" s="10" t="s">
        <v>3426</v>
      </c>
      <c r="Q59" t="s">
        <v>1903</v>
      </c>
      <c r="R59" t="s">
        <v>237</v>
      </c>
      <c r="S59" t="s">
        <v>1009</v>
      </c>
      <c r="T59" s="6">
        <v>7</v>
      </c>
      <c r="U59" s="6"/>
      <c r="V59" s="6">
        <v>9809293737</v>
      </c>
      <c r="X59" s="7">
        <v>43574</v>
      </c>
      <c r="Z59" t="s">
        <v>1064</v>
      </c>
    </row>
    <row r="60" spans="1:26">
      <c r="A60" s="6" t="s">
        <v>3427</v>
      </c>
      <c r="B60" t="s">
        <v>3199</v>
      </c>
      <c r="D60" s="7">
        <v>43668</v>
      </c>
      <c r="E60" s="11"/>
      <c r="H60" s="6">
        <v>24643</v>
      </c>
      <c r="I60" s="8" t="s">
        <v>3428</v>
      </c>
      <c r="J60" t="s">
        <v>3242</v>
      </c>
      <c r="K60" s="6">
        <v>30</v>
      </c>
      <c r="L60" s="9" t="s">
        <v>81</v>
      </c>
      <c r="M60" s="9" t="s">
        <v>942</v>
      </c>
      <c r="N60" s="10" t="s">
        <v>3429</v>
      </c>
      <c r="Q60" t="s">
        <v>1903</v>
      </c>
      <c r="R60" t="s">
        <v>237</v>
      </c>
      <c r="S60" t="s">
        <v>1009</v>
      </c>
      <c r="T60" s="6">
        <v>7</v>
      </c>
      <c r="U60" s="6"/>
      <c r="V60" s="6">
        <v>9845537757</v>
      </c>
      <c r="X60" s="7">
        <v>43510</v>
      </c>
      <c r="Z60" t="s">
        <v>1064</v>
      </c>
    </row>
    <row r="61" spans="1:26">
      <c r="A61" s="6" t="s">
        <v>3430</v>
      </c>
      <c r="B61" t="s">
        <v>3199</v>
      </c>
      <c r="D61" s="7">
        <v>43668</v>
      </c>
      <c r="E61" s="11"/>
      <c r="H61" s="6">
        <v>334</v>
      </c>
      <c r="I61" s="8" t="s">
        <v>3355</v>
      </c>
      <c r="J61" t="s">
        <v>3267</v>
      </c>
      <c r="K61" s="6">
        <v>26</v>
      </c>
      <c r="L61" s="9" t="s">
        <v>81</v>
      </c>
      <c r="M61" s="9" t="s">
        <v>329</v>
      </c>
      <c r="N61" s="10" t="s">
        <v>3431</v>
      </c>
      <c r="Q61" t="s">
        <v>1903</v>
      </c>
      <c r="R61" t="s">
        <v>237</v>
      </c>
      <c r="S61" t="s">
        <v>1009</v>
      </c>
      <c r="T61" s="6">
        <v>7</v>
      </c>
      <c r="U61" s="6"/>
      <c r="V61" s="6"/>
      <c r="X61" s="7">
        <v>43397</v>
      </c>
      <c r="Z61" t="s">
        <v>1064</v>
      </c>
    </row>
    <row r="62" spans="1:26">
      <c r="A62" s="6" t="s">
        <v>3432</v>
      </c>
      <c r="B62" t="s">
        <v>3199</v>
      </c>
      <c r="D62" s="7">
        <v>43668</v>
      </c>
      <c r="E62" s="11"/>
      <c r="H62" s="6">
        <v>16296</v>
      </c>
      <c r="I62" s="8" t="s">
        <v>3433</v>
      </c>
      <c r="J62" t="s">
        <v>3233</v>
      </c>
      <c r="K62" s="6">
        <v>25</v>
      </c>
      <c r="L62" s="9" t="s">
        <v>81</v>
      </c>
      <c r="M62" s="9"/>
      <c r="N62" s="10" t="s">
        <v>3434</v>
      </c>
      <c r="Q62" t="s">
        <v>1903</v>
      </c>
      <c r="R62" t="s">
        <v>237</v>
      </c>
      <c r="S62" t="s">
        <v>1009</v>
      </c>
      <c r="T62" s="6">
        <v>7</v>
      </c>
      <c r="U62" s="6"/>
      <c r="V62" s="6">
        <v>9865454172</v>
      </c>
      <c r="X62" s="7">
        <v>43406</v>
      </c>
      <c r="Z62" t="s">
        <v>1064</v>
      </c>
    </row>
    <row r="63" spans="1:26">
      <c r="A63" s="6" t="s">
        <v>3435</v>
      </c>
      <c r="B63" t="s">
        <v>3199</v>
      </c>
      <c r="D63" s="7">
        <v>43671</v>
      </c>
      <c r="E63" s="11"/>
      <c r="H63" s="6">
        <v>395</v>
      </c>
      <c r="I63" s="8" t="s">
        <v>3436</v>
      </c>
      <c r="J63" t="s">
        <v>3437</v>
      </c>
      <c r="K63" s="6">
        <v>22</v>
      </c>
      <c r="L63" s="12" t="s">
        <v>914</v>
      </c>
      <c r="M63" s="9"/>
      <c r="N63" s="10" t="s">
        <v>3438</v>
      </c>
      <c r="Q63" t="s">
        <v>1903</v>
      </c>
      <c r="R63" t="s">
        <v>237</v>
      </c>
      <c r="S63" t="s">
        <v>1009</v>
      </c>
      <c r="T63" s="6">
        <v>8</v>
      </c>
      <c r="U63" s="10" t="s">
        <v>3338</v>
      </c>
      <c r="V63" s="6">
        <v>9827150416</v>
      </c>
      <c r="X63" s="7">
        <v>43541</v>
      </c>
      <c r="Z63" t="s">
        <v>1064</v>
      </c>
    </row>
    <row r="64" spans="1:26">
      <c r="A64" s="6" t="s">
        <v>3439</v>
      </c>
      <c r="B64" t="s">
        <v>3199</v>
      </c>
      <c r="D64" s="7">
        <v>43671</v>
      </c>
      <c r="E64" s="11"/>
      <c r="H64" s="6">
        <v>24063</v>
      </c>
      <c r="I64" s="8" t="s">
        <v>3253</v>
      </c>
      <c r="J64" t="s">
        <v>3437</v>
      </c>
      <c r="K64" s="6">
        <v>20</v>
      </c>
      <c r="L64" s="9" t="s">
        <v>914</v>
      </c>
      <c r="M64" s="9" t="s">
        <v>942</v>
      </c>
      <c r="N64" s="10" t="s">
        <v>3440</v>
      </c>
      <c r="Q64" t="s">
        <v>1903</v>
      </c>
      <c r="R64" t="s">
        <v>237</v>
      </c>
      <c r="S64" t="s">
        <v>1009</v>
      </c>
      <c r="T64" s="6">
        <v>8</v>
      </c>
      <c r="U64" s="10" t="s">
        <v>3375</v>
      </c>
      <c r="V64" s="6">
        <v>9818213568</v>
      </c>
      <c r="X64" s="7">
        <v>43490</v>
      </c>
      <c r="Z64" t="s">
        <v>1064</v>
      </c>
    </row>
    <row r="65" spans="1:26">
      <c r="A65" s="6" t="s">
        <v>3441</v>
      </c>
      <c r="B65" t="s">
        <v>3199</v>
      </c>
      <c r="D65" s="7">
        <v>43671</v>
      </c>
      <c r="E65" s="11"/>
      <c r="H65" s="6">
        <v>26949</v>
      </c>
      <c r="I65" s="8" t="s">
        <v>3298</v>
      </c>
      <c r="J65" t="s">
        <v>3276</v>
      </c>
      <c r="K65" s="6">
        <v>24</v>
      </c>
      <c r="L65" s="9" t="s">
        <v>1867</v>
      </c>
      <c r="M65" s="9"/>
      <c r="N65" s="10" t="s">
        <v>3442</v>
      </c>
      <c r="Q65" t="s">
        <v>1903</v>
      </c>
      <c r="R65" t="s">
        <v>237</v>
      </c>
      <c r="S65" t="s">
        <v>1009</v>
      </c>
      <c r="T65" s="6">
        <v>7</v>
      </c>
      <c r="U65" s="6"/>
      <c r="V65" s="6">
        <v>9814165083</v>
      </c>
      <c r="X65" s="7">
        <v>43575</v>
      </c>
      <c r="Z65" t="s">
        <v>1064</v>
      </c>
    </row>
    <row r="66" spans="1:26">
      <c r="A66" s="6" t="s">
        <v>3443</v>
      </c>
      <c r="B66" t="s">
        <v>3199</v>
      </c>
      <c r="D66" s="7">
        <v>43671</v>
      </c>
      <c r="E66" s="11"/>
      <c r="H66" s="6">
        <v>26913</v>
      </c>
      <c r="I66" s="8" t="s">
        <v>3444</v>
      </c>
      <c r="J66" t="s">
        <v>3276</v>
      </c>
      <c r="K66" s="6">
        <v>26</v>
      </c>
      <c r="L66" s="9" t="s">
        <v>1867</v>
      </c>
      <c r="M66" s="9" t="s">
        <v>329</v>
      </c>
      <c r="N66" s="10" t="s">
        <v>3445</v>
      </c>
      <c r="Q66" t="s">
        <v>1903</v>
      </c>
      <c r="R66" t="s">
        <v>237</v>
      </c>
      <c r="S66" t="s">
        <v>1009</v>
      </c>
      <c r="T66" s="6">
        <v>8</v>
      </c>
      <c r="U66" s="10" t="s">
        <v>3338</v>
      </c>
      <c r="V66" s="6">
        <v>9807208130</v>
      </c>
      <c r="X66" s="7">
        <v>43542</v>
      </c>
      <c r="Z66" t="s">
        <v>1064</v>
      </c>
    </row>
    <row r="67" spans="1:26">
      <c r="A67" s="6" t="s">
        <v>3446</v>
      </c>
      <c r="B67" t="s">
        <v>3199</v>
      </c>
      <c r="D67" s="7">
        <v>43671</v>
      </c>
      <c r="E67" s="11"/>
      <c r="H67" s="6">
        <v>23646</v>
      </c>
      <c r="I67" s="8" t="s">
        <v>3447</v>
      </c>
      <c r="J67" t="s">
        <v>3448</v>
      </c>
      <c r="K67" s="6">
        <v>24</v>
      </c>
      <c r="L67" s="9" t="s">
        <v>81</v>
      </c>
      <c r="M67" s="9" t="s">
        <v>942</v>
      </c>
      <c r="N67" s="10" t="s">
        <v>3449</v>
      </c>
      <c r="Q67" t="s">
        <v>1903</v>
      </c>
      <c r="R67" t="s">
        <v>237</v>
      </c>
      <c r="S67" t="s">
        <v>1009</v>
      </c>
      <c r="T67" s="6">
        <v>7</v>
      </c>
      <c r="U67" s="10" t="s">
        <v>3450</v>
      </c>
      <c r="V67" s="6"/>
      <c r="X67" s="7">
        <v>43499</v>
      </c>
      <c r="Z67" t="s">
        <v>1064</v>
      </c>
    </row>
    <row r="68" spans="1:26">
      <c r="A68" s="6" t="s">
        <v>3451</v>
      </c>
      <c r="B68" t="s">
        <v>3199</v>
      </c>
      <c r="D68" s="7">
        <v>43671</v>
      </c>
      <c r="E68" s="11"/>
      <c r="H68" s="6">
        <v>18271</v>
      </c>
      <c r="I68" s="8" t="s">
        <v>3452</v>
      </c>
      <c r="J68" t="s">
        <v>3276</v>
      </c>
      <c r="K68" s="6">
        <v>22</v>
      </c>
      <c r="L68" s="9" t="s">
        <v>1867</v>
      </c>
      <c r="M68" s="9"/>
      <c r="N68" s="10" t="s">
        <v>3453</v>
      </c>
      <c r="Q68" t="s">
        <v>1903</v>
      </c>
      <c r="R68" t="s">
        <v>237</v>
      </c>
      <c r="S68" t="s">
        <v>1009</v>
      </c>
      <c r="T68" s="6">
        <v>7</v>
      </c>
      <c r="U68" s="10" t="s">
        <v>3454</v>
      </c>
      <c r="V68" s="6">
        <v>9840736610</v>
      </c>
      <c r="X68" s="7">
        <v>43414</v>
      </c>
      <c r="Z68" t="s">
        <v>1064</v>
      </c>
    </row>
    <row r="69" spans="1:26">
      <c r="A69" s="6" t="s">
        <v>3455</v>
      </c>
      <c r="B69" t="s">
        <v>3199</v>
      </c>
      <c r="D69" s="7">
        <v>43671</v>
      </c>
      <c r="E69" s="11"/>
      <c r="H69" s="6">
        <v>23702</v>
      </c>
      <c r="I69" s="8" t="s">
        <v>3456</v>
      </c>
      <c r="J69" t="s">
        <v>3233</v>
      </c>
      <c r="K69" s="6">
        <v>20</v>
      </c>
      <c r="L69" s="9" t="s">
        <v>81</v>
      </c>
      <c r="M69" s="9" t="s">
        <v>806</v>
      </c>
      <c r="N69" s="10" t="s">
        <v>3457</v>
      </c>
      <c r="Q69" t="s">
        <v>1903</v>
      </c>
      <c r="R69" t="s">
        <v>237</v>
      </c>
      <c r="S69" t="s">
        <v>1009</v>
      </c>
      <c r="T69" s="6">
        <v>3</v>
      </c>
      <c r="U69" s="6"/>
      <c r="V69" s="6">
        <v>9818568634</v>
      </c>
      <c r="X69" s="7">
        <v>43436</v>
      </c>
      <c r="Z69" t="s">
        <v>1064</v>
      </c>
    </row>
    <row r="70" spans="1:26">
      <c r="A70" s="6" t="s">
        <v>3458</v>
      </c>
      <c r="B70" t="s">
        <v>3199</v>
      </c>
      <c r="D70" s="7">
        <v>43671</v>
      </c>
      <c r="E70" s="11"/>
      <c r="H70" s="6">
        <v>17404</v>
      </c>
      <c r="I70" s="8" t="s">
        <v>3459</v>
      </c>
      <c r="J70" t="s">
        <v>3460</v>
      </c>
      <c r="K70" s="6">
        <v>25</v>
      </c>
      <c r="L70" s="9" t="s">
        <v>1360</v>
      </c>
      <c r="M70" s="9"/>
      <c r="N70" s="10" t="s">
        <v>3461</v>
      </c>
      <c r="Q70" t="s">
        <v>1903</v>
      </c>
      <c r="R70" t="s">
        <v>237</v>
      </c>
      <c r="S70" t="s">
        <v>1009</v>
      </c>
      <c r="T70" s="6">
        <v>8</v>
      </c>
      <c r="U70" s="6"/>
      <c r="V70" s="6">
        <v>9864841456</v>
      </c>
      <c r="X70" s="7">
        <v>43407</v>
      </c>
      <c r="Z70" t="s">
        <v>1064</v>
      </c>
    </row>
    <row r="71" spans="1:26">
      <c r="A71" s="6" t="s">
        <v>3462</v>
      </c>
      <c r="B71" t="s">
        <v>3199</v>
      </c>
      <c r="D71" s="7">
        <v>43671</v>
      </c>
      <c r="E71" s="11"/>
      <c r="H71" s="6">
        <v>26962</v>
      </c>
      <c r="I71" s="8" t="s">
        <v>3463</v>
      </c>
      <c r="J71" t="s">
        <v>3233</v>
      </c>
      <c r="K71" s="6">
        <v>21</v>
      </c>
      <c r="L71" s="9" t="s">
        <v>81</v>
      </c>
      <c r="M71" s="9" t="s">
        <v>1120</v>
      </c>
      <c r="N71" s="10" t="s">
        <v>3464</v>
      </c>
      <c r="Q71" t="s">
        <v>1903</v>
      </c>
      <c r="R71" t="s">
        <v>237</v>
      </c>
      <c r="S71" t="s">
        <v>1009</v>
      </c>
      <c r="T71" s="6">
        <v>7</v>
      </c>
      <c r="U71" s="6"/>
      <c r="V71" s="6"/>
      <c r="X71" s="7">
        <v>43499</v>
      </c>
      <c r="Z71" t="s">
        <v>1064</v>
      </c>
    </row>
    <row r="72" spans="1:26">
      <c r="A72" s="6" t="s">
        <v>3465</v>
      </c>
      <c r="B72" t="s">
        <v>3199</v>
      </c>
      <c r="D72" s="7">
        <v>43671</v>
      </c>
      <c r="E72" s="11"/>
      <c r="H72" s="6">
        <v>682</v>
      </c>
      <c r="I72" s="8" t="s">
        <v>3466</v>
      </c>
      <c r="J72" t="s">
        <v>3280</v>
      </c>
      <c r="K72" s="6">
        <v>31</v>
      </c>
      <c r="L72" s="9" t="s">
        <v>81</v>
      </c>
      <c r="M72" s="9" t="s">
        <v>1120</v>
      </c>
      <c r="N72" s="10" t="s">
        <v>3467</v>
      </c>
      <c r="Q72" t="s">
        <v>1903</v>
      </c>
      <c r="R72" t="s">
        <v>237</v>
      </c>
      <c r="S72" t="s">
        <v>1009</v>
      </c>
      <c r="T72" s="6">
        <v>7</v>
      </c>
      <c r="U72" s="6"/>
      <c r="V72" s="6">
        <v>980336717</v>
      </c>
      <c r="X72" s="7">
        <v>43554</v>
      </c>
      <c r="Z72" t="s">
        <v>1064</v>
      </c>
    </row>
    <row r="73" spans="1:26">
      <c r="A73" s="6" t="s">
        <v>3468</v>
      </c>
      <c r="B73" t="s">
        <v>3199</v>
      </c>
      <c r="D73" s="7">
        <v>43671</v>
      </c>
      <c r="E73" s="11"/>
      <c r="H73" s="6">
        <v>26920</v>
      </c>
      <c r="I73" s="8" t="s">
        <v>3469</v>
      </c>
      <c r="J73" t="s">
        <v>3470</v>
      </c>
      <c r="K73" s="6">
        <v>20</v>
      </c>
      <c r="L73" s="9" t="s">
        <v>1360</v>
      </c>
      <c r="M73" s="9" t="s">
        <v>329</v>
      </c>
      <c r="N73" s="10" t="s">
        <v>3471</v>
      </c>
      <c r="Q73" t="s">
        <v>1903</v>
      </c>
      <c r="R73" t="s">
        <v>237</v>
      </c>
      <c r="S73" t="s">
        <v>1009</v>
      </c>
      <c r="T73" s="6">
        <v>9</v>
      </c>
      <c r="U73" s="6"/>
      <c r="V73" s="6">
        <v>9816292832</v>
      </c>
      <c r="X73" s="7">
        <v>43416</v>
      </c>
      <c r="Z73" t="s">
        <v>1064</v>
      </c>
    </row>
    <row r="74" spans="1:26">
      <c r="A74" s="6" t="s">
        <v>3472</v>
      </c>
      <c r="B74" t="s">
        <v>3199</v>
      </c>
      <c r="D74" s="7">
        <v>43671</v>
      </c>
      <c r="E74" s="11"/>
      <c r="H74" s="6">
        <v>25831</v>
      </c>
      <c r="I74" s="8" t="s">
        <v>3473</v>
      </c>
      <c r="J74" t="s">
        <v>3474</v>
      </c>
      <c r="K74" s="6">
        <v>25</v>
      </c>
      <c r="L74" s="9" t="s">
        <v>81</v>
      </c>
      <c r="M74" s="9" t="s">
        <v>942</v>
      </c>
      <c r="N74" s="10" t="s">
        <v>3475</v>
      </c>
      <c r="Q74" t="s">
        <v>1903</v>
      </c>
      <c r="R74" t="s">
        <v>237</v>
      </c>
      <c r="S74" t="s">
        <v>1009</v>
      </c>
      <c r="T74" s="6">
        <v>8</v>
      </c>
      <c r="U74" s="6"/>
      <c r="V74" s="6">
        <v>9845804504</v>
      </c>
      <c r="X74" s="7">
        <v>43514</v>
      </c>
      <c r="Z74" t="s">
        <v>1064</v>
      </c>
    </row>
    <row r="75" spans="1:26">
      <c r="A75" s="6" t="s">
        <v>3476</v>
      </c>
      <c r="B75" t="s">
        <v>3199</v>
      </c>
      <c r="D75" s="7">
        <v>43671</v>
      </c>
      <c r="E75" s="11"/>
      <c r="H75" s="6">
        <v>26900</v>
      </c>
      <c r="I75" s="8" t="s">
        <v>3325</v>
      </c>
      <c r="J75" t="s">
        <v>3470</v>
      </c>
      <c r="K75" s="6">
        <v>19</v>
      </c>
      <c r="L75" s="9" t="s">
        <v>1360</v>
      </c>
      <c r="M75" s="9" t="s">
        <v>1120</v>
      </c>
      <c r="N75" s="10" t="s">
        <v>3477</v>
      </c>
      <c r="Q75" t="s">
        <v>1903</v>
      </c>
      <c r="R75" t="s">
        <v>237</v>
      </c>
      <c r="S75" t="s">
        <v>1009</v>
      </c>
      <c r="T75" s="6">
        <v>7</v>
      </c>
      <c r="U75" s="6"/>
      <c r="V75" s="6">
        <v>9817222528</v>
      </c>
      <c r="X75" s="7">
        <v>43508</v>
      </c>
      <c r="Z75" t="s">
        <v>1064</v>
      </c>
    </row>
    <row r="76" spans="1:26">
      <c r="A76" s="6" t="s">
        <v>3478</v>
      </c>
      <c r="B76" t="s">
        <v>3199</v>
      </c>
      <c r="D76" s="7">
        <v>43671</v>
      </c>
      <c r="E76" s="11"/>
      <c r="H76" s="6">
        <v>699</v>
      </c>
      <c r="I76" s="8" t="s">
        <v>3266</v>
      </c>
      <c r="J76" t="s">
        <v>3479</v>
      </c>
      <c r="K76" s="6">
        <v>21</v>
      </c>
      <c r="L76" s="9" t="s">
        <v>81</v>
      </c>
      <c r="M76" s="9"/>
      <c r="N76" s="10" t="s">
        <v>3480</v>
      </c>
      <c r="Q76" t="s">
        <v>1903</v>
      </c>
      <c r="R76" t="s">
        <v>237</v>
      </c>
      <c r="S76" t="s">
        <v>1009</v>
      </c>
      <c r="T76" s="6">
        <v>7</v>
      </c>
      <c r="U76" s="6"/>
      <c r="V76" s="6">
        <v>9816250926</v>
      </c>
      <c r="X76" s="7">
        <v>43544</v>
      </c>
      <c r="Z76" t="s">
        <v>1064</v>
      </c>
    </row>
    <row r="77" spans="1:26">
      <c r="A77" s="6" t="s">
        <v>3481</v>
      </c>
      <c r="B77" t="s">
        <v>3199</v>
      </c>
      <c r="D77" s="7">
        <v>43671</v>
      </c>
      <c r="E77" s="11"/>
      <c r="H77" s="6">
        <v>17365</v>
      </c>
      <c r="I77" s="8" t="s">
        <v>3482</v>
      </c>
      <c r="J77" t="s">
        <v>3483</v>
      </c>
      <c r="K77" s="6">
        <v>21</v>
      </c>
      <c r="L77" s="9" t="s">
        <v>1867</v>
      </c>
      <c r="M77" s="9" t="s">
        <v>329</v>
      </c>
      <c r="N77" s="10" t="s">
        <v>3484</v>
      </c>
      <c r="Q77" t="s">
        <v>1903</v>
      </c>
      <c r="R77" t="s">
        <v>237</v>
      </c>
      <c r="S77" t="s">
        <v>1009</v>
      </c>
      <c r="T77" s="6">
        <v>7</v>
      </c>
      <c r="U77" s="6"/>
      <c r="V77" s="6">
        <v>9813585659</v>
      </c>
      <c r="X77" s="7">
        <v>43415</v>
      </c>
      <c r="Z77" t="s">
        <v>1064</v>
      </c>
    </row>
    <row r="78" spans="1:26">
      <c r="A78" s="6" t="s">
        <v>3485</v>
      </c>
      <c r="B78" t="s">
        <v>3199</v>
      </c>
      <c r="D78" s="7">
        <v>43671</v>
      </c>
      <c r="E78" s="11"/>
      <c r="H78" s="6">
        <v>18344</v>
      </c>
      <c r="I78" s="8" t="s">
        <v>3486</v>
      </c>
      <c r="J78" t="s">
        <v>3487</v>
      </c>
      <c r="K78" s="6">
        <v>32</v>
      </c>
      <c r="L78" s="9" t="s">
        <v>1360</v>
      </c>
      <c r="M78" s="9"/>
      <c r="N78" s="10" t="s">
        <v>3488</v>
      </c>
      <c r="Q78" t="s">
        <v>1903</v>
      </c>
      <c r="R78" t="s">
        <v>237</v>
      </c>
      <c r="S78" t="s">
        <v>1009</v>
      </c>
      <c r="T78" s="6">
        <v>9</v>
      </c>
      <c r="U78" s="6"/>
      <c r="V78" s="6">
        <v>9845461420</v>
      </c>
      <c r="X78" s="7">
        <v>43433</v>
      </c>
      <c r="Z78" t="s">
        <v>1064</v>
      </c>
    </row>
    <row r="79" spans="1:26">
      <c r="A79" s="6" t="s">
        <v>3489</v>
      </c>
      <c r="B79" t="s">
        <v>3199</v>
      </c>
      <c r="D79" s="7">
        <v>43671</v>
      </c>
      <c r="E79" s="11"/>
      <c r="H79" s="6">
        <v>19736</v>
      </c>
      <c r="I79" s="8" t="s">
        <v>3490</v>
      </c>
      <c r="J79" t="s">
        <v>3246</v>
      </c>
      <c r="K79" s="6">
        <v>25</v>
      </c>
      <c r="L79" s="9" t="s">
        <v>81</v>
      </c>
      <c r="M79" s="9" t="s">
        <v>329</v>
      </c>
      <c r="N79" s="10" t="s">
        <v>3491</v>
      </c>
      <c r="Q79" t="s">
        <v>1903</v>
      </c>
      <c r="R79" t="s">
        <v>237</v>
      </c>
      <c r="S79" t="s">
        <v>1009</v>
      </c>
      <c r="T79" s="6">
        <v>6</v>
      </c>
      <c r="U79" s="6"/>
      <c r="V79" s="6"/>
      <c r="X79" s="7">
        <v>43449</v>
      </c>
      <c r="Z79" t="s">
        <v>1064</v>
      </c>
    </row>
    <row r="80" spans="1:26">
      <c r="A80" s="6" t="s">
        <v>3492</v>
      </c>
      <c r="B80" t="s">
        <v>3199</v>
      </c>
      <c r="D80" s="7">
        <v>43671</v>
      </c>
      <c r="E80" s="11"/>
      <c r="H80" s="6"/>
      <c r="I80" s="8" t="s">
        <v>3407</v>
      </c>
      <c r="J80" t="s">
        <v>3493</v>
      </c>
      <c r="K80" s="6">
        <v>22</v>
      </c>
      <c r="L80" s="9" t="s">
        <v>81</v>
      </c>
      <c r="M80" s="9"/>
      <c r="N80" s="10" t="s">
        <v>3494</v>
      </c>
      <c r="Q80" t="s">
        <v>1903</v>
      </c>
      <c r="R80" t="s">
        <v>237</v>
      </c>
      <c r="S80" t="s">
        <v>1009</v>
      </c>
      <c r="T80" s="6">
        <v>7</v>
      </c>
      <c r="U80" s="6"/>
      <c r="V80" s="6">
        <v>9864841462</v>
      </c>
      <c r="X80" s="7">
        <v>43411</v>
      </c>
      <c r="Z80" t="s">
        <v>1064</v>
      </c>
    </row>
    <row r="81" spans="1:26">
      <c r="A81" s="6" t="s">
        <v>3495</v>
      </c>
      <c r="B81" t="s">
        <v>3199</v>
      </c>
      <c r="D81" s="7">
        <v>43671</v>
      </c>
      <c r="E81" s="11"/>
      <c r="H81" s="6">
        <v>19778</v>
      </c>
      <c r="I81" s="8" t="s">
        <v>3496</v>
      </c>
      <c r="J81" t="s">
        <v>3250</v>
      </c>
      <c r="K81" s="6">
        <v>22</v>
      </c>
      <c r="L81" s="9" t="s">
        <v>81</v>
      </c>
      <c r="M81" s="9"/>
      <c r="N81" s="10" t="s">
        <v>3497</v>
      </c>
      <c r="Q81" t="s">
        <v>1903</v>
      </c>
      <c r="R81" t="s">
        <v>237</v>
      </c>
      <c r="S81" t="s">
        <v>1009</v>
      </c>
      <c r="T81" s="6">
        <v>8</v>
      </c>
      <c r="U81" s="6"/>
      <c r="V81" s="6">
        <v>9869777918</v>
      </c>
      <c r="X81" s="7">
        <v>43410</v>
      </c>
      <c r="Z81" t="s">
        <v>1064</v>
      </c>
    </row>
    <row r="82" spans="1:26">
      <c r="A82" s="6" t="s">
        <v>3498</v>
      </c>
      <c r="B82" t="s">
        <v>3199</v>
      </c>
      <c r="D82" s="7">
        <v>43671</v>
      </c>
      <c r="E82" s="11"/>
      <c r="H82" s="6">
        <v>21447</v>
      </c>
      <c r="I82" s="8" t="s">
        <v>3499</v>
      </c>
      <c r="J82" t="s">
        <v>3276</v>
      </c>
      <c r="K82" s="6">
        <v>23</v>
      </c>
      <c r="L82" s="9" t="s">
        <v>1867</v>
      </c>
      <c r="M82" s="9" t="s">
        <v>329</v>
      </c>
      <c r="N82" s="10" t="s">
        <v>3500</v>
      </c>
      <c r="Q82" t="s">
        <v>1903</v>
      </c>
      <c r="R82" t="s">
        <v>237</v>
      </c>
      <c r="S82" t="s">
        <v>1009</v>
      </c>
      <c r="T82" s="6">
        <v>9</v>
      </c>
      <c r="U82" s="6"/>
      <c r="V82" s="6">
        <v>9815224458</v>
      </c>
      <c r="X82" s="7">
        <v>43499</v>
      </c>
      <c r="Z82" t="s">
        <v>1064</v>
      </c>
    </row>
    <row r="83" spans="1:26">
      <c r="A83" s="6" t="s">
        <v>3501</v>
      </c>
      <c r="B83" t="s">
        <v>3199</v>
      </c>
      <c r="D83" s="7">
        <v>43671</v>
      </c>
      <c r="E83" s="11"/>
      <c r="H83" s="6">
        <v>730</v>
      </c>
      <c r="I83" s="8" t="s">
        <v>3502</v>
      </c>
      <c r="J83" t="s">
        <v>3267</v>
      </c>
      <c r="K83" s="6">
        <v>2</v>
      </c>
      <c r="L83" s="9" t="s">
        <v>81</v>
      </c>
      <c r="M83" s="9"/>
      <c r="N83" s="10" t="s">
        <v>3503</v>
      </c>
      <c r="Q83" t="s">
        <v>1903</v>
      </c>
      <c r="R83" t="s">
        <v>237</v>
      </c>
      <c r="S83" t="s">
        <v>1009</v>
      </c>
      <c r="T83" s="6">
        <v>9</v>
      </c>
      <c r="U83" s="6"/>
      <c r="V83" s="6">
        <v>9819241900</v>
      </c>
      <c r="X83" s="7">
        <v>43591</v>
      </c>
      <c r="Z83" t="s">
        <v>1064</v>
      </c>
    </row>
    <row r="84" spans="1:26">
      <c r="A84" s="6" t="s">
        <v>3504</v>
      </c>
      <c r="B84" t="s">
        <v>3199</v>
      </c>
      <c r="D84" s="7">
        <v>43675</v>
      </c>
      <c r="E84" s="11"/>
      <c r="H84" s="6">
        <v>15334</v>
      </c>
      <c r="I84" s="8" t="s">
        <v>3505</v>
      </c>
      <c r="J84" t="s">
        <v>3242</v>
      </c>
      <c r="K84" s="6">
        <v>29</v>
      </c>
      <c r="L84" s="9" t="s">
        <v>81</v>
      </c>
      <c r="M84" s="9"/>
      <c r="N84" s="10" t="s">
        <v>3506</v>
      </c>
      <c r="Q84" t="s">
        <v>1903</v>
      </c>
      <c r="R84" t="s">
        <v>237</v>
      </c>
      <c r="S84" t="s">
        <v>1009</v>
      </c>
      <c r="T84" s="6">
        <v>7</v>
      </c>
      <c r="U84" s="10" t="s">
        <v>3507</v>
      </c>
      <c r="V84" s="6">
        <v>9841017944</v>
      </c>
      <c r="X84" s="7">
        <v>43404</v>
      </c>
      <c r="Z84" t="s">
        <v>1064</v>
      </c>
    </row>
    <row r="85" spans="1:26">
      <c r="A85" s="6" t="s">
        <v>3508</v>
      </c>
      <c r="B85" t="s">
        <v>3199</v>
      </c>
      <c r="D85" s="7">
        <v>43675</v>
      </c>
      <c r="E85" s="11"/>
      <c r="H85" s="6">
        <v>975</v>
      </c>
      <c r="I85" s="8" t="s">
        <v>3509</v>
      </c>
      <c r="J85" t="s">
        <v>3233</v>
      </c>
      <c r="K85" s="6">
        <v>22</v>
      </c>
      <c r="L85" s="9" t="s">
        <v>81</v>
      </c>
      <c r="M85" s="9"/>
      <c r="N85" s="10" t="s">
        <v>3510</v>
      </c>
      <c r="Q85" t="s">
        <v>1903</v>
      </c>
      <c r="R85" t="s">
        <v>237</v>
      </c>
      <c r="S85" t="s">
        <v>1009</v>
      </c>
      <c r="T85" s="6">
        <v>8</v>
      </c>
      <c r="U85" s="10" t="s">
        <v>3511</v>
      </c>
      <c r="V85" s="6">
        <v>9866395416</v>
      </c>
      <c r="X85" s="7">
        <v>43558</v>
      </c>
      <c r="Z85" t="s">
        <v>1064</v>
      </c>
    </row>
    <row r="86" spans="1:26">
      <c r="A86" s="6" t="s">
        <v>3512</v>
      </c>
      <c r="B86" t="s">
        <v>3199</v>
      </c>
      <c r="D86" s="7">
        <v>43675</v>
      </c>
      <c r="E86" s="11"/>
      <c r="H86" s="6"/>
      <c r="I86" s="8" t="s">
        <v>3266</v>
      </c>
      <c r="J86" t="s">
        <v>3513</v>
      </c>
      <c r="K86" s="6">
        <v>27</v>
      </c>
      <c r="L86" s="9" t="s">
        <v>81</v>
      </c>
      <c r="M86" s="9" t="s">
        <v>942</v>
      </c>
      <c r="N86" s="10" t="s">
        <v>3514</v>
      </c>
      <c r="Q86" t="s">
        <v>1903</v>
      </c>
      <c r="R86" t="s">
        <v>237</v>
      </c>
      <c r="S86" t="s">
        <v>1009</v>
      </c>
      <c r="T86" s="6">
        <v>9</v>
      </c>
      <c r="U86" s="10" t="s">
        <v>3235</v>
      </c>
      <c r="V86" s="6">
        <v>9806859510</v>
      </c>
      <c r="X86" s="7">
        <v>43571</v>
      </c>
      <c r="Z86" t="s">
        <v>1064</v>
      </c>
    </row>
    <row r="87" spans="1:26">
      <c r="A87" s="6" t="s">
        <v>3515</v>
      </c>
      <c r="B87" t="s">
        <v>3199</v>
      </c>
      <c r="D87" s="7">
        <v>43675</v>
      </c>
      <c r="E87" s="11"/>
      <c r="H87" s="6">
        <v>26893</v>
      </c>
      <c r="I87" s="8" t="s">
        <v>3516</v>
      </c>
      <c r="J87" t="s">
        <v>3267</v>
      </c>
      <c r="K87" s="6">
        <v>22</v>
      </c>
      <c r="L87" s="9" t="s">
        <v>81</v>
      </c>
      <c r="M87" s="9" t="s">
        <v>1120</v>
      </c>
      <c r="N87" s="10" t="s">
        <v>3517</v>
      </c>
      <c r="Q87" t="s">
        <v>1903</v>
      </c>
      <c r="R87" t="s">
        <v>237</v>
      </c>
      <c r="S87" t="s">
        <v>1009</v>
      </c>
      <c r="T87" s="6">
        <v>8</v>
      </c>
      <c r="U87" s="10" t="s">
        <v>3338</v>
      </c>
      <c r="V87" s="6">
        <v>9811212244</v>
      </c>
      <c r="X87" s="7">
        <v>43492</v>
      </c>
      <c r="Z87" t="s">
        <v>1064</v>
      </c>
    </row>
    <row r="88" spans="1:26">
      <c r="A88" s="6" t="s">
        <v>3518</v>
      </c>
      <c r="B88" t="s">
        <v>3199</v>
      </c>
      <c r="D88" s="7">
        <v>43675</v>
      </c>
      <c r="E88" s="11"/>
      <c r="H88" s="6">
        <v>19184</v>
      </c>
      <c r="I88" s="8" t="s">
        <v>3519</v>
      </c>
      <c r="J88" t="s">
        <v>3513</v>
      </c>
      <c r="K88" s="6">
        <v>20</v>
      </c>
      <c r="L88" s="9" t="s">
        <v>81</v>
      </c>
      <c r="M88" s="9"/>
      <c r="N88" s="10" t="s">
        <v>3520</v>
      </c>
      <c r="Q88" t="s">
        <v>1903</v>
      </c>
      <c r="R88" t="s">
        <v>237</v>
      </c>
      <c r="S88" t="s">
        <v>1009</v>
      </c>
      <c r="T88" s="6">
        <v>8</v>
      </c>
      <c r="U88" s="10" t="s">
        <v>3338</v>
      </c>
      <c r="V88" s="6">
        <v>9816267886</v>
      </c>
      <c r="X88" s="7">
        <v>43447</v>
      </c>
      <c r="Z88" t="s">
        <v>1064</v>
      </c>
    </row>
    <row r="89" spans="1:26">
      <c r="A89" s="6" t="s">
        <v>3521</v>
      </c>
      <c r="B89" t="s">
        <v>3199</v>
      </c>
      <c r="D89" s="7">
        <v>43675</v>
      </c>
      <c r="E89" s="11"/>
      <c r="H89" s="6">
        <v>21691</v>
      </c>
      <c r="I89" s="8" t="s">
        <v>3522</v>
      </c>
      <c r="J89" t="s">
        <v>3523</v>
      </c>
      <c r="K89" s="6">
        <v>27</v>
      </c>
      <c r="L89" s="9" t="s">
        <v>81</v>
      </c>
      <c r="M89" s="9"/>
      <c r="N89" s="10" t="s">
        <v>3524</v>
      </c>
      <c r="Q89" t="s">
        <v>1903</v>
      </c>
      <c r="R89" t="s">
        <v>237</v>
      </c>
      <c r="S89" t="s">
        <v>1009</v>
      </c>
      <c r="T89" s="6">
        <v>8</v>
      </c>
      <c r="U89" s="10" t="s">
        <v>3338</v>
      </c>
      <c r="V89" s="6">
        <v>9826277012</v>
      </c>
      <c r="X89" s="7">
        <v>43500</v>
      </c>
      <c r="Z89" t="s">
        <v>1064</v>
      </c>
    </row>
    <row r="90" spans="1:26">
      <c r="A90" s="6" t="s">
        <v>3525</v>
      </c>
      <c r="B90" t="s">
        <v>3199</v>
      </c>
      <c r="D90" s="7">
        <v>43675</v>
      </c>
      <c r="E90" s="11"/>
      <c r="H90" s="6">
        <v>121</v>
      </c>
      <c r="I90" s="8" t="s">
        <v>3421</v>
      </c>
      <c r="J90" t="s">
        <v>3526</v>
      </c>
      <c r="K90" s="6">
        <v>29</v>
      </c>
      <c r="L90" s="9" t="s">
        <v>81</v>
      </c>
      <c r="M90" s="9"/>
      <c r="N90" s="10" t="s">
        <v>3527</v>
      </c>
      <c r="Q90" t="s">
        <v>1903</v>
      </c>
      <c r="R90" t="s">
        <v>237</v>
      </c>
      <c r="S90" t="s">
        <v>1009</v>
      </c>
      <c r="T90" s="6">
        <v>7</v>
      </c>
      <c r="U90" s="10" t="s">
        <v>3264</v>
      </c>
      <c r="V90" s="6">
        <v>9845366860</v>
      </c>
      <c r="X90" s="7">
        <v>43446</v>
      </c>
      <c r="Z90" t="s">
        <v>1064</v>
      </c>
    </row>
    <row r="91" spans="1:26">
      <c r="A91" s="6" t="s">
        <v>3528</v>
      </c>
      <c r="B91" t="s">
        <v>3199</v>
      </c>
      <c r="D91" s="7">
        <v>43675</v>
      </c>
      <c r="E91" s="11"/>
      <c r="H91" s="6">
        <v>1016</v>
      </c>
      <c r="I91" s="8" t="s">
        <v>3529</v>
      </c>
      <c r="J91" t="s">
        <v>3530</v>
      </c>
      <c r="K91" s="6">
        <v>25</v>
      </c>
      <c r="L91" s="9" t="s">
        <v>1360</v>
      </c>
      <c r="M91" s="9" t="s">
        <v>329</v>
      </c>
      <c r="N91" s="10" t="s">
        <v>3531</v>
      </c>
      <c r="Q91" t="s">
        <v>1903</v>
      </c>
      <c r="R91" t="s">
        <v>237</v>
      </c>
      <c r="S91" t="s">
        <v>1009</v>
      </c>
      <c r="T91" s="6">
        <v>6</v>
      </c>
      <c r="U91" s="10" t="s">
        <v>3532</v>
      </c>
      <c r="V91" s="6">
        <v>9860418033</v>
      </c>
      <c r="X91" s="7">
        <v>43614</v>
      </c>
      <c r="Z91" t="s">
        <v>1064</v>
      </c>
    </row>
    <row r="92" spans="1:26">
      <c r="A92" s="6" t="s">
        <v>3533</v>
      </c>
      <c r="B92" t="s">
        <v>3199</v>
      </c>
      <c r="D92" s="7">
        <v>43675</v>
      </c>
      <c r="E92" s="11"/>
      <c r="H92" s="6">
        <v>1028</v>
      </c>
      <c r="I92" s="8" t="s">
        <v>3232</v>
      </c>
      <c r="J92" t="s">
        <v>3238</v>
      </c>
      <c r="K92" s="6">
        <v>20</v>
      </c>
      <c r="L92" s="9" t="s">
        <v>81</v>
      </c>
      <c r="M92" s="9" t="s">
        <v>329</v>
      </c>
      <c r="N92" s="10" t="s">
        <v>3534</v>
      </c>
      <c r="Q92" t="s">
        <v>1903</v>
      </c>
      <c r="R92" t="s">
        <v>237</v>
      </c>
      <c r="S92" t="s">
        <v>1009</v>
      </c>
      <c r="T92" s="6">
        <v>9</v>
      </c>
      <c r="U92" s="10" t="s">
        <v>3535</v>
      </c>
      <c r="V92" s="6">
        <v>9809196988</v>
      </c>
      <c r="X92" s="7">
        <v>43585</v>
      </c>
      <c r="Z92" t="s">
        <v>1064</v>
      </c>
    </row>
    <row r="93" spans="1:26">
      <c r="A93" s="6" t="s">
        <v>3536</v>
      </c>
      <c r="B93" t="s">
        <v>3199</v>
      </c>
      <c r="D93" s="7">
        <v>43675</v>
      </c>
      <c r="E93" s="11"/>
      <c r="H93" s="6">
        <v>1027</v>
      </c>
      <c r="I93" s="8" t="s">
        <v>3537</v>
      </c>
      <c r="J93" t="s">
        <v>3538</v>
      </c>
      <c r="K93" s="6">
        <v>20</v>
      </c>
      <c r="L93" s="9" t="s">
        <v>1867</v>
      </c>
      <c r="M93" s="9"/>
      <c r="N93" s="10" t="s">
        <v>3539</v>
      </c>
      <c r="Q93" t="s">
        <v>1903</v>
      </c>
      <c r="R93" t="s">
        <v>237</v>
      </c>
      <c r="S93" t="s">
        <v>1009</v>
      </c>
      <c r="T93" s="6">
        <v>9</v>
      </c>
      <c r="U93" s="10" t="s">
        <v>3540</v>
      </c>
      <c r="V93" s="6">
        <v>9807112937</v>
      </c>
      <c r="X93" s="7">
        <v>43594</v>
      </c>
      <c r="Z93" t="s">
        <v>1064</v>
      </c>
    </row>
    <row r="94" spans="1:26">
      <c r="A94" s="6" t="s">
        <v>3541</v>
      </c>
      <c r="B94" t="s">
        <v>3199</v>
      </c>
      <c r="D94" s="7">
        <v>43675</v>
      </c>
      <c r="E94" s="11"/>
      <c r="H94" s="6">
        <v>1032</v>
      </c>
      <c r="I94" s="8" t="s">
        <v>3322</v>
      </c>
      <c r="J94" t="s">
        <v>3276</v>
      </c>
      <c r="K94" s="6">
        <v>24</v>
      </c>
      <c r="L94" s="9" t="s">
        <v>1867</v>
      </c>
      <c r="M94" s="9"/>
      <c r="N94" s="10" t="s">
        <v>3542</v>
      </c>
      <c r="Q94" t="s">
        <v>1903</v>
      </c>
      <c r="R94" t="s">
        <v>237</v>
      </c>
      <c r="S94" t="s">
        <v>1009</v>
      </c>
      <c r="T94" s="6">
        <v>6</v>
      </c>
      <c r="U94" s="10" t="s">
        <v>3543</v>
      </c>
      <c r="V94" s="6">
        <v>9816290635</v>
      </c>
      <c r="X94" s="7">
        <v>43553</v>
      </c>
      <c r="Z94" t="s">
        <v>1064</v>
      </c>
    </row>
    <row r="95" spans="1:26">
      <c r="A95" s="6" t="s">
        <v>3544</v>
      </c>
      <c r="B95" t="s">
        <v>3199</v>
      </c>
      <c r="D95" s="7">
        <v>43675</v>
      </c>
      <c r="E95" s="11"/>
      <c r="H95" s="6">
        <v>23341</v>
      </c>
      <c r="I95" s="8" t="s">
        <v>3545</v>
      </c>
      <c r="J95" t="s">
        <v>3361</v>
      </c>
      <c r="K95" s="6">
        <v>17</v>
      </c>
      <c r="L95" s="9" t="s">
        <v>81</v>
      </c>
      <c r="M95" s="9" t="s">
        <v>329</v>
      </c>
      <c r="N95" s="10" t="s">
        <v>3546</v>
      </c>
      <c r="Q95" t="s">
        <v>1903</v>
      </c>
      <c r="R95" t="s">
        <v>237</v>
      </c>
      <c r="S95" t="s">
        <v>1009</v>
      </c>
      <c r="T95" s="6">
        <v>7</v>
      </c>
      <c r="U95" s="10" t="s">
        <v>3454</v>
      </c>
      <c r="V95" s="6">
        <v>9819220061</v>
      </c>
      <c r="X95" s="7">
        <v>43494</v>
      </c>
      <c r="Z95" t="s">
        <v>1064</v>
      </c>
    </row>
    <row r="96" spans="1:26">
      <c r="A96" s="6" t="s">
        <v>3547</v>
      </c>
      <c r="B96" t="s">
        <v>3199</v>
      </c>
      <c r="D96" s="7">
        <v>43677</v>
      </c>
      <c r="E96" s="11"/>
      <c r="H96" s="6">
        <v>495</v>
      </c>
      <c r="I96" s="8" t="s">
        <v>3269</v>
      </c>
      <c r="J96" t="s">
        <v>3233</v>
      </c>
      <c r="K96" s="6">
        <v>19</v>
      </c>
      <c r="L96" s="9" t="s">
        <v>81</v>
      </c>
      <c r="M96" s="9"/>
      <c r="N96" s="10" t="s">
        <v>3548</v>
      </c>
      <c r="Q96" t="s">
        <v>1903</v>
      </c>
      <c r="R96" t="s">
        <v>237</v>
      </c>
      <c r="S96" t="s">
        <v>1009</v>
      </c>
      <c r="T96" s="6">
        <v>6</v>
      </c>
      <c r="U96" s="6"/>
      <c r="V96" s="6">
        <v>9807198052</v>
      </c>
      <c r="X96" s="7">
        <v>43566</v>
      </c>
      <c r="Z96" t="s">
        <v>1064</v>
      </c>
    </row>
    <row r="97" spans="1:26">
      <c r="A97" s="6" t="s">
        <v>3549</v>
      </c>
      <c r="B97" t="s">
        <v>3199</v>
      </c>
      <c r="D97" s="7">
        <v>43840</v>
      </c>
      <c r="E97" s="11"/>
      <c r="H97" s="6">
        <v>11145</v>
      </c>
      <c r="I97" s="8" t="s">
        <v>3550</v>
      </c>
      <c r="J97" t="s">
        <v>3551</v>
      </c>
      <c r="K97" s="6">
        <v>20</v>
      </c>
      <c r="L97" s="9" t="s">
        <v>914</v>
      </c>
      <c r="M97" s="9"/>
      <c r="N97" s="10" t="s">
        <v>3552</v>
      </c>
      <c r="Q97" t="s">
        <v>1903</v>
      </c>
      <c r="R97" t="s">
        <v>237</v>
      </c>
      <c r="S97" t="s">
        <v>1009</v>
      </c>
      <c r="T97" s="6">
        <v>5</v>
      </c>
      <c r="U97" s="10" t="s">
        <v>3553</v>
      </c>
      <c r="V97" s="6">
        <v>9807593762</v>
      </c>
      <c r="X97" s="7">
        <v>43652</v>
      </c>
      <c r="Z97" t="s">
        <v>1064</v>
      </c>
    </row>
    <row r="98" spans="1:26">
      <c r="A98" s="6" t="s">
        <v>3554</v>
      </c>
      <c r="B98" t="s">
        <v>3199</v>
      </c>
      <c r="D98" s="7">
        <v>43840</v>
      </c>
      <c r="E98" s="11"/>
      <c r="H98" s="6">
        <v>15028</v>
      </c>
      <c r="I98" s="8" t="s">
        <v>3555</v>
      </c>
      <c r="J98" t="s">
        <v>3280</v>
      </c>
      <c r="K98" s="6">
        <v>36</v>
      </c>
      <c r="L98" s="9" t="s">
        <v>1867</v>
      </c>
      <c r="M98" s="9"/>
      <c r="N98" s="10" t="s">
        <v>3556</v>
      </c>
      <c r="Q98" t="s">
        <v>1903</v>
      </c>
      <c r="R98" t="s">
        <v>237</v>
      </c>
      <c r="S98" t="s">
        <v>1009</v>
      </c>
      <c r="T98" s="6">
        <v>5</v>
      </c>
      <c r="U98" s="10" t="s">
        <v>3553</v>
      </c>
      <c r="V98" s="6">
        <v>9804275683</v>
      </c>
      <c r="X98" s="7">
        <v>43730</v>
      </c>
      <c r="Z98" t="s">
        <v>1064</v>
      </c>
    </row>
    <row r="99" spans="1:26">
      <c r="A99" s="6" t="s">
        <v>3557</v>
      </c>
      <c r="B99" t="s">
        <v>3199</v>
      </c>
      <c r="D99" s="7">
        <v>43840</v>
      </c>
      <c r="E99" s="11"/>
      <c r="H99" s="6">
        <v>495</v>
      </c>
      <c r="I99" s="8" t="s">
        <v>3269</v>
      </c>
      <c r="J99" t="s">
        <v>3233</v>
      </c>
      <c r="K99" s="6">
        <v>19</v>
      </c>
      <c r="L99" s="9" t="s">
        <v>81</v>
      </c>
      <c r="M99" s="9"/>
      <c r="N99" s="10" t="s">
        <v>3558</v>
      </c>
      <c r="Q99" t="s">
        <v>1903</v>
      </c>
      <c r="R99" t="s">
        <v>237</v>
      </c>
      <c r="S99" t="s">
        <v>1009</v>
      </c>
      <c r="T99" s="6">
        <v>6</v>
      </c>
      <c r="U99" s="6"/>
      <c r="V99" s="6">
        <v>9807198052</v>
      </c>
      <c r="X99" s="7">
        <v>43566</v>
      </c>
      <c r="Z99" t="s">
        <v>1064</v>
      </c>
    </row>
    <row r="100" spans="1:26">
      <c r="A100" s="6" t="s">
        <v>3559</v>
      </c>
      <c r="B100" t="s">
        <v>3199</v>
      </c>
      <c r="D100" s="7">
        <v>43840</v>
      </c>
      <c r="E100" s="11"/>
      <c r="H100" s="6">
        <v>498</v>
      </c>
      <c r="I100" s="8" t="s">
        <v>3560</v>
      </c>
      <c r="J100" t="s">
        <v>3250</v>
      </c>
      <c r="K100" s="6">
        <v>19</v>
      </c>
      <c r="L100" s="9" t="s">
        <v>81</v>
      </c>
      <c r="M100" s="9"/>
      <c r="N100" s="10" t="s">
        <v>3561</v>
      </c>
      <c r="Q100" t="s">
        <v>1903</v>
      </c>
      <c r="R100" t="s">
        <v>237</v>
      </c>
      <c r="S100" t="s">
        <v>1009</v>
      </c>
      <c r="T100" s="6">
        <v>6</v>
      </c>
      <c r="U100" s="6"/>
      <c r="V100" s="6">
        <v>9811229812</v>
      </c>
      <c r="X100" s="7">
        <v>43572</v>
      </c>
      <c r="Z100" t="s">
        <v>1064</v>
      </c>
    </row>
    <row r="101" spans="1:26">
      <c r="A101" s="6" t="s">
        <v>3562</v>
      </c>
      <c r="B101" t="s">
        <v>3199</v>
      </c>
      <c r="D101" s="7">
        <v>43840</v>
      </c>
      <c r="E101" s="11"/>
      <c r="H101" s="6">
        <v>1888</v>
      </c>
      <c r="I101" s="8" t="s">
        <v>3563</v>
      </c>
      <c r="J101" t="s">
        <v>3233</v>
      </c>
      <c r="K101" s="6">
        <v>23</v>
      </c>
      <c r="L101" s="9" t="s">
        <v>81</v>
      </c>
      <c r="M101" s="9"/>
      <c r="N101" s="10" t="s">
        <v>3564</v>
      </c>
      <c r="Q101" t="s">
        <v>1903</v>
      </c>
      <c r="R101" t="s">
        <v>237</v>
      </c>
      <c r="S101" t="s">
        <v>1009</v>
      </c>
      <c r="T101" s="6">
        <v>6</v>
      </c>
      <c r="U101" s="6"/>
      <c r="V101" s="6"/>
      <c r="X101" s="7">
        <v>43596</v>
      </c>
      <c r="Z101" t="s">
        <v>1064</v>
      </c>
    </row>
    <row r="102" spans="1:26">
      <c r="A102" s="6" t="s">
        <v>3565</v>
      </c>
      <c r="B102" t="s">
        <v>3199</v>
      </c>
      <c r="D102" s="7">
        <v>43846</v>
      </c>
      <c r="E102" s="11"/>
      <c r="H102" s="6">
        <v>1992</v>
      </c>
      <c r="I102" s="8" t="s">
        <v>3566</v>
      </c>
      <c r="J102" t="s">
        <v>3567</v>
      </c>
      <c r="K102" s="6">
        <v>29</v>
      </c>
      <c r="L102" s="9" t="s">
        <v>1867</v>
      </c>
      <c r="M102" s="9" t="s">
        <v>806</v>
      </c>
      <c r="N102" s="10" t="s">
        <v>3568</v>
      </c>
      <c r="Q102" t="s">
        <v>1903</v>
      </c>
      <c r="R102" t="s">
        <v>237</v>
      </c>
      <c r="S102" t="s">
        <v>1009</v>
      </c>
      <c r="T102" s="6">
        <v>7</v>
      </c>
      <c r="U102" s="6"/>
      <c r="V102" s="6">
        <v>9845168094</v>
      </c>
      <c r="X102" s="7">
        <v>43572</v>
      </c>
      <c r="Z102" t="s">
        <v>1064</v>
      </c>
    </row>
    <row r="103" spans="1:26">
      <c r="A103" s="6" t="s">
        <v>3569</v>
      </c>
      <c r="B103" t="s">
        <v>3199</v>
      </c>
      <c r="D103" s="7">
        <v>43846</v>
      </c>
      <c r="E103" s="11"/>
      <c r="H103" s="6">
        <v>27460</v>
      </c>
      <c r="I103" s="8" t="s">
        <v>3570</v>
      </c>
      <c r="J103" t="s">
        <v>3361</v>
      </c>
      <c r="K103" s="6">
        <v>20</v>
      </c>
      <c r="L103" s="9" t="s">
        <v>81</v>
      </c>
      <c r="M103" s="9" t="s">
        <v>942</v>
      </c>
      <c r="N103" s="10" t="s">
        <v>3571</v>
      </c>
      <c r="Q103" t="s">
        <v>1903</v>
      </c>
      <c r="R103" t="s">
        <v>237</v>
      </c>
      <c r="S103" t="s">
        <v>1009</v>
      </c>
      <c r="T103" s="6">
        <v>6</v>
      </c>
      <c r="U103" s="10" t="s">
        <v>3507</v>
      </c>
      <c r="V103" s="6">
        <v>9815206085</v>
      </c>
      <c r="X103" s="7">
        <v>43575</v>
      </c>
      <c r="Z103" t="s">
        <v>1064</v>
      </c>
    </row>
    <row r="104" spans="1:26">
      <c r="A104" s="6" t="s">
        <v>3572</v>
      </c>
      <c r="B104" t="s">
        <v>3199</v>
      </c>
      <c r="D104" s="7">
        <v>43846</v>
      </c>
      <c r="E104" s="11"/>
      <c r="H104" s="6">
        <v>12254</v>
      </c>
      <c r="I104" s="8" t="s">
        <v>3319</v>
      </c>
      <c r="J104" t="s">
        <v>3254</v>
      </c>
      <c r="K104" s="6">
        <v>25</v>
      </c>
      <c r="L104" s="9" t="s">
        <v>81</v>
      </c>
      <c r="M104" s="9" t="s">
        <v>806</v>
      </c>
      <c r="N104" s="10" t="s">
        <v>3573</v>
      </c>
      <c r="Q104" t="s">
        <v>1903</v>
      </c>
      <c r="R104" t="s">
        <v>237</v>
      </c>
      <c r="S104" t="s">
        <v>1009</v>
      </c>
      <c r="T104" s="6">
        <v>9</v>
      </c>
      <c r="U104" s="10" t="s">
        <v>3574</v>
      </c>
      <c r="V104" s="6">
        <v>9845658795</v>
      </c>
      <c r="X104" s="7">
        <v>43681</v>
      </c>
      <c r="Z104" t="s">
        <v>1064</v>
      </c>
    </row>
    <row r="105" spans="1:26">
      <c r="A105" s="6" t="s">
        <v>3575</v>
      </c>
      <c r="B105" t="s">
        <v>3199</v>
      </c>
      <c r="D105" s="7">
        <v>43846</v>
      </c>
      <c r="E105" s="11"/>
      <c r="H105" s="6">
        <v>7045</v>
      </c>
      <c r="I105" s="8" t="s">
        <v>3576</v>
      </c>
      <c r="J105" t="s">
        <v>3577</v>
      </c>
      <c r="K105" s="6">
        <v>24</v>
      </c>
      <c r="L105" s="9" t="s">
        <v>81</v>
      </c>
      <c r="M105" s="9" t="s">
        <v>329</v>
      </c>
      <c r="N105" s="10" t="s">
        <v>3578</v>
      </c>
      <c r="Q105" t="s">
        <v>1903</v>
      </c>
      <c r="R105" t="s">
        <v>237</v>
      </c>
      <c r="S105" t="s">
        <v>1009</v>
      </c>
      <c r="T105" s="6">
        <v>6</v>
      </c>
      <c r="U105" s="10" t="s">
        <v>3579</v>
      </c>
      <c r="V105" s="6">
        <v>9806805657</v>
      </c>
      <c r="X105" s="7">
        <v>43604</v>
      </c>
      <c r="Z105" t="s">
        <v>1064</v>
      </c>
    </row>
    <row r="106" spans="1:26">
      <c r="A106" s="6" t="s">
        <v>3580</v>
      </c>
      <c r="B106" t="s">
        <v>3199</v>
      </c>
      <c r="D106" s="7">
        <v>43846</v>
      </c>
      <c r="E106" s="11"/>
      <c r="H106" s="6">
        <v>11988</v>
      </c>
      <c r="I106" s="8" t="s">
        <v>3581</v>
      </c>
      <c r="J106" t="s">
        <v>3276</v>
      </c>
      <c r="K106" s="6">
        <v>29</v>
      </c>
      <c r="L106" s="9" t="s">
        <v>1867</v>
      </c>
      <c r="M106" s="9"/>
      <c r="N106" s="10" t="s">
        <v>3582</v>
      </c>
      <c r="Q106" t="s">
        <v>1903</v>
      </c>
      <c r="R106" t="s">
        <v>237</v>
      </c>
      <c r="S106" t="s">
        <v>1009</v>
      </c>
      <c r="T106" s="6">
        <v>6</v>
      </c>
      <c r="U106" s="10" t="s">
        <v>3579</v>
      </c>
      <c r="V106" s="6">
        <v>9821233300</v>
      </c>
      <c r="X106" s="7">
        <v>43671</v>
      </c>
      <c r="Z106" t="s">
        <v>1064</v>
      </c>
    </row>
    <row r="107" spans="1:26">
      <c r="A107" s="6" t="s">
        <v>3583</v>
      </c>
      <c r="B107" t="s">
        <v>3199</v>
      </c>
      <c r="D107" s="7">
        <v>43846</v>
      </c>
      <c r="E107" s="11"/>
      <c r="H107" s="6">
        <v>28468</v>
      </c>
      <c r="I107" s="8" t="s">
        <v>3584</v>
      </c>
      <c r="J107" t="s">
        <v>3280</v>
      </c>
      <c r="K107" s="6">
        <v>25</v>
      </c>
      <c r="L107" s="9" t="s">
        <v>81</v>
      </c>
      <c r="M107" s="9" t="s">
        <v>329</v>
      </c>
      <c r="N107" s="10" t="s">
        <v>3585</v>
      </c>
      <c r="Q107" t="s">
        <v>1903</v>
      </c>
      <c r="R107" t="s">
        <v>237</v>
      </c>
      <c r="S107" t="s">
        <v>1009</v>
      </c>
      <c r="T107" s="6">
        <v>6</v>
      </c>
      <c r="U107" s="10" t="s">
        <v>3586</v>
      </c>
      <c r="V107" s="6">
        <v>9825215773</v>
      </c>
      <c r="X107" s="7">
        <v>43560</v>
      </c>
      <c r="Z107" t="s">
        <v>1064</v>
      </c>
    </row>
    <row r="108" spans="1:26">
      <c r="A108" s="6" t="s">
        <v>3587</v>
      </c>
      <c r="B108" t="s">
        <v>3199</v>
      </c>
      <c r="D108" s="7">
        <v>43846</v>
      </c>
      <c r="E108" s="11"/>
      <c r="H108" s="6">
        <v>12281</v>
      </c>
      <c r="I108" s="8" t="s">
        <v>3266</v>
      </c>
      <c r="J108" t="s">
        <v>3276</v>
      </c>
      <c r="K108" s="6">
        <v>20</v>
      </c>
      <c r="L108" s="9" t="s">
        <v>1867</v>
      </c>
      <c r="M108" s="9" t="s">
        <v>1120</v>
      </c>
      <c r="N108" s="10" t="s">
        <v>3588</v>
      </c>
      <c r="Q108" t="s">
        <v>1903</v>
      </c>
      <c r="R108" t="s">
        <v>237</v>
      </c>
      <c r="S108" t="s">
        <v>1009</v>
      </c>
      <c r="T108" s="6">
        <v>7</v>
      </c>
      <c r="U108" s="10" t="s">
        <v>3589</v>
      </c>
      <c r="V108" s="6">
        <v>9825273296</v>
      </c>
      <c r="X108" s="7">
        <v>43666</v>
      </c>
      <c r="Z108" t="s">
        <v>1064</v>
      </c>
    </row>
    <row r="109" spans="1:26">
      <c r="A109" s="6" t="s">
        <v>3590</v>
      </c>
      <c r="B109" t="s">
        <v>3199</v>
      </c>
      <c r="D109" s="7">
        <v>43846</v>
      </c>
      <c r="E109" s="11"/>
      <c r="H109" s="6">
        <v>16485</v>
      </c>
      <c r="I109" s="8" t="s">
        <v>3591</v>
      </c>
      <c r="J109" t="s">
        <v>3254</v>
      </c>
      <c r="K109" s="6">
        <v>36</v>
      </c>
      <c r="L109" s="9" t="s">
        <v>81</v>
      </c>
      <c r="M109" s="9"/>
      <c r="N109" s="10" t="s">
        <v>3592</v>
      </c>
      <c r="Q109" t="s">
        <v>1903</v>
      </c>
      <c r="R109" t="s">
        <v>237</v>
      </c>
      <c r="S109" t="s">
        <v>1009</v>
      </c>
      <c r="T109" s="6">
        <v>6</v>
      </c>
      <c r="U109" s="10" t="s">
        <v>3593</v>
      </c>
      <c r="V109" s="6">
        <v>9841387101</v>
      </c>
      <c r="X109" s="7">
        <v>43750</v>
      </c>
      <c r="Z109" t="s">
        <v>1064</v>
      </c>
    </row>
    <row r="110" spans="1:26">
      <c r="A110" s="6" t="s">
        <v>3594</v>
      </c>
      <c r="B110" t="s">
        <v>3199</v>
      </c>
      <c r="D110" s="7">
        <v>43846</v>
      </c>
      <c r="E110" s="11"/>
      <c r="H110" s="6">
        <v>6150</v>
      </c>
      <c r="I110" s="8" t="s">
        <v>3377</v>
      </c>
      <c r="J110" t="s">
        <v>3250</v>
      </c>
      <c r="K110" s="6">
        <v>24</v>
      </c>
      <c r="L110" s="9" t="s">
        <v>81</v>
      </c>
      <c r="M110" s="9"/>
      <c r="N110" s="10" t="s">
        <v>3595</v>
      </c>
      <c r="Q110" t="s">
        <v>1903</v>
      </c>
      <c r="R110" t="s">
        <v>237</v>
      </c>
      <c r="S110" t="s">
        <v>1009</v>
      </c>
      <c r="T110" s="6">
        <v>9</v>
      </c>
      <c r="U110" s="10" t="s">
        <v>3596</v>
      </c>
      <c r="V110" s="6">
        <v>9814275592</v>
      </c>
      <c r="X110" s="7">
        <v>43616</v>
      </c>
      <c r="Z110" t="s">
        <v>1064</v>
      </c>
    </row>
    <row r="111" spans="1:26">
      <c r="A111" s="6" t="s">
        <v>3597</v>
      </c>
      <c r="B111" t="s">
        <v>3199</v>
      </c>
      <c r="D111" s="7">
        <v>43850</v>
      </c>
      <c r="E111" s="11"/>
      <c r="H111" s="6">
        <v>16620</v>
      </c>
      <c r="I111" s="8" t="s">
        <v>3598</v>
      </c>
      <c r="J111" t="s">
        <v>3577</v>
      </c>
      <c r="K111" s="6">
        <v>21</v>
      </c>
      <c r="L111" s="9" t="s">
        <v>81</v>
      </c>
      <c r="M111" s="9"/>
      <c r="N111" s="10" t="s">
        <v>3599</v>
      </c>
      <c r="Q111" t="s">
        <v>1903</v>
      </c>
      <c r="R111" t="s">
        <v>237</v>
      </c>
      <c r="S111" t="s">
        <v>1009</v>
      </c>
      <c r="T111" s="6">
        <v>8</v>
      </c>
      <c r="U111" s="10" t="s">
        <v>3381</v>
      </c>
      <c r="V111" s="6">
        <v>9811801863</v>
      </c>
      <c r="X111" s="7">
        <v>43709</v>
      </c>
      <c r="Z111" t="s">
        <v>1064</v>
      </c>
    </row>
    <row r="112" spans="1:26">
      <c r="A112" s="6" t="s">
        <v>3600</v>
      </c>
      <c r="B112" t="s">
        <v>3199</v>
      </c>
      <c r="D112" s="7">
        <v>43850</v>
      </c>
      <c r="E112" s="11"/>
      <c r="H112" s="6">
        <v>703</v>
      </c>
      <c r="I112" s="8" t="s">
        <v>3601</v>
      </c>
      <c r="J112" t="s">
        <v>3336</v>
      </c>
      <c r="K112" s="6">
        <v>20</v>
      </c>
      <c r="L112" s="9" t="s">
        <v>1360</v>
      </c>
      <c r="M112" s="9" t="s">
        <v>1120</v>
      </c>
      <c r="N112" s="10" t="s">
        <v>3602</v>
      </c>
      <c r="Q112" t="s">
        <v>1903</v>
      </c>
      <c r="R112" t="s">
        <v>237</v>
      </c>
      <c r="S112" t="s">
        <v>1009</v>
      </c>
      <c r="T112" s="6">
        <v>7</v>
      </c>
      <c r="U112" s="10" t="s">
        <v>3603</v>
      </c>
      <c r="V112" s="6">
        <v>9809218745</v>
      </c>
      <c r="X112" s="7">
        <v>43574</v>
      </c>
      <c r="Z112" t="s">
        <v>1064</v>
      </c>
    </row>
    <row r="113" spans="1:26">
      <c r="A113" s="6" t="s">
        <v>3604</v>
      </c>
      <c r="B113" t="s">
        <v>3199</v>
      </c>
      <c r="D113" s="7">
        <v>43850</v>
      </c>
      <c r="E113" s="11"/>
      <c r="H113" s="6">
        <v>6155</v>
      </c>
      <c r="I113" s="8" t="s">
        <v>3605</v>
      </c>
      <c r="J113" t="s">
        <v>3606</v>
      </c>
      <c r="K113" s="6">
        <v>19</v>
      </c>
      <c r="L113" s="9" t="s">
        <v>81</v>
      </c>
      <c r="M113" s="9"/>
      <c r="N113" s="10" t="s">
        <v>3607</v>
      </c>
      <c r="Q113" t="s">
        <v>1903</v>
      </c>
      <c r="R113" t="s">
        <v>237</v>
      </c>
      <c r="S113" t="s">
        <v>1009</v>
      </c>
      <c r="T113" s="6">
        <v>7</v>
      </c>
      <c r="U113" s="10" t="s">
        <v>3608</v>
      </c>
      <c r="V113" s="6">
        <v>9807298509</v>
      </c>
      <c r="X113" s="7">
        <v>43580</v>
      </c>
      <c r="Z113" t="s">
        <v>1064</v>
      </c>
    </row>
    <row r="114" spans="1:26">
      <c r="A114" s="6" t="s">
        <v>3609</v>
      </c>
      <c r="B114" t="s">
        <v>3199</v>
      </c>
      <c r="D114" s="7">
        <v>43850</v>
      </c>
      <c r="E114" s="11"/>
      <c r="H114" s="6">
        <v>16762</v>
      </c>
      <c r="I114" s="8" t="s">
        <v>3610</v>
      </c>
      <c r="J114" t="s">
        <v>3611</v>
      </c>
      <c r="K114" s="6">
        <v>18</v>
      </c>
      <c r="L114" s="9" t="s">
        <v>1360</v>
      </c>
      <c r="M114" s="9"/>
      <c r="N114" s="10" t="s">
        <v>3612</v>
      </c>
      <c r="Q114" t="s">
        <v>1903</v>
      </c>
      <c r="R114" t="s">
        <v>237</v>
      </c>
      <c r="S114" t="s">
        <v>1009</v>
      </c>
      <c r="T114" s="6">
        <v>7</v>
      </c>
      <c r="U114" s="10" t="s">
        <v>3603</v>
      </c>
      <c r="V114" s="6">
        <v>9814730810</v>
      </c>
      <c r="X114" s="7">
        <v>43747</v>
      </c>
      <c r="Z114" t="s">
        <v>1064</v>
      </c>
    </row>
    <row r="115" spans="1:26">
      <c r="A115" s="6" t="s">
        <v>3613</v>
      </c>
      <c r="B115" t="s">
        <v>3199</v>
      </c>
      <c r="D115" s="7">
        <v>43850</v>
      </c>
      <c r="E115" s="11"/>
      <c r="H115" s="6">
        <v>14423</v>
      </c>
      <c r="I115" s="8" t="s">
        <v>3614</v>
      </c>
      <c r="J115" t="s">
        <v>3267</v>
      </c>
      <c r="K115" s="6">
        <v>20</v>
      </c>
      <c r="L115" s="9" t="s">
        <v>1360</v>
      </c>
      <c r="M115" s="9" t="s">
        <v>806</v>
      </c>
      <c r="N115" s="10" t="s">
        <v>3615</v>
      </c>
      <c r="Q115" t="s">
        <v>1903</v>
      </c>
      <c r="R115" t="s">
        <v>237</v>
      </c>
      <c r="S115" t="s">
        <v>1009</v>
      </c>
      <c r="T115" s="6">
        <v>8</v>
      </c>
      <c r="U115" s="10" t="s">
        <v>3616</v>
      </c>
      <c r="V115" s="6">
        <v>9845731410</v>
      </c>
      <c r="X115" s="7">
        <v>43710</v>
      </c>
      <c r="Z115" t="s">
        <v>1064</v>
      </c>
    </row>
    <row r="116" spans="1:26">
      <c r="A116" s="6" t="s">
        <v>3617</v>
      </c>
      <c r="B116" t="s">
        <v>3199</v>
      </c>
      <c r="D116" s="7">
        <v>43850</v>
      </c>
      <c r="E116" s="11"/>
      <c r="H116" s="6">
        <v>16720</v>
      </c>
      <c r="I116" s="8" t="s">
        <v>3325</v>
      </c>
      <c r="J116" t="s">
        <v>3577</v>
      </c>
      <c r="K116" s="6">
        <v>21</v>
      </c>
      <c r="L116" s="9" t="s">
        <v>1867</v>
      </c>
      <c r="M116" s="9" t="s">
        <v>806</v>
      </c>
      <c r="N116" s="10" t="s">
        <v>3599</v>
      </c>
      <c r="Q116" t="s">
        <v>1903</v>
      </c>
      <c r="R116" t="s">
        <v>237</v>
      </c>
      <c r="S116" t="s">
        <v>1009</v>
      </c>
      <c r="T116" s="6">
        <v>8</v>
      </c>
      <c r="U116" s="10" t="s">
        <v>3618</v>
      </c>
      <c r="V116" s="6">
        <v>9811801863</v>
      </c>
      <c r="X116" s="7">
        <v>43709</v>
      </c>
      <c r="Z116" t="s">
        <v>1064</v>
      </c>
    </row>
    <row r="117" spans="1:26">
      <c r="A117" s="6" t="s">
        <v>3619</v>
      </c>
      <c r="B117" t="s">
        <v>3199</v>
      </c>
      <c r="D117" s="7">
        <v>43850</v>
      </c>
      <c r="E117" s="11"/>
      <c r="H117" s="6">
        <v>16758</v>
      </c>
      <c r="I117" s="8" t="s">
        <v>3620</v>
      </c>
      <c r="J117" t="s">
        <v>3233</v>
      </c>
      <c r="K117" s="6">
        <v>29</v>
      </c>
      <c r="L117" s="9" t="s">
        <v>81</v>
      </c>
      <c r="M117" s="9" t="s">
        <v>329</v>
      </c>
      <c r="N117" s="10" t="s">
        <v>3621</v>
      </c>
      <c r="Q117" t="s">
        <v>1903</v>
      </c>
      <c r="R117" t="s">
        <v>237</v>
      </c>
      <c r="S117" t="s">
        <v>1009</v>
      </c>
      <c r="T117" s="6">
        <v>5</v>
      </c>
      <c r="U117" s="10" t="s">
        <v>3622</v>
      </c>
      <c r="V117" s="6">
        <v>9840151420</v>
      </c>
      <c r="X117" s="7">
        <v>43680</v>
      </c>
      <c r="Z117" t="s">
        <v>1064</v>
      </c>
    </row>
    <row r="118" spans="1:26">
      <c r="A118" s="6" t="s">
        <v>3623</v>
      </c>
      <c r="B118" t="s">
        <v>3199</v>
      </c>
      <c r="D118" s="7">
        <v>43850</v>
      </c>
      <c r="E118" s="11"/>
      <c r="H118" s="6">
        <v>16737</v>
      </c>
      <c r="I118" s="8" t="s">
        <v>3349</v>
      </c>
      <c r="J118" t="s">
        <v>3238</v>
      </c>
      <c r="K118" s="6">
        <v>22</v>
      </c>
      <c r="L118" s="9" t="s">
        <v>81</v>
      </c>
      <c r="M118" s="9"/>
      <c r="N118" s="10" t="s">
        <v>3624</v>
      </c>
      <c r="Q118" t="s">
        <v>1903</v>
      </c>
      <c r="R118" t="s">
        <v>237</v>
      </c>
      <c r="S118" t="s">
        <v>1009</v>
      </c>
      <c r="T118" s="6">
        <v>9</v>
      </c>
      <c r="U118" s="10" t="s">
        <v>3625</v>
      </c>
      <c r="V118" s="6">
        <v>9811146915</v>
      </c>
      <c r="X118" s="7">
        <v>43792</v>
      </c>
      <c r="Z118" t="s">
        <v>1064</v>
      </c>
    </row>
    <row r="119" spans="1:26">
      <c r="A119" s="6" t="s">
        <v>3626</v>
      </c>
      <c r="B119" t="s">
        <v>3199</v>
      </c>
      <c r="D119" s="7">
        <v>43850</v>
      </c>
      <c r="E119" s="11"/>
      <c r="H119" s="6">
        <v>12269</v>
      </c>
      <c r="I119" s="8" t="s">
        <v>3627</v>
      </c>
      <c r="J119" t="s">
        <v>3233</v>
      </c>
      <c r="K119" s="6">
        <v>32</v>
      </c>
      <c r="L119" s="9" t="s">
        <v>81</v>
      </c>
      <c r="M119" s="9" t="s">
        <v>806</v>
      </c>
      <c r="N119" s="10" t="s">
        <v>3628</v>
      </c>
      <c r="Q119" t="s">
        <v>1903</v>
      </c>
      <c r="R119" t="s">
        <v>237</v>
      </c>
      <c r="S119" t="s">
        <v>1009</v>
      </c>
      <c r="T119" s="6">
        <v>6</v>
      </c>
      <c r="U119" s="10" t="s">
        <v>3586</v>
      </c>
      <c r="V119" s="6">
        <v>9811211605</v>
      </c>
      <c r="X119" s="7">
        <v>43675</v>
      </c>
      <c r="Z119" t="s">
        <v>1064</v>
      </c>
    </row>
    <row r="120" spans="1:26">
      <c r="A120" s="6" t="s">
        <v>3629</v>
      </c>
      <c r="B120" t="s">
        <v>3199</v>
      </c>
      <c r="D120" s="7">
        <v>43850</v>
      </c>
      <c r="E120" s="11"/>
      <c r="H120" s="6">
        <v>22130</v>
      </c>
      <c r="I120" s="8" t="s">
        <v>3311</v>
      </c>
      <c r="J120" t="s">
        <v>3630</v>
      </c>
      <c r="K120" s="6">
        <v>24</v>
      </c>
      <c r="L120" s="9" t="s">
        <v>1867</v>
      </c>
      <c r="M120" s="9" t="s">
        <v>1120</v>
      </c>
      <c r="N120" s="10" t="s">
        <v>3631</v>
      </c>
      <c r="Q120" t="s">
        <v>1903</v>
      </c>
      <c r="R120" t="s">
        <v>237</v>
      </c>
      <c r="S120" t="s">
        <v>1009</v>
      </c>
      <c r="T120" s="6">
        <v>8</v>
      </c>
      <c r="U120" s="10" t="s">
        <v>3338</v>
      </c>
      <c r="V120" s="6">
        <v>9811206834</v>
      </c>
      <c r="X120" s="7">
        <v>43584</v>
      </c>
      <c r="Z120" t="s">
        <v>1064</v>
      </c>
    </row>
    <row r="121" spans="1:26">
      <c r="A121" s="6" t="s">
        <v>3632</v>
      </c>
      <c r="B121" t="s">
        <v>3199</v>
      </c>
      <c r="D121" s="7">
        <v>43850</v>
      </c>
      <c r="E121" s="11"/>
      <c r="H121" s="6">
        <v>16741</v>
      </c>
      <c r="I121" s="8" t="s">
        <v>3633</v>
      </c>
      <c r="J121" t="s">
        <v>3577</v>
      </c>
      <c r="K121" s="6">
        <v>19</v>
      </c>
      <c r="L121" s="9" t="s">
        <v>81</v>
      </c>
      <c r="M121" s="9"/>
      <c r="N121" s="10" t="s">
        <v>3634</v>
      </c>
      <c r="Q121" t="s">
        <v>1903</v>
      </c>
      <c r="R121" t="s">
        <v>237</v>
      </c>
      <c r="S121" t="s">
        <v>1009</v>
      </c>
      <c r="T121" s="6">
        <v>6</v>
      </c>
      <c r="U121" s="10" t="s">
        <v>3635</v>
      </c>
      <c r="V121" s="6">
        <v>9819232432</v>
      </c>
      <c r="X121" s="7">
        <v>43723</v>
      </c>
      <c r="Z121" t="s">
        <v>1064</v>
      </c>
    </row>
    <row r="122" spans="1:26">
      <c r="A122" s="6" t="s">
        <v>3636</v>
      </c>
      <c r="B122" t="s">
        <v>3199</v>
      </c>
      <c r="D122" s="7">
        <v>43850</v>
      </c>
      <c r="E122" s="11"/>
      <c r="H122" s="6">
        <v>16776</v>
      </c>
      <c r="I122" s="8" t="s">
        <v>3637</v>
      </c>
      <c r="J122" t="s">
        <v>3638</v>
      </c>
      <c r="K122" s="6">
        <v>24</v>
      </c>
      <c r="L122" s="9" t="s">
        <v>81</v>
      </c>
      <c r="M122" s="9" t="s">
        <v>329</v>
      </c>
      <c r="N122" s="10" t="s">
        <v>3639</v>
      </c>
      <c r="Q122" t="s">
        <v>1903</v>
      </c>
      <c r="R122" t="s">
        <v>237</v>
      </c>
      <c r="S122" t="s">
        <v>1009</v>
      </c>
      <c r="T122" s="6">
        <v>8</v>
      </c>
      <c r="U122" s="10" t="s">
        <v>3618</v>
      </c>
      <c r="V122" s="6">
        <v>9862426196</v>
      </c>
      <c r="X122" s="7">
        <v>43755</v>
      </c>
      <c r="Z122" t="s">
        <v>1064</v>
      </c>
    </row>
    <row r="123" spans="1:26">
      <c r="A123" s="6" t="s">
        <v>3640</v>
      </c>
      <c r="B123" t="s">
        <v>3199</v>
      </c>
      <c r="D123" s="7">
        <v>43850</v>
      </c>
      <c r="E123" s="11"/>
      <c r="H123" s="6">
        <v>14193</v>
      </c>
      <c r="I123" s="8" t="s">
        <v>3232</v>
      </c>
      <c r="J123" t="s">
        <v>3641</v>
      </c>
      <c r="K123" s="6">
        <v>28</v>
      </c>
      <c r="L123" s="9" t="s">
        <v>81</v>
      </c>
      <c r="M123" s="9" t="s">
        <v>806</v>
      </c>
      <c r="N123" s="10" t="s">
        <v>3642</v>
      </c>
      <c r="Q123" t="s">
        <v>1903</v>
      </c>
      <c r="R123" t="s">
        <v>237</v>
      </c>
      <c r="S123" t="s">
        <v>1009</v>
      </c>
      <c r="T123" s="6">
        <v>7</v>
      </c>
      <c r="U123" s="10" t="s">
        <v>3264</v>
      </c>
      <c r="V123" s="6">
        <v>9849125693</v>
      </c>
      <c r="X123" s="7">
        <v>43722</v>
      </c>
      <c r="Z123" t="s">
        <v>1064</v>
      </c>
    </row>
    <row r="124" spans="1:26">
      <c r="A124" s="6" t="s">
        <v>3643</v>
      </c>
      <c r="B124" t="s">
        <v>3199</v>
      </c>
      <c r="D124" s="7">
        <v>43850</v>
      </c>
      <c r="E124" s="11"/>
      <c r="H124" s="6">
        <v>10082</v>
      </c>
      <c r="I124" s="8" t="s">
        <v>3644</v>
      </c>
      <c r="J124" t="s">
        <v>3645</v>
      </c>
      <c r="K124" s="6">
        <v>30</v>
      </c>
      <c r="L124" s="9" t="s">
        <v>1360</v>
      </c>
      <c r="M124" s="9" t="s">
        <v>806</v>
      </c>
      <c r="N124" s="10" t="s">
        <v>3646</v>
      </c>
      <c r="Q124" t="s">
        <v>1903</v>
      </c>
      <c r="R124" t="s">
        <v>237</v>
      </c>
      <c r="S124" t="s">
        <v>1009</v>
      </c>
      <c r="T124" s="6">
        <v>7</v>
      </c>
      <c r="U124" s="10" t="s">
        <v>3647</v>
      </c>
      <c r="V124" s="6">
        <v>9845784252</v>
      </c>
      <c r="X124" s="7">
        <v>43590</v>
      </c>
      <c r="Z124" t="s">
        <v>1064</v>
      </c>
    </row>
    <row r="125" spans="1:26">
      <c r="A125" s="6" t="s">
        <v>3648</v>
      </c>
      <c r="B125" t="s">
        <v>3199</v>
      </c>
      <c r="D125" s="7">
        <v>43850</v>
      </c>
      <c r="E125" s="11"/>
      <c r="H125" s="6">
        <v>16785</v>
      </c>
      <c r="I125" s="8" t="s">
        <v>3649</v>
      </c>
      <c r="J125" t="s">
        <v>3276</v>
      </c>
      <c r="K125" s="6">
        <v>19</v>
      </c>
      <c r="L125" s="9" t="s">
        <v>1867</v>
      </c>
      <c r="M125" s="9"/>
      <c r="N125" s="10" t="s">
        <v>3650</v>
      </c>
      <c r="Q125" t="s">
        <v>1903</v>
      </c>
      <c r="R125" t="s">
        <v>237</v>
      </c>
      <c r="S125" t="s">
        <v>1009</v>
      </c>
      <c r="T125" s="6">
        <v>7</v>
      </c>
      <c r="U125" s="10" t="s">
        <v>3608</v>
      </c>
      <c r="V125" s="6">
        <v>982728515</v>
      </c>
      <c r="X125" s="7">
        <v>43757</v>
      </c>
      <c r="Z125" t="s">
        <v>1064</v>
      </c>
    </row>
    <row r="126" spans="1:26">
      <c r="A126" s="6" t="s">
        <v>3651</v>
      </c>
      <c r="B126" t="s">
        <v>3199</v>
      </c>
      <c r="D126" s="7">
        <v>43850</v>
      </c>
      <c r="E126" s="11"/>
      <c r="H126" s="6">
        <v>167106</v>
      </c>
      <c r="I126" s="8" t="s">
        <v>3652</v>
      </c>
      <c r="J126" t="s">
        <v>3361</v>
      </c>
      <c r="K126" s="6">
        <v>30</v>
      </c>
      <c r="L126" s="9" t="s">
        <v>1867</v>
      </c>
      <c r="M126" s="9" t="s">
        <v>942</v>
      </c>
      <c r="N126" s="10" t="s">
        <v>3653</v>
      </c>
      <c r="Q126" t="s">
        <v>1903</v>
      </c>
      <c r="R126" t="s">
        <v>237</v>
      </c>
      <c r="S126" t="s">
        <v>1009</v>
      </c>
      <c r="T126" s="6">
        <v>6</v>
      </c>
      <c r="U126" s="10" t="s">
        <v>3586</v>
      </c>
      <c r="V126" s="6">
        <v>9807174133</v>
      </c>
      <c r="X126" s="7">
        <v>43727</v>
      </c>
      <c r="Z126" t="s">
        <v>1064</v>
      </c>
    </row>
    <row r="127" spans="1:26">
      <c r="A127" s="6" t="s">
        <v>3654</v>
      </c>
      <c r="B127" t="s">
        <v>3199</v>
      </c>
      <c r="D127" s="7">
        <v>43850</v>
      </c>
      <c r="E127" s="11"/>
      <c r="H127" s="6">
        <v>13671</v>
      </c>
      <c r="I127" s="8" t="s">
        <v>3627</v>
      </c>
      <c r="J127" t="s">
        <v>3361</v>
      </c>
      <c r="K127" s="6">
        <v>24</v>
      </c>
      <c r="L127" s="9" t="s">
        <v>81</v>
      </c>
      <c r="M127" s="9"/>
      <c r="N127" s="10" t="s">
        <v>3655</v>
      </c>
      <c r="Q127" t="s">
        <v>1903</v>
      </c>
      <c r="R127" t="s">
        <v>237</v>
      </c>
      <c r="S127" t="s">
        <v>1009</v>
      </c>
      <c r="T127" s="6">
        <v>6</v>
      </c>
      <c r="U127" s="10" t="s">
        <v>3656</v>
      </c>
      <c r="V127" s="6">
        <v>9804220747</v>
      </c>
      <c r="X127" s="7">
        <v>43724</v>
      </c>
      <c r="Z127" t="s">
        <v>1064</v>
      </c>
    </row>
    <row r="128" spans="1:26">
      <c r="A128" s="6" t="s">
        <v>3657</v>
      </c>
      <c r="B128" t="s">
        <v>3199</v>
      </c>
      <c r="D128" s="7">
        <v>43850</v>
      </c>
      <c r="E128" s="11"/>
      <c r="H128" s="6">
        <v>4787</v>
      </c>
      <c r="I128" s="8" t="s">
        <v>3658</v>
      </c>
      <c r="J128" t="s">
        <v>3577</v>
      </c>
      <c r="K128" s="6">
        <v>20</v>
      </c>
      <c r="L128" s="9" t="s">
        <v>81</v>
      </c>
      <c r="M128" s="9"/>
      <c r="N128" s="10" t="s">
        <v>3659</v>
      </c>
      <c r="Q128" t="s">
        <v>1903</v>
      </c>
      <c r="R128" t="s">
        <v>237</v>
      </c>
      <c r="S128" t="s">
        <v>1009</v>
      </c>
      <c r="T128" s="6">
        <v>6</v>
      </c>
      <c r="U128" s="10" t="s">
        <v>3586</v>
      </c>
      <c r="V128" s="6">
        <v>9825269395</v>
      </c>
      <c r="X128" s="7">
        <v>43620</v>
      </c>
      <c r="Z128" t="s">
        <v>1064</v>
      </c>
    </row>
    <row r="129" spans="1:26">
      <c r="A129" s="6" t="s">
        <v>3660</v>
      </c>
      <c r="B129" t="s">
        <v>3199</v>
      </c>
      <c r="D129" s="7">
        <v>43850</v>
      </c>
      <c r="E129" s="11"/>
      <c r="H129" s="6">
        <v>6237</v>
      </c>
      <c r="I129" s="8" t="s">
        <v>3661</v>
      </c>
      <c r="J129" t="s">
        <v>3662</v>
      </c>
      <c r="K129" s="6">
        <v>24</v>
      </c>
      <c r="L129" s="9" t="s">
        <v>1867</v>
      </c>
      <c r="M129" s="9" t="s">
        <v>806</v>
      </c>
      <c r="N129" s="10" t="s">
        <v>3663</v>
      </c>
      <c r="Q129" t="s">
        <v>1903</v>
      </c>
      <c r="R129" t="s">
        <v>237</v>
      </c>
      <c r="S129" t="s">
        <v>1009</v>
      </c>
      <c r="T129" s="6">
        <v>9</v>
      </c>
      <c r="U129" s="10" t="s">
        <v>3664</v>
      </c>
      <c r="V129" s="6">
        <v>9809256876</v>
      </c>
      <c r="X129" s="7">
        <v>43619</v>
      </c>
      <c r="Z129" t="s">
        <v>1064</v>
      </c>
    </row>
    <row r="130" spans="1:26">
      <c r="A130" s="6" t="s">
        <v>3665</v>
      </c>
      <c r="B130" t="s">
        <v>3199</v>
      </c>
      <c r="D130" s="7">
        <v>43850</v>
      </c>
      <c r="E130" s="11"/>
      <c r="H130" s="6">
        <v>12887</v>
      </c>
      <c r="I130" s="8" t="s">
        <v>3315</v>
      </c>
      <c r="J130" t="s">
        <v>3666</v>
      </c>
      <c r="K130" s="6">
        <v>25</v>
      </c>
      <c r="L130" s="9" t="s">
        <v>81</v>
      </c>
      <c r="M130" s="9" t="s">
        <v>1120</v>
      </c>
      <c r="N130" s="10" t="s">
        <v>3667</v>
      </c>
      <c r="Q130" t="s">
        <v>1903</v>
      </c>
      <c r="R130" t="s">
        <v>237</v>
      </c>
      <c r="S130" t="s">
        <v>1009</v>
      </c>
      <c r="T130" s="6">
        <v>7</v>
      </c>
      <c r="U130" s="10" t="s">
        <v>3668</v>
      </c>
      <c r="V130" s="6">
        <v>9860732321</v>
      </c>
      <c r="X130" s="7">
        <v>43577</v>
      </c>
      <c r="Z130" t="s">
        <v>1064</v>
      </c>
    </row>
    <row r="131" spans="1:26">
      <c r="A131" s="6" t="s">
        <v>3669</v>
      </c>
      <c r="B131" t="s">
        <v>3199</v>
      </c>
      <c r="D131" s="7">
        <v>43850</v>
      </c>
      <c r="E131" s="11"/>
      <c r="H131" s="6">
        <v>11995</v>
      </c>
      <c r="I131" s="8" t="s">
        <v>3670</v>
      </c>
      <c r="J131" t="s">
        <v>3666</v>
      </c>
      <c r="K131" s="6">
        <v>26</v>
      </c>
      <c r="L131" s="9" t="s">
        <v>81</v>
      </c>
      <c r="M131" s="9"/>
      <c r="N131" s="10" t="s">
        <v>3671</v>
      </c>
      <c r="Q131" t="s">
        <v>1903</v>
      </c>
      <c r="R131" t="s">
        <v>237</v>
      </c>
      <c r="S131" t="s">
        <v>1009</v>
      </c>
      <c r="T131" s="6">
        <v>7</v>
      </c>
      <c r="U131" s="10" t="s">
        <v>3668</v>
      </c>
      <c r="V131" s="6">
        <v>9821827405</v>
      </c>
      <c r="X131" s="7">
        <v>43677</v>
      </c>
      <c r="Z131" t="s">
        <v>1064</v>
      </c>
    </row>
    <row r="132" spans="1:26">
      <c r="A132" s="6" t="s">
        <v>3672</v>
      </c>
      <c r="B132" t="s">
        <v>3199</v>
      </c>
      <c r="D132" s="7">
        <v>43850</v>
      </c>
      <c r="E132" s="11"/>
      <c r="H132" s="6">
        <v>16814</v>
      </c>
      <c r="I132" s="8" t="s">
        <v>3673</v>
      </c>
      <c r="J132" t="s">
        <v>3233</v>
      </c>
      <c r="K132" s="6">
        <v>25</v>
      </c>
      <c r="L132" s="9" t="s">
        <v>81</v>
      </c>
      <c r="M132" s="9"/>
      <c r="N132" s="10" t="s">
        <v>3674</v>
      </c>
      <c r="Q132" t="s">
        <v>1903</v>
      </c>
      <c r="R132" t="s">
        <v>237</v>
      </c>
      <c r="S132" t="s">
        <v>1009</v>
      </c>
      <c r="T132" s="6">
        <v>5</v>
      </c>
      <c r="U132" s="10" t="s">
        <v>3675</v>
      </c>
      <c r="V132" s="6">
        <v>9864513573</v>
      </c>
      <c r="X132" s="7">
        <v>43754</v>
      </c>
      <c r="Z132" t="s">
        <v>1064</v>
      </c>
    </row>
    <row r="133" spans="1:26">
      <c r="A133" s="6" t="s">
        <v>3676</v>
      </c>
      <c r="B133" t="s">
        <v>3199</v>
      </c>
      <c r="D133" s="7">
        <v>43850</v>
      </c>
      <c r="E133" s="11"/>
      <c r="H133" s="6">
        <v>3046</v>
      </c>
      <c r="I133" s="8" t="s">
        <v>3677</v>
      </c>
      <c r="J133" t="s">
        <v>3361</v>
      </c>
      <c r="K133" s="6">
        <v>20</v>
      </c>
      <c r="L133" s="9" t="s">
        <v>81</v>
      </c>
      <c r="M133" s="9"/>
      <c r="N133" s="10" t="s">
        <v>3678</v>
      </c>
      <c r="Q133" t="s">
        <v>1903</v>
      </c>
      <c r="R133" t="s">
        <v>237</v>
      </c>
      <c r="S133" t="s">
        <v>1009</v>
      </c>
      <c r="T133" s="6">
        <v>6</v>
      </c>
      <c r="U133" s="10" t="s">
        <v>3679</v>
      </c>
      <c r="V133" s="6">
        <v>9816266192</v>
      </c>
      <c r="X133" s="7">
        <v>43602</v>
      </c>
      <c r="Z133" t="s">
        <v>1064</v>
      </c>
    </row>
    <row r="134" spans="1:26">
      <c r="A134" s="6" t="s">
        <v>3680</v>
      </c>
      <c r="B134" t="s">
        <v>3199</v>
      </c>
      <c r="D134" s="7">
        <v>43850</v>
      </c>
      <c r="E134" s="11"/>
      <c r="H134" s="6">
        <v>3046</v>
      </c>
      <c r="I134" s="8" t="s">
        <v>3591</v>
      </c>
      <c r="J134" t="s">
        <v>3361</v>
      </c>
      <c r="K134" s="6">
        <v>20</v>
      </c>
      <c r="L134" s="9" t="s">
        <v>81</v>
      </c>
      <c r="M134" s="9"/>
      <c r="N134" s="10" t="s">
        <v>3678</v>
      </c>
      <c r="Q134" t="s">
        <v>1903</v>
      </c>
      <c r="R134" t="s">
        <v>237</v>
      </c>
      <c r="S134" t="s">
        <v>1009</v>
      </c>
      <c r="T134" s="6">
        <v>6</v>
      </c>
      <c r="U134" s="10" t="s">
        <v>3679</v>
      </c>
      <c r="V134" s="6">
        <v>9816266192</v>
      </c>
      <c r="X134" s="7">
        <v>43602</v>
      </c>
      <c r="Z134" t="s">
        <v>1064</v>
      </c>
    </row>
    <row r="135" spans="1:26">
      <c r="A135" s="6" t="s">
        <v>3681</v>
      </c>
      <c r="B135" t="s">
        <v>3199</v>
      </c>
      <c r="D135" s="7">
        <v>43850</v>
      </c>
      <c r="E135" s="11"/>
      <c r="H135" s="6">
        <v>7069</v>
      </c>
      <c r="I135" s="8" t="s">
        <v>3682</v>
      </c>
      <c r="J135" t="s">
        <v>3683</v>
      </c>
      <c r="K135" s="6">
        <v>19</v>
      </c>
      <c r="L135" s="9" t="s">
        <v>824</v>
      </c>
      <c r="M135" s="9" t="s">
        <v>329</v>
      </c>
      <c r="N135" s="10" t="s">
        <v>3684</v>
      </c>
      <c r="Q135" t="s">
        <v>1903</v>
      </c>
      <c r="R135" t="s">
        <v>237</v>
      </c>
      <c r="S135" t="s">
        <v>1009</v>
      </c>
      <c r="T135" s="6">
        <v>7</v>
      </c>
      <c r="U135" s="10" t="s">
        <v>3685</v>
      </c>
      <c r="V135" s="6">
        <v>9821201786</v>
      </c>
      <c r="X135" s="7">
        <v>43578</v>
      </c>
      <c r="Z135" t="s">
        <v>1064</v>
      </c>
    </row>
    <row r="136" spans="1:26">
      <c r="A136" s="6" t="s">
        <v>3686</v>
      </c>
      <c r="B136" t="s">
        <v>3199</v>
      </c>
      <c r="D136" s="7">
        <v>43871</v>
      </c>
      <c r="E136" s="11"/>
      <c r="H136" s="6">
        <v>18069</v>
      </c>
      <c r="I136" s="8" t="s">
        <v>3687</v>
      </c>
      <c r="J136" t="s">
        <v>3688</v>
      </c>
      <c r="K136" s="6">
        <v>20</v>
      </c>
      <c r="L136" s="9" t="s">
        <v>81</v>
      </c>
      <c r="M136" s="9"/>
      <c r="N136" s="10" t="s">
        <v>3689</v>
      </c>
      <c r="Q136" t="s">
        <v>1903</v>
      </c>
      <c r="R136" t="s">
        <v>237</v>
      </c>
      <c r="S136" t="s">
        <v>1009</v>
      </c>
      <c r="T136" s="6">
        <v>8</v>
      </c>
      <c r="U136" s="6"/>
      <c r="V136" s="6"/>
      <c r="X136" s="7">
        <v>43871</v>
      </c>
      <c r="Z136" t="s">
        <v>1064</v>
      </c>
    </row>
    <row r="137" spans="1:26">
      <c r="A137" s="6" t="s">
        <v>3690</v>
      </c>
      <c r="B137" t="s">
        <v>3199</v>
      </c>
      <c r="D137" s="7">
        <v>43871</v>
      </c>
      <c r="E137" s="11"/>
      <c r="H137" s="6">
        <v>12948</v>
      </c>
      <c r="I137" s="8" t="s">
        <v>3691</v>
      </c>
      <c r="J137" t="s">
        <v>3250</v>
      </c>
      <c r="K137" s="6">
        <v>27</v>
      </c>
      <c r="L137" s="9" t="s">
        <v>81</v>
      </c>
      <c r="M137" s="9"/>
      <c r="N137" s="10" t="s">
        <v>3692</v>
      </c>
      <c r="Q137" t="s">
        <v>1903</v>
      </c>
      <c r="R137" t="s">
        <v>237</v>
      </c>
      <c r="S137" t="s">
        <v>1009</v>
      </c>
      <c r="T137" s="6">
        <v>7</v>
      </c>
      <c r="U137" s="6"/>
      <c r="V137" s="6"/>
      <c r="X137" s="7">
        <v>43687</v>
      </c>
      <c r="Z137" t="s">
        <v>1064</v>
      </c>
    </row>
    <row r="138" spans="1:26">
      <c r="A138" s="6" t="s">
        <v>3693</v>
      </c>
      <c r="B138" t="s">
        <v>3199</v>
      </c>
      <c r="D138" s="7">
        <v>43871</v>
      </c>
      <c r="E138" s="11"/>
      <c r="H138" s="6">
        <v>18547</v>
      </c>
      <c r="I138" s="8" t="s">
        <v>3694</v>
      </c>
      <c r="J138" t="s">
        <v>3288</v>
      </c>
      <c r="K138" s="6">
        <v>21</v>
      </c>
      <c r="L138" s="9" t="s">
        <v>81</v>
      </c>
      <c r="M138" s="9"/>
      <c r="N138" s="10" t="s">
        <v>3695</v>
      </c>
      <c r="Q138" t="s">
        <v>1903</v>
      </c>
      <c r="R138" t="s">
        <v>237</v>
      </c>
      <c r="S138" t="s">
        <v>1009</v>
      </c>
      <c r="T138" s="6">
        <v>7</v>
      </c>
      <c r="U138" s="6"/>
      <c r="V138" s="6">
        <v>9841216135</v>
      </c>
      <c r="X138" s="7">
        <v>43735</v>
      </c>
      <c r="Z138" t="s">
        <v>1064</v>
      </c>
    </row>
  </sheetData>
  <dataValidations count="28">
    <dataValidation type="custom" showErrorMessage="1" error="This cell cannot be changed" sqref="A5">
      <formula1>"A5 &lt;&gt; TEI id"</formula1>
    </dataValidation>
    <dataValidation type="custom" showErrorMessage="1" error="This cell cannot be changed" sqref="B5">
      <formula1>"B5 &lt;&gt; Org Unit *"</formula1>
    </dataValidation>
    <dataValidation type="custom" showErrorMessage="1" error="This cell cannot be changed" sqref="C5">
      <formula1>"C5 &lt;&gt; No geometry"</formula1>
    </dataValidation>
    <dataValidation type="custom" showErrorMessage="1" error="This cell cannot be changed" sqref="D5">
      <formula1>"D5 &lt;&gt; दर्ता मिति *
(YYYY-MM-DD)"</formula1>
    </dataValidation>
    <dataValidation type="custom" showErrorMessage="1" error="This cell cannot be changed" sqref="E5">
      <formula1>"E5 &lt;&gt; Incident Date
(YYYY-MM-DD)"</formula1>
    </dataValidation>
    <dataValidation type="custom" showErrorMessage="1" error="This cell cannot be changed" sqref="F5">
      <formula1>"F5 &lt;&gt; _PX3WWmyY0g0"</formula1>
    </dataValidation>
    <dataValidation type="custom" showErrorMessage="1" error="This cell cannot be changed" sqref="G5">
      <formula1>"G5 &lt;&gt; _q3NpuWzGvso"</formula1>
    </dataValidation>
    <dataValidation type="custom" showErrorMessage="1" error="This cell cannot be changed" sqref="H5">
      <formula1>"H5 &lt;&gt; _fDkrYoZxJW3"</formula1>
    </dataValidation>
    <dataValidation type="custom" showErrorMessage="1" error="This cell cannot be changed" sqref="I5">
      <formula1>"I5 &lt;&gt; _yBYTz1M15tf"</formula1>
    </dataValidation>
    <dataValidation type="custom" showErrorMessage="1" error="This cell cannot be changed" sqref="J5">
      <formula1>"J5 &lt;&gt; _MqBkcXtzszn"</formula1>
    </dataValidation>
    <dataValidation type="custom" showErrorMessage="1" error="This cell cannot be changed" sqref="K5">
      <formula1>"K5 &lt;&gt; _i607dSgfm4F"</formula1>
    </dataValidation>
    <dataValidation type="custom" showErrorMessage="1" error="This cell cannot be changed" sqref="L5">
      <formula1>"L5 &lt;&gt; _yifOETNxcrj"</formula1>
    </dataValidation>
    <dataValidation type="custom" showErrorMessage="1" error="This cell cannot be changed" sqref="M5">
      <formula1>"M5 &lt;&gt; _nVrdcUpsOnO"</formula1>
    </dataValidation>
    <dataValidation type="custom" showErrorMessage="1" error="This cell cannot be changed" sqref="N5">
      <formula1>"N5 &lt;&gt; _Z6vPv9TxH6I"</formula1>
    </dataValidation>
    <dataValidation type="custom" showErrorMessage="1" error="This cell cannot be changed" sqref="O5">
      <formula1>"O5 &lt;&gt; _JQZ0c0t6BTc"</formula1>
    </dataValidation>
    <dataValidation type="custom" showErrorMessage="1" error="This cell cannot be changed" sqref="P5">
      <formula1>"P5 &lt;&gt; _j9UDLMABvmF"</formula1>
    </dataValidation>
    <dataValidation type="custom" showErrorMessage="1" error="This cell cannot be changed" sqref="Q5">
      <formula1>"Q5 &lt;&gt; _S1EHDiKo9bW"</formula1>
    </dataValidation>
    <dataValidation type="custom" showErrorMessage="1" error="This cell cannot be changed" sqref="R5">
      <formula1>"R5 &lt;&gt; _kDMuBUg6Zjf"</formula1>
    </dataValidation>
    <dataValidation type="custom" showErrorMessage="1" error="This cell cannot be changed" sqref="S5">
      <formula1>"S5 &lt;&gt; _eo54yWBzEE6"</formula1>
    </dataValidation>
    <dataValidation type="custom" showErrorMessage="1" error="This cell cannot be changed" sqref="T5">
      <formula1>"T5 &lt;&gt; _mDR6zfT5lEl"</formula1>
    </dataValidation>
    <dataValidation type="custom" showErrorMessage="1" error="This cell cannot be changed" sqref="U5">
      <formula1>"U5 &lt;&gt; _ze4jTINKRre"</formula1>
    </dataValidation>
    <dataValidation type="custom" showErrorMessage="1" error="This cell cannot be changed" sqref="V5">
      <formula1>"V5 &lt;&gt; _EWFhOqCrPBX"</formula1>
    </dataValidation>
    <dataValidation type="custom" showErrorMessage="1" error="This cell cannot be changed" sqref="W5">
      <formula1>"W5 &lt;&gt; _Vi2zVxwc05k"</formula1>
    </dataValidation>
    <dataValidation type="custom" showErrorMessage="1" error="This cell cannot be changed" sqref="X5">
      <formula1>"X5 &lt;&gt; _BNcupjySWTY"</formula1>
    </dataValidation>
    <dataValidation type="custom" showErrorMessage="1" error="This cell cannot be changed" sqref="Y5">
      <formula1>"Y5 &lt;&gt; _LeelllbVRYW"</formula1>
    </dataValidation>
    <dataValidation type="custom" showErrorMessage="1" error="This cell cannot be changed" sqref="Z5">
      <formula1>"Z5 &lt;&gt; _smhwRCPk1j0"</formula1>
    </dataValidation>
    <dataValidation type="custom" showErrorMessage="1" error="This cell cannot be changed" sqref="AA5">
      <formula1>"AA5 &lt;&gt; _GELdFmHdBeq"</formula1>
    </dataValidation>
    <dataValidation type="custom" showErrorMessage="1" error="This cell cannot be changed" sqref="AB5">
      <formula1>"AB5 &lt;&gt; _OEvuxRFFkKG"</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000-000001000000}">
            <xm:f>ISERROR(MATCH(B6,Validation!$A$3:$A$4,0))</xm:f>
            <x14:dxf>
              <font>
                <b/>
                <sz val="12"/>
                <color rgb="FFFF0000"/>
                <name val="Calibri"/>
                <family val="1"/>
              </font>
            </x14:dxf>
          </x14:cfRule>
          <xm:sqref>B6:B1048576</xm:sqref>
        </x14:conditionalFormatting>
        <x14:conditionalFormatting xmlns:xm="http://schemas.microsoft.com/office/excel/2006/main">
          <x14:cfRule type="expression" priority="2" id="{00000000-000E-0000-0000-000002000000}">
            <xm:f>ISERROR(MATCH(L6,Validation!$U$3:$U$9,0))</xm:f>
            <x14:dxf>
              <font>
                <b/>
                <sz val="12"/>
                <color rgb="FFFF0000"/>
                <name val="Calibri"/>
                <family val="1"/>
              </font>
            </x14:dxf>
          </x14:cfRule>
          <xm:sqref>L6:L1048576</xm:sqref>
        </x14:conditionalFormatting>
        <x14:conditionalFormatting xmlns:xm="http://schemas.microsoft.com/office/excel/2006/main">
          <x14:cfRule type="expression" priority="3" id="{00000000-000E-0000-0000-000003000000}">
            <xm:f>ISERROR(MATCH(M6,Validation!$AV$3:$AV$11,0))</xm:f>
            <x14:dxf>
              <font>
                <b/>
                <sz val="12"/>
                <color rgb="FFFF0000"/>
                <name val="Calibri"/>
                <family val="1"/>
              </font>
            </x14:dxf>
          </x14:cfRule>
          <xm:sqref>M6:M1048576</xm:sqref>
        </x14:conditionalFormatting>
        <x14:conditionalFormatting xmlns:xm="http://schemas.microsoft.com/office/excel/2006/main">
          <x14:cfRule type="expression" priority="4" id="{00000000-000E-0000-0000-000004000000}">
            <xm:f>ISERROR(MATCH(O6,Validation!$BI$3:$BI$4,0))</xm:f>
            <x14:dxf>
              <font>
                <b/>
                <sz val="12"/>
                <color rgb="FFFF0000"/>
                <name val="Calibri"/>
                <family val="1"/>
              </font>
            </x14:dxf>
          </x14:cfRule>
          <xm:sqref>O6:O1048576</xm:sqref>
        </x14:conditionalFormatting>
        <x14:conditionalFormatting xmlns:xm="http://schemas.microsoft.com/office/excel/2006/main">
          <x14:cfRule type="expression" priority="5" id="{00000000-000E-0000-0000-000005000000}">
            <xm:f>ISERROR(MATCH(Q6,Validation!$AS$3:$AS$10,0))</xm:f>
            <x14:dxf>
              <font>
                <b/>
                <sz val="12"/>
                <color rgb="FFFF0000"/>
                <name val="Calibri"/>
                <family val="1"/>
              </font>
            </x14:dxf>
          </x14:cfRule>
          <xm:sqref>Q6:Q1048576</xm:sqref>
        </x14:conditionalFormatting>
        <x14:conditionalFormatting xmlns:xm="http://schemas.microsoft.com/office/excel/2006/main">
          <x14:cfRule type="expression" priority="6" id="{00000000-000E-0000-0000-000006000000}">
            <xm:f>ISERROR(MATCH(R6,Validation!$AI$3:$AI$80,0))</xm:f>
            <x14:dxf>
              <font>
                <b/>
                <sz val="12"/>
                <color rgb="FFFF0000"/>
                <name val="Calibri"/>
                <family val="1"/>
              </font>
            </x14:dxf>
          </x14:cfRule>
          <xm:sqref>R6:R1048576</xm:sqref>
        </x14:conditionalFormatting>
        <x14:conditionalFormatting xmlns:xm="http://schemas.microsoft.com/office/excel/2006/main">
          <x14:cfRule type="expression" priority="7" id="{00000000-000E-0000-0000-000007000000}">
            <xm:f>ISERROR(MATCH(S6,Validation!$AR$3:$AR$756,0))</xm:f>
            <x14:dxf>
              <font>
                <b/>
                <sz val="12"/>
                <color rgb="FFFF0000"/>
                <name val="Calibri"/>
                <family val="1"/>
              </font>
            </x14:dxf>
          </x14:cfRule>
          <xm:sqref>S6:S1048576</xm:sqref>
        </x14:conditionalFormatting>
        <x14:conditionalFormatting xmlns:xm="http://schemas.microsoft.com/office/excel/2006/main">
          <x14:cfRule type="expression" priority="8" id="{00000000-000E-0000-0000-000008000000}">
            <xm:f>ISERROR(MATCH(Z6,Validation!$BH$3:$BH$5,0))</xm:f>
            <x14:dxf>
              <font>
                <b/>
                <sz val="12"/>
                <color rgb="FFFF0000"/>
                <name val="Calibri"/>
                <family val="1"/>
              </font>
            </x14:dxf>
          </x14:cfRule>
          <xm:sqref>Z6:Z1048576</xm:sqref>
        </x14:conditionalFormatting>
        <x14:conditionalFormatting xmlns:xm="http://schemas.microsoft.com/office/excel/2006/main">
          <x14:cfRule type="expression" priority="9" id="{00000000-000E-0000-0000-000009000000}">
            <xm:f>ISERROR(MATCH(AB6,Validation!$AZ$3:$AZ$5,0))</xm:f>
            <x14:dxf>
              <font>
                <b/>
                <sz val="12"/>
                <color rgb="FFFF0000"/>
                <name val="Calibri"/>
                <family val="1"/>
              </font>
            </x14:dxf>
          </x14:cfRule>
          <xm:sqref>AB6:AB1048576</xm:sqref>
        </x14:conditionalFormatting>
      </x14:conditionalFormattings>
    </ext>
    <ext xmlns:x14="http://schemas.microsoft.com/office/spreadsheetml/2009/9/main" uri="{CCE6A557-97BC-4b89-ADB6-D9C93CAAB3DF}">
      <x14:dataValidations xmlns:xm="http://schemas.microsoft.com/office/excel/2006/main" count="9">
        <x14:dataValidation type="list" errorStyle="warning" allowBlank="1" showErrorMessage="1" error="This site does not exist in DHIS2, please talk to your administrator to create this site before uploading data" xr:uid="{00000000-0002-0000-0000-000002000000}">
          <x14:formula1>
            <xm:f>Validation!$A$3:$A$4</xm:f>
          </x14:formula1>
          <xm:sqref>B6:B1048576</xm:sqref>
        </x14:dataValidation>
        <x14:dataValidation type="list" errorStyle="warning" allowBlank="1" showErrorMessage="1" error="Invalid choice was chosen" xr:uid="{00000000-0002-0000-0000-00000D000000}">
          <x14:formula1>
            <xm:f>Validation!$U$3:$U$9</xm:f>
          </x14:formula1>
          <xm:sqref>L6:L1048576</xm:sqref>
        </x14:dataValidation>
        <x14:dataValidation type="list" errorStyle="warning" allowBlank="1" showErrorMessage="1" error="Invalid choice was chosen" xr:uid="{00000000-0002-0000-0000-00000F000000}">
          <x14:formula1>
            <xm:f>Validation!$AV$3:$AV$11</xm:f>
          </x14:formula1>
          <xm:sqref>M6:M1048576</xm:sqref>
        </x14:dataValidation>
        <x14:dataValidation type="list" errorStyle="warning" allowBlank="1" showErrorMessage="1" error="Invalid choice was chosen" xr:uid="{00000000-0002-0000-0000-000012000000}">
          <x14:formula1>
            <xm:f>Validation!$BI$3:$BI$4</xm:f>
          </x14:formula1>
          <xm:sqref>O6:O1048576</xm:sqref>
        </x14:dataValidation>
        <x14:dataValidation type="list" errorStyle="warning" allowBlank="1" showErrorMessage="1" error="Invalid choice was chosen" xr:uid="{00000000-0002-0000-0000-000015000000}">
          <x14:formula1>
            <xm:f>Validation!$AS$3:$AS$10</xm:f>
          </x14:formula1>
          <xm:sqref>Q6:Q1048576</xm:sqref>
        </x14:dataValidation>
        <x14:dataValidation type="list" errorStyle="warning" allowBlank="1" showErrorMessage="1" error="Invalid choice was chosen" xr:uid="{00000000-0002-0000-0000-000017000000}">
          <x14:formula1>
            <xm:f>Validation!$AI$3:$AI$80</xm:f>
          </x14:formula1>
          <xm:sqref>R6:R1048576</xm:sqref>
        </x14:dataValidation>
        <x14:dataValidation type="list" errorStyle="warning" allowBlank="1" showErrorMessage="1" error="Invalid choice was chosen" xr:uid="{00000000-0002-0000-0000-000019000000}">
          <x14:formula1>
            <xm:f>Validation!$AR$3:$AR$756</xm:f>
          </x14:formula1>
          <xm:sqref>S6:S1048576</xm:sqref>
        </x14:dataValidation>
        <x14:dataValidation type="list" errorStyle="warning" allowBlank="1" showErrorMessage="1" error="Invalid choice was chosen" xr:uid="{00000000-0002-0000-0000-000021000000}">
          <x14:formula1>
            <xm:f>Validation!$BH$3:$BH$5</xm:f>
          </x14:formula1>
          <xm:sqref>Z6:Z1048576</xm:sqref>
        </x14:dataValidation>
        <x14:dataValidation type="list" errorStyle="warning" allowBlank="1" showErrorMessage="1" error="Invalid choice was chosen" xr:uid="{00000000-0002-0000-0000-000024000000}">
          <x14:formula1>
            <xm:f>Validation!$AZ$3:$AZ$5</xm:f>
          </x14:formula1>
          <xm:sqref>AB6:AB1048576</xm:sqref>
        </x14:dataValidation>
      </x14:dataValidations>
    </ext>
  </extLst>
</worksheet>
</file>

<file path=xl/worksheets/sheet10.xml><?xml version="1.0" encoding="utf-8"?>
<worksheet xmlns="http://schemas.openxmlformats.org/spreadsheetml/2006/main" xmlns:r="http://schemas.openxmlformats.org/officeDocument/2006/relationships">
  <dimension ref="A1:N2"/>
  <sheetViews>
    <sheetView zoomScaleNormal="100" workbookViewId="0">
      <pane ySplit="2" topLeftCell="A3" activePane="bottomLeft" state="frozen"/>
      <selection pane="bottomLeft"/>
    </sheetView>
  </sheetViews>
  <sheetFormatPr defaultColWidth="11" defaultRowHeight="15.75"/>
  <cols>
    <col min="1" max="4" width="20" customWidth="1"/>
    <col min="5" max="5" width="17.625" customWidth="1"/>
    <col min="6" max="6" width="19.125" customWidth="1"/>
    <col min="7" max="7" width="17.125" customWidth="1"/>
    <col min="8" max="8" width="16" customWidth="1"/>
    <col min="9" max="9" width="22" customWidth="1"/>
    <col min="10" max="10" width="23.625" customWidth="1"/>
    <col min="11" max="11" width="17.125" customWidth="1"/>
    <col min="12" max="12" width="16" customWidth="1"/>
    <col min="13" max="13" width="14.375" customWidth="1"/>
    <col min="14" max="14" width="18.875" customWidth="1"/>
  </cols>
  <sheetData>
    <row r="1" spans="1:14" ht="30" customHeight="1">
      <c r="A1" s="1" t="str">
        <f>_JQnHPKqFZ0H</f>
        <v>यातायात, उत्प्रेरणा तथा न्यानो झोलाको विवरण</v>
      </c>
      <c r="E1" s="13" t="str">
        <f>_B4kxqi2BxXF</f>
        <v>यातायात, उत्प्रेरणा तथा न्यानो झोलाको विवरण</v>
      </c>
      <c r="F1" s="13"/>
      <c r="G1" s="13"/>
      <c r="H1" s="13"/>
      <c r="I1" s="13"/>
      <c r="J1" s="13"/>
      <c r="K1" s="13"/>
      <c r="L1" s="13"/>
      <c r="M1" s="13"/>
      <c r="N1" s="13"/>
    </row>
    <row r="2" spans="1:14" ht="50.1" customHeight="1">
      <c r="A2" s="1" t="s">
        <v>3224</v>
      </c>
      <c r="B2" s="1" t="s">
        <v>3225</v>
      </c>
      <c r="C2" s="1" t="s">
        <v>2</v>
      </c>
      <c r="D2" s="1" t="s">
        <v>3227</v>
      </c>
      <c r="E2" s="3" t="str">
        <f>_Wp83xhdnRec</f>
        <v>यातायात खर्च वितरण</v>
      </c>
      <c r="F2" s="3" t="str">
        <f>_xOTc6VCp2QR</f>
        <v>यातायात खर्च पाएको मिति
(YYYY-MM-DD)</v>
      </c>
      <c r="G2" s="3" t="str">
        <f>_USfBZHIYelp</f>
        <v>यातायात खर्च (रु.)</v>
      </c>
      <c r="H2" s="3" t="str">
        <f>_slZ63IghtEs</f>
        <v>कारण लेख्नुहोस्</v>
      </c>
      <c r="I2" s="3" t="str">
        <f>_pgGpBBYGKEM</f>
        <v>गर्भवती उत्प्रेरणा खर्च वितरण</v>
      </c>
      <c r="J2" s="3" t="str">
        <f>_eHRumu0UWaK</f>
        <v>गर्भवती उत्प्रेरणा खर्च पाएको मिति
(YYYY-MM-DD)</v>
      </c>
      <c r="K2" s="3" t="str">
        <f>_vRbS7LzMQAZ</f>
        <v>गर्भवती खर्च (रु.)</v>
      </c>
      <c r="L2" s="3" t="str">
        <f>_oFYxBfe4oUN</f>
        <v>कारण लेख्नुहोस्</v>
      </c>
      <c r="M2" s="3" t="str">
        <f>_oSjk62Ahyx3</f>
        <v>न्यानो झोला</v>
      </c>
      <c r="N2" s="3" t="str">
        <f>_iksQN8XHdCU</f>
        <v>न्यानो झोला पाएको मिति
(YYYY-MM-DD)</v>
      </c>
    </row>
  </sheetData>
  <mergeCells count="1">
    <mergeCell ref="E1:N1"/>
  </mergeCells>
  <dataValidations count="14">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_Wp83xhdnRec"</formula1>
    </dataValidation>
    <dataValidation type="custom" showErrorMessage="1" error="This cell cannot be changed" sqref="F2">
      <formula1>"F2 &lt;&gt; _xOTc6VCp2QR"</formula1>
    </dataValidation>
    <dataValidation type="custom" showErrorMessage="1" error="This cell cannot be changed" sqref="G2">
      <formula1>"G2 &lt;&gt; _USfBZHIYelp"</formula1>
    </dataValidation>
    <dataValidation type="custom" showErrorMessage="1" error="This cell cannot be changed" sqref="H2">
      <formula1>"H2 &lt;&gt; _slZ63IghtEs"</formula1>
    </dataValidation>
    <dataValidation type="custom" showErrorMessage="1" error="This cell cannot be changed" sqref="I2">
      <formula1>"I2 &lt;&gt; _pgGpBBYGKEM"</formula1>
    </dataValidation>
    <dataValidation type="custom" showErrorMessage="1" error="This cell cannot be changed" sqref="J2">
      <formula1>"J2 &lt;&gt; _eHRumu0UWaK"</formula1>
    </dataValidation>
    <dataValidation type="custom" showErrorMessage="1" error="This cell cannot be changed" sqref="K2">
      <formula1>"K2 &lt;&gt; _vRbS7LzMQAZ"</formula1>
    </dataValidation>
    <dataValidation type="custom" showErrorMessage="1" error="This cell cannot be changed" sqref="L2">
      <formula1>"L2 &lt;&gt; _oFYxBfe4oUN"</formula1>
    </dataValidation>
    <dataValidation type="custom" showErrorMessage="1" error="This cell cannot be changed" sqref="M2">
      <formula1>"M2 &lt;&gt; _oSjk62Ahyx3"</formula1>
    </dataValidation>
    <dataValidation type="custom" showErrorMessage="1" error="This cell cannot be changed" sqref="N2">
      <formula1>"N2 &lt;&gt; _iksQN8XHdCU"</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9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9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900-000003000000}">
            <xm:f>ISERROR(MATCH(E3,Validation!$AD$3:$AD$5,0))</xm:f>
            <x14:dxf>
              <font>
                <b/>
                <sz val="12"/>
                <color rgb="FFFF0000"/>
                <name val="Calibri"/>
                <family val="1"/>
              </font>
            </x14:dxf>
          </x14:cfRule>
          <xm:sqref>E3:E1048576</xm:sqref>
        </x14:conditionalFormatting>
        <x14:conditionalFormatting xmlns:xm="http://schemas.microsoft.com/office/excel/2006/main">
          <x14:cfRule type="expression" priority="4" id="{00000000-000E-0000-0900-000004000000}">
            <xm:f>ISERROR(MATCH(I3,Validation!$AD$3:$AD$5,0))</xm:f>
            <x14:dxf>
              <font>
                <b/>
                <sz val="12"/>
                <color rgb="FFFF0000"/>
                <name val="Calibri"/>
                <family val="1"/>
              </font>
            </x14:dxf>
          </x14:cfRule>
          <xm:sqref>I3:I1048576</xm:sqref>
        </x14:conditionalFormatting>
        <x14:conditionalFormatting xmlns:xm="http://schemas.microsoft.com/office/excel/2006/main">
          <x14:cfRule type="expression" priority="5" id="{00000000-000E-0000-0900-000005000000}">
            <xm:f>ISERROR(MATCH(M3,Validation!$AD$3:$AD$5,0))</xm:f>
            <x14:dxf>
              <font>
                <b/>
                <sz val="12"/>
                <color rgb="FFFF0000"/>
                <name val="Calibri"/>
                <family val="1"/>
              </font>
            </x14:dxf>
          </x14:cfRule>
          <xm:sqref>M3:M1048576</xm:sqref>
        </x14:conditionalFormatting>
      </x14:conditionalFormattings>
    </ext>
    <ext xmlns:x14="http://schemas.microsoft.com/office/spreadsheetml/2009/9/main" uri="{CCE6A557-97BC-4b89-ADB6-D9C93CAAB3DF}">
      <x14:dataValidations xmlns:xm="http://schemas.microsoft.com/office/excel/2006/main" count="3">
        <x14:dataValidation type="list" errorStyle="warning" allowBlank="1" showErrorMessage="1" error="Invalid choice was chosen" xr:uid="{00000000-0002-0000-0900-000002000000}">
          <x14:formula1>
            <xm:f>'TEI Instances'!$A$6:$A$1024</xm:f>
          </x14:formula1>
          <xm:sqref>B3:B1048576</xm:sqref>
        </x14:dataValidation>
        <x14:dataValidation type="list" errorStyle="warning" allowBlank="1" showErrorMessage="1" error="Invalid choice was chosen" xr:uid="{00000000-0002-0000-0900-000004000000}">
          <x14:formula1>
            <xm:f>Validation!$C$3:$C$4</xm:f>
          </x14:formula1>
          <xm:sqref>C3:C1048576</xm:sqref>
        </x14:dataValidation>
        <x14:dataValidation type="list" errorStyle="warning" allowBlank="1" showErrorMessage="1" error="Invalid choice was chosen" xr:uid="{00000000-0002-0000-0900-000007000000}">
          <x14:formula1>
            <xm:f>Validation!$AD$3:$AD$5</xm:f>
          </x14:formula1>
          <xm:sqref>E3:E1048576 M3:M1048576 I3:I1048576</xm:sqref>
        </x14:dataValidation>
      </x14:dataValidations>
    </ext>
  </extLst>
</worksheet>
</file>

<file path=xl/worksheets/sheet11.xml><?xml version="1.0" encoding="utf-8"?>
<worksheet xmlns="http://schemas.openxmlformats.org/spreadsheetml/2006/main" xmlns:r="http://schemas.openxmlformats.org/officeDocument/2006/relationships">
  <dimension ref="A1:L2"/>
  <sheetViews>
    <sheetView zoomScaleNormal="100" workbookViewId="0">
      <pane ySplit="2" topLeftCell="A3" activePane="bottomLeft" state="frozen"/>
      <selection pane="bottomLeft"/>
    </sheetView>
  </sheetViews>
  <sheetFormatPr defaultColWidth="11" defaultRowHeight="15.75"/>
  <cols>
    <col min="1" max="4" width="20" customWidth="1"/>
    <col min="5" max="5" width="14.875" customWidth="1"/>
    <col min="6" max="6" width="17.125" customWidth="1"/>
    <col min="7" max="7" width="22" customWidth="1"/>
    <col min="8" max="8" width="21.625" customWidth="1"/>
    <col min="9" max="10" width="15.625" customWidth="1"/>
    <col min="11" max="11" width="14.375" customWidth="1"/>
    <col min="12" max="12" width="15.625" customWidth="1"/>
  </cols>
  <sheetData>
    <row r="1" spans="1:12" ht="30" customHeight="1">
      <c r="A1" s="1" t="str">
        <f>_Mdd3KGHuhLs</f>
        <v>परिणामहरू</v>
      </c>
      <c r="E1" s="13" t="str">
        <f>_zQYSbusHNvP</f>
        <v>परिणामहरू</v>
      </c>
      <c r="F1" s="13"/>
      <c r="G1" s="13"/>
      <c r="H1" s="13"/>
      <c r="I1" s="13"/>
      <c r="J1" s="13"/>
      <c r="K1" s="13"/>
      <c r="L1" s="13"/>
    </row>
    <row r="2" spans="1:12" ht="50.1" customHeight="1">
      <c r="A2" s="1" t="s">
        <v>3224</v>
      </c>
      <c r="B2" s="1" t="s">
        <v>3225</v>
      </c>
      <c r="C2" s="1" t="s">
        <v>2</v>
      </c>
      <c r="D2" s="1" t="s">
        <v>3227</v>
      </c>
      <c r="E2" s="3" t="str">
        <f>_DM5lmA58VdW</f>
        <v>आमाको अवस्था</v>
      </c>
      <c r="F2" s="3" t="str">
        <f>_q702Ay8jTOV</f>
        <v>मृत्यु मिति र समय 
(YYYY-MM-DDTHH:mm)</v>
      </c>
      <c r="G2" s="3" t="str">
        <f>_RXvxSC2KGnq</f>
        <v>आमाको मृत्यु स्थिति छान्नुहोस्</v>
      </c>
      <c r="H2" s="3" t="str">
        <f>_p5O7IRxXAsT</f>
        <v>आमाको मृत्यु स्थान छान्नुहोस्</v>
      </c>
      <c r="I2" s="3" t="str">
        <f>_H7cXPNUSuZm</f>
        <v>कारण लेख्नुहोस</v>
      </c>
      <c r="J2" s="3" t="str">
        <f>_RqGndaj6IFL</f>
        <v>बच्चाको अवस्था</v>
      </c>
      <c r="K2" s="3" t="str">
        <f>_yR0V5tbKP1Z</f>
        <v>मृत्यु मिती
(YYYY-MM-DD)</v>
      </c>
      <c r="L2" s="3" t="str">
        <f>_bi9FN2il4hD</f>
        <v>कारण लेख्नुहोस</v>
      </c>
    </row>
  </sheetData>
  <mergeCells count="1">
    <mergeCell ref="E1:L1"/>
  </mergeCells>
  <dataValidations count="12">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_DM5lmA58VdW"</formula1>
    </dataValidation>
    <dataValidation type="custom" showErrorMessage="1" error="This cell cannot be changed" sqref="F2">
      <formula1>"F2 &lt;&gt; _q702Ay8jTOV"</formula1>
    </dataValidation>
    <dataValidation type="custom" showErrorMessage="1" error="This cell cannot be changed" sqref="G2">
      <formula1>"G2 &lt;&gt; _RXvxSC2KGnq"</formula1>
    </dataValidation>
    <dataValidation type="custom" showErrorMessage="1" error="This cell cannot be changed" sqref="H2">
      <formula1>"H2 &lt;&gt; _p5O7IRxXAsT"</formula1>
    </dataValidation>
    <dataValidation type="custom" showErrorMessage="1" error="This cell cannot be changed" sqref="I2">
      <formula1>"I2 &lt;&gt; _H7cXPNUSuZm"</formula1>
    </dataValidation>
    <dataValidation type="custom" showErrorMessage="1" error="This cell cannot be changed" sqref="J2">
      <formula1>"J2 &lt;&gt; _RqGndaj6IFL"</formula1>
    </dataValidation>
    <dataValidation type="custom" showErrorMessage="1" error="This cell cannot be changed" sqref="K2">
      <formula1>"K2 &lt;&gt; _yR0V5tbKP1Z"</formula1>
    </dataValidation>
    <dataValidation type="custom" showErrorMessage="1" error="This cell cannot be changed" sqref="L2">
      <formula1>"L2 &lt;&gt; _bi9FN2il4hD"</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A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A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A00-000003000000}">
            <xm:f>ISERROR(MATCH(E3,Validation!$Q$3:$Q$5,0))</xm:f>
            <x14:dxf>
              <font>
                <b/>
                <sz val="12"/>
                <color rgb="FFFF0000"/>
                <name val="Calibri"/>
                <family val="1"/>
              </font>
            </x14:dxf>
          </x14:cfRule>
          <xm:sqref>E3:E1048576</xm:sqref>
        </x14:conditionalFormatting>
        <x14:conditionalFormatting xmlns:xm="http://schemas.microsoft.com/office/excel/2006/main">
          <x14:cfRule type="expression" priority="4" id="{00000000-000E-0000-0A00-000004000000}">
            <xm:f>ISERROR(MATCH(G3,Validation!$Z$3:$Z$6,0))</xm:f>
            <x14:dxf>
              <font>
                <b/>
                <sz val="12"/>
                <color rgb="FFFF0000"/>
                <name val="Calibri"/>
                <family val="1"/>
              </font>
            </x14:dxf>
          </x14:cfRule>
          <xm:sqref>G3:G1048576</xm:sqref>
        </x14:conditionalFormatting>
        <x14:conditionalFormatting xmlns:xm="http://schemas.microsoft.com/office/excel/2006/main">
          <x14:cfRule type="expression" priority="5" id="{00000000-000E-0000-0A00-000005000000}">
            <xm:f>ISERROR(MATCH(H3,Validation!$AT$3:$AT$6,0))</xm:f>
            <x14:dxf>
              <font>
                <b/>
                <sz val="12"/>
                <color rgb="FFFF0000"/>
                <name val="Calibri"/>
                <family val="1"/>
              </font>
            </x14:dxf>
          </x14:cfRule>
          <xm:sqref>H3:H1048576</xm:sqref>
        </x14:conditionalFormatting>
        <x14:conditionalFormatting xmlns:xm="http://schemas.microsoft.com/office/excel/2006/main">
          <x14:cfRule type="expression" priority="6" id="{00000000-000E-0000-0A00-000006000000}">
            <xm:f>ISERROR(MATCH(J3,Validation!$Q$3:$Q$5,0))</xm:f>
            <x14:dxf>
              <font>
                <b/>
                <sz val="12"/>
                <color rgb="FFFF0000"/>
                <name val="Calibri"/>
                <family val="1"/>
              </font>
            </x14:dxf>
          </x14:cfRule>
          <xm:sqref>J3:J1048576</xm:sqref>
        </x14:conditionalFormatting>
      </x14:conditionalFormattings>
    </ext>
    <ext xmlns:x14="http://schemas.microsoft.com/office/spreadsheetml/2009/9/main" uri="{CCE6A557-97BC-4b89-ADB6-D9C93CAAB3DF}">
      <x14:dataValidations xmlns:xm="http://schemas.microsoft.com/office/excel/2006/main" count="5">
        <x14:dataValidation type="list" errorStyle="warning" allowBlank="1" showErrorMessage="1" error="Invalid choice was chosen" xr:uid="{00000000-0002-0000-0A00-000002000000}">
          <x14:formula1>
            <xm:f>'TEI Instances'!$A$6:$A$1024</xm:f>
          </x14:formula1>
          <xm:sqref>B3:B1048576</xm:sqref>
        </x14:dataValidation>
        <x14:dataValidation type="list" errorStyle="warning" allowBlank="1" showErrorMessage="1" error="Invalid choice was chosen" xr:uid="{00000000-0002-0000-0A00-000004000000}">
          <x14:formula1>
            <xm:f>Validation!$C$3:$C$4</xm:f>
          </x14:formula1>
          <xm:sqref>C3:C1048576</xm:sqref>
        </x14:dataValidation>
        <x14:dataValidation type="list" errorStyle="warning" allowBlank="1" showErrorMessage="1" error="Invalid choice was chosen" xr:uid="{00000000-0002-0000-0A00-000007000000}">
          <x14:formula1>
            <xm:f>Validation!$Q$3:$Q$5</xm:f>
          </x14:formula1>
          <xm:sqref>E3:E1048576 J3:J1048576</xm:sqref>
        </x14:dataValidation>
        <x14:dataValidation type="list" errorStyle="warning" allowBlank="1" showErrorMessage="1" error="Invalid choice was chosen" xr:uid="{00000000-0002-0000-0A00-00000A000000}">
          <x14:formula1>
            <xm:f>Validation!$Z$3:$Z$6</xm:f>
          </x14:formula1>
          <xm:sqref>G3:G1048576</xm:sqref>
        </x14:dataValidation>
        <x14:dataValidation type="list" errorStyle="warning" allowBlank="1" showErrorMessage="1" error="Invalid choice was chosen" xr:uid="{00000000-0002-0000-0A00-00000C000000}">
          <x14:formula1>
            <xm:f>Validation!$AT$3:$AT$6</xm:f>
          </x14:formula1>
          <xm:sqref>H3:H1048576</xm:sqref>
        </x14:dataValidation>
      </x14:dataValidations>
    </ext>
  </extLst>
</worksheet>
</file>

<file path=xl/worksheets/sheet12.xml><?xml version="1.0" encoding="utf-8"?>
<worksheet xmlns="http://schemas.openxmlformats.org/spreadsheetml/2006/main" xmlns:r="http://schemas.openxmlformats.org/officeDocument/2006/relationships">
  <dimension ref="A1:E139"/>
  <sheetViews>
    <sheetView zoomScaleNormal="100" workbookViewId="0">
      <pane ySplit="2" topLeftCell="A3" activePane="bottomLeft" state="frozen"/>
      <selection pane="bottomLeft"/>
    </sheetView>
  </sheetViews>
  <sheetFormatPr defaultColWidth="11" defaultRowHeight="15.75"/>
  <cols>
    <col min="1" max="2" width="50" customWidth="1"/>
    <col min="3" max="4" width="20" customWidth="1"/>
    <col min="5" max="5" width="40" customWidth="1"/>
  </cols>
  <sheetData>
    <row r="1" spans="1:5">
      <c r="A1" s="17" t="s">
        <v>7</v>
      </c>
      <c r="B1" s="17" t="s">
        <v>3204</v>
      </c>
      <c r="C1" s="17" t="s">
        <v>8</v>
      </c>
      <c r="D1" s="17" t="s">
        <v>9</v>
      </c>
      <c r="E1" s="17" t="s">
        <v>10</v>
      </c>
    </row>
    <row r="2" spans="1:5">
      <c r="A2" s="17"/>
      <c r="B2" s="17"/>
      <c r="C2" s="17"/>
      <c r="D2" s="17"/>
      <c r="E2" s="17"/>
    </row>
    <row r="3" spans="1:5">
      <c r="A3" t="s">
        <v>2957</v>
      </c>
      <c r="C3" t="s">
        <v>2483</v>
      </c>
      <c r="D3" t="s">
        <v>1061</v>
      </c>
      <c r="E3" t="s">
        <v>1062</v>
      </c>
    </row>
    <row r="4" spans="1:5">
      <c r="A4" t="s">
        <v>2305</v>
      </c>
      <c r="C4" t="s">
        <v>2483</v>
      </c>
      <c r="D4" t="s">
        <v>1065</v>
      </c>
      <c r="E4" t="s">
        <v>1066</v>
      </c>
    </row>
    <row r="5" spans="1:5">
      <c r="A5" t="s">
        <v>2790</v>
      </c>
      <c r="C5" t="s">
        <v>2483</v>
      </c>
    </row>
    <row r="6" spans="1:5">
      <c r="A6" t="s">
        <v>2869</v>
      </c>
      <c r="C6" t="s">
        <v>2483</v>
      </c>
    </row>
    <row r="7" spans="1:5">
      <c r="A7" t="s">
        <v>2265</v>
      </c>
      <c r="C7" t="s">
        <v>2483</v>
      </c>
      <c r="D7" t="s">
        <v>1065</v>
      </c>
      <c r="E7" t="s">
        <v>1066</v>
      </c>
    </row>
    <row r="8" spans="1:5">
      <c r="A8" t="s">
        <v>2755</v>
      </c>
      <c r="C8" t="s">
        <v>2483</v>
      </c>
    </row>
    <row r="9" spans="1:5">
      <c r="A9" t="s">
        <v>2946</v>
      </c>
      <c r="C9" t="s">
        <v>2483</v>
      </c>
      <c r="D9" t="s">
        <v>1065</v>
      </c>
      <c r="E9" t="s">
        <v>1066</v>
      </c>
    </row>
    <row r="10" spans="1:5">
      <c r="A10" t="s">
        <v>2885</v>
      </c>
      <c r="C10" t="s">
        <v>2483</v>
      </c>
      <c r="D10" t="s">
        <v>821</v>
      </c>
      <c r="E10" t="s">
        <v>822</v>
      </c>
    </row>
    <row r="11" spans="1:5">
      <c r="A11" t="s">
        <v>2936</v>
      </c>
      <c r="C11" t="s">
        <v>2483</v>
      </c>
      <c r="D11" t="s">
        <v>208</v>
      </c>
      <c r="E11" t="s">
        <v>209</v>
      </c>
    </row>
    <row r="12" spans="1:5">
      <c r="A12" t="s">
        <v>2888</v>
      </c>
      <c r="C12" t="s">
        <v>2518</v>
      </c>
    </row>
    <row r="13" spans="1:5">
      <c r="A13" t="s">
        <v>2963</v>
      </c>
      <c r="C13" t="s">
        <v>2518</v>
      </c>
    </row>
    <row r="14" spans="1:5">
      <c r="A14" t="s">
        <v>2986</v>
      </c>
      <c r="C14" t="s">
        <v>2518</v>
      </c>
    </row>
    <row r="15" spans="1:5">
      <c r="A15" t="s">
        <v>2928</v>
      </c>
      <c r="C15" t="s">
        <v>2518</v>
      </c>
    </row>
    <row r="16" spans="1:5">
      <c r="A16" t="s">
        <v>2860</v>
      </c>
      <c r="C16" t="s">
        <v>2518</v>
      </c>
    </row>
    <row r="17" spans="1:5">
      <c r="A17" t="s">
        <v>2876</v>
      </c>
      <c r="C17" t="s">
        <v>2518</v>
      </c>
    </row>
    <row r="18" spans="1:5">
      <c r="A18" t="s">
        <v>2938</v>
      </c>
      <c r="C18" t="s">
        <v>2483</v>
      </c>
    </row>
    <row r="19" spans="1:5">
      <c r="A19" t="s">
        <v>2980</v>
      </c>
      <c r="C19" t="s">
        <v>2518</v>
      </c>
    </row>
    <row r="20" spans="1:5">
      <c r="A20" t="s">
        <v>2850</v>
      </c>
      <c r="C20" t="s">
        <v>2483</v>
      </c>
      <c r="D20" t="s">
        <v>52</v>
      </c>
      <c r="E20" t="s">
        <v>53</v>
      </c>
    </row>
    <row r="21" spans="1:5">
      <c r="A21" t="s">
        <v>2782</v>
      </c>
      <c r="C21" t="s">
        <v>2505</v>
      </c>
    </row>
    <row r="22" spans="1:5">
      <c r="A22" t="s">
        <v>2881</v>
      </c>
      <c r="C22" t="s">
        <v>2483</v>
      </c>
      <c r="D22" t="s">
        <v>827</v>
      </c>
      <c r="E22" t="s">
        <v>828</v>
      </c>
    </row>
    <row r="23" spans="1:5">
      <c r="A23" t="s">
        <v>2823</v>
      </c>
      <c r="C23" t="s">
        <v>2483</v>
      </c>
      <c r="D23" t="s">
        <v>1065</v>
      </c>
      <c r="E23" t="s">
        <v>1066</v>
      </c>
    </row>
    <row r="24" spans="1:5">
      <c r="A24" t="s">
        <v>2792</v>
      </c>
      <c r="C24" t="s">
        <v>2483</v>
      </c>
    </row>
    <row r="25" spans="1:5">
      <c r="A25" t="s">
        <v>2883</v>
      </c>
      <c r="C25" t="s">
        <v>2518</v>
      </c>
    </row>
    <row r="26" spans="1:5">
      <c r="A26" t="s">
        <v>2834</v>
      </c>
      <c r="C26" t="s">
        <v>2505</v>
      </c>
    </row>
    <row r="27" spans="1:5">
      <c r="A27" t="s">
        <v>2901</v>
      </c>
      <c r="C27" t="s">
        <v>2505</v>
      </c>
    </row>
    <row r="28" spans="1:5">
      <c r="A28" t="s">
        <v>2802</v>
      </c>
      <c r="C28" t="s">
        <v>2505</v>
      </c>
    </row>
    <row r="29" spans="1:5">
      <c r="A29" t="s">
        <v>2926</v>
      </c>
      <c r="C29" t="s">
        <v>2505</v>
      </c>
    </row>
    <row r="30" spans="1:5">
      <c r="A30" t="s">
        <v>2836</v>
      </c>
      <c r="C30" t="s">
        <v>2518</v>
      </c>
    </row>
    <row r="31" spans="1:5">
      <c r="A31" t="s">
        <v>2862</v>
      </c>
      <c r="C31" t="s">
        <v>2505</v>
      </c>
    </row>
    <row r="32" spans="1:5">
      <c r="A32" t="s">
        <v>3205</v>
      </c>
      <c r="C32" t="s">
        <v>2489</v>
      </c>
    </row>
    <row r="33" spans="1:5">
      <c r="A33" t="s">
        <v>2988</v>
      </c>
      <c r="C33" t="s">
        <v>2515</v>
      </c>
    </row>
    <row r="34" spans="1:5">
      <c r="A34" t="s">
        <v>3002</v>
      </c>
      <c r="C34" t="s">
        <v>2515</v>
      </c>
    </row>
    <row r="35" spans="1:5">
      <c r="A35" t="s">
        <v>2854</v>
      </c>
      <c r="C35" t="s">
        <v>2515</v>
      </c>
    </row>
    <row r="36" spans="1:5">
      <c r="A36" t="s">
        <v>2878</v>
      </c>
      <c r="C36" t="s">
        <v>2515</v>
      </c>
    </row>
    <row r="37" spans="1:5">
      <c r="A37" t="s">
        <v>2973</v>
      </c>
      <c r="C37" t="s">
        <v>2515</v>
      </c>
    </row>
    <row r="38" spans="1:5">
      <c r="A38" t="s">
        <v>2994</v>
      </c>
      <c r="C38" t="s">
        <v>2515</v>
      </c>
    </row>
    <row r="39" spans="1:5">
      <c r="A39" t="s">
        <v>2796</v>
      </c>
      <c r="C39" t="s">
        <v>2515</v>
      </c>
    </row>
    <row r="40" spans="1:5">
      <c r="A40" t="s">
        <v>2759</v>
      </c>
      <c r="C40" t="s">
        <v>2515</v>
      </c>
    </row>
    <row r="41" spans="1:5">
      <c r="A41" t="s">
        <v>2948</v>
      </c>
      <c r="C41" t="s">
        <v>2515</v>
      </c>
    </row>
    <row r="42" spans="1:5">
      <c r="A42" t="s">
        <v>2990</v>
      </c>
      <c r="C42" t="s">
        <v>2505</v>
      </c>
    </row>
    <row r="43" spans="1:5">
      <c r="A43" t="s">
        <v>2852</v>
      </c>
      <c r="C43" t="s">
        <v>2483</v>
      </c>
    </row>
    <row r="44" spans="1:5">
      <c r="A44" t="s">
        <v>2930</v>
      </c>
      <c r="C44" t="s">
        <v>2505</v>
      </c>
    </row>
    <row r="45" spans="1:5">
      <c r="A45" t="s">
        <v>2810</v>
      </c>
      <c r="C45" t="s">
        <v>2505</v>
      </c>
    </row>
    <row r="46" spans="1:5">
      <c r="A46" t="s">
        <v>3206</v>
      </c>
      <c r="C46" t="s">
        <v>2489</v>
      </c>
    </row>
    <row r="47" spans="1:5">
      <c r="A47" t="s">
        <v>751</v>
      </c>
      <c r="C47" t="s">
        <v>2483</v>
      </c>
      <c r="D47" t="s">
        <v>751</v>
      </c>
      <c r="E47" t="s">
        <v>752</v>
      </c>
    </row>
    <row r="48" spans="1:5">
      <c r="A48" t="s">
        <v>2762</v>
      </c>
      <c r="C48" t="s">
        <v>2483</v>
      </c>
      <c r="D48" t="s">
        <v>274</v>
      </c>
      <c r="E48" t="s">
        <v>275</v>
      </c>
    </row>
    <row r="49" spans="1:5">
      <c r="A49" t="s">
        <v>2899</v>
      </c>
      <c r="C49" t="s">
        <v>2483</v>
      </c>
      <c r="D49" t="s">
        <v>269</v>
      </c>
      <c r="E49" t="s">
        <v>270</v>
      </c>
    </row>
    <row r="50" spans="1:5">
      <c r="A50" t="s">
        <v>2984</v>
      </c>
      <c r="C50" t="s">
        <v>2515</v>
      </c>
    </row>
    <row r="51" spans="1:5">
      <c r="A51" t="s">
        <v>2794</v>
      </c>
      <c r="C51" t="s">
        <v>2518</v>
      </c>
    </row>
    <row r="52" spans="1:5">
      <c r="A52" t="s">
        <v>2996</v>
      </c>
      <c r="C52" t="s">
        <v>2483</v>
      </c>
      <c r="D52" t="s">
        <v>324</v>
      </c>
      <c r="E52" t="s">
        <v>325</v>
      </c>
    </row>
    <row r="53" spans="1:5">
      <c r="A53" t="s">
        <v>2749</v>
      </c>
      <c r="C53" t="s">
        <v>2483</v>
      </c>
      <c r="D53" t="s">
        <v>379</v>
      </c>
      <c r="E53" t="s">
        <v>299</v>
      </c>
    </row>
    <row r="54" spans="1:5">
      <c r="A54" t="s">
        <v>2914</v>
      </c>
      <c r="C54" t="s">
        <v>2505</v>
      </c>
    </row>
    <row r="55" spans="1:5">
      <c r="A55" t="s">
        <v>2819</v>
      </c>
      <c r="C55" t="s">
        <v>2518</v>
      </c>
    </row>
    <row r="56" spans="1:5">
      <c r="A56" t="s">
        <v>2827</v>
      </c>
      <c r="C56" t="s">
        <v>2505</v>
      </c>
    </row>
    <row r="57" spans="1:5">
      <c r="A57" t="s">
        <v>2379</v>
      </c>
      <c r="C57" t="s">
        <v>2518</v>
      </c>
    </row>
    <row r="58" spans="1:5">
      <c r="A58" t="s">
        <v>2965</v>
      </c>
      <c r="C58" t="s">
        <v>2518</v>
      </c>
    </row>
    <row r="59" spans="1:5">
      <c r="A59" t="s">
        <v>2896</v>
      </c>
      <c r="C59" t="s">
        <v>2897</v>
      </c>
    </row>
    <row r="60" spans="1:5">
      <c r="A60" t="s">
        <v>2967</v>
      </c>
      <c r="C60" t="s">
        <v>2505</v>
      </c>
    </row>
    <row r="61" spans="1:5">
      <c r="A61" t="s">
        <v>2916</v>
      </c>
      <c r="C61" t="s">
        <v>2518</v>
      </c>
    </row>
    <row r="62" spans="1:5">
      <c r="A62" t="s">
        <v>2903</v>
      </c>
      <c r="C62" t="s">
        <v>2483</v>
      </c>
    </row>
    <row r="63" spans="1:5">
      <c r="A63" t="s">
        <v>2961</v>
      </c>
      <c r="C63" t="s">
        <v>2483</v>
      </c>
    </row>
    <row r="64" spans="1:5">
      <c r="A64" t="s">
        <v>2817</v>
      </c>
      <c r="C64" t="s">
        <v>2505</v>
      </c>
    </row>
    <row r="65" spans="1:5">
      <c r="A65" t="s">
        <v>2751</v>
      </c>
      <c r="C65" t="s">
        <v>2505</v>
      </c>
    </row>
    <row r="66" spans="1:5">
      <c r="A66" t="s">
        <v>196</v>
      </c>
      <c r="C66" t="s">
        <v>2483</v>
      </c>
      <c r="D66" t="s">
        <v>196</v>
      </c>
      <c r="E66" t="s">
        <v>197</v>
      </c>
    </row>
    <row r="67" spans="1:5">
      <c r="A67" t="s">
        <v>2774</v>
      </c>
      <c r="C67" t="s">
        <v>2518</v>
      </c>
    </row>
    <row r="68" spans="1:5">
      <c r="A68" t="s">
        <v>2769</v>
      </c>
      <c r="C68" t="s">
        <v>2518</v>
      </c>
    </row>
    <row r="69" spans="1:5">
      <c r="A69" t="s">
        <v>2982</v>
      </c>
      <c r="C69" t="s">
        <v>2505</v>
      </c>
    </row>
    <row r="70" spans="1:5">
      <c r="A70" t="s">
        <v>2894</v>
      </c>
      <c r="C70" t="s">
        <v>2505</v>
      </c>
    </row>
    <row r="71" spans="1:5">
      <c r="A71" t="s">
        <v>2772</v>
      </c>
      <c r="C71" t="s">
        <v>2523</v>
      </c>
    </row>
    <row r="72" spans="1:5">
      <c r="A72" t="s">
        <v>3207</v>
      </c>
      <c r="C72" t="s">
        <v>2489</v>
      </c>
    </row>
    <row r="73" spans="1:5">
      <c r="A73" t="s">
        <v>2954</v>
      </c>
      <c r="B73" t="s">
        <v>3208</v>
      </c>
      <c r="C73" t="s">
        <v>2483</v>
      </c>
    </row>
    <row r="74" spans="1:5">
      <c r="A74" t="s">
        <v>3209</v>
      </c>
      <c r="C74" t="s">
        <v>2830</v>
      </c>
    </row>
    <row r="75" spans="1:5">
      <c r="A75" t="s">
        <v>3210</v>
      </c>
      <c r="C75" t="s">
        <v>2830</v>
      </c>
    </row>
    <row r="76" spans="1:5">
      <c r="A76" t="s">
        <v>3211</v>
      </c>
      <c r="C76" t="s">
        <v>2830</v>
      </c>
    </row>
    <row r="77" spans="1:5">
      <c r="A77" t="s">
        <v>2920</v>
      </c>
      <c r="C77" t="s">
        <v>2483</v>
      </c>
      <c r="D77" t="s">
        <v>170</v>
      </c>
      <c r="E77" t="s">
        <v>171</v>
      </c>
    </row>
    <row r="78" spans="1:5">
      <c r="A78" t="s">
        <v>2892</v>
      </c>
      <c r="C78" t="s">
        <v>2483</v>
      </c>
      <c r="D78" t="s">
        <v>831</v>
      </c>
      <c r="E78" t="s">
        <v>832</v>
      </c>
    </row>
    <row r="79" spans="1:5">
      <c r="A79" t="s">
        <v>2992</v>
      </c>
      <c r="C79" t="s">
        <v>2483</v>
      </c>
      <c r="D79" t="s">
        <v>312</v>
      </c>
      <c r="E79" t="s">
        <v>313</v>
      </c>
    </row>
    <row r="80" spans="1:5">
      <c r="A80" t="s">
        <v>1448</v>
      </c>
      <c r="C80" t="s">
        <v>2483</v>
      </c>
      <c r="D80" t="s">
        <v>1448</v>
      </c>
      <c r="E80" t="s">
        <v>1449</v>
      </c>
    </row>
    <row r="81" spans="1:5">
      <c r="A81" t="s">
        <v>2757</v>
      </c>
      <c r="C81" t="s">
        <v>2483</v>
      </c>
      <c r="D81" t="s">
        <v>475</v>
      </c>
      <c r="E81" t="s">
        <v>476</v>
      </c>
    </row>
    <row r="82" spans="1:5">
      <c r="A82" t="s">
        <v>2840</v>
      </c>
      <c r="C82" t="s">
        <v>2483</v>
      </c>
      <c r="D82" t="s">
        <v>202</v>
      </c>
      <c r="E82" t="s">
        <v>203</v>
      </c>
    </row>
    <row r="83" spans="1:5">
      <c r="A83" t="s">
        <v>2786</v>
      </c>
      <c r="C83" t="s">
        <v>2483</v>
      </c>
      <c r="D83" t="s">
        <v>46</v>
      </c>
      <c r="E83" t="s">
        <v>47</v>
      </c>
    </row>
    <row r="84" spans="1:5">
      <c r="A84" t="s">
        <v>2912</v>
      </c>
      <c r="C84" t="s">
        <v>2483</v>
      </c>
      <c r="D84" t="s">
        <v>456</v>
      </c>
      <c r="E84" t="s">
        <v>457</v>
      </c>
    </row>
    <row r="85" spans="1:5">
      <c r="A85" t="s">
        <v>2907</v>
      </c>
      <c r="C85" t="s">
        <v>2483</v>
      </c>
      <c r="D85" t="s">
        <v>208</v>
      </c>
      <c r="E85" t="s">
        <v>209</v>
      </c>
    </row>
    <row r="86" spans="1:5">
      <c r="A86" t="s">
        <v>2890</v>
      </c>
      <c r="C86" t="s">
        <v>2518</v>
      </c>
    </row>
    <row r="87" spans="1:5">
      <c r="A87" t="s">
        <v>2944</v>
      </c>
      <c r="C87" t="s">
        <v>2483</v>
      </c>
      <c r="D87" t="s">
        <v>188</v>
      </c>
      <c r="E87" t="s">
        <v>189</v>
      </c>
    </row>
    <row r="88" spans="1:5">
      <c r="A88" t="s">
        <v>2844</v>
      </c>
      <c r="C88" t="s">
        <v>2483</v>
      </c>
      <c r="D88" t="s">
        <v>98</v>
      </c>
      <c r="E88" t="s">
        <v>99</v>
      </c>
    </row>
    <row r="89" spans="1:5">
      <c r="A89" t="s">
        <v>2832</v>
      </c>
      <c r="C89" t="s">
        <v>2483</v>
      </c>
      <c r="D89" t="s">
        <v>124</v>
      </c>
      <c r="E89" t="s">
        <v>125</v>
      </c>
    </row>
    <row r="90" spans="1:5">
      <c r="A90" t="s">
        <v>2846</v>
      </c>
      <c r="C90" t="s">
        <v>2483</v>
      </c>
      <c r="D90" t="s">
        <v>497</v>
      </c>
      <c r="E90" t="s">
        <v>498</v>
      </c>
    </row>
    <row r="91" spans="1:5">
      <c r="A91" t="s">
        <v>2975</v>
      </c>
      <c r="C91" t="s">
        <v>2483</v>
      </c>
      <c r="D91" t="s">
        <v>786</v>
      </c>
      <c r="E91" t="s">
        <v>787</v>
      </c>
    </row>
    <row r="92" spans="1:5">
      <c r="A92" t="s">
        <v>2788</v>
      </c>
      <c r="C92" t="s">
        <v>2518</v>
      </c>
    </row>
    <row r="93" spans="1:5">
      <c r="A93" t="s">
        <v>2784</v>
      </c>
      <c r="C93" t="s">
        <v>2483</v>
      </c>
      <c r="D93" t="s">
        <v>1454</v>
      </c>
      <c r="E93" t="s">
        <v>1455</v>
      </c>
    </row>
    <row r="94" spans="1:5">
      <c r="A94" t="s">
        <v>2856</v>
      </c>
      <c r="C94" t="s">
        <v>2518</v>
      </c>
    </row>
    <row r="95" spans="1:5">
      <c r="A95" t="s">
        <v>2764</v>
      </c>
      <c r="C95" t="s">
        <v>2483</v>
      </c>
      <c r="D95" t="s">
        <v>1772</v>
      </c>
      <c r="E95" t="s">
        <v>1773</v>
      </c>
    </row>
    <row r="96" spans="1:5">
      <c r="A96" t="s">
        <v>2874</v>
      </c>
      <c r="C96" t="s">
        <v>2505</v>
      </c>
    </row>
    <row r="97" spans="1:5">
      <c r="A97" t="s">
        <v>2798</v>
      </c>
      <c r="C97" t="s">
        <v>2483</v>
      </c>
    </row>
    <row r="98" spans="1:5">
      <c r="A98" t="s">
        <v>2959</v>
      </c>
      <c r="C98" t="s">
        <v>2483</v>
      </c>
    </row>
    <row r="99" spans="1:5">
      <c r="A99" t="s">
        <v>42</v>
      </c>
      <c r="C99" t="s">
        <v>2483</v>
      </c>
      <c r="D99" t="s">
        <v>42</v>
      </c>
      <c r="E99" t="s">
        <v>43</v>
      </c>
    </row>
    <row r="100" spans="1:5">
      <c r="A100" t="s">
        <v>2909</v>
      </c>
      <c r="C100" t="s">
        <v>2483</v>
      </c>
    </row>
    <row r="101" spans="1:5">
      <c r="A101" t="s">
        <v>1144</v>
      </c>
      <c r="C101" t="s">
        <v>2483</v>
      </c>
    </row>
    <row r="102" spans="1:5">
      <c r="A102" t="s">
        <v>1173</v>
      </c>
      <c r="C102" t="s">
        <v>2483</v>
      </c>
      <c r="D102" t="s">
        <v>1173</v>
      </c>
      <c r="E102" t="s">
        <v>43</v>
      </c>
    </row>
    <row r="103" spans="1:5">
      <c r="A103" t="s">
        <v>1929</v>
      </c>
      <c r="C103" t="s">
        <v>2483</v>
      </c>
      <c r="D103" t="s">
        <v>1929</v>
      </c>
      <c r="E103" t="s">
        <v>1755</v>
      </c>
    </row>
    <row r="104" spans="1:5">
      <c r="A104" t="s">
        <v>1754</v>
      </c>
      <c r="C104" t="s">
        <v>2483</v>
      </c>
      <c r="D104" t="s">
        <v>1754</v>
      </c>
      <c r="E104" t="s">
        <v>1755</v>
      </c>
    </row>
    <row r="105" spans="1:5">
      <c r="A105" t="s">
        <v>239</v>
      </c>
      <c r="C105" t="s">
        <v>2483</v>
      </c>
      <c r="D105" t="s">
        <v>239</v>
      </c>
      <c r="E105" t="s">
        <v>43</v>
      </c>
    </row>
    <row r="106" spans="1:5">
      <c r="A106" t="s">
        <v>2778</v>
      </c>
      <c r="C106" t="s">
        <v>2483</v>
      </c>
      <c r="D106" t="s">
        <v>971</v>
      </c>
      <c r="E106" t="s">
        <v>972</v>
      </c>
    </row>
    <row r="107" spans="1:5">
      <c r="A107" t="s">
        <v>3212</v>
      </c>
      <c r="C107" t="s">
        <v>2489</v>
      </c>
    </row>
    <row r="108" spans="1:5">
      <c r="A108" t="s">
        <v>2952</v>
      </c>
      <c r="C108" t="s">
        <v>2483</v>
      </c>
    </row>
    <row r="109" spans="1:5">
      <c r="A109" t="s">
        <v>2786</v>
      </c>
      <c r="C109" t="s">
        <v>2483</v>
      </c>
      <c r="D109" t="s">
        <v>971</v>
      </c>
      <c r="E109" t="s">
        <v>972</v>
      </c>
    </row>
    <row r="110" spans="1:5">
      <c r="A110" t="s">
        <v>3213</v>
      </c>
      <c r="C110" t="s">
        <v>2830</v>
      </c>
    </row>
    <row r="111" spans="1:5">
      <c r="A111" t="s">
        <v>2952</v>
      </c>
      <c r="C111" t="s">
        <v>2483</v>
      </c>
    </row>
    <row r="112" spans="1:5">
      <c r="A112" t="s">
        <v>2999</v>
      </c>
      <c r="C112" t="s">
        <v>2483</v>
      </c>
      <c r="D112" t="s">
        <v>721</v>
      </c>
      <c r="E112" t="s">
        <v>171</v>
      </c>
    </row>
    <row r="113" spans="1:5">
      <c r="A113" t="s">
        <v>2842</v>
      </c>
      <c r="C113" t="s">
        <v>2483</v>
      </c>
      <c r="D113" t="s">
        <v>426</v>
      </c>
      <c r="E113" t="s">
        <v>427</v>
      </c>
    </row>
    <row r="114" spans="1:5">
      <c r="A114" t="s">
        <v>2780</v>
      </c>
      <c r="C114" t="s">
        <v>2483</v>
      </c>
      <c r="D114" t="s">
        <v>257</v>
      </c>
      <c r="E114" t="s">
        <v>258</v>
      </c>
    </row>
    <row r="115" spans="1:5">
      <c r="A115" t="s">
        <v>2806</v>
      </c>
      <c r="C115" t="s">
        <v>2523</v>
      </c>
    </row>
    <row r="116" spans="1:5">
      <c r="A116" t="s">
        <v>2924</v>
      </c>
      <c r="C116" t="s">
        <v>2483</v>
      </c>
      <c r="D116" t="s">
        <v>252</v>
      </c>
      <c r="E116" t="s">
        <v>253</v>
      </c>
    </row>
    <row r="117" spans="1:5">
      <c r="A117" t="s">
        <v>2975</v>
      </c>
      <c r="C117" t="s">
        <v>2483</v>
      </c>
      <c r="D117" t="s">
        <v>786</v>
      </c>
      <c r="E117" t="s">
        <v>787</v>
      </c>
    </row>
    <row r="118" spans="1:5">
      <c r="A118" t="s">
        <v>2776</v>
      </c>
      <c r="C118" t="s">
        <v>2483</v>
      </c>
      <c r="D118" t="s">
        <v>390</v>
      </c>
      <c r="E118" t="s">
        <v>391</v>
      </c>
    </row>
    <row r="119" spans="1:5">
      <c r="A119" t="s">
        <v>2934</v>
      </c>
      <c r="C119" t="s">
        <v>2518</v>
      </c>
    </row>
    <row r="120" spans="1:5">
      <c r="A120" t="s">
        <v>2762</v>
      </c>
      <c r="C120" t="s">
        <v>2483</v>
      </c>
      <c r="D120" t="s">
        <v>56</v>
      </c>
      <c r="E120" t="s">
        <v>57</v>
      </c>
    </row>
    <row r="121" spans="1:5">
      <c r="A121" t="s">
        <v>2766</v>
      </c>
      <c r="C121" t="s">
        <v>2767</v>
      </c>
    </row>
    <row r="122" spans="1:5">
      <c r="A122" t="s">
        <v>2778</v>
      </c>
      <c r="C122" t="s">
        <v>2483</v>
      </c>
    </row>
    <row r="123" spans="1:5">
      <c r="A123" t="s">
        <v>2932</v>
      </c>
      <c r="C123" t="s">
        <v>2483</v>
      </c>
      <c r="D123" t="s">
        <v>78</v>
      </c>
      <c r="E123" t="s">
        <v>79</v>
      </c>
    </row>
    <row r="124" spans="1:5">
      <c r="A124" t="s">
        <v>2838</v>
      </c>
      <c r="C124" t="s">
        <v>2483</v>
      </c>
      <c r="D124" t="s">
        <v>1475</v>
      </c>
      <c r="E124" t="s">
        <v>1476</v>
      </c>
    </row>
    <row r="125" spans="1:5">
      <c r="A125" t="s">
        <v>2815</v>
      </c>
      <c r="C125" t="s">
        <v>2483</v>
      </c>
      <c r="D125" t="s">
        <v>371</v>
      </c>
      <c r="E125" t="s">
        <v>372</v>
      </c>
    </row>
    <row r="126" spans="1:5">
      <c r="A126" t="s">
        <v>2786</v>
      </c>
      <c r="C126" t="s">
        <v>2483</v>
      </c>
    </row>
    <row r="127" spans="1:5">
      <c r="A127" t="s">
        <v>2922</v>
      </c>
      <c r="C127" t="s">
        <v>2483</v>
      </c>
      <c r="D127" t="s">
        <v>224</v>
      </c>
      <c r="E127" t="s">
        <v>225</v>
      </c>
    </row>
    <row r="128" spans="1:5">
      <c r="A128" t="s">
        <v>3214</v>
      </c>
      <c r="C128" t="s">
        <v>2941</v>
      </c>
    </row>
    <row r="129" spans="1:5">
      <c r="A129" t="s">
        <v>2977</v>
      </c>
      <c r="C129" t="s">
        <v>2515</v>
      </c>
    </row>
    <row r="130" spans="1:5">
      <c r="A130" t="s">
        <v>3215</v>
      </c>
      <c r="C130" t="s">
        <v>2489</v>
      </c>
    </row>
    <row r="131" spans="1:5">
      <c r="A131" t="s">
        <v>3216</v>
      </c>
      <c r="C131" t="s">
        <v>2489</v>
      </c>
    </row>
    <row r="132" spans="1:5">
      <c r="A132" t="s">
        <v>3217</v>
      </c>
      <c r="C132" t="s">
        <v>2489</v>
      </c>
    </row>
    <row r="133" spans="1:5">
      <c r="A133" t="s">
        <v>2970</v>
      </c>
      <c r="C133" t="s">
        <v>2483</v>
      </c>
      <c r="D133" t="s">
        <v>1135</v>
      </c>
      <c r="E133" t="s">
        <v>1136</v>
      </c>
    </row>
    <row r="134" spans="1:5">
      <c r="A134" t="s">
        <v>2905</v>
      </c>
      <c r="C134" t="s">
        <v>2483</v>
      </c>
      <c r="D134" t="s">
        <v>1135</v>
      </c>
      <c r="E134" t="s">
        <v>1136</v>
      </c>
    </row>
    <row r="135" spans="1:5">
      <c r="A135" t="s">
        <v>2858</v>
      </c>
      <c r="C135" t="s">
        <v>2483</v>
      </c>
      <c r="D135" t="s">
        <v>1135</v>
      </c>
      <c r="E135" t="s">
        <v>1136</v>
      </c>
    </row>
    <row r="136" spans="1:5">
      <c r="A136" t="s">
        <v>2864</v>
      </c>
      <c r="C136" t="s">
        <v>2523</v>
      </c>
    </row>
    <row r="137" spans="1:5">
      <c r="A137" t="s">
        <v>2747</v>
      </c>
      <c r="C137" t="s">
        <v>2483</v>
      </c>
    </row>
    <row r="138" spans="1:5">
      <c r="A138" t="s">
        <v>2804</v>
      </c>
      <c r="C138" t="s">
        <v>2523</v>
      </c>
    </row>
    <row r="139" spans="1:5">
      <c r="A139" t="s">
        <v>2747</v>
      </c>
      <c r="C139" t="s">
        <v>2483</v>
      </c>
    </row>
  </sheetData>
  <sheetProtection password="9FC9" sheet="1" objects="1" scenarios="1" formatCells="0" formatColumns="0" formatRows="0"/>
  <mergeCells count="5">
    <mergeCell ref="A1:A2"/>
    <mergeCell ref="B1:B2"/>
    <mergeCell ref="C1:C2"/>
    <mergeCell ref="D1:D2"/>
    <mergeCell ref="E1:E2"/>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BI755"/>
  <sheetViews>
    <sheetView zoomScaleNormal="100" workbookViewId="0">
      <pane ySplit="2" topLeftCell="A3" activePane="bottomLeft" state="frozen"/>
      <selection pane="bottomLeft"/>
    </sheetView>
  </sheetViews>
  <sheetFormatPr defaultColWidth="11" defaultRowHeight="15.75"/>
  <sheetData>
    <row r="1" spans="1:61">
      <c r="A1" s="17" t="str">
        <f>_K59HMyJxUXf</f>
        <v>मातृ तथा नवजात शिशु स्वास्थ्य</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row>
    <row r="2" spans="1:61">
      <c r="A2" t="s">
        <v>0</v>
      </c>
      <c r="B2" t="s">
        <v>1</v>
      </c>
      <c r="C2" t="s">
        <v>2</v>
      </c>
      <c r="D2" t="str">
        <f>_nb4deJCI4Vg</f>
        <v>Ethnic Code</v>
      </c>
      <c r="E2" t="str">
        <f>_JdUH80vCi3h</f>
        <v>Blood Group</v>
      </c>
      <c r="F2" t="str">
        <f>_ICeehNyTiIX</f>
        <v>Province</v>
      </c>
      <c r="G2" t="str">
        <f>_G6RyDq5kgy7</f>
        <v>District</v>
      </c>
      <c r="H2" t="str">
        <f>_zwb9tJ98mMg</f>
        <v>Municipality</v>
      </c>
      <c r="I2" t="str">
        <f>_vbKIBFsXIO0</f>
        <v>SMP-TD-TDVaccine</v>
      </c>
      <c r="J2" t="str">
        <f>_pswDOsNOUbK</f>
        <v>Retro Virus</v>
      </c>
      <c r="K2" t="str">
        <f>_mQHUrLn4dyS</f>
        <v>Child</v>
      </c>
      <c r="L2" t="str">
        <f>_GtobYmwQmwS</f>
        <v>Family Planning</v>
      </c>
      <c r="M2" t="str">
        <f>_IvhiCbChScI</f>
        <v>ICD_SMP_PNC</v>
      </c>
      <c r="N2" t="str">
        <f>_OYse7MNk9mO</f>
        <v>Outcome</v>
      </c>
      <c r="O2" t="str">
        <f>_rpxUZLumLk0</f>
        <v>SMP-D-Baby_Presentation</v>
      </c>
      <c r="P2" t="str">
        <f>_s5DsrOO60aP</f>
        <v>Disabled</v>
      </c>
      <c r="Q2" t="str">
        <f>_UFWEVbmhNDu</f>
        <v>Outcome_status</v>
      </c>
      <c r="R2" t="str">
        <f>_vyYxiRtmtbP</f>
        <v>Mode of delivery</v>
      </c>
      <c r="S2" t="str">
        <f>_RlyY3QJ9dxB</f>
        <v>PROM Management</v>
      </c>
      <c r="T2" t="str">
        <f>_dJTKm6DZq8P</f>
        <v>Child's Condition</v>
      </c>
      <c r="U2" t="str">
        <f>_nb4deJCI4Vg</f>
        <v>Ethnic Code</v>
      </c>
      <c r="V2" t="str">
        <f>_odZ8MJJPEuQ</f>
        <v>Delivery Type</v>
      </c>
      <c r="W2" t="str">
        <f>_S7rEhEKVsnO</f>
        <v>SwellingCheck</v>
      </c>
      <c r="X2" t="str">
        <f>_jaNQVHQzWUQ</f>
        <v>Swelling</v>
      </c>
      <c r="Y2" t="str">
        <f>_Xcegrt4y3Z7</f>
        <v>Neonatal Condition</v>
      </c>
      <c r="Z2" t="str">
        <f>_ctmZ0XMfq6q</f>
        <v>Situation_Mother'sDeath</v>
      </c>
      <c r="AA2" t="str">
        <f>_AGLA63Kgt23</f>
        <v>Gender</v>
      </c>
      <c r="AB2" t="str">
        <f>_qah4Z3gyj3B</f>
        <v>Still Born</v>
      </c>
      <c r="AC2" t="str">
        <f>_J64UCNttNtQ</f>
        <v>Duration</v>
      </c>
      <c r="AD2" t="str">
        <f>_s6d3LD6Cytp</f>
        <v>Nyano</v>
      </c>
      <c r="AE2" t="str">
        <f>_MmegBAowO5M</f>
        <v>Place of birth</v>
      </c>
      <c r="AF2" t="str">
        <f>_wL7X7Llf9fN</f>
        <v>ICD_SMP_ANCS</v>
      </c>
      <c r="AG2" t="str">
        <f>_wrSCZ2fX8Ao</f>
        <v>HIV Test Result</v>
      </c>
      <c r="AH2" t="str">
        <f>_prPkuTqYA3T</f>
        <v>Urine Sugar</v>
      </c>
      <c r="AI2" t="str">
        <f>_G6RyDq5kgy7</f>
        <v>District</v>
      </c>
      <c r="AJ2" t="str">
        <f>_E178eJZJdFs</f>
        <v>ICD_SMP_Deliveries</v>
      </c>
      <c r="AK2" t="str">
        <f>_PEbxU2yeYch</f>
        <v>Use of Naval Ointment</v>
      </c>
      <c r="AL2" t="str">
        <f>_ZFznB50OuJU</f>
        <v>Pregnancy Check Protocol Wise</v>
      </c>
      <c r="AM2" t="str">
        <f>_IiK2zVUTuvv</f>
        <v>ICD_SMP_PreviousDeliveries</v>
      </c>
      <c r="AN2" t="str">
        <f>_oxTxJhnE2Xr</f>
        <v>Anemia</v>
      </c>
      <c r="AO2" t="str">
        <f>_oAC1A971vCf</f>
        <v>Delivery Person</v>
      </c>
      <c r="AP2" t="str">
        <f>_ZlfW14g9T5l</f>
        <v>WHOMCH RPR test</v>
      </c>
      <c r="AQ2" t="str">
        <f>_yPRW3ROZiTZ</f>
        <v>Mother's Condition</v>
      </c>
      <c r="AR2" t="str">
        <f>_zwb9tJ98mMg</f>
        <v>Municipality</v>
      </c>
      <c r="AS2" t="str">
        <f>_ICeehNyTiIX</f>
        <v>Province</v>
      </c>
      <c r="AT2" t="str">
        <f>_tpO1EUzE6ZS</f>
        <v>Death_Place</v>
      </c>
      <c r="AU2" t="str">
        <f>_uG8MX45axcP</f>
        <v>SMP-AD-DeliveryTreatmentServiceTaken</v>
      </c>
      <c r="AV2" t="str">
        <f>_JdUH80vCi3h</f>
        <v>Blood Group</v>
      </c>
      <c r="AW2" t="str">
        <f>_JEeZXCFCYha</f>
        <v>MNH - 4 Times (16,20-24,32 and 36 Weeks)</v>
      </c>
      <c r="AX2" t="str">
        <f>_TC96M0bIHF5</f>
        <v>Urine Protein</v>
      </c>
      <c r="AY2" t="str">
        <f>_cDW2ERZxTUY</f>
        <v>Labor Situation</v>
      </c>
      <c r="AZ2" t="str">
        <f>_vbKIBFsXIO0</f>
        <v>SMP-TD-TDVaccine</v>
      </c>
      <c r="BA2" t="str">
        <f>_UsfJIH5SATW</f>
        <v>Albendazole</v>
      </c>
      <c r="BB2" t="str">
        <f>_opXisopYqSG</f>
        <v>Allergy</v>
      </c>
      <c r="BC2" t="str">
        <f>_MtpxPIUHjfT</f>
        <v>VDRL</v>
      </c>
      <c r="BD2" t="str">
        <f>_v6iargqqZXA</f>
        <v>Choose Condition</v>
      </c>
      <c r="BE2" t="str">
        <f>_Uzwci0pOubu</f>
        <v>Pregnancy Service</v>
      </c>
      <c r="BF2" t="str">
        <f>_SRGCa1GtYMj</f>
        <v>Birth Type</v>
      </c>
      <c r="BG2" t="str">
        <f>_SdIxWcT4O2G</f>
        <v>HBsAg</v>
      </c>
      <c r="BH2" t="s">
        <v>3</v>
      </c>
      <c r="BI2" t="s">
        <v>4</v>
      </c>
    </row>
    <row r="3" spans="1:61">
      <c r="A3" t="str">
        <f>_homMHsoLe4r</f>
        <v>Manahari Hospital</v>
      </c>
      <c r="C3" t="str">
        <f>_HllvX50cXC0</f>
        <v>default</v>
      </c>
      <c r="D3" t="str">
        <f>_bVg6HU7h80C</f>
        <v>1 दलित (१)</v>
      </c>
      <c r="E3" t="str">
        <f>_PilmOKdJCTl</f>
        <v>A+ve</v>
      </c>
      <c r="F3" t="str">
        <f>_ACpJnG9sBG5</f>
        <v>Koshi Province</v>
      </c>
      <c r="G3" t="str">
        <f>_NKs3nQ5yDee</f>
        <v>101 Taplejung</v>
      </c>
      <c r="H3" t="str">
        <f>_SlgnilEKdAq</f>
        <v>Phaktanlung Rural Municipality</v>
      </c>
      <c r="I3" t="str">
        <f>_upqxhWfTSQN</f>
        <v>छ</v>
      </c>
      <c r="J3" t="str">
        <f>_bB62j4JgpM4</f>
        <v>Reactive</v>
      </c>
      <c r="K3" t="str">
        <f>_N4wBG8T5IMa</f>
        <v>Cephalic</v>
      </c>
      <c r="L3" t="str">
        <f>_jxpOEpqkKc8</f>
        <v>आई. यु. सी. डी</v>
      </c>
      <c r="M3" t="str">
        <f>_xqmC1YOFa26</f>
        <v>JA24 Pre-eclampsia</v>
      </c>
      <c r="N3" t="str">
        <f>_GyCdUNDZp8L</f>
        <v>Live Born (Alive)</v>
      </c>
      <c r="O3" t="str">
        <f>_d2pWANWy2uY</f>
        <v>None</v>
      </c>
      <c r="P3" t="str">
        <f>_RHE3hPIVwQL</f>
        <v>Major</v>
      </c>
      <c r="Q3" t="str">
        <f>_hHlTr9lZZgJ</f>
        <v>जिवित</v>
      </c>
      <c r="R3" t="str">
        <f>_TVrO3iA7eWh</f>
        <v>Normal/Vaginal</v>
      </c>
      <c r="S3" t="str">
        <f>_gUL6rTt7R73</f>
        <v>Not offered a choice of management</v>
      </c>
      <c r="T3" t="str">
        <f>_NULRGqVdgES</f>
        <v>Normal</v>
      </c>
      <c r="U3" t="str">
        <f>_bVg6HU7h80C</f>
        <v>1 दलित (१)</v>
      </c>
      <c r="V3" t="str">
        <f>_iex121keUrQ</f>
        <v>Normal/Vaginal</v>
      </c>
      <c r="W3" t="str">
        <f>_oHJnB3wdwQq</f>
        <v>छ</v>
      </c>
      <c r="X3" t="str">
        <f>_Xbzrng24RX6</f>
        <v>हात</v>
      </c>
      <c r="Y3" t="str">
        <f>_JSZmxz6xJ5f</f>
        <v>जिवित जन्म</v>
      </c>
      <c r="Z3" t="str">
        <f>_zzbjynluaR6</f>
        <v>गर्भावस्था</v>
      </c>
      <c r="AA3" t="str">
        <f>_GW4KBJzvFQE</f>
        <v>पुरुष</v>
      </c>
      <c r="AB3" t="str">
        <f>_ftQxmSaPxhM</f>
        <v>Live Birth</v>
      </c>
      <c r="AC3" t="str">
        <f>_SMwSDLty3xy</f>
        <v>पुगेको (&gt;३७ हप्ता)</v>
      </c>
      <c r="AD3" t="str">
        <f>_hfSSZH7XtpC</f>
        <v>पाएको</v>
      </c>
      <c r="AE3" t="str">
        <f>_lueviwKfaZu</f>
        <v>स्वास्थ्य संस्था</v>
      </c>
      <c r="AF3" t="str">
        <f>_s36Y5hzaM7r</f>
        <v>JA01 Ectopic pregnancy</v>
      </c>
      <c r="AG3" t="str">
        <f>_OCK2cCr24d5</f>
        <v>Positive</v>
      </c>
      <c r="AH3" t="str">
        <f>_utz8VdqimQG</f>
        <v>Positive (+ve)</v>
      </c>
      <c r="AI3" t="str">
        <f>_NKs3nQ5yDee</f>
        <v>101 Taplejung</v>
      </c>
      <c r="AJ3" t="str">
        <f>_GMPtY5DHJGQ</f>
        <v>JA24 Pre-eclampsia</v>
      </c>
      <c r="AK3" t="str">
        <f>_igl4TqDYokW</f>
        <v>गरेको हो</v>
      </c>
      <c r="AL3" t="str">
        <f>_GhSydxDx1DM</f>
        <v>गरेको</v>
      </c>
      <c r="AM3" t="str">
        <f>_E8TR1Jk4nn1</f>
        <v>JA01 Ectopic pregnancy</v>
      </c>
      <c r="AN3" t="str">
        <f>_Gi6xbWGpL1d</f>
        <v>हो</v>
      </c>
      <c r="AO3" t="str">
        <f>_CDrNusk1oST</f>
        <v>Layperson</v>
      </c>
      <c r="AP3" t="str">
        <f>_aiC5OOqkGo5</f>
        <v>Negative</v>
      </c>
      <c r="AQ3" t="str">
        <f>_sBEZU4oW36C</f>
        <v>Recovered</v>
      </c>
      <c r="AR3" t="str">
        <f>_SlgnilEKdAq</f>
        <v>Phaktanlung Rural Municipality</v>
      </c>
      <c r="AS3" t="str">
        <f>_ACpJnG9sBG5</f>
        <v>Koshi Province</v>
      </c>
      <c r="AT3" t="str">
        <f>_Huy0Hxb2eAR</f>
        <v>स्वास्थ्य संस्था</v>
      </c>
      <c r="AU3" t="str">
        <f>_YWFRfcmaNNq</f>
        <v>घर</v>
      </c>
      <c r="AV3" t="str">
        <f>_PilmOKdJCTl</f>
        <v>A+ve</v>
      </c>
      <c r="AW3" t="str">
        <f>_isQSxX5knkc</f>
        <v>१६ हप्ता सम्म</v>
      </c>
      <c r="AX3" t="str">
        <f>_bfMhkIAGWMh</f>
        <v>Positive (+ve)</v>
      </c>
      <c r="AY3" t="str">
        <f>_RR2rEd1m9De</f>
        <v>Spontaneous</v>
      </c>
      <c r="AZ3" t="str">
        <f>_upqxhWfTSQN</f>
        <v>छ</v>
      </c>
      <c r="BA3" t="str">
        <f>_Ed9wCgYOzt4</f>
        <v>हो</v>
      </c>
      <c r="BB3" t="str">
        <f>_ecFkOTcOdH3</f>
        <v>Yes</v>
      </c>
      <c r="BC3" t="str">
        <f>_hKjiDJngQQS</f>
        <v>Reactive</v>
      </c>
      <c r="BD3" t="str">
        <f>_yoP6f67jWQE</f>
        <v>समान्य</v>
      </c>
      <c r="BE3" t="str">
        <f>_LWuqWiHuOJT</f>
        <v>आमा</v>
      </c>
      <c r="BF3" t="str">
        <f>_o0gHZ2wusGN</f>
        <v>Singleton</v>
      </c>
      <c r="BG3" t="str">
        <f>_BdtExiPrJCa</f>
        <v>Reactive</v>
      </c>
      <c r="BH3" t="str">
        <f>_true</f>
        <v>Yes</v>
      </c>
      <c r="BI3" t="str">
        <f>_true</f>
        <v>Yes</v>
      </c>
    </row>
    <row r="4" spans="1:61">
      <c r="D4" t="str">
        <f>_EaiHcHYvfqF</f>
        <v>2 जनजाती (२)</v>
      </c>
      <c r="E4" t="str">
        <f>_dlyrtkRPcDP</f>
        <v>A-ve</v>
      </c>
      <c r="F4" t="str">
        <f>_yhy7Pj96Iun</f>
        <v>Madhesh Province</v>
      </c>
      <c r="G4" t="str">
        <f>_yUp4BmCjbb2</f>
        <v>102 Sankhuwasabha</v>
      </c>
      <c r="H4" t="str">
        <f>_Jyze0H2FX62</f>
        <v>Mikwakhola Rural Municipality</v>
      </c>
      <c r="I4" t="str">
        <f>_loiw33roQLJ</f>
        <v>छैन</v>
      </c>
      <c r="J4" t="str">
        <f>_CGQ7gCUAhra</f>
        <v>Non Reactive</v>
      </c>
      <c r="K4" t="str">
        <f>_cSlTxeCChkR</f>
        <v>Breech</v>
      </c>
      <c r="L4" t="str">
        <f>_jxQLHGKTH3U</f>
        <v>इम्प्लान्ट</v>
      </c>
      <c r="M4" t="str">
        <f>_l63ixpzUEwd</f>
        <v>JA25 Eclampsia</v>
      </c>
      <c r="N4" t="str">
        <f>_tihv2zs5UWz</f>
        <v>Antepartum Stillbirth</v>
      </c>
      <c r="O4" t="str">
        <f>_ubVxw0xqgi1</f>
        <v>Cephalic</v>
      </c>
      <c r="P4" t="str">
        <f>_Uiix3oZpeZP</f>
        <v>Minor</v>
      </c>
      <c r="Q4" t="str">
        <f>_r70j3aLS6TN</f>
        <v>मृत</v>
      </c>
      <c r="R4" t="str">
        <f>_Vzbt60w33Wc</f>
        <v>Forceps</v>
      </c>
      <c r="S4" t="str">
        <f>_LLCBxwWCazW</f>
        <v>Offered a choice of management a chooses induction with vaginal PGE2</v>
      </c>
      <c r="T4" t="str">
        <f>_qL4GHJE3CnQ</f>
        <v>Infection</v>
      </c>
      <c r="U4" t="str">
        <f>_EaiHcHYvfqF</f>
        <v>2 जनजाती (२)</v>
      </c>
      <c r="V4" t="str">
        <f>_CvfXamPOSXo</f>
        <v>Forceps</v>
      </c>
      <c r="W4" t="str">
        <f>_z4vjkRIvvnp</f>
        <v>छैन</v>
      </c>
      <c r="X4" t="str">
        <f>_XVZrZWgr78e</f>
        <v>मुख</v>
      </c>
      <c r="Y4" t="str">
        <f>_EC9aYM1wyVq</f>
        <v>मृत जन्म</v>
      </c>
      <c r="Z4" t="str">
        <f>_vgsWIO2QQ3V</f>
        <v>प्रसूति अवस्था</v>
      </c>
      <c r="AA4" t="str">
        <f>_UrCzqrooerV</f>
        <v>महिला</v>
      </c>
      <c r="AB4" t="str">
        <f>_A2Wzsls1TW1</f>
        <v>Stillbirth</v>
      </c>
      <c r="AC4" t="str">
        <f>_hkeNJSIlHNW</f>
        <v>नपुगेको (&lt; = ३७ हप्ता)</v>
      </c>
      <c r="AD4" t="str">
        <f>_tUnat9BJkqc</f>
        <v>नपाएको</v>
      </c>
      <c r="AE4" t="str">
        <f>_c5p7RIRVhEq</f>
        <v>घर</v>
      </c>
      <c r="AF4" t="str">
        <f>_gaNIgQQhaMm</f>
        <v>JA05 Complications following abortion, ectopic or molar pregnancy</v>
      </c>
      <c r="AG4" t="str">
        <f>_DomxfGAQdyu</f>
        <v>Negative</v>
      </c>
      <c r="AH4" t="str">
        <f>_cgfevO6qPNb</f>
        <v>Negative (-ve)</v>
      </c>
      <c r="AI4" t="str">
        <f>_yUp4BmCjbb2</f>
        <v>102 Sankhuwasabha</v>
      </c>
      <c r="AJ4" t="str">
        <f>_dfoVeRIW48h</f>
        <v>JA25 Eclampsia</v>
      </c>
      <c r="AK4" t="str">
        <f>_QikKrj7F3cC</f>
        <v>गरेको होइन</v>
      </c>
      <c r="AL4" t="str">
        <f>_VxEEunBJiBX</f>
        <v>नगरेको</v>
      </c>
      <c r="AM4" t="str">
        <f>_mCUM20ToBSP</f>
        <v>JA05 Complications following abortion, ectopic or molar pregnancy</v>
      </c>
      <c r="AN4" t="str">
        <f>_yeTU7UA4BSD</f>
        <v>होइन</v>
      </c>
      <c r="AO4" t="str">
        <f>_s1jE6eK5kL8</f>
        <v>Midwife</v>
      </c>
      <c r="AP4" t="str">
        <f>_vEpyts0hTID</f>
        <v>Positive</v>
      </c>
      <c r="AQ4" t="str">
        <f>_Krs3KdsaX5e</f>
        <v>Stable</v>
      </c>
      <c r="AR4" t="str">
        <f>_Jyze0H2FX62</f>
        <v>Mikwakhola Rural Municipality</v>
      </c>
      <c r="AS4" t="str">
        <f>_yhy7Pj96Iun</f>
        <v>Madhesh Province</v>
      </c>
      <c r="AT4" t="str">
        <f>_cXdGOxKHbru</f>
        <v>घर</v>
      </c>
      <c r="AU4" t="str">
        <f>_xZ0Z4Kb0NKL</f>
        <v>स्वास्थ्य संस्था</v>
      </c>
      <c r="AV4" t="str">
        <f>_dlyrtkRPcDP</f>
        <v>A-ve</v>
      </c>
      <c r="AW4" t="str">
        <f>_w2hys1LjEmb</f>
        <v>२०-२४ हप्ता</v>
      </c>
      <c r="AX4" t="str">
        <f>_gwREWWtLsvK</f>
        <v>Negative (-ve)</v>
      </c>
      <c r="AY4" t="str">
        <f>_qAGPiC7BEmm</f>
        <v>Augmentation</v>
      </c>
      <c r="AZ4" t="str">
        <f>_loiw33roQLJ</f>
        <v>छैन</v>
      </c>
      <c r="BA4" t="str">
        <f>_IBf0GO8DlVt</f>
        <v>होईन</v>
      </c>
      <c r="BB4" t="str">
        <f>_drOWOVhfoZu</f>
        <v>None Known</v>
      </c>
      <c r="BC4" t="str">
        <f>_pLEFHyyCLu3</f>
        <v>Non Reactive</v>
      </c>
      <c r="BD4" t="str">
        <f>_iilRSMCmFGm</f>
        <v>जटिल</v>
      </c>
      <c r="BE4" t="str">
        <f>_iFOz81Xrw81</f>
        <v>बच्चा</v>
      </c>
      <c r="BF4" t="str">
        <f>_hOYSiF7RRa4</f>
        <v>Twin</v>
      </c>
      <c r="BG4" t="str">
        <f>_dAoPcVZsdcH</f>
        <v>Non Reactive</v>
      </c>
      <c r="BH4" t="str">
        <f>_false</f>
        <v>No</v>
      </c>
    </row>
    <row r="5" spans="1:61">
      <c r="D5" t="str">
        <f>_FZDBURt5xG2</f>
        <v>3 मधेसी (३)</v>
      </c>
      <c r="E5" t="str">
        <f>_i02HwsTz9XY</f>
        <v>B+ve</v>
      </c>
      <c r="F5" t="str">
        <f>_L5nR2xOjvb1</f>
        <v>Bagmati Province</v>
      </c>
      <c r="G5" t="str">
        <f>_K8kLItbEJIN</f>
        <v>103 Solukhumbu</v>
      </c>
      <c r="H5" t="str">
        <f>_XpYl4U2CO1w</f>
        <v>Meringden Rural Municipality</v>
      </c>
      <c r="J5" t="str">
        <f>_wXEpAqraks3</f>
        <v>Unknown</v>
      </c>
      <c r="K5" t="str">
        <f>_x27cRnmuTYV</f>
        <v>Shoulder</v>
      </c>
      <c r="L5" t="str">
        <f>_DUzIaN831Ac</f>
        <v>टयुबेक्टोमी</v>
      </c>
      <c r="M5" t="str">
        <f>_DGVqx9QeXmC</f>
        <v>JA43 Postpartum haemorrhage</v>
      </c>
      <c r="N5" t="str">
        <f>_EdIqWcCUjCc</f>
        <v>Intrapartum Stillbirth</v>
      </c>
      <c r="O5" t="str">
        <f>_hIoNZUebKaw</f>
        <v>Breech</v>
      </c>
      <c r="P5" t="str">
        <f>_KVD8ZfM9wJy</f>
        <v>Other</v>
      </c>
      <c r="R5" t="str">
        <f>_WCLcyhcgL7A</f>
        <v>Vaccum</v>
      </c>
      <c r="S5" t="str">
        <f>_BnLwORfhADK</f>
        <v>Offered a choice of management and chooses expectant management</v>
      </c>
      <c r="T5" t="str">
        <f>_drRcQapEEzd</f>
        <v>Asphyxia</v>
      </c>
      <c r="U5" t="str">
        <f>_FZDBURt5xG2</f>
        <v>3 मधेसी (३)</v>
      </c>
      <c r="V5" t="str">
        <f>_iuojVMdUl2T</f>
        <v>Vaccum</v>
      </c>
      <c r="X5" t="str">
        <f>_avqY3bStVXe</f>
        <v>खुट्टा</v>
      </c>
      <c r="Z5" t="str">
        <f>_YCgsKGx4fgF</f>
        <v>सुत्केरी अवस्था</v>
      </c>
      <c r="AB5" t="str">
        <f>_EbgbaF1x5hp</f>
        <v>Termination of pregnancy</v>
      </c>
      <c r="AE5" t="str">
        <f>_HOnz51s0vSu</f>
        <v>Transit</v>
      </c>
      <c r="AF5" t="str">
        <f>_fusnXaYTeeH</f>
        <v>JA24 Pre-eclampsia</v>
      </c>
      <c r="AG5" t="str">
        <f>_y4Sr31WiwiU</f>
        <v>Not Performed</v>
      </c>
      <c r="AI5" t="str">
        <f>_K8kLItbEJIN</f>
        <v>103 Solukhumbu</v>
      </c>
      <c r="AJ5" t="str">
        <f>_zCfBBI72uLm</f>
        <v>JB03 Long labour</v>
      </c>
      <c r="AM5" t="str">
        <f>_KiIRN6PJvZy</f>
        <v>JA24 Pre-eclampsia</v>
      </c>
      <c r="AO5" t="str">
        <f>_ETRgUeBxXL3</f>
        <v>Not stated</v>
      </c>
      <c r="AP5" t="str">
        <f>_vo2JzF5zXRS</f>
        <v>Not Performed</v>
      </c>
      <c r="AQ5" t="str">
        <f>_Wxh1lFsfdob</f>
        <v>Referred out</v>
      </c>
      <c r="AR5" t="str">
        <f>_XpYl4U2CO1w</f>
        <v>Meringden Rural Municipality</v>
      </c>
      <c r="AS5" t="str">
        <f>_L5nR2xOjvb1</f>
        <v>Bagmati Province</v>
      </c>
      <c r="AT5" t="str">
        <f>_GCuOB755yxf</f>
        <v>Transit</v>
      </c>
      <c r="AV5" t="str">
        <f>_i02HwsTz9XY</f>
        <v>B+ve</v>
      </c>
      <c r="AW5" t="str">
        <f>_Qi8IT5Nqig5</f>
        <v>३२ हप्ता</v>
      </c>
      <c r="AY5" t="str">
        <f>_UXuds3DGWfB</f>
        <v>Induced Labor</v>
      </c>
      <c r="BC5" t="str">
        <f>_q7PdqRUZ16R</f>
        <v>Unknown</v>
      </c>
      <c r="BE5" t="str">
        <f>_fpcxp5HcX2i</f>
        <v>आमा र बच्चा दुवै</v>
      </c>
      <c r="BF5" t="str">
        <f>_wHw5vViLn1P</f>
        <v>Triplet</v>
      </c>
      <c r="BG5" t="str">
        <f>_AFbJAotfqLB</f>
        <v>Unknown</v>
      </c>
    </row>
    <row r="6" spans="1:61">
      <c r="D6" t="str">
        <f>_iLC6aDEnSg9</f>
        <v>4 मुस्लिम (४)</v>
      </c>
      <c r="E6" t="str">
        <f>_M4K5Zyh2Tnz</f>
        <v>B-ve</v>
      </c>
      <c r="F6" t="str">
        <f>_YKHAPzOd7fV</f>
        <v>Gandaki Province</v>
      </c>
      <c r="G6" t="str">
        <f>_dTGC5KKUAU1</f>
        <v>104 Okhaldhunga</v>
      </c>
      <c r="H6" t="str">
        <f>_tVv3VLOy1BR</f>
        <v>Maiwakhola Rural Municipality</v>
      </c>
      <c r="K6" t="str">
        <f>_llQ8zTkHA9m</f>
        <v>Unknown</v>
      </c>
      <c r="L6" t="str">
        <f>_ZDD9HiyEsW9</f>
        <v>डिपो</v>
      </c>
      <c r="M6" t="str">
        <f>_cSH5MTvPeKh</f>
        <v>JA43.0 Third-stage haemorrhage</v>
      </c>
      <c r="N6" t="str">
        <f>_lPdae5NXAUJ</f>
        <v>Stillbirth of unknown timing</v>
      </c>
      <c r="O6" t="str">
        <f>_lcZfrbAeuxd</f>
        <v>Shoulder</v>
      </c>
      <c r="R6" t="str">
        <f>_UlBSKMb9lK1</f>
        <v>C-Section</v>
      </c>
      <c r="T6" t="str">
        <f>_k5BPtdzejZM</f>
        <v>Handicap</v>
      </c>
      <c r="U6" t="str">
        <f>_iLC6aDEnSg9</f>
        <v>4 मुस्लिम (४)</v>
      </c>
      <c r="V6" t="str">
        <f>_abXy9q4afMI</f>
        <v>Cesarean Section</v>
      </c>
      <c r="X6" t="str">
        <f>_k29O96RfLgL</f>
        <v>हात र खुट्टा</v>
      </c>
      <c r="AF6" t="str">
        <f>_WWIdM7E5Ok9</f>
        <v>JA25 Eclampsia</v>
      </c>
      <c r="AI6" t="str">
        <f>_dTGC5KKUAU1</f>
        <v>104 Okhaldhunga</v>
      </c>
      <c r="AJ6" t="str">
        <f>_lwCKPz2WyaG</f>
        <v>JB06 Obstructed labour due to other causes</v>
      </c>
      <c r="AM6" t="str">
        <f>_h1kKuz9kyAE</f>
        <v>JA25 Eclampsia</v>
      </c>
      <c r="AO6" t="str">
        <f>_xqcjXq9affu</f>
        <v>Nurse</v>
      </c>
      <c r="AQ6" t="str">
        <f>_pbPwC7Et4Ym</f>
        <v>LAMA</v>
      </c>
      <c r="AR6" t="str">
        <f>_tVv3VLOy1BR</f>
        <v>Maiwakhola Rural Municipality</v>
      </c>
      <c r="AS6" t="str">
        <f>_YKHAPzOd7fV</f>
        <v>Gandaki Province</v>
      </c>
      <c r="AV6" t="str">
        <f>_M4K5Zyh2Tnz</f>
        <v>B-ve</v>
      </c>
      <c r="AW6" t="str">
        <f>_xrutvjvfkSg</f>
        <v>३६ हप्ता</v>
      </c>
      <c r="BF6" t="str">
        <f>_FmHBf0hvNz6</f>
        <v>Others</v>
      </c>
    </row>
    <row r="7" spans="1:61">
      <c r="D7" t="str">
        <f>_TfaqfvUFzti</f>
        <v>5 ब्राह्मण/ क्षेत्री (५)</v>
      </c>
      <c r="E7" t="str">
        <f>_bTzJyMjjhev</f>
        <v>O+ve</v>
      </c>
      <c r="F7" t="str">
        <f>_kjsU2SdLW5l</f>
        <v>Lumbini Province</v>
      </c>
      <c r="G7" t="str">
        <f>_bte9g1BGR27</f>
        <v>105 Khotang</v>
      </c>
      <c r="H7" t="str">
        <f>_E7ZimGIFJea</f>
        <v>Aatharai Tribeni Rural Municipality</v>
      </c>
      <c r="K7" t="str">
        <f>_f9Bkqm9NoAX</f>
        <v>Not Checked</v>
      </c>
      <c r="L7" t="str">
        <f>_Z0jQZpsIqrh</f>
        <v>सायना प्रेस</v>
      </c>
      <c r="M7" t="str">
        <f>_KYsx9GT5z8s</f>
        <v>JB40.0 Puerperal sepsis</v>
      </c>
      <c r="N7" t="str">
        <f>_TwdaLWzG0s8</f>
        <v>Neonatal death</v>
      </c>
      <c r="R7" t="str">
        <f>_VBsDKTtf7ER</f>
        <v>Unknown</v>
      </c>
      <c r="T7" t="str">
        <f>_PoqspwfCKsv</f>
        <v>Hypothermia</v>
      </c>
      <c r="U7" t="str">
        <f>_TfaqfvUFzti</f>
        <v>5 ब्राह्मण/ क्षेत्री (५)</v>
      </c>
      <c r="V7" t="str">
        <f>_yx6vnF6Vi5L</f>
        <v>Unknown</v>
      </c>
      <c r="X7" t="str">
        <f>_KuP5RebljxE</f>
        <v>हात र मुख</v>
      </c>
      <c r="AF7" t="str">
        <f>_DZGCXGDtDxQ</f>
        <v>JA41 Antepartum haemorrhage</v>
      </c>
      <c r="AI7" t="str">
        <f>_bte9g1BGR27</f>
        <v>105 Khotang</v>
      </c>
      <c r="AJ7" t="str">
        <f>_J0h5Swe9zuC</f>
        <v>JB0A.1 Rupture of uterus during labour</v>
      </c>
      <c r="AM7" t="str">
        <f>_fwrOv8OugqL</f>
        <v>JA41 Antepartum haemorrhage</v>
      </c>
      <c r="AO7" t="str">
        <f>_SJ3szJutOyS</f>
        <v>Other paramedical personnel</v>
      </c>
      <c r="AQ7" t="str">
        <f>_YlgdIFCuybP</f>
        <v>Absconded</v>
      </c>
      <c r="AR7" t="str">
        <f>_E7ZimGIFJea</f>
        <v>Aatharai Tribeni Rural Municipality</v>
      </c>
      <c r="AS7" t="str">
        <f>_kjsU2SdLW5l</f>
        <v>Lumbini Province</v>
      </c>
      <c r="AV7" t="str">
        <f>_bTzJyMjjhev</f>
        <v>O+ve</v>
      </c>
      <c r="BF7" t="str">
        <f>_lLILcBF4Ezo</f>
        <v>Unknown</v>
      </c>
    </row>
    <row r="8" spans="1:61">
      <c r="D8" t="str">
        <f>_cYFbMAiC24i</f>
        <v>6 अन्य (६)</v>
      </c>
      <c r="E8" t="str">
        <f>_PrlkwVFD7v2</f>
        <v>O-ve</v>
      </c>
      <c r="F8" t="str">
        <f>_q0l2VVwo1Au</f>
        <v>Karnali Province</v>
      </c>
      <c r="G8" t="str">
        <f>_iQvLEtwJdOo</f>
        <v>106 Bhojpur</v>
      </c>
      <c r="H8" t="str">
        <f>_rdnbXv7P6L7</f>
        <v>Phungling Municipality</v>
      </c>
      <c r="L8" t="str">
        <f>_yKGWqCg1hKJ</f>
        <v>पिल्स</v>
      </c>
      <c r="M8" t="str">
        <f>_u5m53UUoa2s</f>
        <v>JB40.1 Infection of obstetric surgical wound</v>
      </c>
      <c r="N8" t="str">
        <f>_QOvATUM9LUQ</f>
        <v>Miscarriage</v>
      </c>
      <c r="T8" t="str">
        <f>_SPjm5hlCj6f</f>
        <v>Jaundice</v>
      </c>
      <c r="U8" t="str">
        <f>_cYFbMAiC24i</f>
        <v>6 अन्य (६)</v>
      </c>
      <c r="X8" t="str">
        <f>_MfifStoRK7b</f>
        <v>मुख र खुट्टा</v>
      </c>
      <c r="AF8" t="str">
        <f>_E2GlezvQ5pr</f>
        <v>JA60.0 Mild hyperemesis gravidarum</v>
      </c>
      <c r="AI8" t="str">
        <f>_iQvLEtwJdOo</f>
        <v>106 Bhojpur</v>
      </c>
      <c r="AJ8" t="str">
        <f>_ZKXwG9xz9tq</f>
        <v>JB0Y Other specified complications of labour or delivery</v>
      </c>
      <c r="AM8" t="str">
        <f>_nyeQIdwMBkZ</f>
        <v>JA43 Postpartum haemorrhage</v>
      </c>
      <c r="AO8" t="str">
        <f>_wjw3WbyiJsR</f>
        <v>Physician</v>
      </c>
      <c r="AQ8" t="str">
        <f>_PX1j1mssCEz</f>
        <v>Died</v>
      </c>
      <c r="AR8" t="str">
        <f>_rdnbXv7P6L7</f>
        <v>Phungling Municipality</v>
      </c>
      <c r="AS8" t="str">
        <f>_q0l2VVwo1Au</f>
        <v>Karnali Province</v>
      </c>
      <c r="AV8" t="str">
        <f>_PrlkwVFD7v2</f>
        <v>O-ve</v>
      </c>
    </row>
    <row r="9" spans="1:61">
      <c r="E9" t="str">
        <f>_aOTBLULFFU9</f>
        <v>AB+ve</v>
      </c>
      <c r="F9" t="str">
        <f>_Cyg2LIFPaxX</f>
        <v>Sudurpashchim Province</v>
      </c>
      <c r="G9" t="str">
        <f>_LXFjfaP38O0</f>
        <v>107 Dhankuta</v>
      </c>
      <c r="H9" t="str">
        <f>_F9BRjjhu0GH</f>
        <v>Yangwarak Rural Municipality</v>
      </c>
      <c r="N9" t="str">
        <f>_eTwDVwypBDP</f>
        <v>Termination of pregnancy</v>
      </c>
      <c r="T9" t="str">
        <f>_F8iPAOD409z</f>
        <v>Other</v>
      </c>
      <c r="X9" t="str">
        <f>_GdhydesErYi</f>
        <v>सबै</v>
      </c>
      <c r="AI9" t="str">
        <f>_LXFjfaP38O0</f>
        <v>107 Dhankuta</v>
      </c>
      <c r="AM9" t="str">
        <f>_f2euMB8Et0o</f>
        <v>JA43.0 Third-stage haemorrhage</v>
      </c>
      <c r="AO9" t="str">
        <f>_lbQHnY0XMes</f>
        <v>SBA</v>
      </c>
      <c r="AR9" t="str">
        <f>_F9BRjjhu0GH</f>
        <v>Yangwarak Rural Municipality</v>
      </c>
      <c r="AS9" t="str">
        <f>_Cyg2LIFPaxX</f>
        <v>Sudurpashchim Province</v>
      </c>
      <c r="AV9" t="str">
        <f>_aOTBLULFFU9</f>
        <v>AB+ve</v>
      </c>
    </row>
    <row r="10" spans="1:61">
      <c r="E10" t="str">
        <f>_zJYo8zfSiqo</f>
        <v>AB-ve</v>
      </c>
      <c r="G10" t="str">
        <f>_UcQs1wpTn7X</f>
        <v>108 Terhathum</v>
      </c>
      <c r="H10" t="str">
        <f>_F5BsT248TRP</f>
        <v>Sirijanga Rural Municipality</v>
      </c>
      <c r="AI10" t="str">
        <f>_UcQs1wpTn7X</f>
        <v>108 Terhathum</v>
      </c>
      <c r="AM10" t="str">
        <f>_x2Ea4eMVqRZ</f>
        <v>JA60.0 Mild hyperemesis gravidarum</v>
      </c>
      <c r="AR10" t="str">
        <f>_F5BsT248TRP</f>
        <v>Sirijanga Rural Municipality</v>
      </c>
      <c r="AV10" t="str">
        <f>_zJYo8zfSiqo</f>
        <v>AB-ve</v>
      </c>
    </row>
    <row r="11" spans="1:61">
      <c r="G11" t="str">
        <f>_xhCl7WSwDuH</f>
        <v>109 Panchthar</v>
      </c>
      <c r="H11" t="str">
        <f>_B4f5W5I05Xl</f>
        <v>Sidingba Rural Municipality</v>
      </c>
      <c r="AI11" t="str">
        <f>_xhCl7WSwDuH</f>
        <v>109 Panchthar</v>
      </c>
      <c r="AM11" t="str">
        <f>_qd5aw1PQI95</f>
        <v>JB03 Long labour</v>
      </c>
      <c r="AR11" t="str">
        <f>_B4f5W5I05Xl</f>
        <v>Sidingba Rural Municipality</v>
      </c>
    </row>
    <row r="12" spans="1:61">
      <c r="G12" t="str">
        <f>_I7eRXWZ7MJj</f>
        <v>110 Ilam</v>
      </c>
      <c r="H12" t="str">
        <f>_Qqbc3MpwJb3</f>
        <v>Bhotkhola Rural Municipality</v>
      </c>
      <c r="AI12" t="str">
        <f>_I7eRXWZ7MJj</f>
        <v>110 Ilam</v>
      </c>
      <c r="AM12" t="str">
        <f>_ZuFcLmQPG0O</f>
        <v>JB06 Obstructed labour due to other causes</v>
      </c>
      <c r="AR12" t="str">
        <f>_Qqbc3MpwJb3</f>
        <v>Bhotkhola Rural Municipality</v>
      </c>
    </row>
    <row r="13" spans="1:61">
      <c r="G13" t="str">
        <f>_iHbyjmfUoT7</f>
        <v>111 Jhapa</v>
      </c>
      <c r="H13" t="str">
        <f>_Uh4Yjz8Hlz0</f>
        <v>Makalu Rural Municipality</v>
      </c>
      <c r="AI13" t="str">
        <f>_iHbyjmfUoT7</f>
        <v>111 Jhapa</v>
      </c>
      <c r="AM13" t="str">
        <f>_O9Bznvw8HNp</f>
        <v>JB0A.1 Rupture of uterus during labour</v>
      </c>
      <c r="AR13" t="str">
        <f>_Uh4Yjz8Hlz0</f>
        <v>Makalu Rural Municipality</v>
      </c>
    </row>
    <row r="14" spans="1:61">
      <c r="G14" t="str">
        <f>_f4c0csFW1m6</f>
        <v>112 Morang</v>
      </c>
      <c r="H14" t="str">
        <f>_UUqzsEfyKb4</f>
        <v>Silichong Rural Municipality</v>
      </c>
      <c r="AI14" t="str">
        <f>_f4c0csFW1m6</f>
        <v>112 Morang</v>
      </c>
      <c r="AM14" t="str">
        <f>_TLtbaZgYtiR</f>
        <v>JB0Y Other specified complications of labour or delivery</v>
      </c>
      <c r="AR14" t="str">
        <f>_UUqzsEfyKb4</f>
        <v>Silichong Rural Municipality</v>
      </c>
    </row>
    <row r="15" spans="1:61">
      <c r="G15" t="str">
        <f>_Gzx03rCkZEe</f>
        <v>113 Sunsari</v>
      </c>
      <c r="H15" t="str">
        <f>_vzEyMhQkSaI</f>
        <v>Chichila Rural Municipality</v>
      </c>
      <c r="AI15" t="str">
        <f>_Gzx03rCkZEe</f>
        <v>113 Sunsari</v>
      </c>
      <c r="AM15" t="str">
        <f>_BB9bAVTvvLA</f>
        <v>JB40.0 Puerperal sepsis</v>
      </c>
      <c r="AR15" t="str">
        <f>_vzEyMhQkSaI</f>
        <v>Chichila Rural Municipality</v>
      </c>
    </row>
    <row r="16" spans="1:61">
      <c r="G16" t="str">
        <f>_jNxvACSO6v7</f>
        <v>114 Udayapur</v>
      </c>
      <c r="H16" t="str">
        <f>_hM4FvGa8qUa</f>
        <v>Sabhapokhari Rural Municipality</v>
      </c>
      <c r="AI16" t="str">
        <f>_jNxvACSO6v7</f>
        <v>114 Udayapur</v>
      </c>
      <c r="AM16" t="str">
        <f>_vhiomTrJGtN</f>
        <v>JB40.1 Infection of obstetric surgical wound</v>
      </c>
      <c r="AR16" t="str">
        <f>_hM4FvGa8qUa</f>
        <v>Sabhapokhari Rural Municipality</v>
      </c>
    </row>
    <row r="17" spans="7:44">
      <c r="G17" t="str">
        <f>_mmAiLsc4dUX</f>
        <v>201 Saptari</v>
      </c>
      <c r="H17" t="str">
        <f>_vsmvO35cNuX</f>
        <v>Khandabari Municipality</v>
      </c>
      <c r="AI17" t="str">
        <f>_mmAiLsc4dUX</f>
        <v>201 Saptari</v>
      </c>
      <c r="AR17" t="str">
        <f>_vsmvO35cNuX</f>
        <v>Khandabari Municipality</v>
      </c>
    </row>
    <row r="18" spans="7:44">
      <c r="G18" t="str">
        <f>_xim19N6C5lC</f>
        <v>202 Siraha</v>
      </c>
      <c r="H18" t="str">
        <f>_UVHAjrx7tCk</f>
        <v>Panchakhapan Municipality</v>
      </c>
      <c r="AI18" t="str">
        <f>_xim19N6C5lC</f>
        <v>202 Siraha</v>
      </c>
      <c r="AR18" t="str">
        <f>_UVHAjrx7tCk</f>
        <v>Panchakhapan Municipality</v>
      </c>
    </row>
    <row r="19" spans="7:44">
      <c r="G19" t="str">
        <f>_sEjdq4wUJip</f>
        <v>203 Dhanusa</v>
      </c>
      <c r="H19" t="str">
        <f>_aUu1WR7nEAo</f>
        <v>Chainapur Municipality</v>
      </c>
      <c r="AI19" t="str">
        <f>_sEjdq4wUJip</f>
        <v>203 Dhanusa</v>
      </c>
      <c r="AR19" t="str">
        <f>_aUu1WR7nEAo</f>
        <v>Chainapur Municipality</v>
      </c>
    </row>
    <row r="20" spans="7:44">
      <c r="G20" t="str">
        <f>_WV6Wf95EA8d</f>
        <v>204 Mahottari</v>
      </c>
      <c r="H20" t="str">
        <f>_sTcF2B4quEJ</f>
        <v>Madi Municipality</v>
      </c>
      <c r="AI20" t="str">
        <f>_WV6Wf95EA8d</f>
        <v>204 Mahottari</v>
      </c>
      <c r="AR20" t="str">
        <f>_sTcF2B4quEJ</f>
        <v>Madi Municipality</v>
      </c>
    </row>
    <row r="21" spans="7:44">
      <c r="G21" t="str">
        <f>_GpoukrEbVLj</f>
        <v>205 Sarlahi</v>
      </c>
      <c r="H21" t="str">
        <f>_Y6pukfAgkWL</f>
        <v>Dharmadevi Municipality</v>
      </c>
      <c r="AI21" t="str">
        <f>_GpoukrEbVLj</f>
        <v>205 Sarlahi</v>
      </c>
      <c r="AR21" t="str">
        <f>_Y6pukfAgkWL</f>
        <v>Dharmadevi Municipality</v>
      </c>
    </row>
    <row r="22" spans="7:44">
      <c r="G22" t="str">
        <f>_oKtWyJa4EEx</f>
        <v>206 Rautahat</v>
      </c>
      <c r="H22" t="str">
        <f>_NcVZF1ekKdp</f>
        <v>Khumbu Pasanglhamu Rural Municipality</v>
      </c>
      <c r="AI22" t="str">
        <f>_oKtWyJa4EEx</f>
        <v>206 Rautahat</v>
      </c>
      <c r="AR22" t="str">
        <f>_NcVZF1ekKdp</f>
        <v>Khumbu Pasanglhamu Rural Municipality</v>
      </c>
    </row>
    <row r="23" spans="7:44">
      <c r="G23" t="str">
        <f>_mM3RxKB9PAP</f>
        <v>207 Bara</v>
      </c>
      <c r="H23" t="str">
        <f>_GTkG6Anx7hq</f>
        <v>Mahakulung Rural Municipality</v>
      </c>
      <c r="AI23" t="str">
        <f>_mM3RxKB9PAP</f>
        <v>207 Bara</v>
      </c>
      <c r="AR23" t="str">
        <f>_GTkG6Anx7hq</f>
        <v>Mahakulung Rural Municipality</v>
      </c>
    </row>
    <row r="24" spans="7:44">
      <c r="G24" t="str">
        <f>_dC6tl9prtWA</f>
        <v>208 Parsa</v>
      </c>
      <c r="H24" t="str">
        <f>_mhlCQKs4NfD</f>
        <v>Sotang Rural Municipality</v>
      </c>
      <c r="AI24" t="str">
        <f>_dC6tl9prtWA</f>
        <v>208 Parsa</v>
      </c>
      <c r="AR24" t="str">
        <f>_mhlCQKs4NfD</f>
        <v>Sotang Rural Municipality</v>
      </c>
    </row>
    <row r="25" spans="7:44">
      <c r="G25" t="str">
        <f>_DHsHGmuz5VE</f>
        <v>301 Dolakha</v>
      </c>
      <c r="H25" t="str">
        <f>_eg8Bg3qRAQM</f>
        <v>Dhudhakoshi Rural Municipality</v>
      </c>
      <c r="AI25" t="str">
        <f>_DHsHGmuz5VE</f>
        <v>301 Dolakha</v>
      </c>
      <c r="AR25" t="str">
        <f>_eg8Bg3qRAQM</f>
        <v>Dhudhakoshi Rural Municipality</v>
      </c>
    </row>
    <row r="26" spans="7:44">
      <c r="G26" t="str">
        <f>_PfzeK6CkVzR</f>
        <v>302 Sindhupalchok</v>
      </c>
      <c r="H26" t="str">
        <f>_Xi1zXdCpXy4</f>
        <v>Dhudha Koushika Rural Municipality</v>
      </c>
      <c r="AI26" t="str">
        <f>_PfzeK6CkVzR</f>
        <v>302 Sindhupalchok</v>
      </c>
      <c r="AR26" t="str">
        <f>_Xi1zXdCpXy4</f>
        <v>Dhudha Koushika Rural Municipality</v>
      </c>
    </row>
    <row r="27" spans="7:44">
      <c r="G27" t="str">
        <f>_S4iA5Eex500</f>
        <v>303 Rasuwa</v>
      </c>
      <c r="H27" t="str">
        <f>_GCAYTElLWur</f>
        <v>Necha Salyan Rural Municipality</v>
      </c>
      <c r="AI27" t="str">
        <f>_S4iA5Eex500</f>
        <v>303 Rasuwa</v>
      </c>
      <c r="AR27" t="str">
        <f>_GCAYTElLWur</f>
        <v>Necha Salyan Rural Municipality</v>
      </c>
    </row>
    <row r="28" spans="7:44">
      <c r="G28" t="str">
        <f>_WWXi6bzjPwt</f>
        <v>304 Dhading</v>
      </c>
      <c r="H28" t="str">
        <f>_VtMe3Xw2eJE</f>
        <v>Solu Dhudhakunda Municipality</v>
      </c>
      <c r="AI28" t="str">
        <f>_WWXi6bzjPwt</f>
        <v>304 Dhading</v>
      </c>
      <c r="AR28" t="str">
        <f>_VtMe3Xw2eJE</f>
        <v>Solu Dhudhakunda Municipality</v>
      </c>
    </row>
    <row r="29" spans="7:44">
      <c r="G29" t="str">
        <f>_OgiRQ7vh0D8</f>
        <v>305 Nuwakot</v>
      </c>
      <c r="H29" t="str">
        <f>_YGQE6rPHVJx</f>
        <v>Likhu Pike Rural Municipality</v>
      </c>
      <c r="AI29" t="str">
        <f>_OgiRQ7vh0D8</f>
        <v>305 Nuwakot</v>
      </c>
      <c r="AR29" t="str">
        <f>_YGQE6rPHVJx</f>
        <v>Likhu Pike Rural Municipality</v>
      </c>
    </row>
    <row r="30" spans="7:44">
      <c r="G30" t="str">
        <f>_RuzdxZAAlRl</f>
        <v>306 Kathmandu</v>
      </c>
      <c r="H30" t="str">
        <f>_XNSwyOxnJWc</f>
        <v>Chishankhu Gadhi Rural Municipality</v>
      </c>
      <c r="AI30" t="str">
        <f>_RuzdxZAAlRl</f>
        <v>306 Kathmandu</v>
      </c>
      <c r="AR30" t="str">
        <f>_XNSwyOxnJWc</f>
        <v>Chishankhu Gadhi Rural Municipality</v>
      </c>
    </row>
    <row r="31" spans="7:44">
      <c r="G31" t="str">
        <f>_pYQXltxSxeC</f>
        <v>307 Bhaktapur</v>
      </c>
      <c r="H31" t="str">
        <f>_Lup23R9hDd2</f>
        <v>Siddhicharan Municipality</v>
      </c>
      <c r="AI31" t="str">
        <f>_pYQXltxSxeC</f>
        <v>307 Bhaktapur</v>
      </c>
      <c r="AR31" t="str">
        <f>_Lup23R9hDd2</f>
        <v>Siddhicharan Municipality</v>
      </c>
    </row>
    <row r="32" spans="7:44">
      <c r="G32" t="str">
        <f>_EbMwgHGEVKE</f>
        <v>308 Lalitpur</v>
      </c>
      <c r="H32" t="str">
        <f>_aw2FLLAkA4v</f>
        <v>Molung Rural Municipality</v>
      </c>
      <c r="AI32" t="str">
        <f>_EbMwgHGEVKE</f>
        <v>308 Lalitpur</v>
      </c>
      <c r="AR32" t="str">
        <f>_aw2FLLAkA4v</f>
        <v>Molung Rural Municipality</v>
      </c>
    </row>
    <row r="33" spans="7:44">
      <c r="G33" t="str">
        <f>_Qd9ILIwLJft</f>
        <v>309 Kavrepalanchok</v>
      </c>
      <c r="H33" t="str">
        <f>_dbukoc9TvKf</f>
        <v>Khiji Demba Rural Municipality</v>
      </c>
      <c r="AI33" t="str">
        <f>_Qd9ILIwLJft</f>
        <v>309 Kavrepalanchok</v>
      </c>
      <c r="AR33" t="str">
        <f>_dbukoc9TvKf</f>
        <v>Khiji Demba Rural Municipality</v>
      </c>
    </row>
    <row r="34" spans="7:44">
      <c r="G34" t="str">
        <f>_xbCQSCZNinF</f>
        <v>310 Ramechhap</v>
      </c>
      <c r="H34" t="str">
        <f>_lRSQ0xLFtaU</f>
        <v>Likhu Rural Municipality</v>
      </c>
      <c r="AI34" t="str">
        <f>_xbCQSCZNinF</f>
        <v>310 Ramechhap</v>
      </c>
      <c r="AR34" t="str">
        <f>_lRSQ0xLFtaU</f>
        <v>Likhu Rural Municipality</v>
      </c>
    </row>
    <row r="35" spans="7:44">
      <c r="G35" t="str">
        <f>_NNRjKPO68hF</f>
        <v>311 Sindhuli</v>
      </c>
      <c r="H35" t="str">
        <f>_FaK89JV1yhV</f>
        <v>Champadevi Rural Municipality</v>
      </c>
      <c r="AI35" t="str">
        <f>_NNRjKPO68hF</f>
        <v>311 Sindhuli</v>
      </c>
      <c r="AR35" t="str">
        <f>_FaK89JV1yhV</f>
        <v>Champadevi Rural Municipality</v>
      </c>
    </row>
    <row r="36" spans="7:44">
      <c r="G36" t="str">
        <f>_RovJxA5q73u</f>
        <v>312 Makwanpur</v>
      </c>
      <c r="H36" t="str">
        <f>_f4HwDZTupMU</f>
        <v>Sunkoshi Rural Municipality</v>
      </c>
      <c r="AI36" t="str">
        <f>_RovJxA5q73u</f>
        <v>312 Makwanpur</v>
      </c>
      <c r="AR36" t="str">
        <f>_f4HwDZTupMU</f>
        <v>Sunkoshi Rural Municipality</v>
      </c>
    </row>
    <row r="37" spans="7:44">
      <c r="G37" t="str">
        <f>_H77eHBeI0WG</f>
        <v>313 Chitwan</v>
      </c>
      <c r="H37" t="str">
        <f>_WO7OHx9UbmY</f>
        <v>Manebhanjyang Rural Municipality</v>
      </c>
      <c r="AI37" t="str">
        <f>_H77eHBeI0WG</f>
        <v>313 Chitwan</v>
      </c>
      <c r="AR37" t="str">
        <f>_WO7OHx9UbmY</f>
        <v>Manebhanjyang Rural Municipality</v>
      </c>
    </row>
    <row r="38" spans="7:44">
      <c r="G38" t="str">
        <f>_JC6ZS0hEjuK</f>
        <v>401 Gorkha</v>
      </c>
      <c r="H38" t="str">
        <f>_EqHH8PSrwbW</f>
        <v>Kepilasgadhi Rural Municipality</v>
      </c>
      <c r="AI38" t="str">
        <f>_JC6ZS0hEjuK</f>
        <v>401 Gorkha</v>
      </c>
      <c r="AR38" t="str">
        <f>_EqHH8PSrwbW</f>
        <v>Kepilasgadhi Rural Municipality</v>
      </c>
    </row>
    <row r="39" spans="7:44">
      <c r="G39" t="str">
        <f>_fLtH2DWCoup</f>
        <v>402 Manang</v>
      </c>
      <c r="H39" t="str">
        <f>_vuTkQhqxQ5h</f>
        <v>Aiselukharka Rural Municipality</v>
      </c>
      <c r="AI39" t="str">
        <f>_fLtH2DWCoup</f>
        <v>402 Manang</v>
      </c>
      <c r="AR39" t="str">
        <f>_vuTkQhqxQ5h</f>
        <v>Aiselukharka Rural Municipality</v>
      </c>
    </row>
    <row r="40" spans="7:44">
      <c r="G40" t="str">
        <f>_K7HHqak2Uov</f>
        <v>403 Mustang</v>
      </c>
      <c r="H40" t="str">
        <f>_JGvehNb4uTj</f>
        <v>Lamidanda Rural Municipality</v>
      </c>
      <c r="AI40" t="str">
        <f>_K7HHqak2Uov</f>
        <v>403 Mustang</v>
      </c>
      <c r="AR40" t="str">
        <f>_JGvehNb4uTj</f>
        <v>Lamidanda Rural Municipality</v>
      </c>
    </row>
    <row r="41" spans="7:44">
      <c r="G41" t="str">
        <f>_AfdYKKMqtMF</f>
        <v>404 Myagdi</v>
      </c>
      <c r="H41" t="str">
        <f>_OcJM45gTiSX</f>
        <v>Halesi Tuwachung Municipality</v>
      </c>
      <c r="AI41" t="str">
        <f>_AfdYKKMqtMF</f>
        <v>404 Myagdi</v>
      </c>
      <c r="AR41" t="str">
        <f>_OcJM45gTiSX</f>
        <v>Halesi Tuwachung Municipality</v>
      </c>
    </row>
    <row r="42" spans="7:44">
      <c r="G42" t="str">
        <f>_zTd6vLumEfG</f>
        <v>405 Kaski</v>
      </c>
      <c r="H42" t="str">
        <f>_d96yGcoRjHm</f>
        <v>Rupakot Majhuwagadhi Municipality</v>
      </c>
      <c r="AI42" t="str">
        <f>_zTd6vLumEfG</f>
        <v>405 Kaski</v>
      </c>
      <c r="AR42" t="str">
        <f>_d96yGcoRjHm</f>
        <v>Rupakot Majhuwagadhi Municipality</v>
      </c>
    </row>
    <row r="43" spans="7:44">
      <c r="G43" t="str">
        <f>_BPocTr5SxFu</f>
        <v>406 Lamjung</v>
      </c>
      <c r="H43" t="str">
        <f>_cgYCKFH2MVe</f>
        <v>Sakela Rural Municipality</v>
      </c>
      <c r="AI43" t="str">
        <f>_BPocTr5SxFu</f>
        <v>406 Lamjung</v>
      </c>
      <c r="AR43" t="str">
        <f>_cgYCKFH2MVe</f>
        <v>Sakela Rural Municipality</v>
      </c>
    </row>
    <row r="44" spans="7:44">
      <c r="G44" t="str">
        <f>_NdtzGdvNgUE</f>
        <v>407 Tanahu</v>
      </c>
      <c r="H44" t="str">
        <f>_EUS64QZ6ZA6</f>
        <v>Diprung Rural Municipality</v>
      </c>
      <c r="AI44" t="str">
        <f>_NdtzGdvNgUE</f>
        <v>407 Tanahu</v>
      </c>
      <c r="AR44" t="str">
        <f>_EUS64QZ6ZA6</f>
        <v>Diprung Rural Municipality</v>
      </c>
    </row>
    <row r="45" spans="7:44">
      <c r="G45" t="str">
        <f>_AisWo7zl5J4</f>
        <v>408 Nawalparasi East</v>
      </c>
      <c r="H45" t="str">
        <f>_BN6KeZPtfim</f>
        <v>Khotehang Rural Municipality</v>
      </c>
      <c r="AI45" t="str">
        <f>_AisWo7zl5J4</f>
        <v>408 Nawalparasi East</v>
      </c>
      <c r="AR45" t="str">
        <f>_BN6KeZPtfim</f>
        <v>Khotehang Rural Municipality</v>
      </c>
    </row>
    <row r="46" spans="7:44">
      <c r="G46" t="str">
        <f>_K6ND4zXqbpw</f>
        <v>409 Syangja</v>
      </c>
      <c r="H46" t="str">
        <f>_mjXehSM7Pk2</f>
        <v>Jante Dhunga Rural Municipality</v>
      </c>
      <c r="AI46" t="str">
        <f>_K6ND4zXqbpw</f>
        <v>409 Syangja</v>
      </c>
      <c r="AR46" t="str">
        <f>_mjXehSM7Pk2</f>
        <v>Jante Dhunga Rural Municipality</v>
      </c>
    </row>
    <row r="47" spans="7:44">
      <c r="G47" t="str">
        <f>_i6xjXgUUy5h</f>
        <v>410 Parbat</v>
      </c>
      <c r="H47" t="str">
        <f>_zHJb8L2pCM4</f>
        <v>Baraha Pokhari Rural Municipality</v>
      </c>
      <c r="AI47" t="str">
        <f>_i6xjXgUUy5h</f>
        <v>410 Parbat</v>
      </c>
      <c r="AR47" t="str">
        <f>_zHJb8L2pCM4</f>
        <v>Baraha Pokhari Rural Municipality</v>
      </c>
    </row>
    <row r="48" spans="7:44">
      <c r="G48" t="str">
        <f>_V4r1YmLPZp5</f>
        <v>411 Baglung</v>
      </c>
      <c r="H48" t="str">
        <f>_VpqBmCuLNwb</f>
        <v>Shadananda Municipality</v>
      </c>
      <c r="AI48" t="str">
        <f>_V4r1YmLPZp5</f>
        <v>411 Baglung</v>
      </c>
      <c r="AR48" t="str">
        <f>_VpqBmCuLNwb</f>
        <v>Shadananda Municipality</v>
      </c>
    </row>
    <row r="49" spans="7:44">
      <c r="G49" t="str">
        <f>_XkDEMun2ANM</f>
        <v>501 Rukum East</v>
      </c>
      <c r="H49" t="str">
        <f>_MHd3mUbQZzF</f>
        <v>Salpa Silichho Rural Municipality</v>
      </c>
      <c r="AI49" t="str">
        <f>_XkDEMun2ANM</f>
        <v>501 Rukum East</v>
      </c>
      <c r="AR49" t="str">
        <f>_MHd3mUbQZzF</f>
        <v>Salpa Silichho Rural Municipality</v>
      </c>
    </row>
    <row r="50" spans="7:44">
      <c r="G50" t="str">
        <f>_Tcy0wHXsjtN</f>
        <v>502 Rolpa</v>
      </c>
      <c r="H50" t="str">
        <f>_m0kT9vIA9c3</f>
        <v>Tyamke Maiyum Rural Municipality</v>
      </c>
      <c r="AI50" t="str">
        <f>_Tcy0wHXsjtN</f>
        <v>502 Rolpa</v>
      </c>
      <c r="AR50" t="str">
        <f>_m0kT9vIA9c3</f>
        <v>Tyamke Maiyum Rural Municipality</v>
      </c>
    </row>
    <row r="51" spans="7:44">
      <c r="G51" t="str">
        <f>_Uk3yslBofmW</f>
        <v>503 Pyuthan</v>
      </c>
      <c r="H51" t="str">
        <f>_l1ETyWrXvxx</f>
        <v>Bhojpur Municipality</v>
      </c>
      <c r="AI51" t="str">
        <f>_Uk3yslBofmW</f>
        <v>503 Pyuthan</v>
      </c>
      <c r="AR51" t="str">
        <f>_l1ETyWrXvxx</f>
        <v>Bhojpur Municipality</v>
      </c>
    </row>
    <row r="52" spans="7:44">
      <c r="G52" t="str">
        <f>_XTaq5MdpmR0</f>
        <v>504 Gulmi</v>
      </c>
      <c r="H52" t="str">
        <f>_sdDVkfxhXzs</f>
        <v>Arun Rural Municipality</v>
      </c>
      <c r="AI52" t="str">
        <f>_XTaq5MdpmR0</f>
        <v>504 Gulmi</v>
      </c>
      <c r="AR52" t="str">
        <f>_sdDVkfxhXzs</f>
        <v>Arun Rural Municipality</v>
      </c>
    </row>
    <row r="53" spans="7:44">
      <c r="G53" t="str">
        <f>_r1azx0kReQF</f>
        <v>505 Arghakhanchi</v>
      </c>
      <c r="H53" t="str">
        <f>_kzjscbegiG3</f>
        <v>Pauwa Dunma Rural Municipality</v>
      </c>
      <c r="AI53" t="str">
        <f>_r1azx0kReQF</f>
        <v>505 Arghakhanchi</v>
      </c>
      <c r="AR53" t="str">
        <f>_kzjscbegiG3</f>
        <v>Pauwa Dunma Rural Municipality</v>
      </c>
    </row>
    <row r="54" spans="7:44">
      <c r="G54" t="str">
        <f>_NojPDebeaHa</f>
        <v>506 Palpa</v>
      </c>
      <c r="H54" t="str">
        <f>_HSlUu6UuLEY</f>
        <v>Ramprasad Rai Rural Municipality</v>
      </c>
      <c r="AI54" t="str">
        <f>_NojPDebeaHa</f>
        <v>506 Palpa</v>
      </c>
      <c r="AR54" t="str">
        <f>_HSlUu6UuLEY</f>
        <v>Ramprasad Rai Rural Municipality</v>
      </c>
    </row>
    <row r="55" spans="7:44">
      <c r="G55" t="str">
        <f>_YDu6Paa8LOB</f>
        <v>507 Nawalparasi West</v>
      </c>
      <c r="H55" t="str">
        <f>_oa7GbITS17N</f>
        <v>Hatuwagadhi Rural Municipality</v>
      </c>
      <c r="AI55" t="str">
        <f>_YDu6Paa8LOB</f>
        <v>507 Nawalparasi West</v>
      </c>
      <c r="AR55" t="str">
        <f>_oa7GbITS17N</f>
        <v>Hatuwagadhi Rural Municipality</v>
      </c>
    </row>
    <row r="56" spans="7:44">
      <c r="G56" t="str">
        <f>_WabHSAIqPYL</f>
        <v>508 Rupandehi</v>
      </c>
      <c r="H56" t="str">
        <f>_SJemAb05PXS</f>
        <v>Aamchowk Rural Municipality</v>
      </c>
      <c r="AI56" t="str">
        <f>_WabHSAIqPYL</f>
        <v>508 Rupandehi</v>
      </c>
      <c r="AR56" t="str">
        <f>_SJemAb05PXS</f>
        <v>Aamchowk Rural Municipality</v>
      </c>
    </row>
    <row r="57" spans="7:44">
      <c r="G57" t="str">
        <f>_MTTC85wseq8</f>
        <v>509 Kapilbastu</v>
      </c>
      <c r="H57" t="str">
        <f>_yU93mrcyCC9</f>
        <v>Mahalaxmi Municipality</v>
      </c>
      <c r="AI57" t="str">
        <f>_MTTC85wseq8</f>
        <v>509 Kapilbastu</v>
      </c>
      <c r="AR57" t="str">
        <f>_yU93mrcyCC9</f>
        <v>Mahalaxmi Municipality</v>
      </c>
    </row>
    <row r="58" spans="7:44">
      <c r="G58" t="str">
        <f>_wFmuUvqane5</f>
        <v>510 Dang</v>
      </c>
      <c r="H58" t="str">
        <f>_pQILb3EFAOM</f>
        <v>Pakhribas Municipality</v>
      </c>
      <c r="AI58" t="str">
        <f>_wFmuUvqane5</f>
        <v>510 Dang</v>
      </c>
      <c r="AR58" t="str">
        <f>_pQILb3EFAOM</f>
        <v>Pakhribas Municipality</v>
      </c>
    </row>
    <row r="59" spans="7:44">
      <c r="G59" t="str">
        <f>_hWd5pqjp8F7</f>
        <v>511 Banke</v>
      </c>
      <c r="H59" t="str">
        <f>_pbFX2GTJ4Ae</f>
        <v>Chhathar Jorpati Rural Municipality</v>
      </c>
      <c r="AI59" t="str">
        <f>_hWd5pqjp8F7</f>
        <v>511 Banke</v>
      </c>
      <c r="AR59" t="str">
        <f>_pbFX2GTJ4Ae</f>
        <v>Chhathar Jorpati Rural Municipality</v>
      </c>
    </row>
    <row r="60" spans="7:44">
      <c r="G60" t="str">
        <f>_myMve24lzEN</f>
        <v>512 Bardiya</v>
      </c>
      <c r="H60" t="str">
        <f>_iiaGACEnxiI</f>
        <v>Dhankuta Municipality</v>
      </c>
      <c r="AI60" t="str">
        <f>_myMve24lzEN</f>
        <v>512 Bardiya</v>
      </c>
      <c r="AR60" t="str">
        <f>_iiaGACEnxiI</f>
        <v>Dhankuta Municipality</v>
      </c>
    </row>
    <row r="61" spans="7:44">
      <c r="G61" t="str">
        <f>_g2kdhzLm7Bm</f>
        <v>601 Dolpa</v>
      </c>
      <c r="H61" t="str">
        <f>_TkQPU1j5sPl</f>
        <v>Khalsa Chhintang Sahidbhumi Rural Municipality</v>
      </c>
      <c r="AI61" t="str">
        <f>_g2kdhzLm7Bm</f>
        <v>601 Dolpa</v>
      </c>
      <c r="AR61" t="str">
        <f>_TkQPU1j5sPl</f>
        <v>Khalsa Chhintang Sahidbhumi Rural Municipality</v>
      </c>
    </row>
    <row r="62" spans="7:44">
      <c r="G62" t="str">
        <f>_MilfEK4witp</f>
        <v>602 Mugu</v>
      </c>
      <c r="H62" t="str">
        <f>_FVX1dpkn5DR</f>
        <v>Sangurigadhi Rural Municipality</v>
      </c>
      <c r="AI62" t="str">
        <f>_MilfEK4witp</f>
        <v>602 Mugu</v>
      </c>
      <c r="AR62" t="str">
        <f>_FVX1dpkn5DR</f>
        <v>Sangurigadhi Rural Municipality</v>
      </c>
    </row>
    <row r="63" spans="7:44">
      <c r="G63" t="str">
        <f>_kb3fEJ3Ck5t</f>
        <v>603 Humla</v>
      </c>
      <c r="H63" t="str">
        <f>_Nq5P8pFWjbI</f>
        <v>Chaubise Rural Municipality</v>
      </c>
      <c r="AI63" t="str">
        <f>_kb3fEJ3Ck5t</f>
        <v>603 Humla</v>
      </c>
      <c r="AR63" t="str">
        <f>_Nq5P8pFWjbI</f>
        <v>Chaubise Rural Municipality</v>
      </c>
    </row>
    <row r="64" spans="7:44">
      <c r="G64" t="str">
        <f>_w00yLBxs4Nb</f>
        <v>604 Jumla</v>
      </c>
      <c r="H64" t="str">
        <f>_Nhjqa46sor1</f>
        <v>Aatharai Rural Municipality</v>
      </c>
      <c r="AI64" t="str">
        <f>_w00yLBxs4Nb</f>
        <v>604 Jumla</v>
      </c>
      <c r="AR64" t="str">
        <f>_Nhjqa46sor1</f>
        <v>Aatharai Rural Municipality</v>
      </c>
    </row>
    <row r="65" spans="7:44">
      <c r="G65" t="str">
        <f>_iHQiUfmqoq8</f>
        <v>605 Kalikot</v>
      </c>
      <c r="H65" t="str">
        <f>_mZ8PlwVXEhO</f>
        <v>Phedap Rural Municipality</v>
      </c>
      <c r="AI65" t="str">
        <f>_iHQiUfmqoq8</f>
        <v>605 Kalikot</v>
      </c>
      <c r="AR65" t="str">
        <f>_mZ8PlwVXEhO</f>
        <v>Phedap Rural Municipality</v>
      </c>
    </row>
    <row r="66" spans="7:44">
      <c r="G66" t="str">
        <f>_UNNNBEiJvqf</f>
        <v>606 Dailekh</v>
      </c>
      <c r="H66" t="str">
        <f>_G7HTb8TKPVV</f>
        <v>Menchhayayem Rural Municipality</v>
      </c>
      <c r="AI66" t="str">
        <f>_UNNNBEiJvqf</f>
        <v>606 Dailekh</v>
      </c>
      <c r="AR66" t="str">
        <f>_G7HTb8TKPVV</f>
        <v>Menchhayayem Rural Municipality</v>
      </c>
    </row>
    <row r="67" spans="7:44">
      <c r="G67" t="str">
        <f>_WzNp4KGnBvM</f>
        <v>607 Jajarkot</v>
      </c>
      <c r="H67" t="str">
        <f>_rdWV2Hti7Y0</f>
        <v>Myanglung Municipality</v>
      </c>
      <c r="AI67" t="str">
        <f>_WzNp4KGnBvM</f>
        <v>607 Jajarkot</v>
      </c>
      <c r="AR67" t="str">
        <f>_rdWV2Hti7Y0</f>
        <v>Myanglung Municipality</v>
      </c>
    </row>
    <row r="68" spans="7:44">
      <c r="G68" t="str">
        <f>_e0L54G96FZV</f>
        <v>608 Rukum West</v>
      </c>
      <c r="H68" t="str">
        <f>_mRDxHuVyq8t</f>
        <v>Laligurans Municipality</v>
      </c>
      <c r="AI68" t="str">
        <f>_e0L54G96FZV</f>
        <v>608 Rukum West</v>
      </c>
      <c r="AR68" t="str">
        <f>_mRDxHuVyq8t</f>
        <v>Laligurans Municipality</v>
      </c>
    </row>
    <row r="69" spans="7:44">
      <c r="G69" t="str">
        <f>_NEJoaGU9xzw</f>
        <v>609 Salyan</v>
      </c>
      <c r="H69" t="str">
        <f>_NogLGZQ1I7z</f>
        <v>Chhathar Rural Municipality</v>
      </c>
      <c r="AI69" t="str">
        <f>_NEJoaGU9xzw</f>
        <v>609 Salyan</v>
      </c>
      <c r="AR69" t="str">
        <f>_NogLGZQ1I7z</f>
        <v>Chhathar Rural Municipality</v>
      </c>
    </row>
    <row r="70" spans="7:44">
      <c r="G70" t="str">
        <f>_U3mvAcyAlUi</f>
        <v>610 Surkhet</v>
      </c>
      <c r="H70" t="str">
        <f>_tqCQMruOo2h</f>
        <v>Yangbarak Rural Municipality</v>
      </c>
      <c r="AI70" t="str">
        <f>_U3mvAcyAlUi</f>
        <v>610 Surkhet</v>
      </c>
      <c r="AR70" t="str">
        <f>_tqCQMruOo2h</f>
        <v>Yangbarak Rural Municipality</v>
      </c>
    </row>
    <row r="71" spans="7:44">
      <c r="G71" t="str">
        <f>_KGjvHB09fOc</f>
        <v>701 Bajura</v>
      </c>
      <c r="H71" t="str">
        <f>_LiAKjYTKaXI</f>
        <v>Hilihan Rural Municipality</v>
      </c>
      <c r="AI71" t="str">
        <f>_KGjvHB09fOc</f>
        <v>701 Bajura</v>
      </c>
      <c r="AR71" t="str">
        <f>_LiAKjYTKaXI</f>
        <v>Hilihan Rural Municipality</v>
      </c>
    </row>
    <row r="72" spans="7:44">
      <c r="G72" t="str">
        <f>_lhTm8TyI5qi</f>
        <v>702 Bajhang</v>
      </c>
      <c r="H72" t="str">
        <f>_vTydWx0krBR</f>
        <v>Falelung Rural Municipality</v>
      </c>
      <c r="AI72" t="str">
        <f>_lhTm8TyI5qi</f>
        <v>702 Bajhang</v>
      </c>
      <c r="AR72" t="str">
        <f>_vTydWx0krBR</f>
        <v>Falelung Rural Municipality</v>
      </c>
    </row>
    <row r="73" spans="7:44">
      <c r="G73" t="str">
        <f>_tx5tn7QNHob</f>
        <v>703 Darchula</v>
      </c>
      <c r="H73" t="str">
        <f>_idlwdDUEvog</f>
        <v>Phidim Municipality</v>
      </c>
      <c r="AI73" t="str">
        <f>_tx5tn7QNHob</f>
        <v>703 Darchula</v>
      </c>
      <c r="AR73" t="str">
        <f>_idlwdDUEvog</f>
        <v>Phidim Municipality</v>
      </c>
    </row>
    <row r="74" spans="7:44">
      <c r="G74" t="str">
        <f>_EXW2mIqRpTa</f>
        <v>704 Baitadi</v>
      </c>
      <c r="H74" t="str">
        <f>_eIGL9YxJk72</f>
        <v>Falgunanda Rural Municipality</v>
      </c>
      <c r="AI74" t="str">
        <f>_EXW2mIqRpTa</f>
        <v>704 Baitadi</v>
      </c>
      <c r="AR74" t="str">
        <f>_eIGL9YxJk72</f>
        <v>Falgunanda Rural Municipality</v>
      </c>
    </row>
    <row r="75" spans="7:44">
      <c r="G75" t="str">
        <f>_WQEg4tItNSZ</f>
        <v>705 Dadeldhura</v>
      </c>
      <c r="H75" t="str">
        <f>_GVQmogkpxhw</f>
        <v>Kummayak Rural Municipality</v>
      </c>
      <c r="AI75" t="str">
        <f>_WQEg4tItNSZ</f>
        <v>705 Dadeldhura</v>
      </c>
      <c r="AR75" t="str">
        <f>_GVQmogkpxhw</f>
        <v>Kummayak Rural Municipality</v>
      </c>
    </row>
    <row r="76" spans="7:44">
      <c r="G76" t="str">
        <f>_GzV9KJVPeNv</f>
        <v>706 Doti</v>
      </c>
      <c r="H76" t="str">
        <f>_w0DoPrHBZj3</f>
        <v>Tumbewa Rural Municipality</v>
      </c>
      <c r="AI76" t="str">
        <f>_GzV9KJVPeNv</f>
        <v>706 Doti</v>
      </c>
      <c r="AR76" t="str">
        <f>_w0DoPrHBZj3</f>
        <v>Tumbewa Rural Municipality</v>
      </c>
    </row>
    <row r="77" spans="7:44">
      <c r="G77" t="str">
        <f>_uHp6B3LqCBb</f>
        <v>707 Achham</v>
      </c>
      <c r="H77" t="str">
        <f>_mx12QvuhZwv</f>
        <v>Miklajung Rural Municipality</v>
      </c>
      <c r="AI77" t="str">
        <f>_uHp6B3LqCBb</f>
        <v>707 Achham</v>
      </c>
      <c r="AR77" t="str">
        <f>_mx12QvuhZwv</f>
        <v>Miklajung Rural Municipality</v>
      </c>
    </row>
    <row r="78" spans="7:44">
      <c r="G78" t="str">
        <f>_D9KSCMhhqic</f>
        <v>708 Kailali</v>
      </c>
      <c r="H78" t="str">
        <f>_K2bWL2DJBIp</f>
        <v>Mai Jogmai Rural Municipality</v>
      </c>
      <c r="AI78" t="str">
        <f>_D9KSCMhhqic</f>
        <v>708 Kailali</v>
      </c>
      <c r="AR78" t="str">
        <f>_K2bWL2DJBIp</f>
        <v>Mai Jogmai Rural Municipality</v>
      </c>
    </row>
    <row r="79" spans="7:44">
      <c r="G79" t="str">
        <f>_S7p0RMtNt5d</f>
        <v>709 Kanchanpur</v>
      </c>
      <c r="H79" t="str">
        <f>_u2lb8ouwqq9</f>
        <v>Sandakpur Rural Municipality</v>
      </c>
      <c r="AI79" t="str">
        <f>_S7p0RMtNt5d</f>
        <v>709 Kanchanpur</v>
      </c>
      <c r="AR79" t="str">
        <f>_u2lb8ouwqq9</f>
        <v>Sandakpur Rural Municipality</v>
      </c>
    </row>
    <row r="80" spans="7:44">
      <c r="H80" t="str">
        <f>_AA33oXfJmSA</f>
        <v>Ilam Municipality</v>
      </c>
      <c r="AR80" t="str">
        <f>_AA33oXfJmSA</f>
        <v>Ilam Municipality</v>
      </c>
    </row>
    <row r="81" spans="8:44">
      <c r="H81" t="str">
        <f>_vrwc9Nul4t0</f>
        <v>Deumai Municipality</v>
      </c>
      <c r="AR81" t="str">
        <f>_vrwc9Nul4t0</f>
        <v>Deumai Municipality</v>
      </c>
    </row>
    <row r="82" spans="8:44">
      <c r="H82" t="str">
        <f>_VijD4XJTLPZ</f>
        <v>Fakfokathum Rural Municipality</v>
      </c>
      <c r="AR82" t="str">
        <f>_VijD4XJTLPZ</f>
        <v>Fakfokathum Rural Municipality</v>
      </c>
    </row>
    <row r="83" spans="8:44">
      <c r="H83" t="str">
        <f>_pDXCQerDOv6</f>
        <v>Mangsebung Rural Municipality</v>
      </c>
      <c r="AR83" t="str">
        <f>_pDXCQerDOv6</f>
        <v>Mangsebung Rural Municipality</v>
      </c>
    </row>
    <row r="84" spans="8:44">
      <c r="H84" t="str">
        <f>_OiSB4QrXw7B</f>
        <v>Chulachuli Rural Municipality</v>
      </c>
      <c r="AR84" t="str">
        <f>_OiSB4QrXw7B</f>
        <v>Chulachuli Rural Municipality</v>
      </c>
    </row>
    <row r="85" spans="8:44">
      <c r="H85" t="str">
        <f>_jvep0wSVDJn</f>
        <v>Mai Municipality</v>
      </c>
      <c r="AR85" t="str">
        <f>_jvep0wSVDJn</f>
        <v>Mai Municipality</v>
      </c>
    </row>
    <row r="86" spans="8:44">
      <c r="H86" t="str">
        <f>_pFQWrPFZVgz</f>
        <v>Suryodaya Municipality</v>
      </c>
      <c r="AR86" t="str">
        <f>_pFQWrPFZVgz</f>
        <v>Suryodaya Municipality</v>
      </c>
    </row>
    <row r="87" spans="8:44">
      <c r="H87" t="str">
        <f>_eW0hwS68FZi</f>
        <v>Rong Rural Municipality</v>
      </c>
      <c r="AR87" t="str">
        <f>_eW0hwS68FZi</f>
        <v>Rong Rural Municipality</v>
      </c>
    </row>
    <row r="88" spans="8:44">
      <c r="H88" t="str">
        <f>_GMV1kaXy6Xb</f>
        <v>Mechinagar Municipality</v>
      </c>
      <c r="AR88" t="str">
        <f>_GMV1kaXy6Xb</f>
        <v>Mechinagar Municipality</v>
      </c>
    </row>
    <row r="89" spans="8:44">
      <c r="H89" t="str">
        <f>_OthT440UB56</f>
        <v>Buddhashanti Rural Municipality</v>
      </c>
      <c r="AR89" t="str">
        <f>_OthT440UB56</f>
        <v>Buddhashanti Rural Municipality</v>
      </c>
    </row>
    <row r="90" spans="8:44">
      <c r="H90" t="str">
        <f>_yTAbOK2ZkkC</f>
        <v>Arjundhara Municipality</v>
      </c>
      <c r="AR90" t="str">
        <f>_yTAbOK2ZkkC</f>
        <v>Arjundhara Municipality</v>
      </c>
    </row>
    <row r="91" spans="8:44">
      <c r="H91" t="str">
        <f>_GEbeStgBbe4</f>
        <v>Kankai Municipality</v>
      </c>
      <c r="AR91" t="str">
        <f>_GEbeStgBbe4</f>
        <v>Kankai Municipality</v>
      </c>
    </row>
    <row r="92" spans="8:44">
      <c r="H92" t="str">
        <f>_sdhd1VRT0HD</f>
        <v>Shivasatakshi Municipality</v>
      </c>
      <c r="AR92" t="str">
        <f>_sdhd1VRT0HD</f>
        <v>Shivasatakshi Municipality</v>
      </c>
    </row>
    <row r="93" spans="8:44">
      <c r="H93" t="str">
        <f>_fpnnANaqTog</f>
        <v>Kamal Rural Municipality</v>
      </c>
      <c r="AR93" t="str">
        <f>_fpnnANaqTog</f>
        <v>Kamal Rural Municipality</v>
      </c>
    </row>
    <row r="94" spans="8:44">
      <c r="H94" t="str">
        <f>_Xo8NW8kWWo2</f>
        <v>Damak Municipality</v>
      </c>
      <c r="AR94" t="str">
        <f>_Xo8NW8kWWo2</f>
        <v>Damak Municipality</v>
      </c>
    </row>
    <row r="95" spans="8:44">
      <c r="H95" t="str">
        <f>_fVkgl6tkLYR</f>
        <v>Gauradaha Municipality</v>
      </c>
      <c r="AR95" t="str">
        <f>_fVkgl6tkLYR</f>
        <v>Gauradaha Municipality</v>
      </c>
    </row>
    <row r="96" spans="8:44">
      <c r="H96" t="str">
        <f>_oKqy1ItS26X</f>
        <v>Gauriganj Rural Municipality</v>
      </c>
      <c r="AR96" t="str">
        <f>_oKqy1ItS26X</f>
        <v>Gauriganj Rural Municipality</v>
      </c>
    </row>
    <row r="97" spans="8:44">
      <c r="H97" t="str">
        <f>_pgP9oMZb94p</f>
        <v>Jhapa Rural Municipality</v>
      </c>
      <c r="AR97" t="str">
        <f>_pgP9oMZb94p</f>
        <v>Jhapa Rural Municipality</v>
      </c>
    </row>
    <row r="98" spans="8:44">
      <c r="H98" t="str">
        <f>_xZs92OPf2dG</f>
        <v>Barhadashi Rural Municipality</v>
      </c>
      <c r="AR98" t="str">
        <f>_xZs92OPf2dG</f>
        <v>Barhadashi Rural Municipality</v>
      </c>
    </row>
    <row r="99" spans="8:44">
      <c r="H99" t="str">
        <f>_jjwvS4nidCb</f>
        <v>Birtamod Municipality</v>
      </c>
      <c r="AR99" t="str">
        <f>_jjwvS4nidCb</f>
        <v>Birtamod Municipality</v>
      </c>
    </row>
    <row r="100" spans="8:44">
      <c r="H100" t="str">
        <f>_IiShm6nDSZ1</f>
        <v>Haldibari Rural Municipality</v>
      </c>
      <c r="AR100" t="str">
        <f>_IiShm6nDSZ1</f>
        <v>Haldibari Rural Municipality</v>
      </c>
    </row>
    <row r="101" spans="8:44">
      <c r="H101" t="str">
        <f>_f9vHSvhqUee</f>
        <v>Bhadrapur Municipality</v>
      </c>
      <c r="AR101" t="str">
        <f>_f9vHSvhqUee</f>
        <v>Bhadrapur Municipality</v>
      </c>
    </row>
    <row r="102" spans="8:44">
      <c r="H102" t="str">
        <f>_XDjBOjXb6SW</f>
        <v>Kachanakawal Rural Municipality</v>
      </c>
      <c r="AR102" t="str">
        <f>_XDjBOjXb6SW</f>
        <v>Kachanakawal Rural Municipality</v>
      </c>
    </row>
    <row r="103" spans="8:44">
      <c r="H103" t="str">
        <f>_LrOMfuS7xUL</f>
        <v>Miklajung Rural Municipality</v>
      </c>
      <c r="AR103" t="str">
        <f>_LrOMfuS7xUL</f>
        <v>Miklajung Rural Municipality</v>
      </c>
    </row>
    <row r="104" spans="8:44">
      <c r="H104" t="str">
        <f>_XJniVQIui1z</f>
        <v>Letang Municipality</v>
      </c>
      <c r="AR104" t="str">
        <f>_XJniVQIui1z</f>
        <v>Letang Municipality</v>
      </c>
    </row>
    <row r="105" spans="8:44">
      <c r="H105" t="str">
        <f>_wDWXzaq3f8T</f>
        <v>Kerabari Rural Municipality</v>
      </c>
      <c r="AR105" t="str">
        <f>_wDWXzaq3f8T</f>
        <v>Kerabari Rural Municipality</v>
      </c>
    </row>
    <row r="106" spans="8:44">
      <c r="H106" t="str">
        <f>_lWbRPmIOCZb</f>
        <v>Sundarharaicha Municipality</v>
      </c>
      <c r="AR106" t="str">
        <f>_lWbRPmIOCZb</f>
        <v>Sundarharaicha Municipality</v>
      </c>
    </row>
    <row r="107" spans="8:44">
      <c r="H107" t="str">
        <f>_BlMxCPzLVKE</f>
        <v>Belbari Municipality</v>
      </c>
      <c r="AR107" t="str">
        <f>_BlMxCPzLVKE</f>
        <v>Belbari Municipality</v>
      </c>
    </row>
    <row r="108" spans="8:44">
      <c r="H108" t="str">
        <f>_dUswNRKX5Ua</f>
        <v>Kanepokhari Rural Municipality</v>
      </c>
      <c r="AR108" t="str">
        <f>_dUswNRKX5Ua</f>
        <v>Kanepokhari Rural Municipality</v>
      </c>
    </row>
    <row r="109" spans="8:44">
      <c r="H109" t="str">
        <f>_uVrFVqrGIQl</f>
        <v>Pathari Shanishchare Municipality</v>
      </c>
      <c r="AR109" t="str">
        <f>_uVrFVqrGIQl</f>
        <v>Pathari Shanishchare Municipality</v>
      </c>
    </row>
    <row r="110" spans="8:44">
      <c r="H110" t="str">
        <f>_iAS9EFPLhUq</f>
        <v>Urlabari Municipality</v>
      </c>
      <c r="AR110" t="str">
        <f>_iAS9EFPLhUq</f>
        <v>Urlabari Municipality</v>
      </c>
    </row>
    <row r="111" spans="8:44">
      <c r="H111" t="str">
        <f>_mCIj2EaMvqx</f>
        <v>Ratuwamai Municipality</v>
      </c>
      <c r="AR111" t="str">
        <f>_mCIj2EaMvqx</f>
        <v>Ratuwamai Municipality</v>
      </c>
    </row>
    <row r="112" spans="8:44">
      <c r="H112" t="str">
        <f>_OE9pdRSAFbt</f>
        <v>Sunwarshi Municipality</v>
      </c>
      <c r="AR112" t="str">
        <f>_OE9pdRSAFbt</f>
        <v>Sunwarshi Municipality</v>
      </c>
    </row>
    <row r="113" spans="8:44">
      <c r="H113" t="str">
        <f>_Ey27DTQAss8</f>
        <v>Rangeli Municipality</v>
      </c>
      <c r="AR113" t="str">
        <f>_Ey27DTQAss8</f>
        <v>Rangeli Municipality</v>
      </c>
    </row>
    <row r="114" spans="8:44">
      <c r="H114" t="str">
        <f>_t65bBS5snT2</f>
        <v>Gramthan Rural Municipality</v>
      </c>
      <c r="AR114" t="str">
        <f>_t65bBS5snT2</f>
        <v>Gramthan Rural Municipality</v>
      </c>
    </row>
    <row r="115" spans="8:44">
      <c r="H115" t="str">
        <f>_igpB9yymbMo</f>
        <v>Budhiganga Rural Municipality</v>
      </c>
      <c r="AR115" t="str">
        <f>_igpB9yymbMo</f>
        <v>Budhiganga Rural Municipality</v>
      </c>
    </row>
    <row r="116" spans="8:44">
      <c r="H116" t="str">
        <f>_N6USN8urXXt</f>
        <v>Biratnagar Metropolitian City</v>
      </c>
      <c r="AR116" t="str">
        <f>_N6USN8urXXt</f>
        <v>Biratnagar Metropolitian City</v>
      </c>
    </row>
    <row r="117" spans="8:44">
      <c r="H117" t="str">
        <f>_ZWZ2w5rvxDv</f>
        <v>Katahari Rural Municipality</v>
      </c>
      <c r="AR117" t="str">
        <f>_ZWZ2w5rvxDv</f>
        <v>Katahari Rural Municipality</v>
      </c>
    </row>
    <row r="118" spans="8:44">
      <c r="H118" t="str">
        <f>_ZjWN1q0du0o</f>
        <v>Dhanapalthan Rural Municipality</v>
      </c>
      <c r="AR118" t="str">
        <f>_ZjWN1q0du0o</f>
        <v>Dhanapalthan Rural Municipality</v>
      </c>
    </row>
    <row r="119" spans="8:44">
      <c r="H119" t="str">
        <f>_t7ZUZLOXxHK</f>
        <v>Jahada Rural Municipality</v>
      </c>
      <c r="AR119" t="str">
        <f>_t7ZUZLOXxHK</f>
        <v>Jahada Rural Municipality</v>
      </c>
    </row>
    <row r="120" spans="8:44">
      <c r="H120" t="str">
        <f>_ORRuFxj4ZId</f>
        <v>Dharan Sub-Metropolitian City</v>
      </c>
      <c r="AR120" t="str">
        <f>_ORRuFxj4ZId</f>
        <v>Dharan Sub-Metropolitian City</v>
      </c>
    </row>
    <row r="121" spans="8:44">
      <c r="H121" t="str">
        <f>_l4OwH0fAv5S</f>
        <v>Baraha Municipality</v>
      </c>
      <c r="AR121" t="str">
        <f>_l4OwH0fAv5S</f>
        <v>Baraha Municipality</v>
      </c>
    </row>
    <row r="122" spans="8:44">
      <c r="H122" t="str">
        <f>_hghfDSPUu5v</f>
        <v>Koshi Rural Municipality</v>
      </c>
      <c r="AR122" t="str">
        <f>_hghfDSPUu5v</f>
        <v>Koshi Rural Municipality</v>
      </c>
    </row>
    <row r="123" spans="8:44">
      <c r="H123" t="str">
        <f>_lojSOFZ3JVj</f>
        <v>Bhokraha Rural Municipality</v>
      </c>
      <c r="AR123" t="str">
        <f>_lojSOFZ3JVj</f>
        <v>Bhokraha Rural Municipality</v>
      </c>
    </row>
    <row r="124" spans="8:44">
      <c r="H124" t="str">
        <f>_YjkfsTWjdLO</f>
        <v>Ramdhuni Municipality</v>
      </c>
      <c r="AR124" t="str">
        <f>_YjkfsTWjdLO</f>
        <v>Ramdhuni Municipality</v>
      </c>
    </row>
    <row r="125" spans="8:44">
      <c r="H125" t="str">
        <f>_NHcpA7Gukhi</f>
        <v>Itahari Sub-Metropolitian City</v>
      </c>
      <c r="AR125" t="str">
        <f>_NHcpA7Gukhi</f>
        <v>Itahari Sub-Metropolitian City</v>
      </c>
    </row>
    <row r="126" spans="8:44">
      <c r="H126" t="str">
        <f>_ChGszfoNc2E</f>
        <v>Duhabi Municipality</v>
      </c>
      <c r="AR126" t="str">
        <f>_ChGszfoNc2E</f>
        <v>Duhabi Municipality</v>
      </c>
    </row>
    <row r="127" spans="8:44">
      <c r="H127" t="str">
        <f>_pkfcZpKsYSH</f>
        <v>Gadhi Rural Municipality</v>
      </c>
      <c r="AR127" t="str">
        <f>_pkfcZpKsYSH</f>
        <v>Gadhi Rural Municipality</v>
      </c>
    </row>
    <row r="128" spans="8:44">
      <c r="H128" t="str">
        <f>_HaPELKxqm7N</f>
        <v>Inaruwa Municipality</v>
      </c>
      <c r="AR128" t="str">
        <f>_HaPELKxqm7N</f>
        <v>Inaruwa Municipality</v>
      </c>
    </row>
    <row r="129" spans="8:44">
      <c r="H129" t="str">
        <f>_zo4v791tpCF</f>
        <v>Harinagara Rural Municipality</v>
      </c>
      <c r="AR129" t="str">
        <f>_zo4v791tpCF</f>
        <v>Harinagara Rural Municipality</v>
      </c>
    </row>
    <row r="130" spans="8:44">
      <c r="H130" t="str">
        <f>_vFETYpoWqCb</f>
        <v>Dewangunj Rural Municipality</v>
      </c>
      <c r="AR130" t="str">
        <f>_vFETYpoWqCb</f>
        <v>Dewangunj Rural Municipality</v>
      </c>
    </row>
    <row r="131" spans="8:44">
      <c r="H131" t="str">
        <f>_YWRczShGIKH</f>
        <v>Barju Rural Municipality</v>
      </c>
      <c r="AR131" t="str">
        <f>_YWRczShGIKH</f>
        <v>Barju Rural Municipality</v>
      </c>
    </row>
    <row r="132" spans="8:44">
      <c r="H132" t="str">
        <f>_MF7jOJr4XaA</f>
        <v>Belaka Municipality</v>
      </c>
      <c r="AR132" t="str">
        <f>_MF7jOJr4XaA</f>
        <v>Belaka Municipality</v>
      </c>
    </row>
    <row r="133" spans="8:44">
      <c r="H133" t="str">
        <f>_DirADZjTCRh</f>
        <v>Chaudandigadhi Municipality</v>
      </c>
      <c r="AR133" t="str">
        <f>_DirADZjTCRh</f>
        <v>Chaudandigadhi Municipality</v>
      </c>
    </row>
    <row r="134" spans="8:44">
      <c r="H134" t="str">
        <f>_cmrhhXHnQJH</f>
        <v>Triyuga Municipality</v>
      </c>
      <c r="AR134" t="str">
        <f>_cmrhhXHnQJH</f>
        <v>Triyuga Municipality</v>
      </c>
    </row>
    <row r="135" spans="8:44">
      <c r="H135" t="str">
        <f>_qMj7SmPQvbA</f>
        <v>Rautamai Rural Municipality</v>
      </c>
      <c r="AR135" t="str">
        <f>_qMj7SmPQvbA</f>
        <v>Rautamai Rural Municipality</v>
      </c>
    </row>
    <row r="136" spans="8:44">
      <c r="H136" t="str">
        <f>_km3ztMqtDAn</f>
        <v>Sunkoshi Rural Municipality</v>
      </c>
      <c r="AR136" t="str">
        <f>_km3ztMqtDAn</f>
        <v>Sunkoshi Rural Municipality</v>
      </c>
    </row>
    <row r="137" spans="8:44">
      <c r="H137" t="str">
        <f>_Kmox8hHRHGF</f>
        <v>Tapli Rural Municipality</v>
      </c>
      <c r="AR137" t="str">
        <f>_Kmox8hHRHGF</f>
        <v>Tapli Rural Municipality</v>
      </c>
    </row>
    <row r="138" spans="8:44">
      <c r="H138" t="str">
        <f>_SzZyj2mmnmv</f>
        <v>Katari Municipality</v>
      </c>
      <c r="AR138" t="str">
        <f>_SzZyj2mmnmv</f>
        <v>Katari Municipality</v>
      </c>
    </row>
    <row r="139" spans="8:44">
      <c r="H139" t="str">
        <f>_QdWmPnBUuTE</f>
        <v>Udayapurgadhi Rural Municipality</v>
      </c>
      <c r="AR139" t="str">
        <f>_QdWmPnBUuTE</f>
        <v>Udayapurgadhi Rural Municipality</v>
      </c>
    </row>
    <row r="140" spans="8:44">
      <c r="H140" t="str">
        <f>_YMtmA7Vd8ex</f>
        <v>Saptakoshi Municipality</v>
      </c>
      <c r="AR140" t="str">
        <f>_YMtmA7Vd8ex</f>
        <v>Saptakoshi Municipality</v>
      </c>
    </row>
    <row r="141" spans="8:44">
      <c r="H141" t="str">
        <f>_uA5OQYhvckA</f>
        <v>Kanchanrup Municipality</v>
      </c>
      <c r="AR141" t="str">
        <f>_uA5OQYhvckA</f>
        <v>Kanchanrup Municipality</v>
      </c>
    </row>
    <row r="142" spans="8:44">
      <c r="H142" t="str">
        <f>_nduhkkIFZGS</f>
        <v>Agnisair Krishna Sabaran Rural Municipality</v>
      </c>
      <c r="AR142" t="str">
        <f>_nduhkkIFZGS</f>
        <v>Agnisair Krishna Sabaran Rural Municipality</v>
      </c>
    </row>
    <row r="143" spans="8:44">
      <c r="H143" t="str">
        <f>_kXhDviVa5eD</f>
        <v>Rupani Rural Municipality</v>
      </c>
      <c r="AR143" t="str">
        <f>_kXhDviVa5eD</f>
        <v>Rupani Rural Municipality</v>
      </c>
    </row>
    <row r="144" spans="8:44">
      <c r="H144" t="str">
        <f>_gGkrHcox74x</f>
        <v>Shambhunath Municipality</v>
      </c>
      <c r="AR144" t="str">
        <f>_gGkrHcox74x</f>
        <v>Shambhunath Municipality</v>
      </c>
    </row>
    <row r="145" spans="8:44">
      <c r="H145" t="str">
        <f>_aT1C1NNkVEY</f>
        <v>Khadak Municipality</v>
      </c>
      <c r="AR145" t="str">
        <f>_aT1C1NNkVEY</f>
        <v>Khadak Municipality</v>
      </c>
    </row>
    <row r="146" spans="8:44">
      <c r="H146" t="str">
        <f>_BaCs6x5jTLo</f>
        <v>Surunga Municipality</v>
      </c>
      <c r="AR146" t="str">
        <f>_BaCs6x5jTLo</f>
        <v>Surunga Municipality</v>
      </c>
    </row>
    <row r="147" spans="8:44">
      <c r="H147" t="str">
        <f>_RejB3Rwk0eW</f>
        <v>Balan-Bihul Rural Municipality</v>
      </c>
      <c r="AR147" t="str">
        <f>_RejB3Rwk0eW</f>
        <v>Balan-Bihul Rural Municipality</v>
      </c>
    </row>
    <row r="148" spans="8:44">
      <c r="H148" t="str">
        <f>_IzvoTv1dAO3</f>
        <v>BodeBarsain Municipality</v>
      </c>
      <c r="AR148" t="str">
        <f>_IzvoTv1dAO3</f>
        <v>BodeBarsain Municipality</v>
      </c>
    </row>
    <row r="149" spans="8:44">
      <c r="H149" t="str">
        <f>_XjrBvTmX6oW</f>
        <v>Dakneshwori Municipality</v>
      </c>
      <c r="AR149" t="str">
        <f>_XjrBvTmX6oW</f>
        <v>Dakneshwori Municipality</v>
      </c>
    </row>
    <row r="150" spans="8:44">
      <c r="H150" t="str">
        <f>_tKclI5Qs8KB</f>
        <v>Belhi Chapena Rural Municipality</v>
      </c>
      <c r="AR150" t="str">
        <f>_tKclI5Qs8KB</f>
        <v>Belhi Chapena Rural Municipality</v>
      </c>
    </row>
    <row r="151" spans="8:44">
      <c r="H151" t="str">
        <f>_MAoc83wJg5z</f>
        <v>Bishnupur Rural Municipality</v>
      </c>
      <c r="AR151" t="str">
        <f>_MAoc83wJg5z</f>
        <v>Bishnupur Rural Municipality</v>
      </c>
    </row>
    <row r="152" spans="8:44">
      <c r="H152" t="str">
        <f>_mBztKkq4Cbf</f>
        <v>Rajbiraj Municipality</v>
      </c>
      <c r="AR152" t="str">
        <f>_mBztKkq4Cbf</f>
        <v>Rajbiraj Municipality</v>
      </c>
    </row>
    <row r="153" spans="8:44">
      <c r="H153" t="str">
        <f>_XtsrulYgCG1</f>
        <v>Mahadewa Rural Municipality</v>
      </c>
      <c r="AR153" t="str">
        <f>_XtsrulYgCG1</f>
        <v>Mahadewa Rural Municipality</v>
      </c>
    </row>
    <row r="154" spans="8:44">
      <c r="H154" t="str">
        <f>_Ya5RDtwE8wJ</f>
        <v>Tirahut Rural Municipality</v>
      </c>
      <c r="AR154" t="str">
        <f>_Ya5RDtwE8wJ</f>
        <v>Tirahut Rural Municipality</v>
      </c>
    </row>
    <row r="155" spans="8:44">
      <c r="H155" t="str">
        <f>_AL3vprrDbCy</f>
        <v>Hanumannagar Kankalini Municipality</v>
      </c>
      <c r="AR155" t="str">
        <f>_AL3vprrDbCy</f>
        <v>Hanumannagar Kankalini Municipality</v>
      </c>
    </row>
    <row r="156" spans="8:44">
      <c r="H156" t="str">
        <f>_NMelmImt6tz</f>
        <v>Tilathi Koiladi Rural Municipality</v>
      </c>
      <c r="AR156" t="str">
        <f>_NMelmImt6tz</f>
        <v>Tilathi Koiladi Rural Municipality</v>
      </c>
    </row>
    <row r="157" spans="8:44">
      <c r="H157" t="str">
        <f>_M2p4AxD46nA</f>
        <v>Chhinnamasta Rural Municipality</v>
      </c>
      <c r="AR157" t="str">
        <f>_M2p4AxD46nA</f>
        <v>Chhinnamasta Rural Municipality</v>
      </c>
    </row>
    <row r="158" spans="8:44">
      <c r="H158" t="str">
        <f>_uhHgnWHLGwz</f>
        <v>Lahan Municipality</v>
      </c>
      <c r="AR158" t="str">
        <f>_uhHgnWHLGwz</f>
        <v>Lahan Municipality</v>
      </c>
    </row>
    <row r="159" spans="8:44">
      <c r="H159" t="str">
        <f>_cklFH9flwyR</f>
        <v>Dhangadhimai Municipality</v>
      </c>
      <c r="AR159" t="str">
        <f>_cklFH9flwyR</f>
        <v>Dhangadhimai Municipality</v>
      </c>
    </row>
    <row r="160" spans="8:44">
      <c r="H160" t="str">
        <f>_GVTJpHIh0iN</f>
        <v>Golbazar Municipality</v>
      </c>
      <c r="AR160" t="str">
        <f>_GVTJpHIh0iN</f>
        <v>Golbazar Municipality</v>
      </c>
    </row>
    <row r="161" spans="8:44">
      <c r="H161" t="str">
        <f>_Hw1Lkknqqto</f>
        <v>Mirchaiya Municipality</v>
      </c>
      <c r="AR161" t="str">
        <f>_Hw1Lkknqqto</f>
        <v>Mirchaiya Municipality</v>
      </c>
    </row>
    <row r="162" spans="8:44">
      <c r="H162" t="str">
        <f>_z5PjIiKk34F</f>
        <v>Karjanha Municipality</v>
      </c>
      <c r="AR162" t="str">
        <f>_z5PjIiKk34F</f>
        <v>Karjanha Municipality</v>
      </c>
    </row>
    <row r="163" spans="8:44">
      <c r="H163" t="str">
        <f>_roQOQNqiYew</f>
        <v>Kalyanpur Municipality</v>
      </c>
      <c r="AR163" t="str">
        <f>_roQOQNqiYew</f>
        <v>Kalyanpur Municipality</v>
      </c>
    </row>
    <row r="164" spans="8:44">
      <c r="H164" t="str">
        <f>_VeI4D41WrBT</f>
        <v>Naraha Rural Municipality</v>
      </c>
      <c r="AR164" t="str">
        <f>_VeI4D41WrBT</f>
        <v>Naraha Rural Municipality</v>
      </c>
    </row>
    <row r="165" spans="8:44">
      <c r="H165" t="str">
        <f>_qf0NiY3qZVU</f>
        <v>Bishnupur Rural Municipality</v>
      </c>
      <c r="AR165" t="str">
        <f>_qf0NiY3qZVU</f>
        <v>Bishnupur Rural Municipality</v>
      </c>
    </row>
    <row r="166" spans="8:44">
      <c r="H166" t="str">
        <f>_rBVtXT5aRH9</f>
        <v>Arnama Rural Municipality</v>
      </c>
      <c r="AR166" t="str">
        <f>_rBVtXT5aRH9</f>
        <v>Arnama Rural Municipality</v>
      </c>
    </row>
    <row r="167" spans="8:44">
      <c r="H167" t="str">
        <f>_IVfNwpqNPQj</f>
        <v>Sukhipur Municipality</v>
      </c>
      <c r="AR167" t="str">
        <f>_IVfNwpqNPQj</f>
        <v>Sukhipur Municipality</v>
      </c>
    </row>
    <row r="168" spans="8:44">
      <c r="H168" t="str">
        <f>_jEbmraXMr67</f>
        <v>Laxmipur Patari Rural Municipality</v>
      </c>
      <c r="AR168" t="str">
        <f>_jEbmraXMr67</f>
        <v>Laxmipur Patari Rural Municipality</v>
      </c>
    </row>
    <row r="169" spans="8:44">
      <c r="H169" t="str">
        <f>_OkWynHJ9wpB</f>
        <v>Sakhuwa Nankarkatti Rural Municipality</v>
      </c>
      <c r="AR169" t="str">
        <f>_OkWynHJ9wpB</f>
        <v>Sakhuwa Nankarkatti Rural Municipality</v>
      </c>
    </row>
    <row r="170" spans="8:44">
      <c r="H170" t="str">
        <f>_da1X0ObWb1q</f>
        <v>Bhagawanpur Rural Municipality</v>
      </c>
      <c r="AR170" t="str">
        <f>_da1X0ObWb1q</f>
        <v>Bhagawanpur Rural Municipality</v>
      </c>
    </row>
    <row r="171" spans="8:44">
      <c r="H171" t="str">
        <f>_cn3XotMwkGY</f>
        <v>Nawarajpur Rural Municipality</v>
      </c>
      <c r="AR171" t="str">
        <f>_cn3XotMwkGY</f>
        <v>Nawarajpur Rural Municipality</v>
      </c>
    </row>
    <row r="172" spans="8:44">
      <c r="H172" t="str">
        <f>_Fh20IQTh0Sm</f>
        <v>Bariyarpatti Rural Municipality</v>
      </c>
      <c r="AR172" t="str">
        <f>_Fh20IQTh0Sm</f>
        <v>Bariyarpatti Rural Municipality</v>
      </c>
    </row>
    <row r="173" spans="8:44">
      <c r="H173" t="str">
        <f>_tRStAUgADYa</f>
        <v>Aurahi Rural Municipality</v>
      </c>
      <c r="AR173" t="str">
        <f>_tRStAUgADYa</f>
        <v>Aurahi Rural Municipality</v>
      </c>
    </row>
    <row r="174" spans="8:44">
      <c r="H174" t="str">
        <f>_HkFuwcHtutO</f>
        <v>Siraha Municipality</v>
      </c>
      <c r="AR174" t="str">
        <f>_HkFuwcHtutO</f>
        <v>Siraha Municipality</v>
      </c>
    </row>
    <row r="175" spans="8:44">
      <c r="H175" t="str">
        <f>_WpdGdkFGQ3F</f>
        <v>Ganeshman Charnath Municipality</v>
      </c>
      <c r="AR175" t="str">
        <f>_WpdGdkFGQ3F</f>
        <v>Ganeshman Charnath Municipality</v>
      </c>
    </row>
    <row r="176" spans="8:44">
      <c r="H176" t="str">
        <f>_HWcxCcPozuB</f>
        <v>Dhanushadham Municipality</v>
      </c>
      <c r="AR176" t="str">
        <f>_HWcxCcPozuB</f>
        <v>Dhanushadham Municipality</v>
      </c>
    </row>
    <row r="177" spans="8:44">
      <c r="H177" t="str">
        <f>_ZUOAV5yA3JG</f>
        <v>Mithila Municipality</v>
      </c>
      <c r="AR177" t="str">
        <f>_ZUOAV5yA3JG</f>
        <v>Mithila Municipality</v>
      </c>
    </row>
    <row r="178" spans="8:44">
      <c r="H178" t="str">
        <f>_AFeaoZjUsXc</f>
        <v>Bateshwor Rural Municipality</v>
      </c>
      <c r="AR178" t="str">
        <f>_AFeaoZjUsXc</f>
        <v>Bateshwor Rural Municipality</v>
      </c>
    </row>
    <row r="179" spans="8:44">
      <c r="H179" t="str">
        <f>_STqyc7dRbD1</f>
        <v>Chhireshwornath Municipality</v>
      </c>
      <c r="AR179" t="str">
        <f>_STqyc7dRbD1</f>
        <v>Chhireshwornath Municipality</v>
      </c>
    </row>
    <row r="180" spans="8:44">
      <c r="H180" t="str">
        <f>_ZHObyA2Po4d</f>
        <v>Laxminiya Rural Municipality</v>
      </c>
      <c r="AR180" t="str">
        <f>_ZHObyA2Po4d</f>
        <v>Laxminiya Rural Municipality</v>
      </c>
    </row>
    <row r="181" spans="8:44">
      <c r="H181" t="str">
        <f>_baOS7lB4E6R</f>
        <v>Mithila Bihari Municipality</v>
      </c>
      <c r="AR181" t="str">
        <f>_baOS7lB4E6R</f>
        <v>Mithila Bihari Municipality</v>
      </c>
    </row>
    <row r="182" spans="8:44">
      <c r="H182" t="str">
        <f>_hx0oZheIg8i</f>
        <v>Hansapur Municipality</v>
      </c>
      <c r="AR182" t="str">
        <f>_hx0oZheIg8i</f>
        <v>Hansapur Municipality</v>
      </c>
    </row>
    <row r="183" spans="8:44">
      <c r="H183" t="str">
        <f>_M5ed4Tr1BdM</f>
        <v>Sabaila Municipality</v>
      </c>
      <c r="AR183" t="str">
        <f>_M5ed4Tr1BdM</f>
        <v>Sabaila Municipality</v>
      </c>
    </row>
    <row r="184" spans="8:44">
      <c r="H184" t="str">
        <f>_GQ7S6wB7fOx</f>
        <v>Shahidnagar Municipality</v>
      </c>
      <c r="AR184" t="str">
        <f>_GQ7S6wB7fOx</f>
        <v>Shahidnagar Municipality</v>
      </c>
    </row>
    <row r="185" spans="8:44">
      <c r="H185" t="str">
        <f>_ZhbJg8PM2ZH</f>
        <v>Kamala Municipality</v>
      </c>
      <c r="AR185" t="str">
        <f>_ZhbJg8PM2ZH</f>
        <v>Kamala Municipality</v>
      </c>
    </row>
    <row r="186" spans="8:44">
      <c r="H186" t="str">
        <f>_xHdjUAAVkNO</f>
        <v>Janak Nandini Rural Municipality</v>
      </c>
      <c r="AR186" t="str">
        <f>_xHdjUAAVkNO</f>
        <v>Janak Nandini Rural Municipality</v>
      </c>
    </row>
    <row r="187" spans="8:44">
      <c r="H187" t="str">
        <f>_ClnBTsAtRGo</f>
        <v>Bideha Municipality</v>
      </c>
      <c r="AR187" t="str">
        <f>_ClnBTsAtRGo</f>
        <v>Bideha Municipality</v>
      </c>
    </row>
    <row r="188" spans="8:44">
      <c r="H188" t="str">
        <f>_AVdFHNSEFlJ</f>
        <v>Aurahi Rural Municipality</v>
      </c>
      <c r="AR188" t="str">
        <f>_AVdFHNSEFlJ</f>
        <v>Aurahi Rural Municipality</v>
      </c>
    </row>
    <row r="189" spans="8:44">
      <c r="H189" t="str">
        <f>_tvtzlMlKepr</f>
        <v>Janakpur Sub-Metropolitian City</v>
      </c>
      <c r="AR189" t="str">
        <f>_tvtzlMlKepr</f>
        <v>Janakpur Sub-Metropolitian City</v>
      </c>
    </row>
    <row r="190" spans="8:44">
      <c r="H190" t="str">
        <f>_bnTduc3MrXo</f>
        <v>Dhanauji Rural Municipality</v>
      </c>
      <c r="AR190" t="str">
        <f>_bnTduc3MrXo</f>
        <v>Dhanauji Rural Municipality</v>
      </c>
    </row>
    <row r="191" spans="8:44">
      <c r="H191" t="str">
        <f>_iQ6qRFTMd5N</f>
        <v>Nagarain Municipality</v>
      </c>
      <c r="AR191" t="str">
        <f>_iQ6qRFTMd5N</f>
        <v>Nagarain Municipality</v>
      </c>
    </row>
    <row r="192" spans="8:44">
      <c r="H192" t="str">
        <f>_vzIzL7ET520</f>
        <v>Mukhiyapatti Musaharmiya Rural Municipality</v>
      </c>
      <c r="AR192" t="str">
        <f>_vzIzL7ET520</f>
        <v>Mukhiyapatti Musaharmiya Rural Municipality</v>
      </c>
    </row>
    <row r="193" spans="8:44">
      <c r="H193" t="str">
        <f>_HAMp5fizumJ</f>
        <v>Bardibas Municipality</v>
      </c>
      <c r="AR193" t="str">
        <f>_HAMp5fizumJ</f>
        <v>Bardibas Municipality</v>
      </c>
    </row>
    <row r="194" spans="8:44">
      <c r="H194" t="str">
        <f>_VFufpXF2rqX</f>
        <v>Gaushala Municipality</v>
      </c>
      <c r="AR194" t="str">
        <f>_VFufpXF2rqX</f>
        <v>Gaushala Municipality</v>
      </c>
    </row>
    <row r="195" spans="8:44">
      <c r="H195" t="str">
        <f>_pNdAhbLMqye</f>
        <v>Sonama Rural Municipality</v>
      </c>
      <c r="AR195" t="str">
        <f>_pNdAhbLMqye</f>
        <v>Sonama Rural Municipality</v>
      </c>
    </row>
    <row r="196" spans="8:44">
      <c r="H196" t="str">
        <f>_nRQW9eQTpzu</f>
        <v>Aurahi Municipality</v>
      </c>
      <c r="AR196" t="str">
        <f>_nRQW9eQTpzu</f>
        <v>Aurahi Municipality</v>
      </c>
    </row>
    <row r="197" spans="8:44">
      <c r="H197" t="str">
        <f>_cyUFlb08WMt</f>
        <v>Bhangaha Municipality</v>
      </c>
      <c r="AR197" t="str">
        <f>_cyUFlb08WMt</f>
        <v>Bhangaha Municipality</v>
      </c>
    </row>
    <row r="198" spans="8:44">
      <c r="H198" t="str">
        <f>_PQMtG7hhPtH</f>
        <v>Loharpatti Municipality</v>
      </c>
      <c r="AR198" t="str">
        <f>_PQMtG7hhPtH</f>
        <v>Loharpatti Municipality</v>
      </c>
    </row>
    <row r="199" spans="8:44">
      <c r="H199" t="str">
        <f>_cZcg8ieuuAE</f>
        <v>Balawa Municipality</v>
      </c>
      <c r="AR199" t="str">
        <f>_cZcg8ieuuAE</f>
        <v>Balawa Municipality</v>
      </c>
    </row>
    <row r="200" spans="8:44">
      <c r="H200" t="str">
        <f>_wMFG67gJCgh</f>
        <v>Ram Gopalpur Municipality</v>
      </c>
      <c r="AR200" t="str">
        <f>_wMFG67gJCgh</f>
        <v>Ram Gopalpur Municipality</v>
      </c>
    </row>
    <row r="201" spans="8:44">
      <c r="H201" t="str">
        <f>_rxGeXBceUoL</f>
        <v>Samsi Rural Municipality</v>
      </c>
      <c r="AR201" t="str">
        <f>_rxGeXBceUoL</f>
        <v>Samsi Rural Municipality</v>
      </c>
    </row>
    <row r="202" spans="8:44">
      <c r="H202" t="str">
        <f>_RbHr5E1j90s</f>
        <v>Manara Shisawa Municipality</v>
      </c>
      <c r="AR202" t="str">
        <f>_RbHr5E1j90s</f>
        <v>Manara Shisawa Municipality</v>
      </c>
    </row>
    <row r="203" spans="8:44">
      <c r="H203" t="str">
        <f>_L6GKGLEVZlm</f>
        <v>Ekadara Rural Municipality</v>
      </c>
      <c r="AR203" t="str">
        <f>_L6GKGLEVZlm</f>
        <v>Ekadara Rural Municipality</v>
      </c>
    </row>
    <row r="204" spans="8:44">
      <c r="H204" t="str">
        <f>_Ep8b7OPXSYz</f>
        <v>Mahottari Rural Municipality</v>
      </c>
      <c r="AR204" t="str">
        <f>_Ep8b7OPXSYz</f>
        <v>Mahottari Rural Municipality</v>
      </c>
    </row>
    <row r="205" spans="8:44">
      <c r="H205" t="str">
        <f>_AZcogwTHaNJ</f>
        <v>Pipara Rural Municipality</v>
      </c>
      <c r="AR205" t="str">
        <f>_AZcogwTHaNJ</f>
        <v>Pipara Rural Municipality</v>
      </c>
    </row>
    <row r="206" spans="8:44">
      <c r="H206" t="str">
        <f>_IyBrNmNpayi</f>
        <v>Matihani Municipality</v>
      </c>
      <c r="AR206" t="str">
        <f>_IyBrNmNpayi</f>
        <v>Matihani Municipality</v>
      </c>
    </row>
    <row r="207" spans="8:44">
      <c r="H207" t="str">
        <f>_vLf5ZyDkKsc</f>
        <v>Jaleshwor Municipality</v>
      </c>
      <c r="AR207" t="str">
        <f>_vLf5ZyDkKsc</f>
        <v>Jaleshwor Municipality</v>
      </c>
    </row>
    <row r="208" spans="8:44">
      <c r="H208" t="str">
        <f>_OKnncu2fNT9</f>
        <v>Lalbandi Municipality</v>
      </c>
      <c r="AR208" t="str">
        <f>_OKnncu2fNT9</f>
        <v>Lalbandi Municipality</v>
      </c>
    </row>
    <row r="209" spans="8:44">
      <c r="H209" t="str">
        <f>_JCQCyDVg3fS</f>
        <v>Hariwan Municipality</v>
      </c>
      <c r="AR209" t="str">
        <f>_JCQCyDVg3fS</f>
        <v>Hariwan Municipality</v>
      </c>
    </row>
    <row r="210" spans="8:44">
      <c r="H210" t="str">
        <f>_IxPKBH2vEhc</f>
        <v>Bagmati Municipality</v>
      </c>
      <c r="AR210" t="str">
        <f>_IxPKBH2vEhc</f>
        <v>Bagmati Municipality</v>
      </c>
    </row>
    <row r="211" spans="8:44">
      <c r="H211" t="str">
        <f>_aZ5Opl6oYMa</f>
        <v>Barahathawa Municipality</v>
      </c>
      <c r="AR211" t="str">
        <f>_aZ5Opl6oYMa</f>
        <v>Barahathawa Municipality</v>
      </c>
    </row>
    <row r="212" spans="8:44">
      <c r="H212" t="str">
        <f>_GYq6tqkBKnF</f>
        <v>Haripur Municipality</v>
      </c>
      <c r="AR212" t="str">
        <f>_GYq6tqkBKnF</f>
        <v>Haripur Municipality</v>
      </c>
    </row>
    <row r="213" spans="8:44">
      <c r="H213" t="str">
        <f>_PCnhImdVxz9</f>
        <v>Ishworpur Municipality</v>
      </c>
      <c r="AR213" t="str">
        <f>_PCnhImdVxz9</f>
        <v>Ishworpur Municipality</v>
      </c>
    </row>
    <row r="214" spans="8:44">
      <c r="H214" t="str">
        <f>_T3zCMPkpeCX</f>
        <v>Haripurwa Municipality</v>
      </c>
      <c r="AR214" t="str">
        <f>_T3zCMPkpeCX</f>
        <v>Haripurwa Municipality</v>
      </c>
    </row>
    <row r="215" spans="8:44">
      <c r="H215" t="str">
        <f>_eeJohWg5B1D</f>
        <v>Parsa Rural Municipality</v>
      </c>
      <c r="AR215" t="str">
        <f>_eeJohWg5B1D</f>
        <v>Parsa Rural Municipality</v>
      </c>
    </row>
    <row r="216" spans="8:44">
      <c r="H216" t="str">
        <f>_ytUrcR6nUdg</f>
        <v>Brahmapuri Rural Municipality</v>
      </c>
      <c r="AR216" t="str">
        <f>_ytUrcR6nUdg</f>
        <v>Brahmapuri Rural Municipality</v>
      </c>
    </row>
    <row r="217" spans="8:44">
      <c r="H217" t="str">
        <f>_HAf5qWbBIWY</f>
        <v>Chandranagar Rural Municipality</v>
      </c>
      <c r="AR217" t="str">
        <f>_HAf5qWbBIWY</f>
        <v>Chandranagar Rural Municipality</v>
      </c>
    </row>
    <row r="218" spans="8:44">
      <c r="H218" t="str">
        <f>_CM7alJLzVU6</f>
        <v>Kabilashi Municipality</v>
      </c>
      <c r="AR218" t="str">
        <f>_CM7alJLzVU6</f>
        <v>Kabilashi Municipality</v>
      </c>
    </row>
    <row r="219" spans="8:44">
      <c r="H219" t="str">
        <f>_Yd5Saefe1JT</f>
        <v>Chakraghatta Rural Municipality</v>
      </c>
      <c r="AR219" t="str">
        <f>_Yd5Saefe1JT</f>
        <v>Chakraghatta Rural Municipality</v>
      </c>
    </row>
    <row r="220" spans="8:44">
      <c r="H220" t="str">
        <f>_ceswe1AhlMv</f>
        <v>Basbariya Rural Municipality</v>
      </c>
      <c r="AR220" t="str">
        <f>_ceswe1AhlMv</f>
        <v>Basbariya Rural Municipality</v>
      </c>
    </row>
    <row r="221" spans="8:44">
      <c r="H221" t="str">
        <f>_aBdFQh3NIuw</f>
        <v>Dhanakaul Rural Municipality</v>
      </c>
      <c r="AR221" t="str">
        <f>_aBdFQh3NIuw</f>
        <v>Dhanakaul Rural Municipality</v>
      </c>
    </row>
    <row r="222" spans="8:44">
      <c r="H222" t="str">
        <f>_lTLnpFKIbYE</f>
        <v>Ramnagar Rural Municipality</v>
      </c>
      <c r="AR222" t="str">
        <f>_lTLnpFKIbYE</f>
        <v>Ramnagar Rural Municipality</v>
      </c>
    </row>
    <row r="223" spans="8:44">
      <c r="H223" t="str">
        <f>_maD8dbiRm2D</f>
        <v>Balara Municipality</v>
      </c>
      <c r="AR223" t="str">
        <f>_maD8dbiRm2D</f>
        <v>Balara Municipality</v>
      </c>
    </row>
    <row r="224" spans="8:44">
      <c r="H224" t="str">
        <f>_RwC9iQVU8M8</f>
        <v>Godaita Municipality</v>
      </c>
      <c r="AR224" t="str">
        <f>_RwC9iQVU8M8</f>
        <v>Godaita Municipality</v>
      </c>
    </row>
    <row r="225" spans="8:44">
      <c r="H225" t="str">
        <f>_SDUORvbGi07</f>
        <v>Bishnu Rural Municipality</v>
      </c>
      <c r="AR225" t="str">
        <f>_SDUORvbGi07</f>
        <v>Bishnu Rural Municipality</v>
      </c>
    </row>
    <row r="226" spans="8:44">
      <c r="H226" t="str">
        <f>_f3a1w98JkXe</f>
        <v>Kaudena Rural Municipality</v>
      </c>
      <c r="AR226" t="str">
        <f>_f3a1w98JkXe</f>
        <v>Kaudena Rural Municipality</v>
      </c>
    </row>
    <row r="227" spans="8:44">
      <c r="H227" t="str">
        <f>_nedqI46Ixp4</f>
        <v>Malangawa Municipality</v>
      </c>
      <c r="AR227" t="str">
        <f>_nedqI46Ixp4</f>
        <v>Malangawa Municipality</v>
      </c>
    </row>
    <row r="228" spans="8:44">
      <c r="H228" t="str">
        <f>_AJ9Gn9nHpvW</f>
        <v>Chandrapur Municipality</v>
      </c>
      <c r="AR228" t="str">
        <f>_AJ9Gn9nHpvW</f>
        <v>Chandrapur Municipality</v>
      </c>
    </row>
    <row r="229" spans="8:44">
      <c r="H229" t="str">
        <f>_fGbtQYKIbwC</f>
        <v>Gujara Municipality</v>
      </c>
      <c r="AR229" t="str">
        <f>_fGbtQYKIbwC</f>
        <v>Gujara Municipality</v>
      </c>
    </row>
    <row r="230" spans="8:44">
      <c r="H230" t="str">
        <f>_z2w467ItIEH</f>
        <v>Phatuwa Bijayapur Municipality</v>
      </c>
      <c r="AR230" t="str">
        <f>_z2w467ItIEH</f>
        <v>Phatuwa Bijayapur Municipality</v>
      </c>
    </row>
    <row r="231" spans="8:44">
      <c r="H231" t="str">
        <f>_ceBlLzzQayY</f>
        <v>Katahariya Municipality</v>
      </c>
      <c r="AR231" t="str">
        <f>_ceBlLzzQayY</f>
        <v>Katahariya Municipality</v>
      </c>
    </row>
    <row r="232" spans="8:44">
      <c r="H232" t="str">
        <f>_buUTBk8XKxr</f>
        <v>Brindaban Municipality</v>
      </c>
      <c r="AR232" t="str">
        <f>_buUTBk8XKxr</f>
        <v>Brindaban Municipality</v>
      </c>
    </row>
    <row r="233" spans="8:44">
      <c r="H233" t="str">
        <f>_LKSNRny6cuv</f>
        <v>Gadhimai Municipality</v>
      </c>
      <c r="AR233" t="str">
        <f>_LKSNRny6cuv</f>
        <v>Gadhimai Municipality</v>
      </c>
    </row>
    <row r="234" spans="8:44">
      <c r="H234" t="str">
        <f>_BUTnbz63wQi</f>
        <v>Madhav Narayan Municipality</v>
      </c>
      <c r="AR234" t="str">
        <f>_BUTnbz63wQi</f>
        <v>Madhav Narayan Municipality</v>
      </c>
    </row>
    <row r="235" spans="8:44">
      <c r="H235" t="str">
        <f>_mCpwHhyRmuU</f>
        <v>Garuda Municipality</v>
      </c>
      <c r="AR235" t="str">
        <f>_mCpwHhyRmuU</f>
        <v>Garuda Municipality</v>
      </c>
    </row>
    <row r="236" spans="8:44">
      <c r="H236" t="str">
        <f>_r2xSuC1ZxXG</f>
        <v>Dewahi Gonahi Municipality</v>
      </c>
      <c r="AR236" t="str">
        <f>_r2xSuC1ZxXG</f>
        <v>Dewahi Gonahi Municipality</v>
      </c>
    </row>
    <row r="237" spans="8:44">
      <c r="H237" t="str">
        <f>_SQkUPJ56vhj</f>
        <v>Maulapur Municipality</v>
      </c>
      <c r="AR237" t="str">
        <f>_SQkUPJ56vhj</f>
        <v>Maulapur Municipality</v>
      </c>
    </row>
    <row r="238" spans="8:44">
      <c r="H238" t="str">
        <f>_frO7u0vZk6f</f>
        <v>Boudhimai Municipality</v>
      </c>
      <c r="AR238" t="str">
        <f>_frO7u0vZk6f</f>
        <v>Boudhimai Municipality</v>
      </c>
    </row>
    <row r="239" spans="8:44">
      <c r="H239" t="str">
        <f>_WBxVbTQY0m3</f>
        <v>Paroha Municipality</v>
      </c>
      <c r="AR239" t="str">
        <f>_WBxVbTQY0m3</f>
        <v>Paroha Municipality</v>
      </c>
    </row>
    <row r="240" spans="8:44">
      <c r="H240" t="str">
        <f>_ogxdWZC3mIW</f>
        <v>Rajpur Municipality</v>
      </c>
      <c r="AR240" t="str">
        <f>_ogxdWZC3mIW</f>
        <v>Rajpur Municipality</v>
      </c>
    </row>
    <row r="241" spans="8:44">
      <c r="H241" t="str">
        <f>_FEaCcqaomTg</f>
        <v>Yamunamai Rural Municipality</v>
      </c>
      <c r="AR241" t="str">
        <f>_FEaCcqaomTg</f>
        <v>Yamunamai Rural Municipality</v>
      </c>
    </row>
    <row r="242" spans="8:44">
      <c r="H242" t="str">
        <f>_GIqAR5PwFfJ</f>
        <v>Durga Bhagawati Rural Municipality</v>
      </c>
      <c r="AR242" t="str">
        <f>_GIqAR5PwFfJ</f>
        <v>Durga Bhagawati Rural Municipality</v>
      </c>
    </row>
    <row r="243" spans="8:44">
      <c r="H243" t="str">
        <f>_mt6IIO4B4Vf</f>
        <v>Rajdevi Municipality</v>
      </c>
      <c r="AR243" t="str">
        <f>_mt6IIO4B4Vf</f>
        <v>Rajdevi Municipality</v>
      </c>
    </row>
    <row r="244" spans="8:44">
      <c r="H244" t="str">
        <f>_Ngmch2E54rH</f>
        <v>Gaur Municipality</v>
      </c>
      <c r="AR244" t="str">
        <f>_Ngmch2E54rH</f>
        <v>Gaur Municipality</v>
      </c>
    </row>
    <row r="245" spans="8:44">
      <c r="H245" t="str">
        <f>_niGn8YOlvoH</f>
        <v>Ishanath Municipality</v>
      </c>
      <c r="AR245" t="str">
        <f>_niGn8YOlvoH</f>
        <v>Ishanath Municipality</v>
      </c>
    </row>
    <row r="246" spans="8:44">
      <c r="H246" t="str">
        <f>_anbeBY0SQH8</f>
        <v>Nijagadh Municipality</v>
      </c>
      <c r="AR246" t="str">
        <f>_anbeBY0SQH8</f>
        <v>Nijagadh Municipality</v>
      </c>
    </row>
    <row r="247" spans="8:44">
      <c r="H247" t="str">
        <f>_hLxjmfX5RgD</f>
        <v>Kolhabi Municipality</v>
      </c>
      <c r="AR247" t="str">
        <f>_hLxjmfX5RgD</f>
        <v>Kolhabi Municipality</v>
      </c>
    </row>
    <row r="248" spans="8:44">
      <c r="H248" t="str">
        <f>_I3qFArkqOdS</f>
        <v>Jitpur Simara Sub-Metropolitian City</v>
      </c>
      <c r="AR248" t="str">
        <f>_I3qFArkqOdS</f>
        <v>Jitpur Simara Sub-Metropolitian City</v>
      </c>
    </row>
    <row r="249" spans="8:44">
      <c r="H249" t="str">
        <f>_GxblPUKs2a6</f>
        <v>Parawanipur Rural Municipality</v>
      </c>
      <c r="AR249" t="str">
        <f>_GxblPUKs2a6</f>
        <v>Parawanipur Rural Municipality</v>
      </c>
    </row>
    <row r="250" spans="8:44">
      <c r="H250" t="str">
        <f>_jkv3z3MSVgP</f>
        <v>Prasauni Rural Municipality</v>
      </c>
      <c r="AR250" t="str">
        <f>_jkv3z3MSVgP</f>
        <v>Prasauni Rural Municipality</v>
      </c>
    </row>
    <row r="251" spans="8:44">
      <c r="H251" t="str">
        <f>_gz7PUkd9T0T</f>
        <v>Bishrampur Rural Municipality</v>
      </c>
      <c r="AR251" t="str">
        <f>_gz7PUkd9T0T</f>
        <v>Bishrampur Rural Municipality</v>
      </c>
    </row>
    <row r="252" spans="8:44">
      <c r="H252" t="str">
        <f>_bffH5LCX5WJ</f>
        <v>Pheta Rural Municipality</v>
      </c>
      <c r="AR252" t="str">
        <f>_bffH5LCX5WJ</f>
        <v>Pheta Rural Municipality</v>
      </c>
    </row>
    <row r="253" spans="8:44">
      <c r="H253" t="str">
        <f>_cUBtlCwEimO</f>
        <v>Kalaiya Sub-Metropolitian City</v>
      </c>
      <c r="AR253" t="str">
        <f>_cUBtlCwEimO</f>
        <v>Kalaiya Sub-Metropolitian City</v>
      </c>
    </row>
    <row r="254" spans="8:44">
      <c r="H254" t="str">
        <f>_l4POaEYLt97</f>
        <v>Karaiyamai Rural Municipality</v>
      </c>
      <c r="AR254" t="str">
        <f>_l4POaEYLt97</f>
        <v>Karaiyamai Rural Municipality</v>
      </c>
    </row>
    <row r="255" spans="8:44">
      <c r="H255" t="str">
        <f>_CwJGwfCxNKL</f>
        <v>Baragadhi Rural Municipality</v>
      </c>
      <c r="AR255" t="str">
        <f>_CwJGwfCxNKL</f>
        <v>Baragadhi Rural Municipality</v>
      </c>
    </row>
    <row r="256" spans="8:44">
      <c r="H256" t="str">
        <f>_RGdDoACF70Y</f>
        <v>Aadarsha Kotwal Rural Municipality</v>
      </c>
      <c r="AR256" t="str">
        <f>_RGdDoACF70Y</f>
        <v>Aadarsha Kotwal Rural Municipality</v>
      </c>
    </row>
    <row r="257" spans="8:44">
      <c r="H257" t="str">
        <f>_p5BNYjM6O6t</f>
        <v>Simroungadh Municipality</v>
      </c>
      <c r="AR257" t="str">
        <f>_p5BNYjM6O6t</f>
        <v>Simroungadh Municipality</v>
      </c>
    </row>
    <row r="258" spans="8:44">
      <c r="H258" t="str">
        <f>_ZzHzXupLxKU</f>
        <v>Pacharauta Municipality</v>
      </c>
      <c r="AR258" t="str">
        <f>_ZzHzXupLxKU</f>
        <v>Pacharauta Municipality</v>
      </c>
    </row>
    <row r="259" spans="8:44">
      <c r="H259" t="str">
        <f>_HVbaHdJorAW</f>
        <v>Mahagadhimai Municipality</v>
      </c>
      <c r="AR259" t="str">
        <f>_HVbaHdJorAW</f>
        <v>Mahagadhimai Municipality</v>
      </c>
    </row>
    <row r="260" spans="8:44">
      <c r="H260" t="str">
        <f>_sk2a2fxTfNt</f>
        <v>Devtal Rural Municipality</v>
      </c>
      <c r="AR260" t="str">
        <f>_sk2a2fxTfNt</f>
        <v>Devtal Rural Municipality</v>
      </c>
    </row>
    <row r="261" spans="8:44">
      <c r="H261" t="str">
        <f>_Np8Nkj4Dgav</f>
        <v>Subarna Rural Municipality</v>
      </c>
      <c r="AR261" t="str">
        <f>_Np8Nkj4Dgav</f>
        <v>Subarna Rural Municipality</v>
      </c>
    </row>
    <row r="262" spans="8:44">
      <c r="H262" t="str">
        <f>_xKEw0wAm8kq</f>
        <v>Thori Rural Municipality</v>
      </c>
      <c r="AR262" t="str">
        <f>_xKEw0wAm8kq</f>
        <v>Thori Rural Municipality</v>
      </c>
    </row>
    <row r="263" spans="8:44">
      <c r="H263" t="str">
        <f>_nCSr6Zg5qKf</f>
        <v>Jirabhawani Rural Municipality</v>
      </c>
      <c r="AR263" t="str">
        <f>_nCSr6Zg5qKf</f>
        <v>Jirabhawani Rural Municipality</v>
      </c>
    </row>
    <row r="264" spans="8:44">
      <c r="H264" t="str">
        <f>_RH5eUlRw3vp</f>
        <v>Jagarnathpur Rural Municipality</v>
      </c>
      <c r="AR264" t="str">
        <f>_RH5eUlRw3vp</f>
        <v>Jagarnathpur Rural Municipality</v>
      </c>
    </row>
    <row r="265" spans="8:44">
      <c r="H265" t="str">
        <f>_mqmJX2L5ggT</f>
        <v>Paterwa Sugauli Rural Municipality</v>
      </c>
      <c r="AR265" t="str">
        <f>_mqmJX2L5ggT</f>
        <v>Paterwa Sugauli Rural Municipality</v>
      </c>
    </row>
    <row r="266" spans="8:44">
      <c r="H266" t="str">
        <f>_qHrFuh0Ocuw</f>
        <v>Sakhuwa Prasauni Rural Municipality</v>
      </c>
      <c r="AR266" t="str">
        <f>_qHrFuh0Ocuw</f>
        <v>Sakhuwa Prasauni Rural Municipality</v>
      </c>
    </row>
    <row r="267" spans="8:44">
      <c r="H267" t="str">
        <f>_A9N1sbkG8UH</f>
        <v>Parsagadhi Municipality</v>
      </c>
      <c r="AR267" t="str">
        <f>_A9N1sbkG8UH</f>
        <v>Parsagadhi Municipality</v>
      </c>
    </row>
    <row r="268" spans="8:44">
      <c r="H268" t="str">
        <f>_zFoxQvWPW4b</f>
        <v>Birgunj Metropolitian City</v>
      </c>
      <c r="AR268" t="str">
        <f>_zFoxQvWPW4b</f>
        <v>Birgunj Metropolitian City</v>
      </c>
    </row>
    <row r="269" spans="8:44">
      <c r="H269" t="str">
        <f>_cbrawb3sItt</f>
        <v>Bahudarmai Municipality</v>
      </c>
      <c r="AR269" t="str">
        <f>_cbrawb3sItt</f>
        <v>Bahudarmai Municipality</v>
      </c>
    </row>
    <row r="270" spans="8:44">
      <c r="H270" t="str">
        <f>_JFEhttkoMs4</f>
        <v>Pokhariya Municipality</v>
      </c>
      <c r="AR270" t="str">
        <f>_JFEhttkoMs4</f>
        <v>Pokhariya Municipality</v>
      </c>
    </row>
    <row r="271" spans="8:44">
      <c r="H271" t="str">
        <f>_f7dXEJqkA2A</f>
        <v>Kalikamai Rural Municipality</v>
      </c>
      <c r="AR271" t="str">
        <f>_f7dXEJqkA2A</f>
        <v>Kalikamai Rural Municipality</v>
      </c>
    </row>
    <row r="272" spans="8:44">
      <c r="H272" t="str">
        <f>_e2MDx3rpwfX</f>
        <v>Dhobini Rural Municipality</v>
      </c>
      <c r="AR272" t="str">
        <f>_e2MDx3rpwfX</f>
        <v>Dhobini Rural Municipality</v>
      </c>
    </row>
    <row r="273" spans="8:44">
      <c r="H273" t="str">
        <f>_ssQAMvV0BB5</f>
        <v>Chhipaharmai Rural Municipality</v>
      </c>
      <c r="AR273" t="str">
        <f>_ssQAMvV0BB5</f>
        <v>Chhipaharmai Rural Municipality</v>
      </c>
    </row>
    <row r="274" spans="8:44">
      <c r="H274" t="str">
        <f>_Xs6a47pnBdL</f>
        <v>Pakaha Mainpur Rural Municipality</v>
      </c>
      <c r="AR274" t="str">
        <f>_Xs6a47pnBdL</f>
        <v>Pakaha Mainpur Rural Municipality</v>
      </c>
    </row>
    <row r="275" spans="8:44">
      <c r="H275" t="str">
        <f>_zR0Km7lNSgJ</f>
        <v>Bindabasini Rural Municipality</v>
      </c>
      <c r="AR275" t="str">
        <f>_zR0Km7lNSgJ</f>
        <v>Bindabasini Rural Municipality</v>
      </c>
    </row>
    <row r="276" spans="8:44">
      <c r="H276" t="str">
        <f>_XH69fnVs2mY</f>
        <v>Gaurishankar Rural Municipality</v>
      </c>
      <c r="AR276" t="str">
        <f>_XH69fnVs2mY</f>
        <v>Gaurishankar Rural Municipality</v>
      </c>
    </row>
    <row r="277" spans="8:44">
      <c r="H277" t="str">
        <f>_JxTMTu7Dtj1</f>
        <v>Bigu Rural Municipality</v>
      </c>
      <c r="AR277" t="str">
        <f>_JxTMTu7Dtj1</f>
        <v>Bigu Rural Municipality</v>
      </c>
    </row>
    <row r="278" spans="8:44">
      <c r="H278" t="str">
        <f>_RaUrUv4LxpR</f>
        <v>Kalinchowk Rural Municipality</v>
      </c>
      <c r="AR278" t="str">
        <f>_RaUrUv4LxpR</f>
        <v>Kalinchowk Rural Municipality</v>
      </c>
    </row>
    <row r="279" spans="8:44">
      <c r="H279" t="str">
        <f>_ofSoKmdNDfN</f>
        <v>Baitedhar Rural Municipality</v>
      </c>
      <c r="AR279" t="str">
        <f>_ofSoKmdNDfN</f>
        <v>Baitedhar Rural Municipality</v>
      </c>
    </row>
    <row r="280" spans="8:44">
      <c r="H280" t="str">
        <f>_QIfCEM4SBJO</f>
        <v>Jiri Municipality</v>
      </c>
      <c r="AR280" t="str">
        <f>_QIfCEM4SBJO</f>
        <v>Jiri Municipality</v>
      </c>
    </row>
    <row r="281" spans="8:44">
      <c r="H281" t="str">
        <f>_dI5VI5aPpCi</f>
        <v>Tamakoshi Rural Municipality</v>
      </c>
      <c r="AR281" t="str">
        <f>_dI5VI5aPpCi</f>
        <v>Tamakoshi Rural Municipality</v>
      </c>
    </row>
    <row r="282" spans="8:44">
      <c r="H282" t="str">
        <f>_rKjjus6oIJ6</f>
        <v>Melung Rural Municipality</v>
      </c>
      <c r="AR282" t="str">
        <f>_rKjjus6oIJ6</f>
        <v>Melung Rural Municipality</v>
      </c>
    </row>
    <row r="283" spans="8:44">
      <c r="H283" t="str">
        <f>_nyOinVCU7vX</f>
        <v>Shailung Rural Municipality</v>
      </c>
      <c r="AR283" t="str">
        <f>_nyOinVCU7vX</f>
        <v>Shailung Rural Municipality</v>
      </c>
    </row>
    <row r="284" spans="8:44">
      <c r="H284" t="str">
        <f>_nH8ljXlRyYb</f>
        <v>Bhimeshwor Municipality</v>
      </c>
      <c r="AR284" t="str">
        <f>_nH8ljXlRyYb</f>
        <v>Bhimeshwor Municipality</v>
      </c>
    </row>
    <row r="285" spans="8:44">
      <c r="H285" t="str">
        <f>_oLjiaiyKFtm</f>
        <v>Bhotekoshi Rural Municipality</v>
      </c>
      <c r="AR285" t="str">
        <f>_oLjiaiyKFtm</f>
        <v>Bhotekoshi Rural Municipality</v>
      </c>
    </row>
    <row r="286" spans="8:44">
      <c r="H286" t="str">
        <f>_Q5tNBBhTFwC</f>
        <v>Jugal Rural Municipality</v>
      </c>
      <c r="AR286" t="str">
        <f>_Q5tNBBhTFwC</f>
        <v>Jugal Rural Municipality</v>
      </c>
    </row>
    <row r="287" spans="8:44">
      <c r="H287" t="str">
        <f>_vqtwEyYAT7y</f>
        <v>Panchpokhari Thangpal Rural Municipality</v>
      </c>
      <c r="AR287" t="str">
        <f>_vqtwEyYAT7y</f>
        <v>Panchpokhari Thangpal Rural Municipality</v>
      </c>
    </row>
    <row r="288" spans="8:44">
      <c r="H288" t="str">
        <f>_Zec2hHKUxJP</f>
        <v>Helambu Rural Municipality</v>
      </c>
      <c r="AR288" t="str">
        <f>_Zec2hHKUxJP</f>
        <v>Helambu Rural Municipality</v>
      </c>
    </row>
    <row r="289" spans="8:44">
      <c r="H289" t="str">
        <f>_wYAxxWFWgs9</f>
        <v>Melanchi Municipality</v>
      </c>
      <c r="AR289" t="str">
        <f>_wYAxxWFWgs9</f>
        <v>Melanchi Municipality</v>
      </c>
    </row>
    <row r="290" spans="8:44">
      <c r="H290" t="str">
        <f>_DJwNAHcToJ2</f>
        <v>Indrawoti Rural Municipality</v>
      </c>
      <c r="AR290" t="str">
        <f>_DJwNAHcToJ2</f>
        <v>Indrawoti Rural Municipality</v>
      </c>
    </row>
    <row r="291" spans="8:44">
      <c r="H291" t="str">
        <f>_rUheQdkTwu8</f>
        <v>Choutara Sangachowkgadhi Municipality</v>
      </c>
      <c r="AR291" t="str">
        <f>_rUheQdkTwu8</f>
        <v>Choutara Sangachowkgadhi Municipality</v>
      </c>
    </row>
    <row r="292" spans="8:44">
      <c r="H292" t="str">
        <f>_QfEgOAwBpzL</f>
        <v>Balephi Rural Municipality</v>
      </c>
      <c r="AR292" t="str">
        <f>_QfEgOAwBpzL</f>
        <v>Balephi Rural Municipality</v>
      </c>
    </row>
    <row r="293" spans="8:44">
      <c r="H293" t="str">
        <f>_QqUWQ2hjlLd</f>
        <v>Bahrabise Municipality</v>
      </c>
      <c r="AR293" t="str">
        <f>_QqUWQ2hjlLd</f>
        <v>Bahrabise Municipality</v>
      </c>
    </row>
    <row r="294" spans="8:44">
      <c r="H294" t="str">
        <f>_y8mZX259K7s</f>
        <v>Tripurasundari Rural Municipality</v>
      </c>
      <c r="AR294" t="str">
        <f>_y8mZX259K7s</f>
        <v>Tripurasundari Rural Municipality</v>
      </c>
    </row>
    <row r="295" spans="8:44">
      <c r="H295" t="str">
        <f>_bsZnG2ZVT7x</f>
        <v>Lisankhu Pakhar Rural Municipality</v>
      </c>
      <c r="AR295" t="str">
        <f>_bsZnG2ZVT7x</f>
        <v>Lisankhu Pakhar Rural Municipality</v>
      </c>
    </row>
    <row r="296" spans="8:44">
      <c r="H296" t="str">
        <f>_bpBrKWcorkE</f>
        <v>Sunkoshi Rural Municipality</v>
      </c>
      <c r="AR296" t="str">
        <f>_bpBrKWcorkE</f>
        <v>Sunkoshi Rural Municipality</v>
      </c>
    </row>
    <row r="297" spans="8:44">
      <c r="H297" t="str">
        <f>_XZOC3K92sa9</f>
        <v>Gosaikunda Rural Municipality</v>
      </c>
      <c r="AR297" t="str">
        <f>_XZOC3K92sa9</f>
        <v>Gosaikunda Rural Municipality</v>
      </c>
    </row>
    <row r="298" spans="8:44">
      <c r="H298" t="str">
        <f>_mZH4bBeJsZ5</f>
        <v>Parbatikunda Rural Municipality</v>
      </c>
      <c r="AR298" t="str">
        <f>_mZH4bBeJsZ5</f>
        <v>Parbatikunda Rural Municipality</v>
      </c>
    </row>
    <row r="299" spans="8:44">
      <c r="H299" t="str">
        <f>_I3I2JDt6KE4</f>
        <v>Uttargaya Rural Municipality</v>
      </c>
      <c r="AR299" t="str">
        <f>_I3I2JDt6KE4</f>
        <v>Uttargaya Rural Municipality</v>
      </c>
    </row>
    <row r="300" spans="8:44">
      <c r="H300" t="str">
        <f>_qPyoxwZK5Zk</f>
        <v>Kalika Rural Municipality</v>
      </c>
      <c r="AR300" t="str">
        <f>_qPyoxwZK5Zk</f>
        <v>Kalika Rural Municipality</v>
      </c>
    </row>
    <row r="301" spans="8:44">
      <c r="H301" t="str">
        <f>_dl8V6GxWW1c</f>
        <v>Naukunda Rural Municipality</v>
      </c>
      <c r="AR301" t="str">
        <f>_dl8V6GxWW1c</f>
        <v>Naukunda Rural Municipality</v>
      </c>
    </row>
    <row r="302" spans="8:44">
      <c r="H302" t="str">
        <f>_DHKIF8CCKtn</f>
        <v>Rubi Valley Rural Municipality</v>
      </c>
      <c r="AR302" t="str">
        <f>_DHKIF8CCKtn</f>
        <v>Rubi Valley Rural Municipality</v>
      </c>
    </row>
    <row r="303" spans="8:44">
      <c r="H303" t="str">
        <f>_taxj7IkB05J</f>
        <v>Khaniyabas Rural Municipality</v>
      </c>
      <c r="AR303" t="str">
        <f>_taxj7IkB05J</f>
        <v>Khaniyabas Rural Municipality</v>
      </c>
    </row>
    <row r="304" spans="8:44">
      <c r="H304" t="str">
        <f>_b70KIOqldV3</f>
        <v>Ganga Jamuna Rural Municipality</v>
      </c>
      <c r="AR304" t="str">
        <f>_b70KIOqldV3</f>
        <v>Ganga Jamuna Rural Municipality</v>
      </c>
    </row>
    <row r="305" spans="8:44">
      <c r="H305" t="str">
        <f>_O0sBeSCxaQl</f>
        <v>Tripurasundari Rural Municipality</v>
      </c>
      <c r="AR305" t="str">
        <f>_O0sBeSCxaQl</f>
        <v>Tripurasundari Rural Municipality</v>
      </c>
    </row>
    <row r="306" spans="8:44">
      <c r="H306" t="str">
        <f>_oa4uybD3pNk</f>
        <v>Netrawati Rural Municipality</v>
      </c>
      <c r="AR306" t="str">
        <f>_oa4uybD3pNk</f>
        <v>Netrawati Rural Municipality</v>
      </c>
    </row>
    <row r="307" spans="8:44">
      <c r="H307" t="str">
        <f>_tTNaukMxay4</f>
        <v>Nilkhantha Municipality</v>
      </c>
      <c r="AR307" t="str">
        <f>_tTNaukMxay4</f>
        <v>Nilkhantha Municipality</v>
      </c>
    </row>
    <row r="308" spans="8:44">
      <c r="H308" t="str">
        <f>_R3SCcpdcJJj</f>
        <v>Jwalamukhi Rural Municipality</v>
      </c>
      <c r="AR308" t="str">
        <f>_R3SCcpdcJJj</f>
        <v>Jwalamukhi Rural Municipality</v>
      </c>
    </row>
    <row r="309" spans="8:44">
      <c r="H309" t="str">
        <f>_Gfd61LgnBoD</f>
        <v>Siddhalek Rural Municipality</v>
      </c>
      <c r="AR309" t="str">
        <f>_Gfd61LgnBoD</f>
        <v>Siddhalek Rural Municipality</v>
      </c>
    </row>
    <row r="310" spans="8:44">
      <c r="H310" t="str">
        <f>_Xx6siwuo3br</f>
        <v>Benighat Rorang Rural Municipality</v>
      </c>
      <c r="AR310" t="str">
        <f>_Xx6siwuo3br</f>
        <v>Benighat Rorang Rural Municipality</v>
      </c>
    </row>
    <row r="311" spans="8:44">
      <c r="H311" t="str">
        <f>_P3zjqfdNFNZ</f>
        <v>Gajuri Rural Municipality</v>
      </c>
      <c r="AR311" t="str">
        <f>_P3zjqfdNFNZ</f>
        <v>Gajuri Rural Municipality</v>
      </c>
    </row>
    <row r="312" spans="8:44">
      <c r="H312" t="str">
        <f>_kUDjwWiE3HL</f>
        <v>Galchhi Rural Municipality</v>
      </c>
      <c r="AR312" t="str">
        <f>_kUDjwWiE3HL</f>
        <v>Galchhi Rural Municipality</v>
      </c>
    </row>
    <row r="313" spans="8:44">
      <c r="H313" t="str">
        <f>_JxWxaPWfrVO</f>
        <v>Thakre Rural Municipality</v>
      </c>
      <c r="AR313" t="str">
        <f>_JxWxaPWfrVO</f>
        <v>Thakre Rural Municipality</v>
      </c>
    </row>
    <row r="314" spans="8:44">
      <c r="H314" t="str">
        <f>_H1cdlRsXvHK</f>
        <v>Dhunibenshi Municipality</v>
      </c>
      <c r="AR314" t="str">
        <f>_H1cdlRsXvHK</f>
        <v>Dhunibenshi Municipality</v>
      </c>
    </row>
    <row r="315" spans="8:44">
      <c r="H315" t="str">
        <f>_rmZ2hhJbw0k</f>
        <v>Dupcheshwor Rural Municipality</v>
      </c>
      <c r="AR315" t="str">
        <f>_rmZ2hhJbw0k</f>
        <v>Dupcheshwor Rural Municipality</v>
      </c>
    </row>
    <row r="316" spans="8:44">
      <c r="H316" t="str">
        <f>_W0hgjze2UjR</f>
        <v>Tadi Rural Municipality</v>
      </c>
      <c r="AR316" t="str">
        <f>_W0hgjze2UjR</f>
        <v>Tadi Rural Municipality</v>
      </c>
    </row>
    <row r="317" spans="8:44">
      <c r="H317" t="str">
        <f>_hHsSeGYjmSr</f>
        <v>Suryagadhi Rural Municipality</v>
      </c>
      <c r="AR317" t="str">
        <f>_hHsSeGYjmSr</f>
        <v>Suryagadhi Rural Municipality</v>
      </c>
    </row>
    <row r="318" spans="8:44">
      <c r="H318" t="str">
        <f>_B86m4uCHWgU</f>
        <v>Bidur Municipality</v>
      </c>
      <c r="AR318" t="str">
        <f>_B86m4uCHWgU</f>
        <v>Bidur Municipality</v>
      </c>
    </row>
    <row r="319" spans="8:44">
      <c r="H319" t="str">
        <f>_W5UOPi0SH2h</f>
        <v>Kispang Rural Municipality</v>
      </c>
      <c r="AR319" t="str">
        <f>_W5UOPi0SH2h</f>
        <v>Kispang Rural Municipality</v>
      </c>
    </row>
    <row r="320" spans="8:44">
      <c r="H320" t="str">
        <f>_iQlQehNOU5W</f>
        <v>Meghang Rural Municipality</v>
      </c>
      <c r="AR320" t="str">
        <f>_iQlQehNOU5W</f>
        <v>Meghang Rural Municipality</v>
      </c>
    </row>
    <row r="321" spans="8:44">
      <c r="H321" t="str">
        <f>_c9dmVK0aoLe</f>
        <v>Tarakeshwor Rural Municipality</v>
      </c>
      <c r="AR321" t="str">
        <f>_c9dmVK0aoLe</f>
        <v>Tarakeshwor Rural Municipality</v>
      </c>
    </row>
    <row r="322" spans="8:44">
      <c r="H322" t="str">
        <f>_CSUrN9sHxwS</f>
        <v>Belkotgadhi Municipality</v>
      </c>
      <c r="AR322" t="str">
        <f>_CSUrN9sHxwS</f>
        <v>Belkotgadhi Municipality</v>
      </c>
    </row>
    <row r="323" spans="8:44">
      <c r="H323" t="str">
        <f>_HRllJaF82m2</f>
        <v>Likhu Rural Municipality</v>
      </c>
      <c r="AR323" t="str">
        <f>_HRllJaF82m2</f>
        <v>Likhu Rural Municipality</v>
      </c>
    </row>
    <row r="324" spans="8:44">
      <c r="H324" t="str">
        <f>_tFMcEFwylqq</f>
        <v>Panchakanya Rural Municipality</v>
      </c>
      <c r="AR324" t="str">
        <f>_tFMcEFwylqq</f>
        <v>Panchakanya Rural Municipality</v>
      </c>
    </row>
    <row r="325" spans="8:44">
      <c r="H325" t="str">
        <f>_VNHhGHCq1aM</f>
        <v>Shivapuri Rural Municipality</v>
      </c>
      <c r="AR325" t="str">
        <f>_VNHhGHCq1aM</f>
        <v>Shivapuri Rural Municipality</v>
      </c>
    </row>
    <row r="326" spans="8:44">
      <c r="H326" t="str">
        <f>_z1BqKlperjZ</f>
        <v>Kakani Rural Municipality</v>
      </c>
      <c r="AR326" t="str">
        <f>_z1BqKlperjZ</f>
        <v>Kakani Rural Municipality</v>
      </c>
    </row>
    <row r="327" spans="8:44">
      <c r="H327" t="str">
        <f>_tZsWdkWg7CP</f>
        <v>Shankharapur Municipality</v>
      </c>
      <c r="AR327" t="str">
        <f>_tZsWdkWg7CP</f>
        <v>Shankharapur Municipality</v>
      </c>
    </row>
    <row r="328" spans="8:44">
      <c r="H328" t="str">
        <f>_Q3wW2mYyNSf</f>
        <v>Kageshwori Manahara Municipality</v>
      </c>
      <c r="AR328" t="str">
        <f>_Q3wW2mYyNSf</f>
        <v>Kageshwori Manahara Municipality</v>
      </c>
    </row>
    <row r="329" spans="8:44">
      <c r="H329" t="str">
        <f>_NHlqPJsNpma</f>
        <v>Gokarneshwor Municipality</v>
      </c>
      <c r="AR329" t="str">
        <f>_NHlqPJsNpma</f>
        <v>Gokarneshwor Municipality</v>
      </c>
    </row>
    <row r="330" spans="8:44">
      <c r="H330" t="str">
        <f>_JYZoGP4hnBe</f>
        <v>Budhanilkhantha Municipality</v>
      </c>
      <c r="AR330" t="str">
        <f>_JYZoGP4hnBe</f>
        <v>Budhanilkhantha Municipality</v>
      </c>
    </row>
    <row r="331" spans="8:44">
      <c r="H331" t="str">
        <f>_ktCsqB9PuJK</f>
        <v>Tokha Municipality</v>
      </c>
      <c r="AR331" t="str">
        <f>_ktCsqB9PuJK</f>
        <v>Tokha Municipality</v>
      </c>
    </row>
    <row r="332" spans="8:44">
      <c r="H332" t="str">
        <f>_jVP84tthvFz</f>
        <v>Tarakeshwor Municipality</v>
      </c>
      <c r="AR332" t="str">
        <f>_jVP84tthvFz</f>
        <v>Tarakeshwor Municipality</v>
      </c>
    </row>
    <row r="333" spans="8:44">
      <c r="H333" t="str">
        <f>_gY6LypsDS8q</f>
        <v>Nagarjun Municipality</v>
      </c>
      <c r="AR333" t="str">
        <f>_gY6LypsDS8q</f>
        <v>Nagarjun Municipality</v>
      </c>
    </row>
    <row r="334" spans="8:44">
      <c r="H334" t="str">
        <f>_K11zgDjAZVd</f>
        <v>Kathmandu Metropolitian City</v>
      </c>
      <c r="AR334" t="str">
        <f>_K11zgDjAZVd</f>
        <v>Kathmandu Metropolitian City</v>
      </c>
    </row>
    <row r="335" spans="8:44">
      <c r="H335" t="str">
        <f>_DilqYkRT6h8</f>
        <v>Kirtipur Municipality</v>
      </c>
      <c r="AR335" t="str">
        <f>_DilqYkRT6h8</f>
        <v>Kirtipur Municipality</v>
      </c>
    </row>
    <row r="336" spans="8:44">
      <c r="H336" t="str">
        <f>_g8iCImEmuC5</f>
        <v>Chandragiri Municipality</v>
      </c>
      <c r="AR336" t="str">
        <f>_g8iCImEmuC5</f>
        <v>Chandragiri Municipality</v>
      </c>
    </row>
    <row r="337" spans="8:44">
      <c r="H337" t="str">
        <f>_KiPe6G4Zmew</f>
        <v>Dakshinkali Municipality</v>
      </c>
      <c r="AR337" t="str">
        <f>_KiPe6G4Zmew</f>
        <v>Dakshinkali Municipality</v>
      </c>
    </row>
    <row r="338" spans="8:44">
      <c r="H338" t="str">
        <f>_k6e9B3yaGQ8</f>
        <v>Changunarayan Municipality</v>
      </c>
      <c r="AR338" t="str">
        <f>_k6e9B3yaGQ8</f>
        <v>Changunarayan Municipality</v>
      </c>
    </row>
    <row r="339" spans="8:44">
      <c r="H339" t="str">
        <f>_UTE0CJQB1nC</f>
        <v>Bhaktapur Municipality</v>
      </c>
      <c r="AR339" t="str">
        <f>_UTE0CJQB1nC</f>
        <v>Bhaktapur Municipality</v>
      </c>
    </row>
    <row r="340" spans="8:44">
      <c r="H340" t="str">
        <f>_cbFzUVaCXtK</f>
        <v>Madhyapur Thimi Municipality</v>
      </c>
      <c r="AR340" t="str">
        <f>_cbFzUVaCXtK</f>
        <v>Madhyapur Thimi Municipality</v>
      </c>
    </row>
    <row r="341" spans="8:44">
      <c r="H341" t="str">
        <f>_cfCXBvn7JmV</f>
        <v>Suryabinayak Municipality</v>
      </c>
      <c r="AR341" t="str">
        <f>_cfCXBvn7JmV</f>
        <v>Suryabinayak Municipality</v>
      </c>
    </row>
    <row r="342" spans="8:44">
      <c r="H342" t="str">
        <f>_TcqZXwCSLmy</f>
        <v>Mahalaxmi Municipality</v>
      </c>
      <c r="AR342" t="str">
        <f>_TcqZXwCSLmy</f>
        <v>Mahalaxmi Municipality</v>
      </c>
    </row>
    <row r="343" spans="8:44">
      <c r="H343" t="str">
        <f>_f7htQr8FXmb</f>
        <v>Lalitpur Metropolitian City</v>
      </c>
      <c r="AR343" t="str">
        <f>_f7htQr8FXmb</f>
        <v>Lalitpur Metropolitian City</v>
      </c>
    </row>
    <row r="344" spans="8:44">
      <c r="H344" t="str">
        <f>_ajCrTaA6Dki</f>
        <v>Godawari Municipality</v>
      </c>
      <c r="AR344" t="str">
        <f>_ajCrTaA6Dki</f>
        <v>Godawari Municipality</v>
      </c>
    </row>
    <row r="345" spans="8:44">
      <c r="H345" t="str">
        <f>_klrlqqZkPaU</f>
        <v>Konjyosom Rural Municipality</v>
      </c>
      <c r="AR345" t="str">
        <f>_klrlqqZkPaU</f>
        <v>Konjyosom Rural Municipality</v>
      </c>
    </row>
    <row r="346" spans="8:44">
      <c r="H346" t="str">
        <f>_WwEst7h1joZ</f>
        <v>Mahankal Rural Municipality</v>
      </c>
      <c r="AR346" t="str">
        <f>_WwEst7h1joZ</f>
        <v>Mahankal Rural Municipality</v>
      </c>
    </row>
    <row r="347" spans="8:44">
      <c r="H347" t="str">
        <f>_PWEX6dI1jaQ</f>
        <v>Bagmati Rural Municipality</v>
      </c>
      <c r="AR347" t="str">
        <f>_PWEX6dI1jaQ</f>
        <v>Bagmati Rural Municipality</v>
      </c>
    </row>
    <row r="348" spans="8:44">
      <c r="H348" t="str">
        <f>_l2k4gR9tDBT</f>
        <v>Chauri Deurali Rural Municipality</v>
      </c>
      <c r="AR348" t="str">
        <f>_l2k4gR9tDBT</f>
        <v>Chauri Deurali Rural Municipality</v>
      </c>
    </row>
    <row r="349" spans="8:44">
      <c r="H349" t="str">
        <f>_jTS0MnCGgl6</f>
        <v>Bhumlu Rural Municipality</v>
      </c>
      <c r="AR349" t="str">
        <f>_jTS0MnCGgl6</f>
        <v>Bhumlu Rural Municipality</v>
      </c>
    </row>
    <row r="350" spans="8:44">
      <c r="H350" t="str">
        <f>_sWTh8qhDRXN</f>
        <v>Mandan Deupur Municipality</v>
      </c>
      <c r="AR350" t="str">
        <f>_sWTh8qhDRXN</f>
        <v>Mandan Deupur Municipality</v>
      </c>
    </row>
    <row r="351" spans="8:44">
      <c r="H351" t="str">
        <f>_E853HhQ1bda</f>
        <v>Banepa Municipality</v>
      </c>
      <c r="AR351" t="str">
        <f>_E853HhQ1bda</f>
        <v>Banepa Municipality</v>
      </c>
    </row>
    <row r="352" spans="8:44">
      <c r="H352" t="str">
        <f>_uRVKw6OxxU8</f>
        <v>Dhulikhel Municipality</v>
      </c>
      <c r="AR352" t="str">
        <f>_uRVKw6OxxU8</f>
        <v>Dhulikhel Municipality</v>
      </c>
    </row>
    <row r="353" spans="8:44">
      <c r="H353" t="str">
        <f>_WT3Skfg7hAx</f>
        <v>Panchkhal Municipality</v>
      </c>
      <c r="AR353" t="str">
        <f>_WT3Skfg7hAx</f>
        <v>Panchkhal Municipality</v>
      </c>
    </row>
    <row r="354" spans="8:44">
      <c r="H354" t="str">
        <f>_ffXJm0FUPqN</f>
        <v>Temal Rural Municipality</v>
      </c>
      <c r="AR354" t="str">
        <f>_ffXJm0FUPqN</f>
        <v>Temal Rural Municipality</v>
      </c>
    </row>
    <row r="355" spans="8:44">
      <c r="H355" t="str">
        <f>_QrAY3Z4f1ul</f>
        <v>Namobuddha Municipality</v>
      </c>
      <c r="AR355" t="str">
        <f>_QrAY3Z4f1ul</f>
        <v>Namobuddha Municipality</v>
      </c>
    </row>
    <row r="356" spans="8:44">
      <c r="H356" t="str">
        <f>_JOklCJDlikp</f>
        <v>Panauti Municipality</v>
      </c>
      <c r="AR356" t="str">
        <f>_JOklCJDlikp</f>
        <v>Panauti Municipality</v>
      </c>
    </row>
    <row r="357" spans="8:44">
      <c r="H357" t="str">
        <f>_zDr4nrRhT4l</f>
        <v>Bethanchowk Rural Municipality</v>
      </c>
      <c r="AR357" t="str">
        <f>_zDr4nrRhT4l</f>
        <v>Bethanchowk Rural Municipality</v>
      </c>
    </row>
    <row r="358" spans="8:44">
      <c r="H358" t="str">
        <f>_dIcKJLIZB9j</f>
        <v>Roshi Rural Municipality</v>
      </c>
      <c r="AR358" t="str">
        <f>_dIcKJLIZB9j</f>
        <v>Roshi Rural Municipality</v>
      </c>
    </row>
    <row r="359" spans="8:44">
      <c r="H359" t="str">
        <f>_PxqauO4BU8E</f>
        <v>Mahabharat Rural Municipality</v>
      </c>
      <c r="AR359" t="str">
        <f>_PxqauO4BU8E</f>
        <v>Mahabharat Rural Municipality</v>
      </c>
    </row>
    <row r="360" spans="8:44">
      <c r="H360" t="str">
        <f>_Cbjy7cYGPNy</f>
        <v>Khanikhola Rural Municipality</v>
      </c>
      <c r="AR360" t="str">
        <f>_Cbjy7cYGPNy</f>
        <v>Khanikhola Rural Municipality</v>
      </c>
    </row>
    <row r="361" spans="8:44">
      <c r="H361" t="str">
        <f>_Vrt0zNFCvGv</f>
        <v>Umakunda Rural Municipality</v>
      </c>
      <c r="AR361" t="str">
        <f>_Vrt0zNFCvGv</f>
        <v>Umakunda Rural Municipality</v>
      </c>
    </row>
    <row r="362" spans="8:44">
      <c r="H362" t="str">
        <f>_ZyYbKNVlxZ1</f>
        <v>Gokulganga Rural Municipality</v>
      </c>
      <c r="AR362" t="str">
        <f>_ZyYbKNVlxZ1</f>
        <v>Gokulganga Rural Municipality</v>
      </c>
    </row>
    <row r="363" spans="8:44">
      <c r="H363" t="str">
        <f>_RN9tr2vo1dz</f>
        <v>Likhu Rural Municipality</v>
      </c>
      <c r="AR363" t="str">
        <f>_RN9tr2vo1dz</f>
        <v>Likhu Rural Municipality</v>
      </c>
    </row>
    <row r="364" spans="8:44">
      <c r="H364" t="str">
        <f>_SdYVHsdUV2P</f>
        <v>Ramechhap Municipality</v>
      </c>
      <c r="AR364" t="str">
        <f>_SdYVHsdUV2P</f>
        <v>Ramechhap Municipality</v>
      </c>
    </row>
    <row r="365" spans="8:44">
      <c r="H365" t="str">
        <f>_JNRBnojeJD9</f>
        <v>Manthali  Municipality</v>
      </c>
      <c r="AR365" t="str">
        <f>_JNRBnojeJD9</f>
        <v>Manthali  Municipality</v>
      </c>
    </row>
    <row r="366" spans="8:44">
      <c r="H366" t="str">
        <f>_is0mLC9DDKF</f>
        <v>Khandadevi Rural Municipality</v>
      </c>
      <c r="AR366" t="str">
        <f>_is0mLC9DDKF</f>
        <v>Khandadevi Rural Municipality</v>
      </c>
    </row>
    <row r="367" spans="8:44">
      <c r="H367" t="str">
        <f>_y78ktbuZhcz</f>
        <v>Doramba Rural Municipality</v>
      </c>
      <c r="AR367" t="str">
        <f>_y78ktbuZhcz</f>
        <v>Doramba Rural Municipality</v>
      </c>
    </row>
    <row r="368" spans="8:44">
      <c r="H368" t="str">
        <f>_FfWZp2RaX5b</f>
        <v>Sunapati Rural Municipality</v>
      </c>
      <c r="AR368" t="str">
        <f>_FfWZp2RaX5b</f>
        <v>Sunapati Rural Municipality</v>
      </c>
    </row>
    <row r="369" spans="8:44">
      <c r="H369" t="str">
        <f>_sJvel46Awpn</f>
        <v>Dudhouli Municipality</v>
      </c>
      <c r="AR369" t="str">
        <f>_sJvel46Awpn</f>
        <v>Dudhouli Municipality</v>
      </c>
    </row>
    <row r="370" spans="8:44">
      <c r="H370" t="str">
        <f>_T7HNyZtnCQH</f>
        <v>Phikkal Rural Municipality</v>
      </c>
      <c r="AR370" t="str">
        <f>_T7HNyZtnCQH</f>
        <v>Phikkal Rural Municipality</v>
      </c>
    </row>
    <row r="371" spans="8:44">
      <c r="H371" t="str">
        <f>_xTyAzqrYozH</f>
        <v>Tinpatan Rural Municipality</v>
      </c>
      <c r="AR371" t="str">
        <f>_xTyAzqrYozH</f>
        <v>Tinpatan Rural Municipality</v>
      </c>
    </row>
    <row r="372" spans="8:44">
      <c r="H372" t="str">
        <f>_wcP7T4FKEMd</f>
        <v>Golanjor Rural Municipality</v>
      </c>
      <c r="AR372" t="str">
        <f>_wcP7T4FKEMd</f>
        <v>Golanjor Rural Municipality</v>
      </c>
    </row>
    <row r="373" spans="8:44">
      <c r="H373" t="str">
        <f>_rF1uHjM7Snq</f>
        <v>Kamalamai Municipality</v>
      </c>
      <c r="AR373" t="str">
        <f>_rF1uHjM7Snq</f>
        <v>Kamalamai Municipality</v>
      </c>
    </row>
    <row r="374" spans="8:44">
      <c r="H374" t="str">
        <f>_Jfanf4ZIMje</f>
        <v>Sunkoshi Rural Municipality</v>
      </c>
      <c r="AR374" t="str">
        <f>_Jfanf4ZIMje</f>
        <v>Sunkoshi Rural Municipality</v>
      </c>
    </row>
    <row r="375" spans="8:44">
      <c r="H375" t="str">
        <f>_yc0BocbujoZ</f>
        <v>Ghyanglekha Rural Municipality</v>
      </c>
      <c r="AR375" t="str">
        <f>_yc0BocbujoZ</f>
        <v>Ghyanglekha Rural Municipality</v>
      </c>
    </row>
    <row r="376" spans="8:44">
      <c r="H376" t="str">
        <f>_r6LR0Bv2PTN</f>
        <v>Marin Rural Municipality</v>
      </c>
      <c r="AR376" t="str">
        <f>_r6LR0Bv2PTN</f>
        <v>Marin Rural Municipality</v>
      </c>
    </row>
    <row r="377" spans="8:44">
      <c r="H377" t="str">
        <f>_wevY4QjhvMb</f>
        <v>Hariharpurgaghi Rural Municipality</v>
      </c>
      <c r="AR377" t="str">
        <f>_wevY4QjhvMb</f>
        <v>Hariharpurgaghi Rural Municipality</v>
      </c>
    </row>
    <row r="378" spans="8:44">
      <c r="H378" t="str">
        <f>_YCmjGlQYsvt</f>
        <v>Indrasarowar Rural Municipality</v>
      </c>
      <c r="AR378" t="str">
        <f>_YCmjGlQYsvt</f>
        <v>Indrasarowar Rural Municipality</v>
      </c>
    </row>
    <row r="379" spans="8:44">
      <c r="H379" t="str">
        <f>_rPQcWXJiLi6</f>
        <v>Thaha Municipality</v>
      </c>
      <c r="AR379" t="str">
        <f>_rPQcWXJiLi6</f>
        <v>Thaha Municipality</v>
      </c>
    </row>
    <row r="380" spans="8:44">
      <c r="H380" t="str">
        <f>_uTIKlrR3f22</f>
        <v>Kailash Rural Municipality</v>
      </c>
      <c r="AR380" t="str">
        <f>_uTIKlrR3f22</f>
        <v>Kailash Rural Municipality</v>
      </c>
    </row>
    <row r="381" spans="8:44">
      <c r="H381" t="str">
        <f>_OeYDuYyCCgA</f>
        <v>Raksirang Rural Municipality</v>
      </c>
      <c r="AR381" t="str">
        <f>_OeYDuYyCCgA</f>
        <v>Raksirang Rural Municipality</v>
      </c>
    </row>
    <row r="382" spans="8:44">
      <c r="H382" t="str">
        <f>_q9198gm7oXc</f>
        <v>Manahari Rural Municipality</v>
      </c>
      <c r="AR382" t="str">
        <f>_q9198gm7oXc</f>
        <v>Manahari Rural Municipality</v>
      </c>
    </row>
    <row r="383" spans="8:44">
      <c r="H383" t="str">
        <f>_NmIRjZIIOfF</f>
        <v>Hetauda Sub-Metropolitian City</v>
      </c>
      <c r="AR383" t="str">
        <f>_NmIRjZIIOfF</f>
        <v>Hetauda Sub-Metropolitian City</v>
      </c>
    </row>
    <row r="384" spans="8:44">
      <c r="H384" t="str">
        <f>_UCCVSYxKJko</f>
        <v>Bhimphedi Rural Municipality</v>
      </c>
      <c r="AR384" t="str">
        <f>_UCCVSYxKJko</f>
        <v>Bhimphedi Rural Municipality</v>
      </c>
    </row>
    <row r="385" spans="8:44">
      <c r="H385" t="str">
        <f>_mnQcnfiEWdo</f>
        <v>Makawanpurgadhi Rural Municipality</v>
      </c>
      <c r="AR385" t="str">
        <f>_mnQcnfiEWdo</f>
        <v>Makawanpurgadhi Rural Municipality</v>
      </c>
    </row>
    <row r="386" spans="8:44">
      <c r="H386" t="str">
        <f>_otkQ1bJw1uX</f>
        <v>Bakaiya Rural Municipality</v>
      </c>
      <c r="AR386" t="str">
        <f>_otkQ1bJw1uX</f>
        <v>Bakaiya Rural Municipality</v>
      </c>
    </row>
    <row r="387" spans="8:44">
      <c r="H387" t="str">
        <f>_PXd3kacKBcx</f>
        <v>Bagmati Rural Municipality</v>
      </c>
      <c r="AR387" t="str">
        <f>_PXd3kacKBcx</f>
        <v>Bagmati Rural Municipality</v>
      </c>
    </row>
    <row r="388" spans="8:44">
      <c r="H388" t="str">
        <f>_gCNWRCx9ZGr</f>
        <v>Rapti Municipality</v>
      </c>
      <c r="AR388" t="str">
        <f>_gCNWRCx9ZGr</f>
        <v>Rapti Municipality</v>
      </c>
    </row>
    <row r="389" spans="8:44">
      <c r="H389" t="str">
        <f>_rnt4qNoe9o6</f>
        <v>Kalika Municipality</v>
      </c>
      <c r="AR389" t="str">
        <f>_rnt4qNoe9o6</f>
        <v>Kalika Municipality</v>
      </c>
    </row>
    <row r="390" spans="8:44">
      <c r="H390" t="str">
        <f>_y2SObl0soIM</f>
        <v>Ichchha Kamana Rural Municipality</v>
      </c>
      <c r="AR390" t="str">
        <f>_y2SObl0soIM</f>
        <v>Ichchha Kamana Rural Municipality</v>
      </c>
    </row>
    <row r="391" spans="8:44">
      <c r="H391" t="str">
        <f>_nRpCA8x2eRh</f>
        <v>Bharatpur Metropolitian City</v>
      </c>
      <c r="AR391" t="str">
        <f>_nRpCA8x2eRh</f>
        <v>Bharatpur Metropolitian City</v>
      </c>
    </row>
    <row r="392" spans="8:44">
      <c r="H392" t="str">
        <f>_aiY3tqum3Ef</f>
        <v>Ratnanagar Municipality</v>
      </c>
      <c r="AR392" t="str">
        <f>_aiY3tqum3Ef</f>
        <v>Ratnanagar Municipality</v>
      </c>
    </row>
    <row r="393" spans="8:44">
      <c r="H393" t="str">
        <f>_eoT37lqiJgl</f>
        <v>Khairahani Municipality</v>
      </c>
      <c r="AR393" t="str">
        <f>_eoT37lqiJgl</f>
        <v>Khairahani Municipality</v>
      </c>
    </row>
    <row r="394" spans="8:44">
      <c r="H394" t="str">
        <f>_CDxFiEyvP21</f>
        <v>Madi Municipality</v>
      </c>
      <c r="AR394" t="str">
        <f>_CDxFiEyvP21</f>
        <v>Madi Municipality</v>
      </c>
    </row>
    <row r="395" spans="8:44">
      <c r="H395" t="str">
        <f>_JqL7ztZIayG</f>
        <v>Chumanubri Rural Municipality</v>
      </c>
      <c r="AR395" t="str">
        <f>_JqL7ztZIayG</f>
        <v>Chumanubri Rural Municipality</v>
      </c>
    </row>
    <row r="396" spans="8:44">
      <c r="H396" t="str">
        <f>_JDGRQ3qkngt</f>
        <v>Ajirkot Rural Municipality</v>
      </c>
      <c r="AR396" t="str">
        <f>_JDGRQ3qkngt</f>
        <v>Ajirkot Rural Municipality</v>
      </c>
    </row>
    <row r="397" spans="8:44">
      <c r="H397" t="str">
        <f>_PQ52Bw1wZeK</f>
        <v>Sulikot Rural Municipality</v>
      </c>
      <c r="AR397" t="str">
        <f>_PQ52Bw1wZeK</f>
        <v>Sulikot Rural Municipality</v>
      </c>
    </row>
    <row r="398" spans="8:44">
      <c r="H398" t="str">
        <f>_v4HYqaIfW1c</f>
        <v>Dharche Rural Municipality</v>
      </c>
      <c r="AR398" t="str">
        <f>_v4HYqaIfW1c</f>
        <v>Dharche Rural Municipality</v>
      </c>
    </row>
    <row r="399" spans="8:44">
      <c r="H399" t="str">
        <f>_TASoAHhRkQF</f>
        <v>Aarughat Rural Municipality</v>
      </c>
      <c r="AR399" t="str">
        <f>_TASoAHhRkQF</f>
        <v>Aarughat Rural Municipality</v>
      </c>
    </row>
    <row r="400" spans="8:44">
      <c r="H400" t="str">
        <f>_hGRVZe56VxM</f>
        <v>Bhimsen Rural Municipality</v>
      </c>
      <c r="AR400" t="str">
        <f>_hGRVZe56VxM</f>
        <v>Bhimsen Rural Municipality</v>
      </c>
    </row>
    <row r="401" spans="8:44">
      <c r="H401" t="str">
        <f>_KfybSQzGq5L</f>
        <v>Siranchowk Rural Municipality</v>
      </c>
      <c r="AR401" t="str">
        <f>_KfybSQzGq5L</f>
        <v>Siranchowk Rural Municipality</v>
      </c>
    </row>
    <row r="402" spans="8:44">
      <c r="H402" t="str">
        <f>_T27W9IHR3zJ</f>
        <v>Palungtar Municipality</v>
      </c>
      <c r="AR402" t="str">
        <f>_T27W9IHR3zJ</f>
        <v>Palungtar Municipality</v>
      </c>
    </row>
    <row r="403" spans="8:44">
      <c r="H403" t="str">
        <f>_u7i3R1bQ0fF</f>
        <v>Gorkha Municipality</v>
      </c>
      <c r="AR403" t="str">
        <f>_u7i3R1bQ0fF</f>
        <v>Gorkha Municipality</v>
      </c>
    </row>
    <row r="404" spans="8:44">
      <c r="H404" t="str">
        <f>_IsUhZYprLFL</f>
        <v>Shahid Lakhan Rural Municipality</v>
      </c>
      <c r="AR404" t="str">
        <f>_IsUhZYprLFL</f>
        <v>Shahid Lakhan Rural Municipality</v>
      </c>
    </row>
    <row r="405" spans="8:44">
      <c r="H405" t="str">
        <f>_eQRTRhnf3aM</f>
        <v>Gandaki Rural Municipality</v>
      </c>
      <c r="AR405" t="str">
        <f>_eQRTRhnf3aM</f>
        <v>Gandaki Rural Municipality</v>
      </c>
    </row>
    <row r="406" spans="8:44">
      <c r="H406" t="str">
        <f>_f6zr99LuJp6</f>
        <v>Naraphu Rural Municipality</v>
      </c>
      <c r="AR406" t="str">
        <f>_f6zr99LuJp6</f>
        <v>Naraphu Rural Municipality</v>
      </c>
    </row>
    <row r="407" spans="8:44">
      <c r="H407" t="str">
        <f>_OsHO7bWeDUS</f>
        <v>Neshang Rural Municipality</v>
      </c>
      <c r="AR407" t="str">
        <f>_OsHO7bWeDUS</f>
        <v>Neshang Rural Municipality</v>
      </c>
    </row>
    <row r="408" spans="8:44">
      <c r="H408" t="str">
        <f>_oZJZy358b4u</f>
        <v>Chame Rural Municipality</v>
      </c>
      <c r="AR408" t="str">
        <f>_oZJZy358b4u</f>
        <v>Chame Rural Municipality</v>
      </c>
    </row>
    <row r="409" spans="8:44">
      <c r="H409" t="str">
        <f>_wNfPV0QMs7n</f>
        <v>Nashong Rural Municipality</v>
      </c>
      <c r="AR409" t="str">
        <f>_wNfPV0QMs7n</f>
        <v>Nashong Rural Municipality</v>
      </c>
    </row>
    <row r="410" spans="8:44">
      <c r="H410" t="str">
        <f>_o6RWI1d6BWP</f>
        <v>Dalome Rural Municipality</v>
      </c>
      <c r="AR410" t="str">
        <f>_o6RWI1d6BWP</f>
        <v>Dalome Rural Municipality</v>
      </c>
    </row>
    <row r="411" spans="8:44">
      <c r="H411" t="str">
        <f>_OQuUAuDc0Di</f>
        <v>Gharpajhong Rural Municipality</v>
      </c>
      <c r="AR411" t="str">
        <f>_OQuUAuDc0Di</f>
        <v>Gharpajhong Rural Municipality</v>
      </c>
    </row>
    <row r="412" spans="8:44">
      <c r="H412" t="str">
        <f>_Pp0wVgidLSP</f>
        <v>Bahragaun Muktikshetra Rural Municipality</v>
      </c>
      <c r="AR412" t="str">
        <f>_Pp0wVgidLSP</f>
        <v>Bahragaun Muktikshetra Rural Municipality</v>
      </c>
    </row>
    <row r="413" spans="8:44">
      <c r="H413" t="str">
        <f>_bJJF34jsnVe</f>
        <v>Lomanthang Rural Municipality</v>
      </c>
      <c r="AR413" t="str">
        <f>_bJJF34jsnVe</f>
        <v>Lomanthang Rural Municipality</v>
      </c>
    </row>
    <row r="414" spans="8:44">
      <c r="H414" t="str">
        <f>_s2kJ5RJ8i9M</f>
        <v>Thasang Rural Municipality</v>
      </c>
      <c r="AR414" t="str">
        <f>_s2kJ5RJ8i9M</f>
        <v>Thasang Rural Municipality</v>
      </c>
    </row>
    <row r="415" spans="8:44">
      <c r="H415" t="str">
        <f>_JlQneBmSWcw</f>
        <v>Annapurna Rural Municipality</v>
      </c>
      <c r="AR415" t="str">
        <f>_JlQneBmSWcw</f>
        <v>Annapurna Rural Municipality</v>
      </c>
    </row>
    <row r="416" spans="8:44">
      <c r="H416" t="str">
        <f>_unM18X68sNS</f>
        <v>Raghuganga Rural Municipality</v>
      </c>
      <c r="AR416" t="str">
        <f>_unM18X68sNS</f>
        <v>Raghuganga Rural Municipality</v>
      </c>
    </row>
    <row r="417" spans="8:44">
      <c r="H417" t="str">
        <f>_BgJkE8Z3tME</f>
        <v>Dhawalagiri Rural Municipality</v>
      </c>
      <c r="AR417" t="str">
        <f>_BgJkE8Z3tME</f>
        <v>Dhawalagiri Rural Municipality</v>
      </c>
    </row>
    <row r="418" spans="8:44">
      <c r="H418" t="str">
        <f>_xwrEvzkOCXg</f>
        <v>Malika Rural Municipality</v>
      </c>
      <c r="AR418" t="str">
        <f>_xwrEvzkOCXg</f>
        <v>Malika Rural Municipality</v>
      </c>
    </row>
    <row r="419" spans="8:44">
      <c r="H419" t="str">
        <f>_expqrmvsTnR</f>
        <v>Mangala Rural Municipality</v>
      </c>
      <c r="AR419" t="str">
        <f>_expqrmvsTnR</f>
        <v>Mangala Rural Municipality</v>
      </c>
    </row>
    <row r="420" spans="8:44">
      <c r="H420" t="str">
        <f>_ifHvLGGGLtl</f>
        <v>Beni Municipality</v>
      </c>
      <c r="AR420" t="str">
        <f>_ifHvLGGGLtl</f>
        <v>Beni Municipality</v>
      </c>
    </row>
    <row r="421" spans="8:44">
      <c r="H421" t="str">
        <f>_v0GqvJ3hiKs</f>
        <v>Madi Rural Municipality</v>
      </c>
      <c r="AR421" t="str">
        <f>_v0GqvJ3hiKs</f>
        <v>Madi Rural Municipality</v>
      </c>
    </row>
    <row r="422" spans="8:44">
      <c r="H422" t="str">
        <f>_uyVa1rICsMI</f>
        <v>Machhapuchchhre Rural Municipality</v>
      </c>
      <c r="AR422" t="str">
        <f>_uyVa1rICsMI</f>
        <v>Machhapuchchhre Rural Municipality</v>
      </c>
    </row>
    <row r="423" spans="8:44">
      <c r="H423" t="str">
        <f>_Mn391YJ5EFj</f>
        <v>Annapurna Rural Municipality</v>
      </c>
      <c r="AR423" t="str">
        <f>_Mn391YJ5EFj</f>
        <v>Annapurna Rural Municipality</v>
      </c>
    </row>
    <row r="424" spans="8:44">
      <c r="H424" t="str">
        <f>_FbdWH3G7ANh</f>
        <v>Pokhara Lekhnath Metropolitian City</v>
      </c>
      <c r="AR424" t="str">
        <f>_FbdWH3G7ANh</f>
        <v>Pokhara Lekhnath Metropolitian City</v>
      </c>
    </row>
    <row r="425" spans="8:44">
      <c r="H425" t="str">
        <f>_LBB6UE1v2XV</f>
        <v>Rupa Rural Municipality</v>
      </c>
      <c r="AR425" t="str">
        <f>_LBB6UE1v2XV</f>
        <v>Rupa Rural Municipality</v>
      </c>
    </row>
    <row r="426" spans="8:44">
      <c r="H426" t="str">
        <f>_JioJXjxFI0B</f>
        <v>Dordi Rural Municipality</v>
      </c>
      <c r="AR426" t="str">
        <f>_JioJXjxFI0B</f>
        <v>Dordi Rural Municipality</v>
      </c>
    </row>
    <row r="427" spans="8:44">
      <c r="H427" t="str">
        <f>_xxlFceTVhzL</f>
        <v>Marshyangdi Rural Municipality</v>
      </c>
      <c r="AR427" t="str">
        <f>_xxlFceTVhzL</f>
        <v>Marshyangdi Rural Municipality</v>
      </c>
    </row>
    <row r="428" spans="8:44">
      <c r="H428" t="str">
        <f>_et32DDJ6nyF</f>
        <v>Kwhola Sothar Rural Municipality</v>
      </c>
      <c r="AR428" t="str">
        <f>_et32DDJ6nyF</f>
        <v>Kwhola Sothar Rural Municipality</v>
      </c>
    </row>
    <row r="429" spans="8:44">
      <c r="H429" t="str">
        <f>_vaKtyMGomYi</f>
        <v>Madhya Nepal Municipality</v>
      </c>
      <c r="AR429" t="str">
        <f>_vaKtyMGomYi</f>
        <v>Madhya Nepal Municipality</v>
      </c>
    </row>
    <row r="430" spans="8:44">
      <c r="H430" t="str">
        <f>_mF8gwR8tFaZ</f>
        <v>Bensi Shahar Municipality</v>
      </c>
      <c r="AR430" t="str">
        <f>_mF8gwR8tFaZ</f>
        <v>Bensi Shahar Municipality</v>
      </c>
    </row>
    <row r="431" spans="8:44">
      <c r="H431" t="str">
        <f>_PL7zjAVdptV</f>
        <v>Sundarbazar Municipality</v>
      </c>
      <c r="AR431" t="str">
        <f>_PL7zjAVdptV</f>
        <v>Sundarbazar Municipality</v>
      </c>
    </row>
    <row r="432" spans="8:44">
      <c r="H432" t="str">
        <f>_ylznT34EsMJ</f>
        <v>Rainas Municipality</v>
      </c>
      <c r="AR432" t="str">
        <f>_ylznT34EsMJ</f>
        <v>Rainas Municipality</v>
      </c>
    </row>
    <row r="433" spans="8:44">
      <c r="H433" t="str">
        <f>_TmrhmXuavPj</f>
        <v>Dudhapokhari Rural Municipality</v>
      </c>
      <c r="AR433" t="str">
        <f>_TmrhmXuavPj</f>
        <v>Dudhapokhari Rural Municipality</v>
      </c>
    </row>
    <row r="434" spans="8:44">
      <c r="H434" t="str">
        <f>_Wh5K2bLNVx9</f>
        <v>Bhanu Municipality</v>
      </c>
      <c r="AR434" t="str">
        <f>_Wh5K2bLNVx9</f>
        <v>Bhanu Municipality</v>
      </c>
    </row>
    <row r="435" spans="8:44">
      <c r="H435" t="str">
        <f>_vcno4BOI7ql</f>
        <v>Byas Municipality</v>
      </c>
      <c r="AR435" t="str">
        <f>_vcno4BOI7ql</f>
        <v>Byas Municipality</v>
      </c>
    </row>
    <row r="436" spans="8:44">
      <c r="H436" t="str">
        <f>_Ws17eM5v8bj</f>
        <v>Myagde Rural Municipality</v>
      </c>
      <c r="AR436" t="str">
        <f>_Ws17eM5v8bj</f>
        <v>Myagde Rural Municipality</v>
      </c>
    </row>
    <row r="437" spans="8:44">
      <c r="H437" t="str">
        <f>_XLjLLJdUGiD</f>
        <v>Shuklagandaki Municipality</v>
      </c>
      <c r="AR437" t="str">
        <f>_XLjLLJdUGiD</f>
        <v>Shuklagandaki Municipality</v>
      </c>
    </row>
    <row r="438" spans="8:44">
      <c r="H438" t="str">
        <f>_zfid7euzIm1</f>
        <v>Bhimad Municipality</v>
      </c>
      <c r="AR438" t="str">
        <f>_zfid7euzIm1</f>
        <v>Bhimad Municipality</v>
      </c>
    </row>
    <row r="439" spans="8:44">
      <c r="H439" t="str">
        <f>_AhdA3Lx65fB</f>
        <v>Ghiring Rural Municipality</v>
      </c>
      <c r="AR439" t="str">
        <f>_AhdA3Lx65fB</f>
        <v>Ghiring Rural Municipality</v>
      </c>
    </row>
    <row r="440" spans="8:44">
      <c r="H440" t="str">
        <f>_EMvc6eCNmHp</f>
        <v>Rhishing Rural Municipality</v>
      </c>
      <c r="AR440" t="str">
        <f>_EMvc6eCNmHp</f>
        <v>Rhishing Rural Municipality</v>
      </c>
    </row>
    <row r="441" spans="8:44">
      <c r="H441" t="str">
        <f>_iX4vTbsgedg</f>
        <v>Devghat Rural Municipality</v>
      </c>
      <c r="AR441" t="str">
        <f>_iX4vTbsgedg</f>
        <v>Devghat Rural Municipality</v>
      </c>
    </row>
    <row r="442" spans="8:44">
      <c r="H442" t="str">
        <f>_KkN1Qi8wdZo</f>
        <v>Bandipur Rural Municipality</v>
      </c>
      <c r="AR442" t="str">
        <f>_KkN1Qi8wdZo</f>
        <v>Bandipur Rural Municipality</v>
      </c>
    </row>
    <row r="443" spans="8:44">
      <c r="H443" t="str">
        <f>_Kj30So1gP3H</f>
        <v>Aanbu Khaireni Rural Municipality</v>
      </c>
      <c r="AR443" t="str">
        <f>_Kj30So1gP3H</f>
        <v>Aanbu Khaireni Rural Municipality</v>
      </c>
    </row>
    <row r="444" spans="8:44">
      <c r="H444" t="str">
        <f>_VIQTc58aX5a</f>
        <v>Gaidakot Municipality</v>
      </c>
      <c r="AR444" t="str">
        <f>_VIQTc58aX5a</f>
        <v>Gaidakot Municipality</v>
      </c>
    </row>
    <row r="445" spans="8:44">
      <c r="H445" t="str">
        <f>_XbYhwfG1W7m</f>
        <v>Bulingtar Rural Municipality</v>
      </c>
      <c r="AR445" t="str">
        <f>_XbYhwfG1W7m</f>
        <v>Bulingtar Rural Municipality</v>
      </c>
    </row>
    <row r="446" spans="8:44">
      <c r="H446" t="str">
        <f>_C03grs7b6ia</f>
        <v>Bungdikali Rural Municipality</v>
      </c>
      <c r="AR446" t="str">
        <f>_C03grs7b6ia</f>
        <v>Bungdikali Rural Municipality</v>
      </c>
    </row>
    <row r="447" spans="8:44">
      <c r="H447" t="str">
        <f>_OnUimvumDHk</f>
        <v>Hupsekot Rural Municipality</v>
      </c>
      <c r="AR447" t="str">
        <f>_OnUimvumDHk</f>
        <v>Hupsekot Rural Municipality</v>
      </c>
    </row>
    <row r="448" spans="8:44">
      <c r="H448" t="str">
        <f>_y6AtDA84hkl</f>
        <v>Devchuli Municipality</v>
      </c>
      <c r="AR448" t="str">
        <f>_y6AtDA84hkl</f>
        <v>Devchuli Municipality</v>
      </c>
    </row>
    <row r="449" spans="8:44">
      <c r="H449" t="str">
        <f>_wDPLKCxJIrv</f>
        <v>Kawasoti Municipality</v>
      </c>
      <c r="AR449" t="str">
        <f>_wDPLKCxJIrv</f>
        <v>Kawasoti Municipality</v>
      </c>
    </row>
    <row r="450" spans="8:44">
      <c r="H450" t="str">
        <f>_xYU2N84o2Rg</f>
        <v>Madhya Bindu Municipality</v>
      </c>
      <c r="AR450" t="str">
        <f>_xYU2N84o2Rg</f>
        <v>Madhya Bindu Municipality</v>
      </c>
    </row>
    <row r="451" spans="8:44">
      <c r="H451" t="str">
        <f>_XHkHQmyae2u</f>
        <v>Binayi Tribeni Rural Municipality</v>
      </c>
      <c r="AR451" t="str">
        <f>_XHkHQmyae2u</f>
        <v>Binayi Tribeni Rural Municipality</v>
      </c>
    </row>
    <row r="452" spans="8:44">
      <c r="H452" t="str">
        <f>_l3S3shUMnvV</f>
        <v>Putalibazar Municipality</v>
      </c>
      <c r="AR452" t="str">
        <f>_l3S3shUMnvV</f>
        <v>Putalibazar Municipality</v>
      </c>
    </row>
    <row r="453" spans="8:44">
      <c r="H453" t="str">
        <f>_VefO9o2nGGN</f>
        <v>Phedikhola Rural Municipality</v>
      </c>
      <c r="AR453" t="str">
        <f>_VefO9o2nGGN</f>
        <v>Phedikhola Rural Municipality</v>
      </c>
    </row>
    <row r="454" spans="8:44">
      <c r="H454" t="str">
        <f>_A16SOb3fau5</f>
        <v>Aandhikhola Rural Municipality</v>
      </c>
      <c r="AR454" t="str">
        <f>_A16SOb3fau5</f>
        <v>Aandhikhola Rural Municipality</v>
      </c>
    </row>
    <row r="455" spans="8:44">
      <c r="H455" t="str">
        <f>_sWo8itPzF2q</f>
        <v>Arjun Choupari Rural Municipality</v>
      </c>
      <c r="AR455" t="str">
        <f>_sWo8itPzF2q</f>
        <v>Arjun Choupari Rural Municipality</v>
      </c>
    </row>
    <row r="456" spans="8:44">
      <c r="H456" t="str">
        <f>_L3tX6PIjigU</f>
        <v>Bhirkot Municipaity</v>
      </c>
      <c r="AR456" t="str">
        <f>_L3tX6PIjigU</f>
        <v>Bhirkot Municipaity</v>
      </c>
    </row>
    <row r="457" spans="8:44">
      <c r="H457" t="str">
        <f>_T066vAMK8pe</f>
        <v>Biruwa Rural Municipality</v>
      </c>
      <c r="AR457" t="str">
        <f>_T066vAMK8pe</f>
        <v>Biruwa Rural Municipality</v>
      </c>
    </row>
    <row r="458" spans="8:44">
      <c r="H458" t="str">
        <f>_v4cZmbYgVXH</f>
        <v>Harinas Rural Municipality</v>
      </c>
      <c r="AR458" t="str">
        <f>_v4cZmbYgVXH</f>
        <v>Harinas Rural Municipality</v>
      </c>
    </row>
    <row r="459" spans="8:44">
      <c r="H459" t="str">
        <f>_bPdok64c99F</f>
        <v>Chapakot Municipality</v>
      </c>
      <c r="AR459" t="str">
        <f>_bPdok64c99F</f>
        <v>Chapakot Municipality</v>
      </c>
    </row>
    <row r="460" spans="8:44">
      <c r="H460" t="str">
        <f>_xVvL5Ufi4i9</f>
        <v>Walling Municipality</v>
      </c>
      <c r="AR460" t="str">
        <f>_xVvL5Ufi4i9</f>
        <v>Walling Municipality</v>
      </c>
    </row>
    <row r="461" spans="8:44">
      <c r="H461" t="str">
        <f>_nQy0IFnb0EG</f>
        <v>Galyang Municipality</v>
      </c>
      <c r="AR461" t="str">
        <f>_nQy0IFnb0EG</f>
        <v>Galyang Municipality</v>
      </c>
    </row>
    <row r="462" spans="8:44">
      <c r="H462" t="str">
        <f>_O9VI9OE4RsV</f>
        <v>Kaligandaki Rural Municipality</v>
      </c>
      <c r="AR462" t="str">
        <f>_O9VI9OE4RsV</f>
        <v>Kaligandaki Rural Municipality</v>
      </c>
    </row>
    <row r="463" spans="8:44">
      <c r="H463" t="str">
        <f>_kmtbyca4Tl2</f>
        <v>Modi Rural Municipality</v>
      </c>
      <c r="AR463" t="str">
        <f>_kmtbyca4Tl2</f>
        <v>Modi Rural Municipality</v>
      </c>
    </row>
    <row r="464" spans="8:44">
      <c r="H464" t="str">
        <f>_Z1qyXDIIeHG</f>
        <v>Jaljala Rural Municipality</v>
      </c>
      <c r="AR464" t="str">
        <f>_Z1qyXDIIeHG</f>
        <v>Jaljala Rural Municipality</v>
      </c>
    </row>
    <row r="465" spans="8:44">
      <c r="H465" t="str">
        <f>_WPuBt4UsuYO</f>
        <v>Kushma Municipality</v>
      </c>
      <c r="AR465" t="str">
        <f>_WPuBt4UsuYO</f>
        <v>Kushma Municipality</v>
      </c>
    </row>
    <row r="466" spans="8:44">
      <c r="H466" t="str">
        <f>_LB5MDCzfBmV</f>
        <v>Phalebas Municipality</v>
      </c>
      <c r="AR466" t="str">
        <f>_LB5MDCzfBmV</f>
        <v>Phalebas Municipality</v>
      </c>
    </row>
    <row r="467" spans="8:44">
      <c r="H467" t="str">
        <f>_p9rJWevVYZU</f>
        <v>Mahashila Rural Municipality</v>
      </c>
      <c r="AR467" t="str">
        <f>_p9rJWevVYZU</f>
        <v>Mahashila Rural Municipality</v>
      </c>
    </row>
    <row r="468" spans="8:44">
      <c r="H468" t="str">
        <f>_pp2NOUezHtT</f>
        <v>Bihadi Rural Municipality</v>
      </c>
      <c r="AR468" t="str">
        <f>_pp2NOUezHtT</f>
        <v>Bihadi Rural Municipality</v>
      </c>
    </row>
    <row r="469" spans="8:44">
      <c r="H469" t="str">
        <f>_v7TU2k1Juw5</f>
        <v>Paiyu Rural Municipality</v>
      </c>
      <c r="AR469" t="str">
        <f>_v7TU2k1Juw5</f>
        <v>Paiyu Rural Municipality</v>
      </c>
    </row>
    <row r="470" spans="8:44">
      <c r="H470" t="str">
        <f>_TnWT5Dh2Z9B</f>
        <v>Baglung Municipality</v>
      </c>
      <c r="AR470" t="str">
        <f>_TnWT5Dh2Z9B</f>
        <v>Baglung Municipality</v>
      </c>
    </row>
    <row r="471" spans="8:44">
      <c r="H471" t="str">
        <f>_MGvlb3c8MWN</f>
        <v>Kathekhola Rural Municipality</v>
      </c>
      <c r="AR471" t="str">
        <f>_MGvlb3c8MWN</f>
        <v>Kathekhola Rural Municipality</v>
      </c>
    </row>
    <row r="472" spans="8:44">
      <c r="H472" t="str">
        <f>_kzYuo3NBbjs</f>
        <v>Tarakhola Rural Municipality</v>
      </c>
      <c r="AR472" t="str">
        <f>_kzYuo3NBbjs</f>
        <v>Tarakhola Rural Municipality</v>
      </c>
    </row>
    <row r="473" spans="8:44">
      <c r="H473" t="str">
        <f>_KNSHJyEyATY</f>
        <v>Tamankhola Rural Municipality</v>
      </c>
      <c r="AR473" t="str">
        <f>_KNSHJyEyATY</f>
        <v>Tamankhola Rural Municipality</v>
      </c>
    </row>
    <row r="474" spans="8:44">
      <c r="H474" t="str">
        <f>_V4lazNyGZUd</f>
        <v>Dhorpatan Municipality</v>
      </c>
      <c r="AR474" t="str">
        <f>_V4lazNyGZUd</f>
        <v>Dhorpatan Municipality</v>
      </c>
    </row>
    <row r="475" spans="8:44">
      <c r="H475" t="str">
        <f>_DSecoD4xw0m</f>
        <v>Nisikhola Rural Municipality</v>
      </c>
      <c r="AR475" t="str">
        <f>_DSecoD4xw0m</f>
        <v>Nisikhola Rural Municipality</v>
      </c>
    </row>
    <row r="476" spans="8:44">
      <c r="H476" t="str">
        <f>_B9jF6b6jw0s</f>
        <v>Badigad Rural Municipality</v>
      </c>
      <c r="AR476" t="str">
        <f>_B9jF6b6jw0s</f>
        <v>Badigad Rural Municipality</v>
      </c>
    </row>
    <row r="477" spans="8:44">
      <c r="H477" t="str">
        <f>_KJQeBFcQooj</f>
        <v>Galkot Municipality</v>
      </c>
      <c r="AR477" t="str">
        <f>_KJQeBFcQooj</f>
        <v>Galkot Municipality</v>
      </c>
    </row>
    <row r="478" spans="8:44">
      <c r="H478" t="str">
        <f>_Cf4730FzUcC</f>
        <v>Bareng Rural Municipality</v>
      </c>
      <c r="AR478" t="str">
        <f>_Cf4730FzUcC</f>
        <v>Bareng Rural Municipality</v>
      </c>
    </row>
    <row r="479" spans="8:44">
      <c r="H479" t="str">
        <f>_FqHxO0QBl0q</f>
        <v>Jaimuni Municipality</v>
      </c>
      <c r="AR479" t="str">
        <f>_FqHxO0QBl0q</f>
        <v>Jaimuni Municipality</v>
      </c>
    </row>
    <row r="480" spans="8:44">
      <c r="H480" t="str">
        <f>_h8QsepUQCJW</f>
        <v>Putha Uttanganga Rural Municipality</v>
      </c>
      <c r="AR480" t="str">
        <f>_h8QsepUQCJW</f>
        <v>Putha Uttanganga Rural Municipality</v>
      </c>
    </row>
    <row r="481" spans="8:44">
      <c r="H481" t="str">
        <f>_X9Wuo3EUCgv</f>
        <v>Sisne Rural Municipality</v>
      </c>
      <c r="AR481" t="str">
        <f>_X9Wuo3EUCgv</f>
        <v>Sisne Rural Municipality</v>
      </c>
    </row>
    <row r="482" spans="8:44">
      <c r="H482" t="str">
        <f>_jZqzpNiBm2Z</f>
        <v>Bhoome Rural Municipality</v>
      </c>
      <c r="AR482" t="str">
        <f>_jZqzpNiBm2Z</f>
        <v>Bhoome Rural Municipality</v>
      </c>
    </row>
    <row r="483" spans="8:44">
      <c r="H483" t="str">
        <f>_WngWGRNje1l</f>
        <v>Sunchhahari Rural Municipality</v>
      </c>
      <c r="AR483" t="str">
        <f>_WngWGRNje1l</f>
        <v>Sunchhahari Rural Municipality</v>
      </c>
    </row>
    <row r="484" spans="8:44">
      <c r="H484" t="str">
        <f>_rXcq3Hxdf50</f>
        <v>Thawang Rural Municipality</v>
      </c>
      <c r="AR484" t="str">
        <f>_rXcq3Hxdf50</f>
        <v>Thawang Rural Municipality</v>
      </c>
    </row>
    <row r="485" spans="8:44">
      <c r="H485" t="str">
        <f>_ZYftGBmoTwm</f>
        <v>Duikholi Rural Municipality</v>
      </c>
      <c r="AR485" t="str">
        <f>_ZYftGBmoTwm</f>
        <v>Duikholi Rural Municipality</v>
      </c>
    </row>
    <row r="486" spans="8:44">
      <c r="H486" t="str">
        <f>_M8JH0tNliUn</f>
        <v>Sukidaha Rural Municipality</v>
      </c>
      <c r="AR486" t="str">
        <f>_M8JH0tNliUn</f>
        <v>Sukidaha Rural Municipality</v>
      </c>
    </row>
    <row r="487" spans="8:44">
      <c r="H487" t="str">
        <f>_TsSZYVcXH04</f>
        <v>Madi Rural Municipality</v>
      </c>
      <c r="AR487" t="str">
        <f>_TsSZYVcXH04</f>
        <v>Madi Rural Municipality</v>
      </c>
    </row>
    <row r="488" spans="8:44">
      <c r="H488" t="str">
        <f>_EYcPOPnxcid</f>
        <v>Tribeni Rural Municipality</v>
      </c>
      <c r="AR488" t="str">
        <f>_EYcPOPnxcid</f>
        <v>Tribeni Rural Municipality</v>
      </c>
    </row>
    <row r="489" spans="8:44">
      <c r="H489" t="str">
        <f>_PYxIbiD03XU</f>
        <v>Rolpa Municipality</v>
      </c>
      <c r="AR489" t="str">
        <f>_PYxIbiD03XU</f>
        <v>Rolpa Municipality</v>
      </c>
    </row>
    <row r="490" spans="8:44">
      <c r="H490" t="str">
        <f>_EpRvQ984Z73</f>
        <v>Runtigadhi Rural Municipality</v>
      </c>
      <c r="AR490" t="str">
        <f>_EpRvQ984Z73</f>
        <v>Runtigadhi Rural Municipality</v>
      </c>
    </row>
    <row r="491" spans="8:44">
      <c r="H491" t="str">
        <f>_m9T1fsGuOve</f>
        <v>Subarnabati Rural Municipality</v>
      </c>
      <c r="AR491" t="str">
        <f>_m9T1fsGuOve</f>
        <v>Subarnabati Rural Municipality</v>
      </c>
    </row>
    <row r="492" spans="8:44">
      <c r="H492" t="str">
        <f>_EydQRn8YGkO</f>
        <v>Lungri Rural Municipality</v>
      </c>
      <c r="AR492" t="str">
        <f>_EydQRn8YGkO</f>
        <v>Lungri Rural Municipality</v>
      </c>
    </row>
    <row r="493" spans="8:44">
      <c r="H493" t="str">
        <f>_okqwvh8wx9Y</f>
        <v>Gaumukhi Rural Municipality</v>
      </c>
      <c r="AR493" t="str">
        <f>_okqwvh8wx9Y</f>
        <v>Gaumukhi Rural Municipality</v>
      </c>
    </row>
    <row r="494" spans="8:44">
      <c r="H494" t="str">
        <f>_cgB3PsX45wj</f>
        <v>Naubahini Rural Municipality</v>
      </c>
      <c r="AR494" t="str">
        <f>_cgB3PsX45wj</f>
        <v>Naubahini Rural Municipality</v>
      </c>
    </row>
    <row r="495" spans="8:44">
      <c r="H495" t="str">
        <f>_miwy17SEi6Y</f>
        <v>Jhimaruk Rural Municipality</v>
      </c>
      <c r="AR495" t="str">
        <f>_miwy17SEi6Y</f>
        <v>Jhimaruk Rural Municipality</v>
      </c>
    </row>
    <row r="496" spans="8:44">
      <c r="H496" t="str">
        <f>_iqYeQ3jS0Tr</f>
        <v>Pyuthan Municipality</v>
      </c>
      <c r="AR496" t="str">
        <f>_iqYeQ3jS0Tr</f>
        <v>Pyuthan Municipality</v>
      </c>
    </row>
    <row r="497" spans="8:44">
      <c r="H497" t="str">
        <f>_ywdpy6F8XcF</f>
        <v>Sworgadwari Municipality</v>
      </c>
      <c r="AR497" t="str">
        <f>_ywdpy6F8XcF</f>
        <v>Sworgadwari Municipality</v>
      </c>
    </row>
    <row r="498" spans="8:44">
      <c r="H498" t="str">
        <f>_d1JI7XiR09V</f>
        <v>Mandavi Rural Municipality</v>
      </c>
      <c r="AR498" t="str">
        <f>_d1JI7XiR09V</f>
        <v>Mandavi Rural Municipality</v>
      </c>
    </row>
    <row r="499" spans="8:44">
      <c r="H499" t="str">
        <f>_YtJcy1Vyxwl</f>
        <v>Mallarani Rural Municipality</v>
      </c>
      <c r="AR499" t="str">
        <f>_YtJcy1Vyxwl</f>
        <v>Mallarani Rural Municipality</v>
      </c>
    </row>
    <row r="500" spans="8:44">
      <c r="H500" t="str">
        <f>_oTXlrEIIRIv</f>
        <v>Aairawati Rural Municipality</v>
      </c>
      <c r="AR500" t="str">
        <f>_oTXlrEIIRIv</f>
        <v>Aairawati Rural Municipality</v>
      </c>
    </row>
    <row r="501" spans="8:44">
      <c r="H501" t="str">
        <f>_kq1RNM2grTm</f>
        <v>Sarumarani Rural Municipality</v>
      </c>
      <c r="AR501" t="str">
        <f>_kq1RNM2grTm</f>
        <v>Sarumarani Rural Municipality</v>
      </c>
    </row>
    <row r="502" spans="8:44">
      <c r="H502" t="str">
        <f>_MpeJJ6lHva1</f>
        <v>Kali Gandaki Rural Municipality</v>
      </c>
      <c r="AR502" t="str">
        <f>_MpeJJ6lHva1</f>
        <v>Kali Gandaki Rural Municipality</v>
      </c>
    </row>
    <row r="503" spans="8:44">
      <c r="H503" t="str">
        <f>_qYMrilQSJE2</f>
        <v>Satyawoti Rural Municipality</v>
      </c>
      <c r="AR503" t="str">
        <f>_qYMrilQSJE2</f>
        <v>Satyawoti Rural Municipality</v>
      </c>
    </row>
    <row r="504" spans="8:44">
      <c r="H504" t="str">
        <f>_LY7qFxTf8Wq</f>
        <v>Chandrakot Rural Municipality</v>
      </c>
      <c r="AR504" t="str">
        <f>_LY7qFxTf8Wq</f>
        <v>Chandrakot Rural Municipality</v>
      </c>
    </row>
    <row r="505" spans="8:44">
      <c r="H505" t="str">
        <f>_bf0dMaiaf6p</f>
        <v>Musikot Municipality</v>
      </c>
      <c r="AR505" t="str">
        <f>_bf0dMaiaf6p</f>
        <v>Musikot Municipality</v>
      </c>
    </row>
    <row r="506" spans="8:44">
      <c r="H506" t="str">
        <f>_MmBdbelBhkW</f>
        <v>Isma Rural Municipality</v>
      </c>
      <c r="AR506" t="str">
        <f>_MmBdbelBhkW</f>
        <v>Isma Rural Municipality</v>
      </c>
    </row>
    <row r="507" spans="8:44">
      <c r="H507" t="str">
        <f>_dkunQANBrkN</f>
        <v>Malika Rural Municipality</v>
      </c>
      <c r="AR507" t="str">
        <f>_dkunQANBrkN</f>
        <v>Malika Rural Municipality</v>
      </c>
    </row>
    <row r="508" spans="8:44">
      <c r="H508" t="str">
        <f>_XdH4jVhBPBG</f>
        <v>Madane Rural Municipality</v>
      </c>
      <c r="AR508" t="str">
        <f>_XdH4jVhBPBG</f>
        <v>Madane Rural Municipality</v>
      </c>
    </row>
    <row r="509" spans="8:44">
      <c r="H509" t="str">
        <f>_X99nusX058Z</f>
        <v>Dhurkot Rural Municipality</v>
      </c>
      <c r="AR509" t="str">
        <f>_X99nusX058Z</f>
        <v>Dhurkot Rural Municipality</v>
      </c>
    </row>
    <row r="510" spans="8:44">
      <c r="H510" t="str">
        <f>_BnUgUaefXDw</f>
        <v>Resunga Municipality</v>
      </c>
      <c r="AR510" t="str">
        <f>_BnUgUaefXDw</f>
        <v>Resunga Municipality</v>
      </c>
    </row>
    <row r="511" spans="8:44">
      <c r="H511" t="str">
        <f>_QPc0xnd83d5</f>
        <v>Gulmi Durbar Gaunpaika</v>
      </c>
      <c r="AR511" t="str">
        <f>_QPc0xnd83d5</f>
        <v>Gulmi Durbar Gaunpaika</v>
      </c>
    </row>
    <row r="512" spans="8:44">
      <c r="H512" t="str">
        <f>_ck21XgpZ926</f>
        <v>Chhatrakot Rural Municipality</v>
      </c>
      <c r="AR512" t="str">
        <f>_ck21XgpZ926</f>
        <v>Chhatrakot Rural Municipality</v>
      </c>
    </row>
    <row r="513" spans="8:44">
      <c r="H513" t="str">
        <f>_BkO8zUrY7zo</f>
        <v>Ruru Rural Municipality</v>
      </c>
      <c r="AR513" t="str">
        <f>_BkO8zUrY7zo</f>
        <v>Ruru Rural Municipality</v>
      </c>
    </row>
    <row r="514" spans="8:44">
      <c r="H514" t="str">
        <f>_so90YjYRbCD</f>
        <v>Chhatradev Rural Municipality</v>
      </c>
      <c r="AR514" t="str">
        <f>_so90YjYRbCD</f>
        <v>Chhatradev Rural Municipality</v>
      </c>
    </row>
    <row r="515" spans="8:44">
      <c r="H515" t="str">
        <f>_avXwdss1sq1</f>
        <v>Malarani Rural Municipality</v>
      </c>
      <c r="AR515" t="str">
        <f>_avXwdss1sq1</f>
        <v>Malarani Rural Municipality</v>
      </c>
    </row>
    <row r="516" spans="8:44">
      <c r="H516" t="str">
        <f>_R9OGiMpW78L</f>
        <v>Bhumikasthan Municipality</v>
      </c>
      <c r="AR516" t="str">
        <f>_R9OGiMpW78L</f>
        <v>Bhumikasthan Municipality</v>
      </c>
    </row>
    <row r="517" spans="8:44">
      <c r="H517" t="str">
        <f>_db5OVYUzzsI</f>
        <v>Sandhikharka Municipality</v>
      </c>
      <c r="AR517" t="str">
        <f>_db5OVYUzzsI</f>
        <v>Sandhikharka Municipality</v>
      </c>
    </row>
    <row r="518" spans="8:44">
      <c r="H518" t="str">
        <f>_iA6rwQV0erY</f>
        <v>Panini Rural Municipality</v>
      </c>
      <c r="AR518" t="str">
        <f>_iA6rwQV0erY</f>
        <v>Panini Rural Municipality</v>
      </c>
    </row>
    <row r="519" spans="8:44">
      <c r="H519" t="str">
        <f>_SD1EVUSqhSY</f>
        <v>Shitaganga Municipality</v>
      </c>
      <c r="AR519" t="str">
        <f>_SD1EVUSqhSY</f>
        <v>Shitaganga Municipality</v>
      </c>
    </row>
    <row r="520" spans="8:44">
      <c r="H520" t="str">
        <f>_WoUmttPo3QC</f>
        <v>Rampur Municipality</v>
      </c>
      <c r="AR520" t="str">
        <f>_WoUmttPo3QC</f>
        <v>Rampur Municipality</v>
      </c>
    </row>
    <row r="521" spans="8:44">
      <c r="H521" t="str">
        <f>_JAQVMpsaHam</f>
        <v>Purbakhola Rural Municipality</v>
      </c>
      <c r="AR521" t="str">
        <f>_JAQVMpsaHam</f>
        <v>Purbakhola Rural Municipality</v>
      </c>
    </row>
    <row r="522" spans="8:44">
      <c r="H522" t="str">
        <f>_uJbfzwhU3dQ</f>
        <v>Rambha Rural Municipality</v>
      </c>
      <c r="AR522" t="str">
        <f>_uJbfzwhU3dQ</f>
        <v>Rambha Rural Municipality</v>
      </c>
    </row>
    <row r="523" spans="8:44">
      <c r="H523" t="str">
        <f>_LbgLGRhEtHR</f>
        <v>Baganaskali Rural Municipality</v>
      </c>
      <c r="AR523" t="str">
        <f>_LbgLGRhEtHR</f>
        <v>Baganaskali Rural Municipality</v>
      </c>
    </row>
    <row r="524" spans="8:44">
      <c r="H524" t="str">
        <f>_Oe0B6O1Wco9</f>
        <v>Tansen Municipality</v>
      </c>
      <c r="AR524" t="str">
        <f>_Oe0B6O1Wco9</f>
        <v>Tansen Municipality</v>
      </c>
    </row>
    <row r="525" spans="8:44">
      <c r="H525" t="str">
        <f>_qgJPh4DeLdb</f>
        <v>Ribdikot Rural Municipality</v>
      </c>
      <c r="AR525" t="str">
        <f>_qgJPh4DeLdb</f>
        <v>Ribdikot Rural Municipality</v>
      </c>
    </row>
    <row r="526" spans="8:44">
      <c r="H526" t="str">
        <f>_FYUnWvWnpTA</f>
        <v>Rainadevi Chhahara Rural Municipality</v>
      </c>
      <c r="AR526" t="str">
        <f>_FYUnWvWnpTA</f>
        <v>Rainadevi Chhahara Rural Municipality</v>
      </c>
    </row>
    <row r="527" spans="8:44">
      <c r="H527" t="str">
        <f>_FCW0EGpn8MS</f>
        <v>Tinau Rural Municipality</v>
      </c>
      <c r="AR527" t="str">
        <f>_FCW0EGpn8MS</f>
        <v>Tinau Rural Municipality</v>
      </c>
    </row>
    <row r="528" spans="8:44">
      <c r="H528" t="str">
        <f>_ok2lFN9tdZo</f>
        <v>Mathagadhi Rural Municipality</v>
      </c>
      <c r="AR528" t="str">
        <f>_ok2lFN9tdZo</f>
        <v>Mathagadhi Rural Municipality</v>
      </c>
    </row>
    <row r="529" spans="8:44">
      <c r="H529" t="str">
        <f>_hGG1MCB5cyk</f>
        <v>Nisdi Rural Municipality</v>
      </c>
      <c r="AR529" t="str">
        <f>_hGG1MCB5cyk</f>
        <v>Nisdi Rural Municipality</v>
      </c>
    </row>
    <row r="530" spans="8:44">
      <c r="H530" t="str">
        <f>_dkGjet6mkW7</f>
        <v>Bardaghat Municipality</v>
      </c>
      <c r="AR530" t="str">
        <f>_dkGjet6mkW7</f>
        <v>Bardaghat Municipality</v>
      </c>
    </row>
    <row r="531" spans="8:44">
      <c r="H531" t="str">
        <f>_dloKGDYvE6H</f>
        <v>Sunawal Municipality</v>
      </c>
      <c r="AR531" t="str">
        <f>_dloKGDYvE6H</f>
        <v>Sunawal Municipality</v>
      </c>
    </row>
    <row r="532" spans="8:44">
      <c r="H532" t="str">
        <f>_XOnUKnc4sIW</f>
        <v>Ramgram Municipality</v>
      </c>
      <c r="AR532" t="str">
        <f>_XOnUKnc4sIW</f>
        <v>Ramgram Municipality</v>
      </c>
    </row>
    <row r="533" spans="8:44">
      <c r="H533" t="str">
        <f>_Eb5YAiVnokC</f>
        <v>Palhinandan Rural Municipality</v>
      </c>
      <c r="AR533" t="str">
        <f>_Eb5YAiVnokC</f>
        <v>Palhinandan Rural Municipality</v>
      </c>
    </row>
    <row r="534" spans="8:44">
      <c r="H534" t="str">
        <f>_CB2Cw9PwiS8</f>
        <v>Sarawal Rural Municipality</v>
      </c>
      <c r="AR534" t="str">
        <f>_CB2Cw9PwiS8</f>
        <v>Sarawal Rural Municipality</v>
      </c>
    </row>
    <row r="535" spans="8:44">
      <c r="H535" t="str">
        <f>_Xs5hgp7OWcQ</f>
        <v>Pratapapur Rural Municipality</v>
      </c>
      <c r="AR535" t="str">
        <f>_Xs5hgp7OWcQ</f>
        <v>Pratapapur Rural Municipality</v>
      </c>
    </row>
    <row r="536" spans="8:44">
      <c r="H536" t="str">
        <f>_r0b2ycPRekw</f>
        <v>Susta Rural Municipality</v>
      </c>
      <c r="AR536" t="str">
        <f>_r0b2ycPRekw</f>
        <v>Susta Rural Municipality</v>
      </c>
    </row>
    <row r="537" spans="8:44">
      <c r="H537" t="str">
        <f>_hQZBYwJtQpm</f>
        <v>Devdaha Municipality</v>
      </c>
      <c r="AR537" t="str">
        <f>_hQZBYwJtQpm</f>
        <v>Devdaha Municipality</v>
      </c>
    </row>
    <row r="538" spans="8:44">
      <c r="H538" t="str">
        <f>_mRruOI3ew04</f>
        <v>Butwal Sub-Metropolitian City</v>
      </c>
      <c r="AR538" t="str">
        <f>_mRruOI3ew04</f>
        <v>Butwal Sub-Metropolitian City</v>
      </c>
    </row>
    <row r="539" spans="8:44">
      <c r="H539" t="str">
        <f>_ukLoKfne3aq</f>
        <v>Sainamaina Municipality</v>
      </c>
      <c r="AR539" t="str">
        <f>_ukLoKfne3aq</f>
        <v>Sainamaina Municipality</v>
      </c>
    </row>
    <row r="540" spans="8:44">
      <c r="H540" t="str">
        <f>_to1bx4osGME</f>
        <v>Kanchan Rural Municipality</v>
      </c>
      <c r="AR540" t="str">
        <f>_to1bx4osGME</f>
        <v>Kanchan Rural Municipality</v>
      </c>
    </row>
    <row r="541" spans="8:44">
      <c r="H541" t="str">
        <f>_RhSXdp3Ru53</f>
        <v>Gaidahawa Rural Municipality</v>
      </c>
      <c r="AR541" t="str">
        <f>_RhSXdp3Ru53</f>
        <v>Gaidahawa Rural Municipality</v>
      </c>
    </row>
    <row r="542" spans="8:44">
      <c r="H542" t="str">
        <f>_ndbGVpmE75X</f>
        <v>Suddhodhan Rural Municipality</v>
      </c>
      <c r="AR542" t="str">
        <f>_ndbGVpmE75X</f>
        <v>Suddhodhan Rural Municipality</v>
      </c>
    </row>
    <row r="543" spans="8:44">
      <c r="H543" t="str">
        <f>_Wgh3WobxO4M</f>
        <v>Siyari Rural Municipality</v>
      </c>
      <c r="AR543" t="str">
        <f>_Wgh3WobxO4M</f>
        <v>Siyari Rural Municipality</v>
      </c>
    </row>
    <row r="544" spans="8:44">
      <c r="H544" t="str">
        <f>_YacwsaeiSAm</f>
        <v>Tilottama Municipality</v>
      </c>
      <c r="AR544" t="str">
        <f>_YacwsaeiSAm</f>
        <v>Tilottama Municipality</v>
      </c>
    </row>
    <row r="545" spans="8:44">
      <c r="H545" t="str">
        <f>_wyOcGXvKAEI</f>
        <v>Om Satiya Rural Municipality</v>
      </c>
      <c r="AR545" t="str">
        <f>_wyOcGXvKAEI</f>
        <v>Om Satiya Rural Municipality</v>
      </c>
    </row>
    <row r="546" spans="8:44">
      <c r="H546" t="str">
        <f>_NiYy8i8gfOV</f>
        <v>Rohini Rural Municipality</v>
      </c>
      <c r="AR546" t="str">
        <f>_NiYy8i8gfOV</f>
        <v>Rohini Rural Municipality</v>
      </c>
    </row>
    <row r="547" spans="8:44">
      <c r="H547" t="str">
        <f>_frXu3yUrvQB</f>
        <v>Siddharthanagar Municipality</v>
      </c>
      <c r="AR547" t="str">
        <f>_frXu3yUrvQB</f>
        <v>Siddharthanagar Municipality</v>
      </c>
    </row>
    <row r="548" spans="8:44">
      <c r="H548" t="str">
        <f>_iDufSVpdcup</f>
        <v>Mayadevi Rural Municipality</v>
      </c>
      <c r="AR548" t="str">
        <f>_iDufSVpdcup</f>
        <v>Mayadevi Rural Municipality</v>
      </c>
    </row>
    <row r="549" spans="8:44">
      <c r="H549" t="str">
        <f>_VmPdhojuWYi</f>
        <v>Lumbini Sanskritik Municipality</v>
      </c>
      <c r="AR549" t="str">
        <f>_VmPdhojuWYi</f>
        <v>Lumbini Sanskritik Municipality</v>
      </c>
    </row>
    <row r="550" spans="8:44">
      <c r="H550" t="str">
        <f>_x5xhjJdhedC</f>
        <v>Kotahimai Rural Municipality</v>
      </c>
      <c r="AR550" t="str">
        <f>_x5xhjJdhedC</f>
        <v>Kotahimai Rural Municipality</v>
      </c>
    </row>
    <row r="551" spans="8:44">
      <c r="H551" t="str">
        <f>_x9WUc81aPHb</f>
        <v>Sammarimai Rural Municipality</v>
      </c>
      <c r="AR551" t="str">
        <f>_x9WUc81aPHb</f>
        <v>Sammarimai Rural Municipality</v>
      </c>
    </row>
    <row r="552" spans="8:44">
      <c r="H552" t="str">
        <f>_dG3r3AtNHXy</f>
        <v>Marchawari Rural Municipality</v>
      </c>
      <c r="AR552" t="str">
        <f>_dG3r3AtNHXy</f>
        <v>Marchawari Rural Municipality</v>
      </c>
    </row>
    <row r="553" spans="8:44">
      <c r="H553" t="str">
        <f>_fquVjueeNl5</f>
        <v>Banganga Municipality</v>
      </c>
      <c r="AR553" t="str">
        <f>_fquVjueeNl5</f>
        <v>Banganga Municipality</v>
      </c>
    </row>
    <row r="554" spans="8:44">
      <c r="H554" t="str">
        <f>_MiVsFH1Ybr6</f>
        <v>Buddhabhumi Municipality</v>
      </c>
      <c r="AR554" t="str">
        <f>_MiVsFH1Ybr6</f>
        <v>Buddhabhumi Municipality</v>
      </c>
    </row>
    <row r="555" spans="8:44">
      <c r="H555" t="str">
        <f>_dUlY9hncbEw</f>
        <v>Shivaraj Municipality</v>
      </c>
      <c r="AR555" t="str">
        <f>_dUlY9hncbEw</f>
        <v>Shivaraj Municipality</v>
      </c>
    </row>
    <row r="556" spans="8:44">
      <c r="H556" t="str">
        <f>_rt9bW0uaYzL</f>
        <v>Bijayanagar Rural Municipality</v>
      </c>
      <c r="AR556" t="str">
        <f>_rt9bW0uaYzL</f>
        <v>Bijayanagar Rural Municipality</v>
      </c>
    </row>
    <row r="557" spans="8:44">
      <c r="H557" t="str">
        <f>_SHsxZPz3WKl</f>
        <v>Krishnanagar Municipality</v>
      </c>
      <c r="AR557" t="str">
        <f>_SHsxZPz3WKl</f>
        <v>Krishnanagar Municipality</v>
      </c>
    </row>
    <row r="558" spans="8:44">
      <c r="H558" t="str">
        <f>_HYkpSAefKJ9</f>
        <v>Maharajganj Municipality</v>
      </c>
      <c r="AR558" t="str">
        <f>_HYkpSAefKJ9</f>
        <v>Maharajganj Municipality</v>
      </c>
    </row>
    <row r="559" spans="8:44">
      <c r="H559" t="str">
        <f>_JVgrCoX1Yoa</f>
        <v>Kapilbastu Municipality</v>
      </c>
      <c r="AR559" t="str">
        <f>_JVgrCoX1Yoa</f>
        <v>Kapilbastu Municipality</v>
      </c>
    </row>
    <row r="560" spans="8:44">
      <c r="H560" t="str">
        <f>_RXMvFb38JIP</f>
        <v>Yasodhara Rural Municipality</v>
      </c>
      <c r="AR560" t="str">
        <f>_RXMvFb38JIP</f>
        <v>Yasodhara Rural Municipality</v>
      </c>
    </row>
    <row r="561" spans="8:44">
      <c r="H561" t="str">
        <f>_lRklf2GHTCX</f>
        <v>Mayadevi Rural Municipality</v>
      </c>
      <c r="AR561" t="str">
        <f>_lRklf2GHTCX</f>
        <v>Mayadevi Rural Municipality</v>
      </c>
    </row>
    <row r="562" spans="8:44">
      <c r="H562" t="str">
        <f>_PX5BLkbeV5g</f>
        <v>Shuddhodhan Rural Municipality</v>
      </c>
      <c r="AR562" t="str">
        <f>_PX5BLkbeV5g</f>
        <v>Shuddhodhan Rural Municipality</v>
      </c>
    </row>
    <row r="563" spans="8:44">
      <c r="H563" t="str">
        <f>_PMoO1AmUDXY</f>
        <v>Bangalachuli Rural Municipality</v>
      </c>
      <c r="AR563" t="str">
        <f>_PMoO1AmUDXY</f>
        <v>Bangalachuli Rural Municipality</v>
      </c>
    </row>
    <row r="564" spans="8:44">
      <c r="H564" t="str">
        <f>_K9kICd3j65T</f>
        <v>Ghorahi Sub-Metropolitian City</v>
      </c>
      <c r="AR564" t="str">
        <f>_K9kICd3j65T</f>
        <v>Ghorahi Sub-Metropolitian City</v>
      </c>
    </row>
    <row r="565" spans="8:44">
      <c r="H565" t="str">
        <f>_CIPT3L1e27c</f>
        <v>Tulsipur Sub-Metropolitian City</v>
      </c>
      <c r="AR565" t="str">
        <f>_CIPT3L1e27c</f>
        <v>Tulsipur Sub-Metropolitian City</v>
      </c>
    </row>
    <row r="566" spans="8:44">
      <c r="H566" t="str">
        <f>_CLyOZPVChsj</f>
        <v>Shantinagar Rural Municipality</v>
      </c>
      <c r="AR566" t="str">
        <f>_CLyOZPVChsj</f>
        <v>Shantinagar Rural Municipality</v>
      </c>
    </row>
    <row r="567" spans="8:44">
      <c r="H567" t="str">
        <f>_HzjAGvMZw99</f>
        <v>Babai Rural Municipality</v>
      </c>
      <c r="AR567" t="str">
        <f>_HzjAGvMZw99</f>
        <v>Babai Rural Municipality</v>
      </c>
    </row>
    <row r="568" spans="8:44">
      <c r="H568" t="str">
        <f>_JaPlp3tfudO</f>
        <v>Dangisharan Rural Municipality</v>
      </c>
      <c r="AR568" t="str">
        <f>_JaPlp3tfudO</f>
        <v>Dangisharan Rural Municipality</v>
      </c>
    </row>
    <row r="569" spans="8:44">
      <c r="H569" t="str">
        <f>_BoyKZH0P4r3</f>
        <v>Lamahi Municipality</v>
      </c>
      <c r="AR569" t="str">
        <f>_BoyKZH0P4r3</f>
        <v>Lamahi Municipality</v>
      </c>
    </row>
    <row r="570" spans="8:44">
      <c r="H570" t="str">
        <f>_xPhRdhYjy5Q</f>
        <v>Rapti Rural Municipality</v>
      </c>
      <c r="AR570" t="str">
        <f>_xPhRdhYjy5Q</f>
        <v>Rapti Rural Municipality</v>
      </c>
    </row>
    <row r="571" spans="8:44">
      <c r="H571" t="str">
        <f>_W3g8r8kQJbS</f>
        <v>Gadhawa Rural Municipality</v>
      </c>
      <c r="AR571" t="str">
        <f>_W3g8r8kQJbS</f>
        <v>Gadhawa Rural Municipality</v>
      </c>
    </row>
    <row r="572" spans="8:44">
      <c r="H572" t="str">
        <f>_Dvldkcaz03T</f>
        <v>Rajpur Rural Municipality</v>
      </c>
      <c r="AR572" t="str">
        <f>_Dvldkcaz03T</f>
        <v>Rajpur Rural Municipality</v>
      </c>
    </row>
    <row r="573" spans="8:44">
      <c r="H573" t="str">
        <f>_oNGfKaLNt5T</f>
        <v>Rapti Sonari Rural Municipality</v>
      </c>
      <c r="AR573" t="str">
        <f>_oNGfKaLNt5T</f>
        <v>Rapti Sonari Rural Municipality</v>
      </c>
    </row>
    <row r="574" spans="8:44">
      <c r="H574" t="str">
        <f>_szI6jC2ULNt</f>
        <v>Kohalpur Municipality</v>
      </c>
      <c r="AR574" t="str">
        <f>_szI6jC2ULNt</f>
        <v>Kohalpur Municipality</v>
      </c>
    </row>
    <row r="575" spans="8:44">
      <c r="H575" t="str">
        <f>_KL9NoMU9deG</f>
        <v>Baijanath Rural Municipality</v>
      </c>
      <c r="AR575" t="str">
        <f>_KL9NoMU9deG</f>
        <v>Baijanath Rural Municipality</v>
      </c>
    </row>
    <row r="576" spans="8:44">
      <c r="H576" t="str">
        <f>_CPSY9ea64GO</f>
        <v>Khajura Rural Municipality</v>
      </c>
      <c r="AR576" t="str">
        <f>_CPSY9ea64GO</f>
        <v>Khajura Rural Municipality</v>
      </c>
    </row>
    <row r="577" spans="8:44">
      <c r="H577" t="str">
        <f>_KW05TFYC9bg</f>
        <v>Janaki Rural Municipality</v>
      </c>
      <c r="AR577" t="str">
        <f>_KW05TFYC9bg</f>
        <v>Janaki Rural Municipality</v>
      </c>
    </row>
    <row r="578" spans="8:44">
      <c r="H578" t="str">
        <f>_VWTiKhtf1uT</f>
        <v>Nepalganj Sub-Metropolitian City</v>
      </c>
      <c r="AR578" t="str">
        <f>_VWTiKhtf1uT</f>
        <v>Nepalganj Sub-Metropolitian City</v>
      </c>
    </row>
    <row r="579" spans="8:44">
      <c r="H579" t="str">
        <f>_yOwkSWC5PQP</f>
        <v>Duduwa Rural Municipality</v>
      </c>
      <c r="AR579" t="str">
        <f>_yOwkSWC5PQP</f>
        <v>Duduwa Rural Municipality</v>
      </c>
    </row>
    <row r="580" spans="8:44">
      <c r="H580" t="str">
        <f>_Vj0uc6QZiPV</f>
        <v>Narainapur Rural Municipality</v>
      </c>
      <c r="AR580" t="str">
        <f>_Vj0uc6QZiPV</f>
        <v>Narainapur Rural Municipality</v>
      </c>
    </row>
    <row r="581" spans="8:44">
      <c r="H581" t="str">
        <f>_fx2flt4WIyk</f>
        <v>Bansgadhi Municipality</v>
      </c>
      <c r="AR581" t="str">
        <f>_fx2flt4WIyk</f>
        <v>Bansgadhi Municipality</v>
      </c>
    </row>
    <row r="582" spans="8:44">
      <c r="H582" t="str">
        <f>_iZwjnQ8hI51</f>
        <v>Barbardiya Municipality</v>
      </c>
      <c r="AR582" t="str">
        <f>_iZwjnQ8hI51</f>
        <v>Barbardiya Municipality</v>
      </c>
    </row>
    <row r="583" spans="8:44">
      <c r="H583" t="str">
        <f>_E101W9XoGSg</f>
        <v>Thakurbaba Municipality</v>
      </c>
      <c r="AR583" t="str">
        <f>_E101W9XoGSg</f>
        <v>Thakurbaba Municipality</v>
      </c>
    </row>
    <row r="584" spans="8:44">
      <c r="H584" t="str">
        <f>_n0Hc8762Mak</f>
        <v>Geruwa Rural Municipality</v>
      </c>
      <c r="AR584" t="str">
        <f>_n0Hc8762Mak</f>
        <v>Geruwa Rural Municipality</v>
      </c>
    </row>
    <row r="585" spans="8:44">
      <c r="H585" t="str">
        <f>_Ye7UKJQNlyq</f>
        <v>Rajapur Municipality</v>
      </c>
      <c r="AR585" t="str">
        <f>_Ye7UKJQNlyq</f>
        <v>Rajapur Municipality</v>
      </c>
    </row>
    <row r="586" spans="8:44">
      <c r="H586" t="str">
        <f>_A9FRZGN0CZR</f>
        <v>Madhuwan Municipality</v>
      </c>
      <c r="AR586" t="str">
        <f>_A9FRZGN0CZR</f>
        <v>Madhuwan Municipality</v>
      </c>
    </row>
    <row r="587" spans="8:44">
      <c r="H587" t="str">
        <f>_OZoQaGB4hyA</f>
        <v>Gulariya Municipality</v>
      </c>
      <c r="AR587" t="str">
        <f>_OZoQaGB4hyA</f>
        <v>Gulariya Municipality</v>
      </c>
    </row>
    <row r="588" spans="8:44">
      <c r="H588" t="str">
        <f>_PXtUMGNc3lw</f>
        <v>Badhaiyatal Rural Municipality</v>
      </c>
      <c r="AR588" t="str">
        <f>_PXtUMGNc3lw</f>
        <v>Badhaiyatal Rural Municipality</v>
      </c>
    </row>
    <row r="589" spans="8:44">
      <c r="H589" t="str">
        <f>_DMSdapbiSXY</f>
        <v>Dolpo Buddha Rural Municipality</v>
      </c>
      <c r="AR589" t="str">
        <f>_DMSdapbiSXY</f>
        <v>Dolpo Buddha Rural Municipality</v>
      </c>
    </row>
    <row r="590" spans="8:44">
      <c r="H590" t="str">
        <f>_J6uBwlIEjNo</f>
        <v>Shey Phoksundo Rural Municipality</v>
      </c>
      <c r="AR590" t="str">
        <f>_J6uBwlIEjNo</f>
        <v>Shey Phoksundo Rural Municipality</v>
      </c>
    </row>
    <row r="591" spans="8:44">
      <c r="H591" t="str">
        <f>_eC2yVbLAfEN</f>
        <v>Jagadulla Rural Municipality</v>
      </c>
      <c r="AR591" t="str">
        <f>_eC2yVbLAfEN</f>
        <v>Jagadulla Rural Municipality</v>
      </c>
    </row>
    <row r="592" spans="8:44">
      <c r="H592" t="str">
        <f>_zKgno3TnMe5</f>
        <v>Mudkechula Rural Municipality</v>
      </c>
      <c r="AR592" t="str">
        <f>_zKgno3TnMe5</f>
        <v>Mudkechula Rural Municipality</v>
      </c>
    </row>
    <row r="593" spans="8:44">
      <c r="H593" t="str">
        <f>_JOSf7PtWj97</f>
        <v>Tripurasundari Municipality</v>
      </c>
      <c r="AR593" t="str">
        <f>_JOSf7PtWj97</f>
        <v>Tripurasundari Municipality</v>
      </c>
    </row>
    <row r="594" spans="8:44">
      <c r="H594" t="str">
        <f>_xEKlVBaXIzZ</f>
        <v>Thulibheri Municipality</v>
      </c>
      <c r="AR594" t="str">
        <f>_xEKlVBaXIzZ</f>
        <v>Thulibheri Municipality</v>
      </c>
    </row>
    <row r="595" spans="8:44">
      <c r="H595" t="str">
        <f>_lIUF1YUOnu5</f>
        <v>Kaike Rural Municipality</v>
      </c>
      <c r="AR595" t="str">
        <f>_lIUF1YUOnu5</f>
        <v>Kaike Rural Municipality</v>
      </c>
    </row>
    <row r="596" spans="8:44">
      <c r="H596" t="str">
        <f>_e3SdLuFphrm</f>
        <v>Chharka Tangsong Rural Municipality</v>
      </c>
      <c r="AR596" t="str">
        <f>_e3SdLuFphrm</f>
        <v>Chharka Tangsong Rural Municipality</v>
      </c>
    </row>
    <row r="597" spans="8:44">
      <c r="H597" t="str">
        <f>_lmZuPFTCo1a</f>
        <v>Mugumakarmarog Rural Municipality</v>
      </c>
      <c r="AR597" t="str">
        <f>_lmZuPFTCo1a</f>
        <v>Mugumakarmarog Rural Municipality</v>
      </c>
    </row>
    <row r="598" spans="8:44">
      <c r="H598" t="str">
        <f>_stOjGx8Z1EJ</f>
        <v>Chhayanath Rara Municipality</v>
      </c>
      <c r="AR598" t="str">
        <f>_stOjGx8Z1EJ</f>
        <v>Chhayanath Rara Municipality</v>
      </c>
    </row>
    <row r="599" spans="8:44">
      <c r="H599" t="str">
        <f>_HWIdY0X1JAa</f>
        <v>Soru Rural Municipality</v>
      </c>
      <c r="AR599" t="str">
        <f>_HWIdY0X1JAa</f>
        <v>Soru Rural Municipality</v>
      </c>
    </row>
    <row r="600" spans="8:44">
      <c r="H600" t="str">
        <f>_QcWC9XpLIOY</f>
        <v>Khatyad Rural Municipality</v>
      </c>
      <c r="AR600" t="str">
        <f>_QcWC9XpLIOY</f>
        <v>Khatyad Rural Municipality</v>
      </c>
    </row>
    <row r="601" spans="8:44">
      <c r="H601" t="str">
        <f>_YvX0kSq1jp6</f>
        <v>Chankheli Rural Municipality</v>
      </c>
      <c r="AR601" t="str">
        <f>_YvX0kSq1jp6</f>
        <v>Chankheli Rural Municipality</v>
      </c>
    </row>
    <row r="602" spans="8:44">
      <c r="H602" t="str">
        <f>_erJluauj4CB</f>
        <v>Kharpunath Rural Municipality</v>
      </c>
      <c r="AR602" t="str">
        <f>_erJluauj4CB</f>
        <v>Kharpunath Rural Municipality</v>
      </c>
    </row>
    <row r="603" spans="8:44">
      <c r="H603" t="str">
        <f>_q4glehMMEwq</f>
        <v>Simkot Rural Municipality</v>
      </c>
      <c r="AR603" t="str">
        <f>_q4glehMMEwq</f>
        <v>Simkot Rural Municipality</v>
      </c>
    </row>
    <row r="604" spans="8:44">
      <c r="H604" t="str">
        <f>_tyW71ghUE0H</f>
        <v>Namkha Rural Municipality</v>
      </c>
      <c r="AR604" t="str">
        <f>_tyW71ghUE0H</f>
        <v>Namkha Rural Municipality</v>
      </c>
    </row>
    <row r="605" spans="8:44">
      <c r="H605" t="str">
        <f>_kDsFOvBPH7B</f>
        <v>Sarkegad Rural Municipality</v>
      </c>
      <c r="AR605" t="str">
        <f>_kDsFOvBPH7B</f>
        <v>Sarkegad Rural Municipality</v>
      </c>
    </row>
    <row r="606" spans="8:44">
      <c r="H606" t="str">
        <f>_KPuqtsRrK8P</f>
        <v>Adanchuli Rural Municipality</v>
      </c>
      <c r="AR606" t="str">
        <f>_KPuqtsRrK8P</f>
        <v>Adanchuli Rural Municipality</v>
      </c>
    </row>
    <row r="607" spans="8:44">
      <c r="H607" t="str">
        <f>_V5romBqHPya</f>
        <v>Tanjakot Rural Municipality</v>
      </c>
      <c r="AR607" t="str">
        <f>_V5romBqHPya</f>
        <v>Tanjakot Rural Municipality</v>
      </c>
    </row>
    <row r="608" spans="8:44">
      <c r="H608" t="str">
        <f>_TgohsMmBY4H</f>
        <v>Patarasi Rural Municipality</v>
      </c>
      <c r="AR608" t="str">
        <f>_TgohsMmBY4H</f>
        <v>Patarasi Rural Municipality</v>
      </c>
    </row>
    <row r="609" spans="8:44">
      <c r="H609" t="str">
        <f>_TC5m6cHaOdC</f>
        <v>Kanaka Sundari Gaun Palika</v>
      </c>
      <c r="AR609" t="str">
        <f>_TC5m6cHaOdC</f>
        <v>Kanaka Sundari Gaun Palika</v>
      </c>
    </row>
    <row r="610" spans="8:44">
      <c r="H610" t="str">
        <f>_pvj9yEbtAni</f>
        <v>Sinja Rural Municipality</v>
      </c>
      <c r="AR610" t="str">
        <f>_pvj9yEbtAni</f>
        <v>Sinja Rural Municipality</v>
      </c>
    </row>
    <row r="611" spans="8:44">
      <c r="H611" t="str">
        <f>_EfCudBVM9kt</f>
        <v>Chandannath Municipality</v>
      </c>
      <c r="AR611" t="str">
        <f>_EfCudBVM9kt</f>
        <v>Chandannath Municipality</v>
      </c>
    </row>
    <row r="612" spans="8:44">
      <c r="H612" t="str">
        <f>_rgQt2gGz81U</f>
        <v>Guthichaur Rural Municipality</v>
      </c>
      <c r="AR612" t="str">
        <f>_rgQt2gGz81U</f>
        <v>Guthichaur Rural Municipality</v>
      </c>
    </row>
    <row r="613" spans="8:44">
      <c r="H613" t="str">
        <f>_IrQNnW9V2ae</f>
        <v>Tatopani Rural Municipality</v>
      </c>
      <c r="AR613" t="str">
        <f>_IrQNnW9V2ae</f>
        <v>Tatopani Rural Municipality</v>
      </c>
    </row>
    <row r="614" spans="8:44">
      <c r="H614" t="str">
        <f>_V1EdOaqfJuF</f>
        <v>Tila Rural Municipality</v>
      </c>
      <c r="AR614" t="str">
        <f>_V1EdOaqfJuF</f>
        <v>Tila Rural Municipality</v>
      </c>
    </row>
    <row r="615" spans="8:44">
      <c r="H615" t="str">
        <f>_yxvjVYAp1Rk</f>
        <v>Hima Rural Municipality</v>
      </c>
      <c r="AR615" t="str">
        <f>_yxvjVYAp1Rk</f>
        <v>Hima Rural Municipality</v>
      </c>
    </row>
    <row r="616" spans="8:44">
      <c r="H616" t="str">
        <f>_LupwSzyyrsF</f>
        <v>Palata Rural Municipality</v>
      </c>
      <c r="AR616" t="str">
        <f>_LupwSzyyrsF</f>
        <v>Palata Rural Municipality</v>
      </c>
    </row>
    <row r="617" spans="8:44">
      <c r="H617" t="str">
        <f>_EIhCJitb9i6</f>
        <v>Pachal Jharana Rural Municipality</v>
      </c>
      <c r="AR617" t="str">
        <f>_EIhCJitb9i6</f>
        <v>Pachal Jharana Rural Municipality</v>
      </c>
    </row>
    <row r="618" spans="8:44">
      <c r="H618" t="str">
        <f>_lq8BuHRczVr</f>
        <v>Raskot Municipality</v>
      </c>
      <c r="AR618" t="str">
        <f>_lq8BuHRczVr</f>
        <v>Raskot Municipality</v>
      </c>
    </row>
    <row r="619" spans="8:44">
      <c r="H619" t="str">
        <f>_jOj2iuJhwSF</f>
        <v>Sanni Tribeni Rural Municipality</v>
      </c>
      <c r="AR619" t="str">
        <f>_jOj2iuJhwSF</f>
        <v>Sanni Tribeni Rural Municipality</v>
      </c>
    </row>
    <row r="620" spans="8:44">
      <c r="H620" t="str">
        <f>_XSTwLHXrfi9</f>
        <v>Naraharinath Rural Municipality</v>
      </c>
      <c r="AR620" t="str">
        <f>_XSTwLHXrfi9</f>
        <v>Naraharinath Rural Municipality</v>
      </c>
    </row>
    <row r="621" spans="8:44">
      <c r="H621" t="str">
        <f>_lwhVM3SRqjq</f>
        <v>Khandachakra Municipality</v>
      </c>
      <c r="AR621" t="str">
        <f>_lwhVM3SRqjq</f>
        <v>Khandachakra Municipality</v>
      </c>
    </row>
    <row r="622" spans="8:44">
      <c r="H622" t="str">
        <f>_N0UJ0RreV2N</f>
        <v>Tilagupha Municipality</v>
      </c>
      <c r="AR622" t="str">
        <f>_N0UJ0RreV2N</f>
        <v>Tilagupha Municipality</v>
      </c>
    </row>
    <row r="623" spans="8:44">
      <c r="H623" t="str">
        <f>_vxBgJqbGmtI</f>
        <v>Mahawai Rural Municipality</v>
      </c>
      <c r="AR623" t="str">
        <f>_vxBgJqbGmtI</f>
        <v>Mahawai Rural Municipality</v>
      </c>
    </row>
    <row r="624" spans="8:44">
      <c r="H624" t="str">
        <f>_bNDaGC81g9j</f>
        <v>Kalika Rural Municipality</v>
      </c>
      <c r="AR624" t="str">
        <f>_bNDaGC81g9j</f>
        <v>Kalika Rural Municipality</v>
      </c>
    </row>
    <row r="625" spans="8:44">
      <c r="H625" t="str">
        <f>_CQXGrPzbdD8</f>
        <v>Naumule Rural Municipality</v>
      </c>
      <c r="AR625" t="str">
        <f>_CQXGrPzbdD8</f>
        <v>Naumule Rural Municipality</v>
      </c>
    </row>
    <row r="626" spans="8:44">
      <c r="H626" t="str">
        <f>_bYWkWoB2JcS</f>
        <v>Mahabu Rural Municipality</v>
      </c>
      <c r="AR626" t="str">
        <f>_bYWkWoB2JcS</f>
        <v>Mahabu Rural Municipality</v>
      </c>
    </row>
    <row r="627" spans="8:44">
      <c r="H627" t="str">
        <f>_XILs9pgvQdy</f>
        <v>Bhairabi Rural Municipality</v>
      </c>
      <c r="AR627" t="str">
        <f>_XILs9pgvQdy</f>
        <v>Bhairabi Rural Municipality</v>
      </c>
    </row>
    <row r="628" spans="8:44">
      <c r="H628" t="str">
        <f>_NzBTd4FU15D</f>
        <v>Thantikandh Rural Municipality</v>
      </c>
      <c r="AR628" t="str">
        <f>_NzBTd4FU15D</f>
        <v>Thantikandh Rural Municipality</v>
      </c>
    </row>
    <row r="629" spans="8:44">
      <c r="H629" t="str">
        <f>_SlTaGnAKIky</f>
        <v>Aathbis Municipality</v>
      </c>
      <c r="AR629" t="str">
        <f>_SlTaGnAKIky</f>
        <v>Aathbis Municipality</v>
      </c>
    </row>
    <row r="630" spans="8:44">
      <c r="H630" t="str">
        <f>_ejnO06mvSGE</f>
        <v>Chamunda Bindrasaini Municipality</v>
      </c>
      <c r="AR630" t="str">
        <f>_ejnO06mvSGE</f>
        <v>Chamunda Bindrasaini Municipality</v>
      </c>
    </row>
    <row r="631" spans="8:44">
      <c r="H631" t="str">
        <f>_FQPltxBSpAw</f>
        <v>Dullu Municipality</v>
      </c>
      <c r="AR631" t="str">
        <f>_FQPltxBSpAw</f>
        <v>Dullu Municipality</v>
      </c>
    </row>
    <row r="632" spans="8:44">
      <c r="H632" t="str">
        <f>_Bd31B4WEpjb</f>
        <v>Narayan Municipality</v>
      </c>
      <c r="AR632" t="str">
        <f>_Bd31B4WEpjb</f>
        <v>Narayan Municipality</v>
      </c>
    </row>
    <row r="633" spans="8:44">
      <c r="H633" t="str">
        <f>_cTwddHDIkjo</f>
        <v>Bhagawatimai Rural Municipality</v>
      </c>
      <c r="AR633" t="str">
        <f>_cTwddHDIkjo</f>
        <v>Bhagawatimai Rural Municipality</v>
      </c>
    </row>
    <row r="634" spans="8:44">
      <c r="H634" t="str">
        <f>_frWsH2twBFr</f>
        <v>Dungeshwor Rural Municipality</v>
      </c>
      <c r="AR634" t="str">
        <f>_frWsH2twBFr</f>
        <v>Dungeshwor Rural Municipality</v>
      </c>
    </row>
    <row r="635" spans="8:44">
      <c r="H635" t="str">
        <f>_EyZAxT3ygnK</f>
        <v>Gurans Rural Municipality</v>
      </c>
      <c r="AR635" t="str">
        <f>_EyZAxT3ygnK</f>
        <v>Gurans Rural Municipality</v>
      </c>
    </row>
    <row r="636" spans="8:44">
      <c r="H636" t="str">
        <f>_bCCD5qLqeGp</f>
        <v>Barekot Rural Municipality</v>
      </c>
      <c r="AR636" t="str">
        <f>_bCCD5qLqeGp</f>
        <v>Barekot Rural Municipality</v>
      </c>
    </row>
    <row r="637" spans="8:44">
      <c r="H637" t="str">
        <f>_Nsxl4tlTQzu</f>
        <v>Kuse Rural Municipality</v>
      </c>
      <c r="AR637" t="str">
        <f>_Nsxl4tlTQzu</f>
        <v>Kuse Rural Municipality</v>
      </c>
    </row>
    <row r="638" spans="8:44">
      <c r="H638" t="str">
        <f>_D5hljfQxMJg</f>
        <v>Junichande Rural Municipality</v>
      </c>
      <c r="AR638" t="str">
        <f>_D5hljfQxMJg</f>
        <v>Junichande Rural Municipality</v>
      </c>
    </row>
    <row r="639" spans="8:44">
      <c r="H639" t="str">
        <f>_Hgqypbog7vf</f>
        <v>Chhedagad Municipality</v>
      </c>
      <c r="AR639" t="str">
        <f>_Hgqypbog7vf</f>
        <v>Chhedagad Municipality</v>
      </c>
    </row>
    <row r="640" spans="8:44">
      <c r="H640" t="str">
        <f>_EAdcnn8OPfm</f>
        <v>Shivalaya Rural Municipality</v>
      </c>
      <c r="AR640" t="str">
        <f>_EAdcnn8OPfm</f>
        <v>Shivalaya Rural Municipality</v>
      </c>
    </row>
    <row r="641" spans="8:44">
      <c r="H641" t="str">
        <f>_DMTUQoDPL0X</f>
        <v>Bheri Malika Municipality</v>
      </c>
      <c r="AR641" t="str">
        <f>_DMTUQoDPL0X</f>
        <v>Bheri Malika Municipality</v>
      </c>
    </row>
    <row r="642" spans="8:44">
      <c r="H642" t="str">
        <f>_PXgyNwTaXeO</f>
        <v>Tribeni Nalagad Municipality</v>
      </c>
      <c r="AR642" t="str">
        <f>_PXgyNwTaXeO</f>
        <v>Tribeni Nalagad Municipality</v>
      </c>
    </row>
    <row r="643" spans="8:44">
      <c r="H643" t="str">
        <f>_LFtVNsm3ed8</f>
        <v>Aathabisakot Municipality</v>
      </c>
      <c r="AR643" t="str">
        <f>_LFtVNsm3ed8</f>
        <v>Aathabisakot Municipality</v>
      </c>
    </row>
    <row r="644" spans="8:44">
      <c r="H644" t="str">
        <f>_KG13hsclCbw</f>
        <v>Sanibheri Rural Municipality</v>
      </c>
      <c r="AR644" t="str">
        <f>_KG13hsclCbw</f>
        <v>Sanibheri Rural Municipality</v>
      </c>
    </row>
    <row r="645" spans="8:44">
      <c r="H645" t="str">
        <f>_oUfi5AuX2no</f>
        <v>Banphikot Rural Municipality</v>
      </c>
      <c r="AR645" t="str">
        <f>_oUfi5AuX2no</f>
        <v>Banphikot Rural Municipality</v>
      </c>
    </row>
    <row r="646" spans="8:44">
      <c r="H646" t="str">
        <f>_Q1sAlQJogGA</f>
        <v>Musikot Municipality</v>
      </c>
      <c r="AR646" t="str">
        <f>_Q1sAlQJogGA</f>
        <v>Musikot Municipality</v>
      </c>
    </row>
    <row r="647" spans="8:44">
      <c r="H647" t="str">
        <f>_a2LkZvqcTyR</f>
        <v>Tribeni Rural Municipality</v>
      </c>
      <c r="AR647" t="str">
        <f>_a2LkZvqcTyR</f>
        <v>Tribeni Rural Municipality</v>
      </c>
    </row>
    <row r="648" spans="8:44">
      <c r="H648" t="str">
        <f>_CTKBGChDlMf</f>
        <v>Chaurjahari Municipality</v>
      </c>
      <c r="AR648" t="str">
        <f>_CTKBGChDlMf</f>
        <v>Chaurjahari Municipality</v>
      </c>
    </row>
    <row r="649" spans="8:44">
      <c r="H649" t="str">
        <f>_GR1LaEjKxeT</f>
        <v>Darma Rural Municipality</v>
      </c>
      <c r="AR649" t="str">
        <f>_GR1LaEjKxeT</f>
        <v>Darma Rural Municipality</v>
      </c>
    </row>
    <row r="650" spans="8:44">
      <c r="H650" t="str">
        <f>_jr710ld4l2E</f>
        <v>Kumakh Malika Rural Municipality</v>
      </c>
      <c r="AR650" t="str">
        <f>_jr710ld4l2E</f>
        <v>Kumakh Malika Rural Municipality</v>
      </c>
    </row>
    <row r="651" spans="8:44">
      <c r="H651" t="str">
        <f>_z3Iuiv0qbBS</f>
        <v>Banagad Kupinde Municipality</v>
      </c>
      <c r="AR651" t="str">
        <f>_z3Iuiv0qbBS</f>
        <v>Banagad Kupinde Municipality</v>
      </c>
    </row>
    <row r="652" spans="8:44">
      <c r="H652" t="str">
        <f>_tLyq7cwGtsH</f>
        <v>Dhorchaur Rural Municipality</v>
      </c>
      <c r="AR652" t="str">
        <f>_tLyq7cwGtsH</f>
        <v>Dhorchaur Rural Municipality</v>
      </c>
    </row>
    <row r="653" spans="8:44">
      <c r="H653" t="str">
        <f>_YsJRVCdtd6l</f>
        <v>Bagachour Municipality</v>
      </c>
      <c r="AR653" t="str">
        <f>_YsJRVCdtd6l</f>
        <v>Bagachour Municipality</v>
      </c>
    </row>
    <row r="654" spans="8:44">
      <c r="H654" t="str">
        <f>_mjhv9SuTiwC</f>
        <v>Chhatreshwori Rural Municipality</v>
      </c>
      <c r="AR654" t="str">
        <f>_mjhv9SuTiwC</f>
        <v>Chhatreshwori Rural Municipality</v>
      </c>
    </row>
    <row r="655" spans="8:44">
      <c r="H655" t="str">
        <f>_c1Ujw75dAUk</f>
        <v>Sharada Municipality</v>
      </c>
      <c r="AR655" t="str">
        <f>_c1Ujw75dAUk</f>
        <v>Sharada Municipality</v>
      </c>
    </row>
    <row r="656" spans="8:44">
      <c r="H656" t="str">
        <f>_dNGEK47vHCA</f>
        <v>Kalimati Rural Municipality</v>
      </c>
      <c r="AR656" t="str">
        <f>_dNGEK47vHCA</f>
        <v>Kalimati Rural Municipality</v>
      </c>
    </row>
    <row r="657" spans="8:44">
      <c r="H657" t="str">
        <f>_tW3mCTLnf6d</f>
        <v>Tribeni Rural Municipality</v>
      </c>
      <c r="AR657" t="str">
        <f>_tW3mCTLnf6d</f>
        <v>Tribeni Rural Municipality</v>
      </c>
    </row>
    <row r="658" spans="8:44">
      <c r="H658" t="str">
        <f>_c5bHzNOH9ge</f>
        <v>Kapurkot Rural Municipality</v>
      </c>
      <c r="AR658" t="str">
        <f>_c5bHzNOH9ge</f>
        <v>Kapurkot Rural Municipality</v>
      </c>
    </row>
    <row r="659" spans="8:44">
      <c r="H659" t="str">
        <f>_NPwNBpkaToZ</f>
        <v>Simta Rural Municipality</v>
      </c>
      <c r="AR659" t="str">
        <f>_NPwNBpkaToZ</f>
        <v>Simta Rural Municipality</v>
      </c>
    </row>
    <row r="660" spans="8:44">
      <c r="H660" t="str">
        <f>_IZHZBZFSVj5</f>
        <v>Chingad Rural Municipality</v>
      </c>
      <c r="AR660" t="str">
        <f>_IZHZBZFSVj5</f>
        <v>Chingad Rural Municipality</v>
      </c>
    </row>
    <row r="661" spans="8:44">
      <c r="H661" t="str">
        <f>_KWFFuBYO5t2</f>
        <v>Lekabeshi Municipality</v>
      </c>
      <c r="AR661" t="str">
        <f>_KWFFuBYO5t2</f>
        <v>Lekabeshi Municipality</v>
      </c>
    </row>
    <row r="662" spans="8:44">
      <c r="H662" t="str">
        <f>_yx1txTfZlxY</f>
        <v>Gurbhakot Municipality</v>
      </c>
      <c r="AR662" t="str">
        <f>_yx1txTfZlxY</f>
        <v>Gurbhakot Municipality</v>
      </c>
    </row>
    <row r="663" spans="8:44">
      <c r="H663" t="str">
        <f>_N3fZiXD5uH1</f>
        <v>Bheriganga Municipality</v>
      </c>
      <c r="AR663" t="str">
        <f>_N3fZiXD5uH1</f>
        <v>Bheriganga Municipality</v>
      </c>
    </row>
    <row r="664" spans="8:44">
      <c r="H664" t="str">
        <f>_ejhd6XlDKhm</f>
        <v>Birendranagar Municipality</v>
      </c>
      <c r="AR664" t="str">
        <f>_ejhd6XlDKhm</f>
        <v>Birendranagar Municipality</v>
      </c>
    </row>
    <row r="665" spans="8:44">
      <c r="H665" t="str">
        <f>_tMHRnSGrGpQ</f>
        <v>Barahatal Rural Municipality</v>
      </c>
      <c r="AR665" t="str">
        <f>_tMHRnSGrGpQ</f>
        <v>Barahatal Rural Municipality</v>
      </c>
    </row>
    <row r="666" spans="8:44">
      <c r="H666" t="str">
        <f>_BFXIVv1gKAU</f>
        <v>Panchapuri Municipality</v>
      </c>
      <c r="AR666" t="str">
        <f>_BFXIVv1gKAU</f>
        <v>Panchapuri Municipality</v>
      </c>
    </row>
    <row r="667" spans="8:44">
      <c r="H667" t="str">
        <f>_V1AMz5T7OE4</f>
        <v>Chaukune Rural Municipality</v>
      </c>
      <c r="AR667" t="str">
        <f>_V1AMz5T7OE4</f>
        <v>Chaukune Rural Municipality</v>
      </c>
    </row>
    <row r="668" spans="8:44">
      <c r="H668" t="str">
        <f>_CLqI0gq6l4q</f>
        <v>Himali Rural Municipality</v>
      </c>
      <c r="AR668" t="str">
        <f>_CLqI0gq6l4q</f>
        <v>Himali Rural Municipality</v>
      </c>
    </row>
    <row r="669" spans="8:44">
      <c r="H669" t="str">
        <f>_uwl7jojlY5C</f>
        <v>Gaumul Rural Municipality</v>
      </c>
      <c r="AR669" t="str">
        <f>_uwl7jojlY5C</f>
        <v>Gaumul Rural Municipality</v>
      </c>
    </row>
    <row r="670" spans="8:44">
      <c r="H670" t="str">
        <f>_PFiNgtPDWxj</f>
        <v>Budhinanda Municipality</v>
      </c>
      <c r="AR670" t="str">
        <f>_PFiNgtPDWxj</f>
        <v>Budhinanda Municipality</v>
      </c>
    </row>
    <row r="671" spans="8:44">
      <c r="H671" t="str">
        <f>_kzB3B42PYPs</f>
        <v>Swami Kartik Rural Municipality</v>
      </c>
      <c r="AR671" t="str">
        <f>_kzB3B42PYPs</f>
        <v>Swami Kartik Rural Municipality</v>
      </c>
    </row>
    <row r="672" spans="8:44">
      <c r="H672" t="str">
        <f>_HR1p24wHb3T</f>
        <v>Pandab Gufa Rural Municipality</v>
      </c>
      <c r="AR672" t="str">
        <f>_HR1p24wHb3T</f>
        <v>Pandab Gufa Rural Municipality</v>
      </c>
    </row>
    <row r="673" spans="8:44">
      <c r="H673" t="str">
        <f>_dZaKXk7C4Aj</f>
        <v>Badimalika Municipality</v>
      </c>
      <c r="AR673" t="str">
        <f>_dZaKXk7C4Aj</f>
        <v>Badimalika Municipality</v>
      </c>
    </row>
    <row r="674" spans="8:44">
      <c r="H674" t="str">
        <f>_wvOnHOsbQcV</f>
        <v>Chhededaha Rural Municipality</v>
      </c>
      <c r="AR674" t="str">
        <f>_wvOnHOsbQcV</f>
        <v>Chhededaha Rural Municipality</v>
      </c>
    </row>
    <row r="675" spans="8:44">
      <c r="H675" t="str">
        <f>_Ie7S7AfCOA4</f>
        <v>Budhiganga Municipality</v>
      </c>
      <c r="AR675" t="str">
        <f>_Ie7S7AfCOA4</f>
        <v>Budhiganga Municipality</v>
      </c>
    </row>
    <row r="676" spans="8:44">
      <c r="H676" t="str">
        <f>_Y7dDL783Lk8</f>
        <v>Tribeni Municipality</v>
      </c>
      <c r="AR676" t="str">
        <f>_Y7dDL783Lk8</f>
        <v>Tribeni Municipality</v>
      </c>
    </row>
    <row r="677" spans="8:44">
      <c r="H677" t="str">
        <f>_JQxYfy6VSGI</f>
        <v>Kanda Rural Municipality</v>
      </c>
      <c r="AR677" t="str">
        <f>_JQxYfy6VSGI</f>
        <v>Kanda Rural Municipality</v>
      </c>
    </row>
    <row r="678" spans="8:44">
      <c r="H678" t="str">
        <f>_FI7Pow6OdoH</f>
        <v>Bungal Municipality</v>
      </c>
      <c r="AR678" t="str">
        <f>_FI7Pow6OdoH</f>
        <v>Bungal Municipality</v>
      </c>
    </row>
    <row r="679" spans="8:44">
      <c r="H679" t="str">
        <f>_BJFyMMWdt1S</f>
        <v>Surma Rural Municipality</v>
      </c>
      <c r="AR679" t="str">
        <f>_BJFyMMWdt1S</f>
        <v>Surma Rural Municipality</v>
      </c>
    </row>
    <row r="680" spans="8:44">
      <c r="H680" t="str">
        <f>_ce8vJYIayAY</f>
        <v>Talkot Rural Municipality</v>
      </c>
      <c r="AR680" t="str">
        <f>_ce8vJYIayAY</f>
        <v>Talkot Rural Municipality</v>
      </c>
    </row>
    <row r="681" spans="8:44">
      <c r="H681" t="str">
        <f>_U5VTCke9Cze</f>
        <v>Masta Rural Municipality</v>
      </c>
      <c r="AR681" t="str">
        <f>_U5VTCke9Cze</f>
        <v>Masta Rural Municipality</v>
      </c>
    </row>
    <row r="682" spans="8:44">
      <c r="H682" t="str">
        <f>_RP36LcMxknV</f>
        <v>Jayaprithbi Municipality</v>
      </c>
      <c r="AR682" t="str">
        <f>_RP36LcMxknV</f>
        <v>Jayaprithbi Municipality</v>
      </c>
    </row>
    <row r="683" spans="8:44">
      <c r="H683" t="str">
        <f>_EG9W03wvWvA</f>
        <v>Chhabis Pathibhara Rural Municipality</v>
      </c>
      <c r="AR683" t="str">
        <f>_EG9W03wvWvA</f>
        <v>Chhabis Pathibhara Rural Municipality</v>
      </c>
    </row>
    <row r="684" spans="8:44">
      <c r="H684" t="str">
        <f>_oSoyInyct24</f>
        <v>Durgathali Rural Municipality</v>
      </c>
      <c r="AR684" t="str">
        <f>_oSoyInyct24</f>
        <v>Durgathali Rural Municipality</v>
      </c>
    </row>
    <row r="685" spans="8:44">
      <c r="H685" t="str">
        <f>_m9HAY801VHY</f>
        <v>Kedarsyun Rural Municipality</v>
      </c>
      <c r="AR685" t="str">
        <f>_m9HAY801VHY</f>
        <v>Kedarsyun Rural Municipality</v>
      </c>
    </row>
    <row r="686" spans="8:44">
      <c r="H686" t="str">
        <f>_Narat0DF9sY</f>
        <v>Bitthadchir Rural Municipality</v>
      </c>
      <c r="AR686" t="str">
        <f>_Narat0DF9sY</f>
        <v>Bitthadchir Rural Municipality</v>
      </c>
    </row>
    <row r="687" spans="8:44">
      <c r="H687" t="str">
        <f>_cSBE15iCImc</f>
        <v>Thalara Rural Municipality</v>
      </c>
      <c r="AR687" t="str">
        <f>_cSBE15iCImc</f>
        <v>Thalara Rural Municipality</v>
      </c>
    </row>
    <row r="688" spans="8:44">
      <c r="H688" t="str">
        <f>_H2oJJer4UNq</f>
        <v>Khaptad Chhanna Rural Municipality</v>
      </c>
      <c r="AR688" t="str">
        <f>_H2oJJer4UNq</f>
        <v>Khaptad Chhanna Rural Municipality</v>
      </c>
    </row>
    <row r="689" spans="8:44">
      <c r="H689" t="str">
        <f>_rsPgkoF9mhV</f>
        <v>Byas Rural Municipality</v>
      </c>
      <c r="AR689" t="str">
        <f>_rsPgkoF9mhV</f>
        <v>Byas Rural Municipality</v>
      </c>
    </row>
    <row r="690" spans="8:44">
      <c r="H690" t="str">
        <f>_NtQT6AdgCHi</f>
        <v>Duhun Rural Municipality</v>
      </c>
      <c r="AR690" t="str">
        <f>_NtQT6AdgCHi</f>
        <v>Duhun Rural Municipality</v>
      </c>
    </row>
    <row r="691" spans="8:44">
      <c r="H691" t="str">
        <f>_Q0ZMY0cF3OL</f>
        <v>Mahakali Municipality</v>
      </c>
      <c r="AR691" t="str">
        <f>_Q0ZMY0cF3OL</f>
        <v>Mahakali Municipality</v>
      </c>
    </row>
    <row r="692" spans="8:44">
      <c r="H692" t="str">
        <f>_HCIQloicy7v</f>
        <v>Naugad  Rural Municipality</v>
      </c>
      <c r="AR692" t="str">
        <f>_HCIQloicy7v</f>
        <v>Naugad  Rural Municipality</v>
      </c>
    </row>
    <row r="693" spans="8:44">
      <c r="H693" t="str">
        <f>_snBP9YqluQ2</f>
        <v>Apihimal Rural Municipality</v>
      </c>
      <c r="AR693" t="str">
        <f>_snBP9YqluQ2</f>
        <v>Apihimal Rural Municipality</v>
      </c>
    </row>
    <row r="694" spans="8:44">
      <c r="H694" t="str">
        <f>_YGjAWd4KSyk</f>
        <v>Marma Rural Municipality</v>
      </c>
      <c r="AR694" t="str">
        <f>_YGjAWd4KSyk</f>
        <v>Marma Rural Municipality</v>
      </c>
    </row>
    <row r="695" spans="8:44">
      <c r="H695" t="str">
        <f>_MHy0qEhzd7E</f>
        <v>Shailyashikhar Municipality</v>
      </c>
      <c r="AR695" t="str">
        <f>_MHy0qEhzd7E</f>
        <v>Shailyashikhar Municipality</v>
      </c>
    </row>
    <row r="696" spans="8:44">
      <c r="H696" t="str">
        <f>_F6OWwdthwcV</f>
        <v>Malikarjun Rural Municipality</v>
      </c>
      <c r="AR696" t="str">
        <f>_F6OWwdthwcV</f>
        <v>Malikarjun Rural Municipality</v>
      </c>
    </row>
    <row r="697" spans="8:44">
      <c r="H697" t="str">
        <f>_fh5RXOMtEno</f>
        <v>Lekam Rural Municipality</v>
      </c>
      <c r="AR697" t="str">
        <f>_fh5RXOMtEno</f>
        <v>Lekam Rural Municipality</v>
      </c>
    </row>
    <row r="698" spans="8:44">
      <c r="H698" t="str">
        <f>_K7ALnyce3ms</f>
        <v>Dilasaini Rural Municipality</v>
      </c>
      <c r="AR698" t="str">
        <f>_K7ALnyce3ms</f>
        <v>Dilasaini Rural Municipality</v>
      </c>
    </row>
    <row r="699" spans="8:44">
      <c r="H699" t="str">
        <f>_vrrDQ6LYpz9</f>
        <v>Dogada Kedar Rural Municipality</v>
      </c>
      <c r="AR699" t="str">
        <f>_vrrDQ6LYpz9</f>
        <v>Dogada Kedar Rural Municipality</v>
      </c>
    </row>
    <row r="700" spans="8:44">
      <c r="H700" t="str">
        <f>_WHDieg5lPio</f>
        <v>Puchaundi Municipality</v>
      </c>
      <c r="AR700" t="str">
        <f>_WHDieg5lPio</f>
        <v>Puchaundi Municipality</v>
      </c>
    </row>
    <row r="701" spans="8:44">
      <c r="H701" t="str">
        <f>_vtXJLJpJKDK</f>
        <v>Surnaya Rural Municipality</v>
      </c>
      <c r="AR701" t="str">
        <f>_vtXJLJpJKDK</f>
        <v>Surnaya Rural Municipality</v>
      </c>
    </row>
    <row r="702" spans="8:44">
      <c r="H702" t="str">
        <f>_GB801JHT3Ee</f>
        <v>Dasharathchand Municipality</v>
      </c>
      <c r="AR702" t="str">
        <f>_GB801JHT3Ee</f>
        <v>Dasharathchand Municipality</v>
      </c>
    </row>
    <row r="703" spans="8:44">
      <c r="H703" t="str">
        <f>_W3ZHIWmnoYt</f>
        <v>Pancheshwor Rural Municipality</v>
      </c>
      <c r="AR703" t="str">
        <f>_W3ZHIWmnoYt</f>
        <v>Pancheshwor Rural Municipality</v>
      </c>
    </row>
    <row r="704" spans="8:44">
      <c r="H704" t="str">
        <f>_C6VdaInio3i</f>
        <v>Shivanath Rural Municipality</v>
      </c>
      <c r="AR704" t="str">
        <f>_C6VdaInio3i</f>
        <v>Shivanath Rural Municipality</v>
      </c>
    </row>
    <row r="705" spans="8:44">
      <c r="H705" t="str">
        <f>_SmJaSjPiXJh</f>
        <v>Melauli Municipality</v>
      </c>
      <c r="AR705" t="str">
        <f>_SmJaSjPiXJh</f>
        <v>Melauli Municipality</v>
      </c>
    </row>
    <row r="706" spans="8:44">
      <c r="H706" t="str">
        <f>_avEMfy4MKQA</f>
        <v>Patam Municipality</v>
      </c>
      <c r="AR706" t="str">
        <f>_avEMfy4MKQA</f>
        <v>Patam Municipality</v>
      </c>
    </row>
    <row r="707" spans="8:44">
      <c r="H707" t="str">
        <f>_P5DKfic4SCh</f>
        <v>Sigas Rural Municipality</v>
      </c>
      <c r="AR707" t="str">
        <f>_P5DKfic4SCh</f>
        <v>Sigas Rural Municipality</v>
      </c>
    </row>
    <row r="708" spans="8:44">
      <c r="H708" t="str">
        <f>_E4gAVdVz40t</f>
        <v>Nawadurga Rural Municipality</v>
      </c>
      <c r="AR708" t="str">
        <f>_E4gAVdVz40t</f>
        <v>Nawadurga Rural Municipality</v>
      </c>
    </row>
    <row r="709" spans="8:44">
      <c r="H709" t="str">
        <f>_rra2TNkUtsp</f>
        <v>Amargadhi Municipality</v>
      </c>
      <c r="AR709" t="str">
        <f>_rra2TNkUtsp</f>
        <v>Amargadhi Municipality</v>
      </c>
    </row>
    <row r="710" spans="8:44">
      <c r="H710" t="str">
        <f>_SWBFpzbssOo</f>
        <v>Ajayameru Rural Municipality</v>
      </c>
      <c r="AR710" t="str">
        <f>_SWBFpzbssOo</f>
        <v>Ajayameru Rural Municipality</v>
      </c>
    </row>
    <row r="711" spans="8:44">
      <c r="H711" t="str">
        <f>_cvoTrf51FSH</f>
        <v>Bhageshwor Rural Municipality</v>
      </c>
      <c r="AR711" t="str">
        <f>_cvoTrf51FSH</f>
        <v>Bhageshwor Rural Municipality</v>
      </c>
    </row>
    <row r="712" spans="8:44">
      <c r="H712" t="str">
        <f>_D5K3HojWYij</f>
        <v>Parashuram Municipality</v>
      </c>
      <c r="AR712" t="str">
        <f>_D5K3HojWYij</f>
        <v>Parashuram Municipality</v>
      </c>
    </row>
    <row r="713" spans="8:44">
      <c r="H713" t="str">
        <f>_mUtMK5OSbUd</f>
        <v>Aalital Rural Municipality</v>
      </c>
      <c r="AR713" t="str">
        <f>_mUtMK5OSbUd</f>
        <v>Aalital Rural Municipality</v>
      </c>
    </row>
    <row r="714" spans="8:44">
      <c r="H714" t="str">
        <f>_SASwpi1X0xc</f>
        <v>Ganyapdhura Rural Municipality</v>
      </c>
      <c r="AR714" t="str">
        <f>_SASwpi1X0xc</f>
        <v>Ganyapdhura Rural Municipality</v>
      </c>
    </row>
    <row r="715" spans="8:44">
      <c r="H715" t="str">
        <f>_IwubPL7E7jo</f>
        <v>Purbichouki Rural Municipality</v>
      </c>
      <c r="AR715" t="str">
        <f>_IwubPL7E7jo</f>
        <v>Purbichouki Rural Municipality</v>
      </c>
    </row>
    <row r="716" spans="8:44">
      <c r="H716" t="str">
        <f>_kXFS9VnyOc7</f>
        <v>Sayal Rural Municipality</v>
      </c>
      <c r="AR716" t="str">
        <f>_kXFS9VnyOc7</f>
        <v>Sayal Rural Municipality</v>
      </c>
    </row>
    <row r="717" spans="8:44">
      <c r="H717" t="str">
        <f>_S6nAfRsfG24</f>
        <v>Aadarsha Rural Municipality</v>
      </c>
      <c r="AR717" t="str">
        <f>_S6nAfRsfG24</f>
        <v>Aadarsha Rural Municipality</v>
      </c>
    </row>
    <row r="718" spans="8:44">
      <c r="H718" t="str">
        <f>_DL98EDYKUFX</f>
        <v>Shikhar Municipality</v>
      </c>
      <c r="AR718" t="str">
        <f>_DL98EDYKUFX</f>
        <v>Shikhar Municipality</v>
      </c>
    </row>
    <row r="719" spans="8:44">
      <c r="H719" t="str">
        <f>_GLBEvvxdS0N</f>
        <v>Dipayal Silgadhi Municipality</v>
      </c>
      <c r="AR719" t="str">
        <f>_GLBEvvxdS0N</f>
        <v>Dipayal Silgadhi Municipality</v>
      </c>
    </row>
    <row r="720" spans="8:44">
      <c r="H720" t="str">
        <f>_Lr06Efm1VEy</f>
        <v>K.I. Singh Rural Municipality</v>
      </c>
      <c r="AR720" t="str">
        <f>_Lr06Efm1VEy</f>
        <v>K.I. Singh Rural Municipality</v>
      </c>
    </row>
    <row r="721" spans="8:44">
      <c r="H721" t="str">
        <f>_HqMf8JLkgR1</f>
        <v>Bogatan Rural Municipality</v>
      </c>
      <c r="AR721" t="str">
        <f>_HqMf8JLkgR1</f>
        <v>Bogatan Rural Municipality</v>
      </c>
    </row>
    <row r="722" spans="8:44">
      <c r="H722" t="str">
        <f>_RUhuyBrMyYt</f>
        <v>Badi Kedar Rural Municipality</v>
      </c>
      <c r="AR722" t="str">
        <f>_RUhuyBrMyYt</f>
        <v>Badi Kedar Rural Municipality</v>
      </c>
    </row>
    <row r="723" spans="8:44">
      <c r="H723" t="str">
        <f>_ramjT3rTxDy</f>
        <v>Jorayal Rural Municipality</v>
      </c>
      <c r="AR723" t="str">
        <f>_ramjT3rTxDy</f>
        <v>Jorayal Rural Municipality</v>
      </c>
    </row>
    <row r="724" spans="8:44">
      <c r="H724" t="str">
        <f>_mDTopAClewY</f>
        <v>Panchdebal Binayak Municipality</v>
      </c>
      <c r="AR724" t="str">
        <f>_mDTopAClewY</f>
        <v>Panchdebal Binayak Municipality</v>
      </c>
    </row>
    <row r="725" spans="8:44">
      <c r="H725" t="str">
        <f>_g2vI8N8ySsT</f>
        <v>Ramaroshan Rural Municipality</v>
      </c>
      <c r="AR725" t="str">
        <f>_g2vI8N8ySsT</f>
        <v>Ramaroshan Rural Municipality</v>
      </c>
    </row>
    <row r="726" spans="8:44">
      <c r="H726" t="str">
        <f>_Rwi4EoBfT8Q</f>
        <v>Mellekh Rural Municipality</v>
      </c>
      <c r="AR726" t="str">
        <f>_Rwi4EoBfT8Q</f>
        <v>Mellekh Rural Municipality</v>
      </c>
    </row>
    <row r="727" spans="8:44">
      <c r="H727" t="str">
        <f>_kZvKCZT6MLq</f>
        <v>Sanphebagar Municipality</v>
      </c>
      <c r="AR727" t="str">
        <f>_kZvKCZT6MLq</f>
        <v>Sanphebagar Municipality</v>
      </c>
    </row>
    <row r="728" spans="8:44">
      <c r="H728" t="str">
        <f>_gezZJuyEHA0</f>
        <v>Chaurpati Rural Municipality</v>
      </c>
      <c r="AR728" t="str">
        <f>_gezZJuyEHA0</f>
        <v>Chaurpati Rural Municipality</v>
      </c>
    </row>
    <row r="729" spans="8:44">
      <c r="H729" t="str">
        <f>_wNJwISqrNw4</f>
        <v>Mangalsen Municipality</v>
      </c>
      <c r="AR729" t="str">
        <f>_wNJwISqrNw4</f>
        <v>Mangalsen Municipality</v>
      </c>
    </row>
    <row r="730" spans="8:44">
      <c r="H730" t="str">
        <f>_FS0JydKnO6C</f>
        <v>Bannigadhi Jayagadh Rural Municipality</v>
      </c>
      <c r="AR730" t="str">
        <f>_FS0JydKnO6C</f>
        <v>Bannigadhi Jayagadh Rural Municipality</v>
      </c>
    </row>
    <row r="731" spans="8:44">
      <c r="H731" t="str">
        <f>_ce1N6seTTZb</f>
        <v>Kamal Bazar Municipality</v>
      </c>
      <c r="AR731" t="str">
        <f>_ce1N6seTTZb</f>
        <v>Kamal Bazar Municipality</v>
      </c>
    </row>
    <row r="732" spans="8:44">
      <c r="H732" t="str">
        <f>_b7rB4DonEzB</f>
        <v>Dhakari Rural Municipality</v>
      </c>
      <c r="AR732" t="str">
        <f>_b7rB4DonEzB</f>
        <v>Dhakari Rural Municipality</v>
      </c>
    </row>
    <row r="733" spans="8:44">
      <c r="H733" t="str">
        <f>_hvVRDJwKz1G</f>
        <v>Turmakhand Rural Municipality</v>
      </c>
      <c r="AR733" t="str">
        <f>_hvVRDJwKz1G</f>
        <v>Turmakhand Rural Municipality</v>
      </c>
    </row>
    <row r="734" spans="8:44">
      <c r="H734" t="str">
        <f>_KYapkplUIim</f>
        <v>Mohanyal Rural Municipality</v>
      </c>
      <c r="AR734" t="str">
        <f>_KYapkplUIim</f>
        <v>Mohanyal Rural Municipality</v>
      </c>
    </row>
    <row r="735" spans="8:44">
      <c r="H735" t="str">
        <f>_DB1PCBxNcFQ</f>
        <v>Chure Rural Municipality</v>
      </c>
      <c r="AR735" t="str">
        <f>_DB1PCBxNcFQ</f>
        <v>Chure Rural Municipality</v>
      </c>
    </row>
    <row r="736" spans="8:44">
      <c r="H736" t="str">
        <f>_vBOdPk5rjeL</f>
        <v>Godawari Municipality</v>
      </c>
      <c r="AR736" t="str">
        <f>_vBOdPk5rjeL</f>
        <v>Godawari Municipality</v>
      </c>
    </row>
    <row r="737" spans="8:44">
      <c r="H737" t="str">
        <f>_QSPNPIn5PUQ</f>
        <v>Gauriganga Municipality</v>
      </c>
      <c r="AR737" t="str">
        <f>_QSPNPIn5PUQ</f>
        <v>Gauriganga Municipality</v>
      </c>
    </row>
    <row r="738" spans="8:44">
      <c r="H738" t="str">
        <f>_XgTB9GpReG8</f>
        <v>Ghodaghodi Municipality</v>
      </c>
      <c r="AR738" t="str">
        <f>_XgTB9GpReG8</f>
        <v>Ghodaghodi Municipality</v>
      </c>
    </row>
    <row r="739" spans="8:44">
      <c r="H739" t="str">
        <f>_qYnU7jbVwu1</f>
        <v>Bardagoriya Rural Municipality</v>
      </c>
      <c r="AR739" t="str">
        <f>_qYnU7jbVwu1</f>
        <v>Bardagoriya Rural Municipality</v>
      </c>
    </row>
    <row r="740" spans="8:44">
      <c r="H740" t="str">
        <f>_lc9m5VP7vB8</f>
        <v>Lamki Chuha Municipality</v>
      </c>
      <c r="AR740" t="str">
        <f>_lc9m5VP7vB8</f>
        <v>Lamki Chuha Municipality</v>
      </c>
    </row>
    <row r="741" spans="8:44">
      <c r="H741" t="str">
        <f>_z947RHcjLSb</f>
        <v>Janaki Rural Municipality</v>
      </c>
      <c r="AR741" t="str">
        <f>_z947RHcjLSb</f>
        <v>Janaki Rural Municipality</v>
      </c>
    </row>
    <row r="742" spans="8:44">
      <c r="H742" t="str">
        <f>_f2MoDGu2V3c</f>
        <v>Joshipur Rural Municipality</v>
      </c>
      <c r="AR742" t="str">
        <f>_f2MoDGu2V3c</f>
        <v>Joshipur Rural Municipality</v>
      </c>
    </row>
    <row r="743" spans="8:44">
      <c r="H743" t="str">
        <f>_g9FCd0AOgl5</f>
        <v>Tikapur Municipality</v>
      </c>
      <c r="AR743" t="str">
        <f>_g9FCd0AOgl5</f>
        <v>Tikapur Municipality</v>
      </c>
    </row>
    <row r="744" spans="8:44">
      <c r="H744" t="str">
        <f>_pmQDnpEIEwj</f>
        <v>Bhajani Municipality</v>
      </c>
      <c r="AR744" t="str">
        <f>_pmQDnpEIEwj</f>
        <v>Bhajani Municipality</v>
      </c>
    </row>
    <row r="745" spans="8:44">
      <c r="H745" t="str">
        <f>_arcQqDIpyVu</f>
        <v>Kailari Rural Municipality</v>
      </c>
      <c r="AR745" t="str">
        <f>_arcQqDIpyVu</f>
        <v>Kailari Rural Municipality</v>
      </c>
    </row>
    <row r="746" spans="8:44">
      <c r="H746" t="str">
        <f>_yqdkPcj7Fx5</f>
        <v>Dhangadhi Sub-Metropolitian City</v>
      </c>
      <c r="AR746" t="str">
        <f>_yqdkPcj7Fx5</f>
        <v>Dhangadhi Sub-Metropolitian City</v>
      </c>
    </row>
    <row r="747" spans="8:44">
      <c r="H747" t="str">
        <f>_CD1SmRwWvto</f>
        <v>Krishnapur Municipality</v>
      </c>
      <c r="AR747" t="str">
        <f>_CD1SmRwWvto</f>
        <v>Krishnapur Municipality</v>
      </c>
    </row>
    <row r="748" spans="8:44">
      <c r="H748" t="str">
        <f>_N8TRVTpPT5h</f>
        <v>Shuklaphanta Municipality</v>
      </c>
      <c r="AR748" t="str">
        <f>_N8TRVTpPT5h</f>
        <v>Shuklaphanta Municipality</v>
      </c>
    </row>
    <row r="749" spans="8:44">
      <c r="H749" t="str">
        <f>_O9LpDiTdV2v</f>
        <v>Bedkot Municipality</v>
      </c>
      <c r="AR749" t="str">
        <f>_O9LpDiTdV2v</f>
        <v>Bedkot Municipality</v>
      </c>
    </row>
    <row r="750" spans="8:44">
      <c r="H750" t="str">
        <f>_cHNIkKJMT7i</f>
        <v>Bhimdatta Municipality</v>
      </c>
      <c r="AR750" t="str">
        <f>_cHNIkKJMT7i</f>
        <v>Bhimdatta Municipality</v>
      </c>
    </row>
    <row r="751" spans="8:44">
      <c r="H751" t="str">
        <f>_t8sgWivP3TA</f>
        <v>Mahakali Municipality</v>
      </c>
      <c r="AR751" t="str">
        <f>_t8sgWivP3TA</f>
        <v>Mahakali Municipality</v>
      </c>
    </row>
    <row r="752" spans="8:44">
      <c r="H752" t="str">
        <f>_H2OyVFADcnX</f>
        <v>Laljhadi Rural Municipality</v>
      </c>
      <c r="AR752" t="str">
        <f>_H2OyVFADcnX</f>
        <v>Laljhadi Rural Municipality</v>
      </c>
    </row>
    <row r="753" spans="8:44">
      <c r="H753" t="str">
        <f>_HtRPkdNqaez</f>
        <v>Punarbas Municipality</v>
      </c>
      <c r="AR753" t="str">
        <f>_HtRPkdNqaez</f>
        <v>Punarbas Municipality</v>
      </c>
    </row>
    <row r="754" spans="8:44">
      <c r="H754" t="str">
        <f>_D8EH8CPRoug</f>
        <v>Belouri Municipality</v>
      </c>
      <c r="AR754" t="str">
        <f>_D8EH8CPRoug</f>
        <v>Belouri Municipality</v>
      </c>
    </row>
    <row r="755" spans="8:44">
      <c r="H755" t="str">
        <f>_jvfjz5NZpl9</f>
        <v>Beldandi Rural Municipality</v>
      </c>
      <c r="AR755" t="str">
        <f>_jvfjz5NZpl9</f>
        <v>Beldandi Rural Municipality</v>
      </c>
    </row>
  </sheetData>
  <sheetProtection password="9FC9" sheet="1" objects="1" scenarios="1" formatCells="0" formatColumns="0" formatRows="0"/>
  <mergeCells count="1">
    <mergeCell ref="A1:B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G1791"/>
  <sheetViews>
    <sheetView zoomScaleNormal="100" workbookViewId="0">
      <pane ySplit="2" topLeftCell="A3" activePane="bottomLeft" state="frozen"/>
      <selection pane="bottomLeft"/>
    </sheetView>
  </sheetViews>
  <sheetFormatPr defaultColWidth="11" defaultRowHeight="15.75"/>
  <cols>
    <col min="1" max="2" width="30" customWidth="1"/>
    <col min="3" max="3" width="70" customWidth="1"/>
  </cols>
  <sheetData>
    <row r="1" spans="1:7">
      <c r="A1" s="17" t="s">
        <v>5</v>
      </c>
      <c r="B1" s="17" t="s">
        <v>6</v>
      </c>
      <c r="C1" s="17" t="s">
        <v>7</v>
      </c>
      <c r="D1" s="17" t="s">
        <v>8</v>
      </c>
      <c r="E1" s="17" t="s">
        <v>9</v>
      </c>
      <c r="F1" s="17" t="s">
        <v>10</v>
      </c>
      <c r="G1" s="17" t="s">
        <v>11</v>
      </c>
    </row>
    <row r="2" spans="1:7">
      <c r="A2" s="17"/>
      <c r="B2" s="17"/>
      <c r="C2" s="17"/>
      <c r="D2" s="17"/>
      <c r="E2" s="17"/>
      <c r="F2" s="17"/>
      <c r="G2" s="17"/>
    </row>
    <row r="3" spans="1:7">
      <c r="A3" t="s">
        <v>12</v>
      </c>
      <c r="B3" t="s">
        <v>13</v>
      </c>
      <c r="C3" t="s">
        <v>14</v>
      </c>
    </row>
    <row r="4" spans="1:7">
      <c r="A4" t="s">
        <v>15</v>
      </c>
      <c r="B4" t="s">
        <v>16</v>
      </c>
      <c r="C4" t="s">
        <v>17</v>
      </c>
      <c r="E4" t="s">
        <v>18</v>
      </c>
      <c r="F4" t="s">
        <v>19</v>
      </c>
    </row>
    <row r="5" spans="1:7">
      <c r="A5" t="s">
        <v>20</v>
      </c>
      <c r="B5" t="s">
        <v>16</v>
      </c>
      <c r="C5" t="s">
        <v>21</v>
      </c>
      <c r="E5" t="s">
        <v>18</v>
      </c>
      <c r="F5" t="s">
        <v>19</v>
      </c>
    </row>
    <row r="6" spans="1:7">
      <c r="A6" t="s">
        <v>22</v>
      </c>
      <c r="B6" t="s">
        <v>16</v>
      </c>
      <c r="C6" t="s">
        <v>23</v>
      </c>
      <c r="E6" t="s">
        <v>18</v>
      </c>
      <c r="F6" t="s">
        <v>19</v>
      </c>
    </row>
    <row r="7" spans="1:7">
      <c r="A7" t="s">
        <v>24</v>
      </c>
      <c r="B7" t="s">
        <v>16</v>
      </c>
      <c r="C7" t="s">
        <v>25</v>
      </c>
      <c r="E7" t="s">
        <v>18</v>
      </c>
      <c r="F7" t="s">
        <v>19</v>
      </c>
    </row>
    <row r="8" spans="1:7">
      <c r="A8" t="s">
        <v>26</v>
      </c>
      <c r="B8" t="s">
        <v>16</v>
      </c>
      <c r="C8" t="s">
        <v>27</v>
      </c>
      <c r="E8" t="s">
        <v>18</v>
      </c>
      <c r="F8" t="s">
        <v>19</v>
      </c>
    </row>
    <row r="9" spans="1:7">
      <c r="A9" t="s">
        <v>28</v>
      </c>
      <c r="B9" t="s">
        <v>16</v>
      </c>
      <c r="C9" t="s">
        <v>29</v>
      </c>
      <c r="E9" t="s">
        <v>18</v>
      </c>
      <c r="F9" t="s">
        <v>19</v>
      </c>
    </row>
    <row r="10" spans="1:7">
      <c r="A10" t="s">
        <v>30</v>
      </c>
      <c r="B10" t="s">
        <v>16</v>
      </c>
      <c r="C10" t="s">
        <v>31</v>
      </c>
      <c r="E10" t="s">
        <v>18</v>
      </c>
      <c r="F10" t="s">
        <v>19</v>
      </c>
    </row>
    <row r="11" spans="1:7">
      <c r="A11" t="s">
        <v>32</v>
      </c>
      <c r="B11" t="s">
        <v>16</v>
      </c>
      <c r="C11" t="s">
        <v>33</v>
      </c>
      <c r="E11" t="s">
        <v>34</v>
      </c>
      <c r="F11" t="s">
        <v>35</v>
      </c>
    </row>
    <row r="12" spans="1:7">
      <c r="A12" t="s">
        <v>36</v>
      </c>
      <c r="B12" t="s">
        <v>16</v>
      </c>
      <c r="C12" t="s">
        <v>37</v>
      </c>
      <c r="E12" t="s">
        <v>18</v>
      </c>
      <c r="F12" t="s">
        <v>19</v>
      </c>
    </row>
    <row r="13" spans="1:7">
      <c r="A13" t="s">
        <v>38</v>
      </c>
      <c r="B13" t="s">
        <v>16</v>
      </c>
      <c r="C13" t="s">
        <v>39</v>
      </c>
      <c r="E13" t="s">
        <v>18</v>
      </c>
      <c r="F13" t="s">
        <v>19</v>
      </c>
    </row>
    <row r="14" spans="1:7">
      <c r="A14" t="s">
        <v>40</v>
      </c>
      <c r="B14" t="s">
        <v>16</v>
      </c>
      <c r="C14" t="s">
        <v>41</v>
      </c>
      <c r="E14" t="s">
        <v>42</v>
      </c>
      <c r="F14" t="s">
        <v>43</v>
      </c>
    </row>
    <row r="15" spans="1:7">
      <c r="A15" t="s">
        <v>44</v>
      </c>
      <c r="B15" t="s">
        <v>16</v>
      </c>
      <c r="C15" t="s">
        <v>45</v>
      </c>
      <c r="E15" t="s">
        <v>46</v>
      </c>
      <c r="F15" t="s">
        <v>47</v>
      </c>
    </row>
    <row r="16" spans="1:7">
      <c r="A16" t="s">
        <v>48</v>
      </c>
      <c r="B16" t="s">
        <v>16</v>
      </c>
      <c r="C16" t="s">
        <v>49</v>
      </c>
      <c r="E16" t="s">
        <v>18</v>
      </c>
      <c r="F16" t="s">
        <v>19</v>
      </c>
    </row>
    <row r="17" spans="1:6">
      <c r="A17" t="s">
        <v>50</v>
      </c>
      <c r="B17" t="s">
        <v>16</v>
      </c>
      <c r="C17" t="s">
        <v>51</v>
      </c>
      <c r="E17" t="s">
        <v>52</v>
      </c>
      <c r="F17" t="s">
        <v>53</v>
      </c>
    </row>
    <row r="18" spans="1:6">
      <c r="A18" t="s">
        <v>54</v>
      </c>
      <c r="B18" t="s">
        <v>16</v>
      </c>
      <c r="C18" t="s">
        <v>55</v>
      </c>
      <c r="E18" t="s">
        <v>56</v>
      </c>
      <c r="F18" t="s">
        <v>57</v>
      </c>
    </row>
    <row r="19" spans="1:6">
      <c r="A19" t="s">
        <v>58</v>
      </c>
      <c r="B19" t="s">
        <v>16</v>
      </c>
      <c r="C19" t="s">
        <v>59</v>
      </c>
      <c r="E19" t="s">
        <v>18</v>
      </c>
      <c r="F19" t="s">
        <v>19</v>
      </c>
    </row>
    <row r="20" spans="1:6">
      <c r="A20" t="s">
        <v>60</v>
      </c>
      <c r="B20" t="s">
        <v>16</v>
      </c>
      <c r="C20" t="s">
        <v>61</v>
      </c>
      <c r="E20" t="s">
        <v>18</v>
      </c>
      <c r="F20" t="s">
        <v>19</v>
      </c>
    </row>
    <row r="21" spans="1:6">
      <c r="A21" t="s">
        <v>62</v>
      </c>
      <c r="B21" t="s">
        <v>16</v>
      </c>
      <c r="C21" t="s">
        <v>63</v>
      </c>
      <c r="E21" t="s">
        <v>18</v>
      </c>
      <c r="F21" t="s">
        <v>19</v>
      </c>
    </row>
    <row r="22" spans="1:6">
      <c r="A22" t="s">
        <v>64</v>
      </c>
      <c r="B22" t="s">
        <v>16</v>
      </c>
      <c r="C22" t="s">
        <v>65</v>
      </c>
      <c r="E22" t="s">
        <v>18</v>
      </c>
      <c r="F22" t="s">
        <v>19</v>
      </c>
    </row>
    <row r="23" spans="1:6">
      <c r="A23" t="s">
        <v>66</v>
      </c>
      <c r="B23" t="s">
        <v>16</v>
      </c>
      <c r="C23" t="s">
        <v>67</v>
      </c>
      <c r="E23" t="s">
        <v>18</v>
      </c>
      <c r="F23" t="s">
        <v>19</v>
      </c>
    </row>
    <row r="24" spans="1:6">
      <c r="A24" t="s">
        <v>68</v>
      </c>
      <c r="B24" t="s">
        <v>16</v>
      </c>
      <c r="C24" t="s">
        <v>69</v>
      </c>
      <c r="E24" t="s">
        <v>18</v>
      </c>
      <c r="F24" t="s">
        <v>19</v>
      </c>
    </row>
    <row r="25" spans="1:6">
      <c r="A25" t="s">
        <v>70</v>
      </c>
      <c r="B25" t="s">
        <v>16</v>
      </c>
      <c r="C25" t="s">
        <v>71</v>
      </c>
      <c r="E25" t="s">
        <v>18</v>
      </c>
      <c r="F25" t="s">
        <v>19</v>
      </c>
    </row>
    <row r="26" spans="1:6">
      <c r="A26" t="s">
        <v>72</v>
      </c>
      <c r="B26" t="s">
        <v>16</v>
      </c>
      <c r="C26" t="s">
        <v>73</v>
      </c>
      <c r="E26" t="s">
        <v>18</v>
      </c>
      <c r="F26" t="s">
        <v>19</v>
      </c>
    </row>
    <row r="27" spans="1:6">
      <c r="A27" t="s">
        <v>74</v>
      </c>
      <c r="B27" t="s">
        <v>16</v>
      </c>
      <c r="C27" t="s">
        <v>75</v>
      </c>
      <c r="E27" t="s">
        <v>18</v>
      </c>
      <c r="F27" t="s">
        <v>19</v>
      </c>
    </row>
    <row r="28" spans="1:6">
      <c r="A28" t="s">
        <v>76</v>
      </c>
      <c r="B28" t="s">
        <v>16</v>
      </c>
      <c r="C28" t="s">
        <v>77</v>
      </c>
      <c r="E28" t="s">
        <v>78</v>
      </c>
      <c r="F28" t="s">
        <v>79</v>
      </c>
    </row>
    <row r="29" spans="1:6">
      <c r="A29" t="s">
        <v>80</v>
      </c>
      <c r="B29" t="s">
        <v>16</v>
      </c>
      <c r="C29" t="s">
        <v>81</v>
      </c>
      <c r="E29" t="s">
        <v>82</v>
      </c>
      <c r="F29" t="s">
        <v>83</v>
      </c>
    </row>
    <row r="30" spans="1:6">
      <c r="A30" t="s">
        <v>84</v>
      </c>
      <c r="B30" t="s">
        <v>16</v>
      </c>
      <c r="C30" t="s">
        <v>85</v>
      </c>
      <c r="E30" t="s">
        <v>18</v>
      </c>
      <c r="F30" t="s">
        <v>19</v>
      </c>
    </row>
    <row r="31" spans="1:6">
      <c r="A31" t="s">
        <v>86</v>
      </c>
      <c r="B31" t="s">
        <v>16</v>
      </c>
      <c r="C31" t="s">
        <v>87</v>
      </c>
      <c r="E31" t="s">
        <v>18</v>
      </c>
      <c r="F31" t="s">
        <v>19</v>
      </c>
    </row>
    <row r="32" spans="1:6">
      <c r="A32" t="s">
        <v>88</v>
      </c>
      <c r="B32" t="s">
        <v>16</v>
      </c>
      <c r="C32" t="s">
        <v>89</v>
      </c>
      <c r="E32" t="s">
        <v>18</v>
      </c>
      <c r="F32" t="s">
        <v>19</v>
      </c>
    </row>
    <row r="33" spans="1:6">
      <c r="A33" t="s">
        <v>90</v>
      </c>
      <c r="B33" t="s">
        <v>16</v>
      </c>
      <c r="C33" t="s">
        <v>91</v>
      </c>
      <c r="E33" t="s">
        <v>18</v>
      </c>
      <c r="F33" t="s">
        <v>19</v>
      </c>
    </row>
    <row r="34" spans="1:6">
      <c r="A34" t="s">
        <v>92</v>
      </c>
      <c r="B34" t="s">
        <v>16</v>
      </c>
      <c r="C34" t="s">
        <v>93</v>
      </c>
      <c r="E34" t="s">
        <v>78</v>
      </c>
      <c r="F34" t="s">
        <v>79</v>
      </c>
    </row>
    <row r="35" spans="1:6">
      <c r="A35" t="s">
        <v>94</v>
      </c>
      <c r="B35" t="s">
        <v>16</v>
      </c>
      <c r="C35" t="s">
        <v>95</v>
      </c>
      <c r="E35" t="s">
        <v>18</v>
      </c>
      <c r="F35" t="s">
        <v>19</v>
      </c>
    </row>
    <row r="36" spans="1:6">
      <c r="A36" t="s">
        <v>96</v>
      </c>
      <c r="B36" t="s">
        <v>16</v>
      </c>
      <c r="C36" t="s">
        <v>97</v>
      </c>
      <c r="E36" t="s">
        <v>98</v>
      </c>
      <c r="F36" t="s">
        <v>99</v>
      </c>
    </row>
    <row r="37" spans="1:6">
      <c r="A37" t="s">
        <v>100</v>
      </c>
      <c r="B37" t="s">
        <v>16</v>
      </c>
      <c r="C37" t="s">
        <v>101</v>
      </c>
      <c r="E37" t="s">
        <v>18</v>
      </c>
      <c r="F37" t="s">
        <v>19</v>
      </c>
    </row>
    <row r="38" spans="1:6">
      <c r="A38" t="s">
        <v>102</v>
      </c>
      <c r="B38" t="s">
        <v>16</v>
      </c>
      <c r="C38" t="s">
        <v>103</v>
      </c>
      <c r="E38" t="s">
        <v>18</v>
      </c>
      <c r="F38" t="s">
        <v>19</v>
      </c>
    </row>
    <row r="39" spans="1:6">
      <c r="A39" t="s">
        <v>104</v>
      </c>
      <c r="B39" t="s">
        <v>16</v>
      </c>
      <c r="C39" t="s">
        <v>105</v>
      </c>
      <c r="E39" t="s">
        <v>34</v>
      </c>
      <c r="F39" t="s">
        <v>35</v>
      </c>
    </row>
    <row r="40" spans="1:6">
      <c r="A40" t="s">
        <v>106</v>
      </c>
      <c r="B40" t="s">
        <v>16</v>
      </c>
      <c r="C40" t="s">
        <v>107</v>
      </c>
      <c r="E40" t="s">
        <v>18</v>
      </c>
      <c r="F40" t="s">
        <v>19</v>
      </c>
    </row>
    <row r="41" spans="1:6">
      <c r="A41" t="s">
        <v>108</v>
      </c>
      <c r="B41" t="s">
        <v>16</v>
      </c>
      <c r="C41" t="s">
        <v>109</v>
      </c>
      <c r="E41" t="s">
        <v>18</v>
      </c>
      <c r="F41" t="s">
        <v>19</v>
      </c>
    </row>
    <row r="42" spans="1:6">
      <c r="A42" t="s">
        <v>110</v>
      </c>
      <c r="B42" t="s">
        <v>16</v>
      </c>
      <c r="C42" t="s">
        <v>111</v>
      </c>
      <c r="E42" t="s">
        <v>18</v>
      </c>
      <c r="F42" t="s">
        <v>19</v>
      </c>
    </row>
    <row r="43" spans="1:6">
      <c r="A43" t="s">
        <v>112</v>
      </c>
      <c r="B43" t="s">
        <v>16</v>
      </c>
      <c r="C43" t="s">
        <v>113</v>
      </c>
      <c r="E43" t="s">
        <v>18</v>
      </c>
      <c r="F43" t="s">
        <v>19</v>
      </c>
    </row>
    <row r="44" spans="1:6">
      <c r="A44" t="s">
        <v>114</v>
      </c>
      <c r="B44" t="s">
        <v>16</v>
      </c>
      <c r="C44" t="s">
        <v>115</v>
      </c>
      <c r="E44" t="s">
        <v>18</v>
      </c>
      <c r="F44" t="s">
        <v>19</v>
      </c>
    </row>
    <row r="45" spans="1:6">
      <c r="A45" t="s">
        <v>116</v>
      </c>
      <c r="B45" t="s">
        <v>16</v>
      </c>
      <c r="C45" t="s">
        <v>117</v>
      </c>
      <c r="E45" t="s">
        <v>98</v>
      </c>
      <c r="F45" t="s">
        <v>99</v>
      </c>
    </row>
    <row r="46" spans="1:6">
      <c r="A46" t="s">
        <v>118</v>
      </c>
      <c r="B46" t="s">
        <v>16</v>
      </c>
      <c r="C46" t="s">
        <v>119</v>
      </c>
      <c r="E46" t="s">
        <v>18</v>
      </c>
      <c r="F46" t="s">
        <v>19</v>
      </c>
    </row>
    <row r="47" spans="1:6">
      <c r="A47" t="s">
        <v>120</v>
      </c>
      <c r="B47" t="s">
        <v>16</v>
      </c>
      <c r="C47" t="s">
        <v>121</v>
      </c>
      <c r="E47" t="s">
        <v>18</v>
      </c>
      <c r="F47" t="s">
        <v>19</v>
      </c>
    </row>
    <row r="48" spans="1:6">
      <c r="A48" t="s">
        <v>122</v>
      </c>
      <c r="B48" t="s">
        <v>16</v>
      </c>
      <c r="C48" t="s">
        <v>123</v>
      </c>
      <c r="E48" t="s">
        <v>124</v>
      </c>
      <c r="F48" t="s">
        <v>125</v>
      </c>
    </row>
    <row r="49" spans="1:6">
      <c r="A49" t="s">
        <v>126</v>
      </c>
      <c r="B49" t="s">
        <v>16</v>
      </c>
      <c r="C49" t="s">
        <v>127</v>
      </c>
      <c r="E49" t="s">
        <v>18</v>
      </c>
      <c r="F49" t="s">
        <v>19</v>
      </c>
    </row>
    <row r="50" spans="1:6">
      <c r="A50" t="s">
        <v>128</v>
      </c>
      <c r="B50" t="s">
        <v>16</v>
      </c>
      <c r="C50" t="s">
        <v>129</v>
      </c>
      <c r="E50" t="s">
        <v>18</v>
      </c>
      <c r="F50" t="s">
        <v>19</v>
      </c>
    </row>
    <row r="51" spans="1:6">
      <c r="A51" t="s">
        <v>130</v>
      </c>
      <c r="B51" t="s">
        <v>16</v>
      </c>
      <c r="C51" t="s">
        <v>131</v>
      </c>
      <c r="E51" t="s">
        <v>18</v>
      </c>
      <c r="F51" t="s">
        <v>19</v>
      </c>
    </row>
    <row r="52" spans="1:6">
      <c r="A52" t="s">
        <v>132</v>
      </c>
      <c r="B52" t="s">
        <v>16</v>
      </c>
      <c r="C52" t="s">
        <v>133</v>
      </c>
      <c r="E52" t="s">
        <v>18</v>
      </c>
      <c r="F52" t="s">
        <v>19</v>
      </c>
    </row>
    <row r="53" spans="1:6">
      <c r="A53" t="s">
        <v>134</v>
      </c>
      <c r="B53" t="s">
        <v>16</v>
      </c>
      <c r="C53" t="s">
        <v>135</v>
      </c>
      <c r="E53" t="s">
        <v>18</v>
      </c>
      <c r="F53" t="s">
        <v>19</v>
      </c>
    </row>
    <row r="54" spans="1:6">
      <c r="A54" t="s">
        <v>136</v>
      </c>
      <c r="B54" t="s">
        <v>16</v>
      </c>
      <c r="C54" t="s">
        <v>137</v>
      </c>
      <c r="E54" t="s">
        <v>18</v>
      </c>
      <c r="F54" t="s">
        <v>19</v>
      </c>
    </row>
    <row r="55" spans="1:6">
      <c r="A55" t="s">
        <v>138</v>
      </c>
      <c r="B55" t="s">
        <v>16</v>
      </c>
      <c r="C55" t="s">
        <v>139</v>
      </c>
      <c r="E55" t="s">
        <v>18</v>
      </c>
      <c r="F55" t="s">
        <v>19</v>
      </c>
    </row>
    <row r="56" spans="1:6">
      <c r="A56" t="s">
        <v>140</v>
      </c>
      <c r="B56" t="s">
        <v>16</v>
      </c>
      <c r="C56" t="s">
        <v>141</v>
      </c>
      <c r="E56" t="s">
        <v>18</v>
      </c>
      <c r="F56" t="s">
        <v>19</v>
      </c>
    </row>
    <row r="57" spans="1:6">
      <c r="A57" t="s">
        <v>142</v>
      </c>
      <c r="B57" t="s">
        <v>16</v>
      </c>
      <c r="C57" t="s">
        <v>143</v>
      </c>
      <c r="E57" t="s">
        <v>18</v>
      </c>
      <c r="F57" t="s">
        <v>19</v>
      </c>
    </row>
    <row r="58" spans="1:6">
      <c r="A58" t="s">
        <v>144</v>
      </c>
      <c r="B58" t="s">
        <v>16</v>
      </c>
      <c r="C58" t="s">
        <v>145</v>
      </c>
      <c r="E58" t="s">
        <v>18</v>
      </c>
      <c r="F58" t="s">
        <v>19</v>
      </c>
    </row>
    <row r="59" spans="1:6">
      <c r="A59" t="s">
        <v>146</v>
      </c>
      <c r="B59" t="s">
        <v>16</v>
      </c>
      <c r="C59" t="s">
        <v>147</v>
      </c>
      <c r="E59" t="s">
        <v>18</v>
      </c>
      <c r="F59" t="s">
        <v>19</v>
      </c>
    </row>
    <row r="60" spans="1:6">
      <c r="A60" t="s">
        <v>148</v>
      </c>
      <c r="B60" t="s">
        <v>16</v>
      </c>
      <c r="C60" t="s">
        <v>149</v>
      </c>
      <c r="E60" t="s">
        <v>18</v>
      </c>
      <c r="F60" t="s">
        <v>19</v>
      </c>
    </row>
    <row r="61" spans="1:6">
      <c r="A61" t="s">
        <v>150</v>
      </c>
      <c r="B61" t="s">
        <v>16</v>
      </c>
      <c r="C61" t="s">
        <v>151</v>
      </c>
      <c r="E61" t="s">
        <v>18</v>
      </c>
      <c r="F61" t="s">
        <v>19</v>
      </c>
    </row>
    <row r="62" spans="1:6">
      <c r="A62" t="s">
        <v>152</v>
      </c>
      <c r="B62" t="s">
        <v>16</v>
      </c>
      <c r="C62" t="s">
        <v>153</v>
      </c>
      <c r="E62" t="s">
        <v>56</v>
      </c>
      <c r="F62" t="s">
        <v>57</v>
      </c>
    </row>
    <row r="63" spans="1:6">
      <c r="A63" t="s">
        <v>154</v>
      </c>
      <c r="B63" t="s">
        <v>16</v>
      </c>
      <c r="C63" t="s">
        <v>155</v>
      </c>
      <c r="E63" t="s">
        <v>18</v>
      </c>
      <c r="F63" t="s">
        <v>19</v>
      </c>
    </row>
    <row r="64" spans="1:6">
      <c r="A64" t="s">
        <v>156</v>
      </c>
      <c r="B64" t="s">
        <v>16</v>
      </c>
      <c r="C64" t="s">
        <v>157</v>
      </c>
      <c r="E64" t="s">
        <v>18</v>
      </c>
      <c r="F64" t="s">
        <v>19</v>
      </c>
    </row>
    <row r="65" spans="1:6">
      <c r="A65" t="s">
        <v>158</v>
      </c>
      <c r="B65" t="s">
        <v>16</v>
      </c>
      <c r="C65" t="s">
        <v>159</v>
      </c>
      <c r="E65" t="s">
        <v>18</v>
      </c>
      <c r="F65" t="s">
        <v>19</v>
      </c>
    </row>
    <row r="66" spans="1:6">
      <c r="A66" t="s">
        <v>160</v>
      </c>
      <c r="B66" t="s">
        <v>16</v>
      </c>
      <c r="C66" t="s">
        <v>161</v>
      </c>
      <c r="E66" t="s">
        <v>18</v>
      </c>
      <c r="F66" t="s">
        <v>19</v>
      </c>
    </row>
    <row r="67" spans="1:6">
      <c r="A67" t="s">
        <v>162</v>
      </c>
      <c r="B67" t="s">
        <v>16</v>
      </c>
      <c r="C67" t="s">
        <v>163</v>
      </c>
      <c r="E67" t="s">
        <v>18</v>
      </c>
      <c r="F67" t="s">
        <v>19</v>
      </c>
    </row>
    <row r="68" spans="1:6">
      <c r="A68" t="s">
        <v>164</v>
      </c>
      <c r="B68" t="s">
        <v>16</v>
      </c>
      <c r="C68" t="s">
        <v>165</v>
      </c>
      <c r="E68" t="s">
        <v>18</v>
      </c>
      <c r="F68" t="s">
        <v>19</v>
      </c>
    </row>
    <row r="69" spans="1:6">
      <c r="A69" t="s">
        <v>166</v>
      </c>
      <c r="B69" t="s">
        <v>16</v>
      </c>
      <c r="C69" t="s">
        <v>167</v>
      </c>
      <c r="E69" t="s">
        <v>18</v>
      </c>
      <c r="F69" t="s">
        <v>19</v>
      </c>
    </row>
    <row r="70" spans="1:6">
      <c r="A70" t="s">
        <v>168</v>
      </c>
      <c r="B70" t="s">
        <v>16</v>
      </c>
      <c r="C70" t="s">
        <v>169</v>
      </c>
      <c r="E70" t="s">
        <v>170</v>
      </c>
      <c r="F70" t="s">
        <v>171</v>
      </c>
    </row>
    <row r="71" spans="1:6">
      <c r="A71" t="s">
        <v>172</v>
      </c>
      <c r="B71" t="s">
        <v>16</v>
      </c>
      <c r="C71" t="s">
        <v>173</v>
      </c>
      <c r="E71" t="s">
        <v>18</v>
      </c>
      <c r="F71" t="s">
        <v>19</v>
      </c>
    </row>
    <row r="72" spans="1:6">
      <c r="A72" t="s">
        <v>174</v>
      </c>
      <c r="B72" t="s">
        <v>16</v>
      </c>
      <c r="C72" t="s">
        <v>175</v>
      </c>
      <c r="E72" t="s">
        <v>18</v>
      </c>
      <c r="F72" t="s">
        <v>19</v>
      </c>
    </row>
    <row r="73" spans="1:6">
      <c r="A73" t="s">
        <v>176</v>
      </c>
      <c r="B73" t="s">
        <v>16</v>
      </c>
      <c r="C73" t="s">
        <v>177</v>
      </c>
      <c r="E73" t="s">
        <v>18</v>
      </c>
      <c r="F73" t="s">
        <v>19</v>
      </c>
    </row>
    <row r="74" spans="1:6">
      <c r="A74" t="s">
        <v>178</v>
      </c>
      <c r="B74" t="s">
        <v>16</v>
      </c>
      <c r="C74" t="s">
        <v>179</v>
      </c>
      <c r="E74" t="s">
        <v>18</v>
      </c>
      <c r="F74" t="s">
        <v>19</v>
      </c>
    </row>
    <row r="75" spans="1:6">
      <c r="A75" t="s">
        <v>180</v>
      </c>
      <c r="B75" t="s">
        <v>16</v>
      </c>
      <c r="C75" t="s">
        <v>181</v>
      </c>
      <c r="E75" t="s">
        <v>18</v>
      </c>
      <c r="F75" t="s">
        <v>19</v>
      </c>
    </row>
    <row r="76" spans="1:6">
      <c r="A76" t="s">
        <v>182</v>
      </c>
      <c r="B76" t="s">
        <v>16</v>
      </c>
      <c r="C76" t="s">
        <v>183</v>
      </c>
      <c r="E76" t="s">
        <v>18</v>
      </c>
      <c r="F76" t="s">
        <v>19</v>
      </c>
    </row>
    <row r="77" spans="1:6">
      <c r="A77" t="s">
        <v>184</v>
      </c>
      <c r="B77" t="s">
        <v>16</v>
      </c>
      <c r="C77" t="s">
        <v>185</v>
      </c>
      <c r="E77" t="s">
        <v>18</v>
      </c>
      <c r="F77" t="s">
        <v>19</v>
      </c>
    </row>
    <row r="78" spans="1:6">
      <c r="A78" t="s">
        <v>186</v>
      </c>
      <c r="B78" t="s">
        <v>16</v>
      </c>
      <c r="C78" t="s">
        <v>187</v>
      </c>
      <c r="E78" t="s">
        <v>188</v>
      </c>
      <c r="F78" t="s">
        <v>189</v>
      </c>
    </row>
    <row r="79" spans="1:6">
      <c r="A79" t="s">
        <v>190</v>
      </c>
      <c r="B79" t="s">
        <v>16</v>
      </c>
      <c r="C79" t="s">
        <v>191</v>
      </c>
      <c r="E79" t="s">
        <v>18</v>
      </c>
      <c r="F79" t="s">
        <v>19</v>
      </c>
    </row>
    <row r="80" spans="1:6">
      <c r="A80" t="s">
        <v>192</v>
      </c>
      <c r="B80" t="s">
        <v>16</v>
      </c>
      <c r="C80" t="s">
        <v>193</v>
      </c>
      <c r="E80" t="s">
        <v>18</v>
      </c>
      <c r="F80" t="s">
        <v>19</v>
      </c>
    </row>
    <row r="81" spans="1:6">
      <c r="A81" t="s">
        <v>194</v>
      </c>
      <c r="B81" t="s">
        <v>16</v>
      </c>
      <c r="C81" t="s">
        <v>195</v>
      </c>
      <c r="E81" t="s">
        <v>196</v>
      </c>
      <c r="F81" t="s">
        <v>197</v>
      </c>
    </row>
    <row r="82" spans="1:6">
      <c r="A82" t="s">
        <v>198</v>
      </c>
      <c r="B82" t="s">
        <v>16</v>
      </c>
      <c r="C82" t="s">
        <v>199</v>
      </c>
      <c r="E82" t="s">
        <v>18</v>
      </c>
      <c r="F82" t="s">
        <v>19</v>
      </c>
    </row>
    <row r="83" spans="1:6">
      <c r="A83" t="s">
        <v>200</v>
      </c>
      <c r="B83" t="s">
        <v>16</v>
      </c>
      <c r="C83" t="s">
        <v>201</v>
      </c>
      <c r="E83" t="s">
        <v>202</v>
      </c>
      <c r="F83" t="s">
        <v>203</v>
      </c>
    </row>
    <row r="84" spans="1:6">
      <c r="A84" t="s">
        <v>204</v>
      </c>
      <c r="B84" t="s">
        <v>16</v>
      </c>
      <c r="C84" t="s">
        <v>205</v>
      </c>
      <c r="E84" t="s">
        <v>18</v>
      </c>
      <c r="F84" t="s">
        <v>19</v>
      </c>
    </row>
    <row r="85" spans="1:6">
      <c r="A85" t="s">
        <v>206</v>
      </c>
      <c r="B85" t="s">
        <v>16</v>
      </c>
      <c r="C85" t="s">
        <v>207</v>
      </c>
      <c r="E85" t="s">
        <v>208</v>
      </c>
      <c r="F85" t="s">
        <v>209</v>
      </c>
    </row>
    <row r="86" spans="1:6">
      <c r="A86" t="s">
        <v>210</v>
      </c>
      <c r="B86" t="s">
        <v>16</v>
      </c>
      <c r="C86" t="s">
        <v>211</v>
      </c>
      <c r="E86" t="s">
        <v>18</v>
      </c>
      <c r="F86" t="s">
        <v>19</v>
      </c>
    </row>
    <row r="87" spans="1:6">
      <c r="A87" t="s">
        <v>212</v>
      </c>
      <c r="B87" t="s">
        <v>16</v>
      </c>
      <c r="C87" t="s">
        <v>213</v>
      </c>
      <c r="E87" t="s">
        <v>18</v>
      </c>
      <c r="F87" t="s">
        <v>19</v>
      </c>
    </row>
    <row r="88" spans="1:6">
      <c r="A88" t="s">
        <v>214</v>
      </c>
      <c r="B88" t="s">
        <v>16</v>
      </c>
      <c r="C88" t="s">
        <v>215</v>
      </c>
      <c r="E88" t="s">
        <v>18</v>
      </c>
      <c r="F88" t="s">
        <v>19</v>
      </c>
    </row>
    <row r="89" spans="1:6">
      <c r="A89" t="s">
        <v>216</v>
      </c>
      <c r="B89" t="s">
        <v>16</v>
      </c>
      <c r="C89" t="s">
        <v>217</v>
      </c>
      <c r="E89" t="s">
        <v>18</v>
      </c>
      <c r="F89" t="s">
        <v>19</v>
      </c>
    </row>
    <row r="90" spans="1:6">
      <c r="A90" t="s">
        <v>218</v>
      </c>
      <c r="B90" t="s">
        <v>16</v>
      </c>
      <c r="C90" t="s">
        <v>219</v>
      </c>
      <c r="E90" t="s">
        <v>18</v>
      </c>
      <c r="F90" t="s">
        <v>19</v>
      </c>
    </row>
    <row r="91" spans="1:6">
      <c r="A91" t="s">
        <v>220</v>
      </c>
      <c r="B91" t="s">
        <v>16</v>
      </c>
      <c r="C91" t="s">
        <v>221</v>
      </c>
      <c r="E91" t="s">
        <v>18</v>
      </c>
      <c r="F91" t="s">
        <v>19</v>
      </c>
    </row>
    <row r="92" spans="1:6">
      <c r="A92" t="s">
        <v>222</v>
      </c>
      <c r="B92" t="s">
        <v>16</v>
      </c>
      <c r="C92" t="s">
        <v>223</v>
      </c>
      <c r="E92" t="s">
        <v>224</v>
      </c>
      <c r="F92" t="s">
        <v>225</v>
      </c>
    </row>
    <row r="93" spans="1:6">
      <c r="A93" t="s">
        <v>226</v>
      </c>
      <c r="B93" t="s">
        <v>16</v>
      </c>
      <c r="C93" t="s">
        <v>227</v>
      </c>
      <c r="E93" t="s">
        <v>18</v>
      </c>
      <c r="F93" t="s">
        <v>19</v>
      </c>
    </row>
    <row r="94" spans="1:6">
      <c r="A94" t="s">
        <v>228</v>
      </c>
      <c r="B94" t="s">
        <v>16</v>
      </c>
      <c r="C94" t="s">
        <v>229</v>
      </c>
      <c r="E94" t="s">
        <v>18</v>
      </c>
      <c r="F94" t="s">
        <v>19</v>
      </c>
    </row>
    <row r="95" spans="1:6">
      <c r="A95" t="s">
        <v>230</v>
      </c>
      <c r="B95" t="s">
        <v>16</v>
      </c>
      <c r="C95" t="s">
        <v>231</v>
      </c>
      <c r="E95" t="s">
        <v>18</v>
      </c>
      <c r="F95" t="s">
        <v>19</v>
      </c>
    </row>
    <row r="96" spans="1:6">
      <c r="A96" t="s">
        <v>232</v>
      </c>
      <c r="B96" t="s">
        <v>16</v>
      </c>
      <c r="C96" t="s">
        <v>233</v>
      </c>
      <c r="E96" t="s">
        <v>18</v>
      </c>
      <c r="F96" t="s">
        <v>19</v>
      </c>
    </row>
    <row r="97" spans="1:6">
      <c r="A97" t="s">
        <v>234</v>
      </c>
      <c r="B97" t="s">
        <v>16</v>
      </c>
      <c r="C97" t="s">
        <v>235</v>
      </c>
      <c r="E97" t="s">
        <v>18</v>
      </c>
      <c r="F97" t="s">
        <v>19</v>
      </c>
    </row>
    <row r="98" spans="1:6">
      <c r="A98" t="s">
        <v>236</v>
      </c>
      <c r="B98" t="s">
        <v>16</v>
      </c>
      <c r="C98" t="s">
        <v>237</v>
      </c>
      <c r="E98" t="s">
        <v>34</v>
      </c>
      <c r="F98" t="s">
        <v>35</v>
      </c>
    </row>
    <row r="99" spans="1:6">
      <c r="A99" t="s">
        <v>238</v>
      </c>
      <c r="B99" t="s">
        <v>16</v>
      </c>
      <c r="C99" t="s">
        <v>41</v>
      </c>
      <c r="E99" t="s">
        <v>239</v>
      </c>
      <c r="F99" t="s">
        <v>43</v>
      </c>
    </row>
    <row r="100" spans="1:6">
      <c r="A100" t="s">
        <v>240</v>
      </c>
      <c r="B100" t="s">
        <v>16</v>
      </c>
      <c r="C100" t="s">
        <v>241</v>
      </c>
      <c r="E100" t="s">
        <v>34</v>
      </c>
      <c r="F100" t="s">
        <v>35</v>
      </c>
    </row>
    <row r="101" spans="1:6">
      <c r="A101" t="s">
        <v>242</v>
      </c>
      <c r="B101" t="s">
        <v>16</v>
      </c>
      <c r="C101" t="s">
        <v>243</v>
      </c>
      <c r="E101" t="s">
        <v>18</v>
      </c>
      <c r="F101" t="s">
        <v>19</v>
      </c>
    </row>
    <row r="102" spans="1:6">
      <c r="A102" t="s">
        <v>244</v>
      </c>
      <c r="B102" t="s">
        <v>16</v>
      </c>
      <c r="C102" t="s">
        <v>245</v>
      </c>
      <c r="E102" t="s">
        <v>18</v>
      </c>
      <c r="F102" t="s">
        <v>19</v>
      </c>
    </row>
    <row r="103" spans="1:6">
      <c r="A103" t="s">
        <v>246</v>
      </c>
      <c r="B103" t="s">
        <v>16</v>
      </c>
      <c r="C103" t="s">
        <v>247</v>
      </c>
      <c r="E103" t="s">
        <v>18</v>
      </c>
      <c r="F103" t="s">
        <v>19</v>
      </c>
    </row>
    <row r="104" spans="1:6">
      <c r="A104" t="s">
        <v>248</v>
      </c>
      <c r="B104" t="s">
        <v>16</v>
      </c>
      <c r="C104" t="s">
        <v>249</v>
      </c>
      <c r="E104" t="s">
        <v>18</v>
      </c>
      <c r="F104" t="s">
        <v>19</v>
      </c>
    </row>
    <row r="105" spans="1:6">
      <c r="A105" t="s">
        <v>250</v>
      </c>
      <c r="B105" t="s">
        <v>16</v>
      </c>
      <c r="C105" t="s">
        <v>251</v>
      </c>
      <c r="E105" t="s">
        <v>252</v>
      </c>
      <c r="F105" t="s">
        <v>253</v>
      </c>
    </row>
    <row r="106" spans="1:6">
      <c r="A106" t="s">
        <v>254</v>
      </c>
      <c r="B106" t="s">
        <v>16</v>
      </c>
      <c r="C106" t="s">
        <v>255</v>
      </c>
      <c r="E106" t="s">
        <v>34</v>
      </c>
      <c r="F106" t="s">
        <v>35</v>
      </c>
    </row>
    <row r="107" spans="1:6">
      <c r="A107" t="s">
        <v>256</v>
      </c>
      <c r="B107" t="s">
        <v>16</v>
      </c>
      <c r="C107" t="s">
        <v>41</v>
      </c>
      <c r="E107" t="s">
        <v>257</v>
      </c>
      <c r="F107" t="s">
        <v>258</v>
      </c>
    </row>
    <row r="108" spans="1:6">
      <c r="A108" t="s">
        <v>259</v>
      </c>
      <c r="B108" t="s">
        <v>16</v>
      </c>
      <c r="C108" t="s">
        <v>260</v>
      </c>
      <c r="E108" t="s">
        <v>34</v>
      </c>
      <c r="F108" t="s">
        <v>35</v>
      </c>
    </row>
    <row r="109" spans="1:6">
      <c r="A109" t="s">
        <v>261</v>
      </c>
      <c r="B109" t="s">
        <v>16</v>
      </c>
      <c r="C109" t="s">
        <v>262</v>
      </c>
      <c r="E109" t="s">
        <v>18</v>
      </c>
      <c r="F109" t="s">
        <v>19</v>
      </c>
    </row>
    <row r="110" spans="1:6">
      <c r="A110" t="s">
        <v>263</v>
      </c>
      <c r="B110" t="s">
        <v>16</v>
      </c>
      <c r="C110" t="s">
        <v>264</v>
      </c>
      <c r="E110" t="s">
        <v>34</v>
      </c>
      <c r="F110" t="s">
        <v>35</v>
      </c>
    </row>
    <row r="111" spans="1:6">
      <c r="A111" t="s">
        <v>265</v>
      </c>
      <c r="B111" t="s">
        <v>16</v>
      </c>
      <c r="C111" t="s">
        <v>266</v>
      </c>
      <c r="E111" t="s">
        <v>34</v>
      </c>
      <c r="F111" t="s">
        <v>35</v>
      </c>
    </row>
    <row r="112" spans="1:6">
      <c r="A112" t="s">
        <v>267</v>
      </c>
      <c r="B112" t="s">
        <v>16</v>
      </c>
      <c r="C112" t="s">
        <v>268</v>
      </c>
      <c r="E112" t="s">
        <v>269</v>
      </c>
      <c r="F112" t="s">
        <v>270</v>
      </c>
    </row>
    <row r="113" spans="1:6">
      <c r="A113" t="s">
        <v>271</v>
      </c>
      <c r="B113" t="s">
        <v>16</v>
      </c>
      <c r="C113" t="s">
        <v>272</v>
      </c>
      <c r="E113" t="s">
        <v>18</v>
      </c>
      <c r="F113" t="s">
        <v>19</v>
      </c>
    </row>
    <row r="114" spans="1:6">
      <c r="A114" t="s">
        <v>273</v>
      </c>
      <c r="B114" t="s">
        <v>16</v>
      </c>
      <c r="C114" t="s">
        <v>223</v>
      </c>
      <c r="E114" t="s">
        <v>274</v>
      </c>
      <c r="F114" t="s">
        <v>275</v>
      </c>
    </row>
    <row r="115" spans="1:6">
      <c r="A115" t="s">
        <v>276</v>
      </c>
      <c r="B115" t="s">
        <v>16</v>
      </c>
      <c r="C115" t="s">
        <v>277</v>
      </c>
      <c r="E115" t="s">
        <v>18</v>
      </c>
      <c r="F115" t="s">
        <v>19</v>
      </c>
    </row>
    <row r="116" spans="1:6">
      <c r="A116" t="s">
        <v>278</v>
      </c>
      <c r="B116" t="s">
        <v>16</v>
      </c>
      <c r="C116" t="s">
        <v>279</v>
      </c>
      <c r="E116" t="s">
        <v>18</v>
      </c>
      <c r="F116" t="s">
        <v>19</v>
      </c>
    </row>
    <row r="117" spans="1:6">
      <c r="A117" t="s">
        <v>280</v>
      </c>
      <c r="B117" t="s">
        <v>16</v>
      </c>
      <c r="C117" t="s">
        <v>281</v>
      </c>
      <c r="E117" t="s">
        <v>18</v>
      </c>
      <c r="F117" t="s">
        <v>19</v>
      </c>
    </row>
    <row r="118" spans="1:6">
      <c r="A118" t="s">
        <v>282</v>
      </c>
      <c r="B118" t="s">
        <v>16</v>
      </c>
      <c r="C118" t="s">
        <v>283</v>
      </c>
      <c r="E118" t="s">
        <v>18</v>
      </c>
      <c r="F118" t="s">
        <v>19</v>
      </c>
    </row>
    <row r="119" spans="1:6">
      <c r="A119" t="s">
        <v>284</v>
      </c>
      <c r="B119" t="s">
        <v>16</v>
      </c>
      <c r="C119" t="s">
        <v>285</v>
      </c>
      <c r="E119" t="s">
        <v>18</v>
      </c>
      <c r="F119" t="s">
        <v>19</v>
      </c>
    </row>
    <row r="120" spans="1:6">
      <c r="A120" t="s">
        <v>286</v>
      </c>
      <c r="B120" t="s">
        <v>16</v>
      </c>
      <c r="C120" t="s">
        <v>287</v>
      </c>
      <c r="E120" t="s">
        <v>18</v>
      </c>
      <c r="F120" t="s">
        <v>19</v>
      </c>
    </row>
    <row r="121" spans="1:6">
      <c r="A121" t="s">
        <v>288</v>
      </c>
      <c r="B121" t="s">
        <v>16</v>
      </c>
      <c r="C121" t="s">
        <v>289</v>
      </c>
      <c r="E121" t="s">
        <v>18</v>
      </c>
      <c r="F121" t="s">
        <v>19</v>
      </c>
    </row>
    <row r="122" spans="1:6">
      <c r="A122" t="s">
        <v>290</v>
      </c>
      <c r="B122" t="s">
        <v>16</v>
      </c>
      <c r="C122" t="s">
        <v>291</v>
      </c>
      <c r="E122" t="s">
        <v>18</v>
      </c>
      <c r="F122" t="s">
        <v>19</v>
      </c>
    </row>
    <row r="123" spans="1:6">
      <c r="A123" t="s">
        <v>292</v>
      </c>
      <c r="B123" t="s">
        <v>16</v>
      </c>
      <c r="C123" t="s">
        <v>293</v>
      </c>
      <c r="E123" t="s">
        <v>18</v>
      </c>
      <c r="F123" t="s">
        <v>19</v>
      </c>
    </row>
    <row r="124" spans="1:6">
      <c r="A124" t="s">
        <v>294</v>
      </c>
      <c r="B124" t="s">
        <v>16</v>
      </c>
      <c r="C124" t="s">
        <v>295</v>
      </c>
      <c r="E124" t="s">
        <v>18</v>
      </c>
      <c r="F124" t="s">
        <v>19</v>
      </c>
    </row>
    <row r="125" spans="1:6">
      <c r="A125" t="s">
        <v>296</v>
      </c>
      <c r="B125" t="s">
        <v>16</v>
      </c>
      <c r="C125" t="s">
        <v>297</v>
      </c>
      <c r="E125" t="s">
        <v>298</v>
      </c>
      <c r="F125" t="s">
        <v>299</v>
      </c>
    </row>
    <row r="126" spans="1:6">
      <c r="A126" t="s">
        <v>300</v>
      </c>
      <c r="B126" t="s">
        <v>16</v>
      </c>
      <c r="C126" t="s">
        <v>301</v>
      </c>
      <c r="E126" t="s">
        <v>302</v>
      </c>
      <c r="F126" t="s">
        <v>303</v>
      </c>
    </row>
    <row r="127" spans="1:6">
      <c r="A127" t="s">
        <v>304</v>
      </c>
      <c r="B127" t="s">
        <v>16</v>
      </c>
      <c r="C127" t="s">
        <v>305</v>
      </c>
      <c r="E127" t="s">
        <v>18</v>
      </c>
      <c r="F127" t="s">
        <v>19</v>
      </c>
    </row>
    <row r="128" spans="1:6">
      <c r="A128" t="s">
        <v>306</v>
      </c>
      <c r="B128" t="s">
        <v>16</v>
      </c>
      <c r="C128" t="s">
        <v>307</v>
      </c>
      <c r="E128" t="s">
        <v>18</v>
      </c>
      <c r="F128" t="s">
        <v>19</v>
      </c>
    </row>
    <row r="129" spans="1:6">
      <c r="A129" t="s">
        <v>308</v>
      </c>
      <c r="B129" t="s">
        <v>16</v>
      </c>
      <c r="C129" t="s">
        <v>309</v>
      </c>
      <c r="E129" t="s">
        <v>18</v>
      </c>
      <c r="F129" t="s">
        <v>19</v>
      </c>
    </row>
    <row r="130" spans="1:6">
      <c r="A130" t="s">
        <v>310</v>
      </c>
      <c r="B130" t="s">
        <v>16</v>
      </c>
      <c r="C130" t="s">
        <v>311</v>
      </c>
      <c r="E130" t="s">
        <v>312</v>
      </c>
      <c r="F130" t="s">
        <v>313</v>
      </c>
    </row>
    <row r="131" spans="1:6">
      <c r="A131" t="s">
        <v>314</v>
      </c>
      <c r="B131" t="s">
        <v>16</v>
      </c>
      <c r="C131" t="s">
        <v>315</v>
      </c>
      <c r="E131" t="s">
        <v>18</v>
      </c>
      <c r="F131" t="s">
        <v>19</v>
      </c>
    </row>
    <row r="132" spans="1:6">
      <c r="A132" t="s">
        <v>316</v>
      </c>
      <c r="B132" t="s">
        <v>16</v>
      </c>
      <c r="C132" t="s">
        <v>317</v>
      </c>
      <c r="E132" t="s">
        <v>18</v>
      </c>
      <c r="F132" t="s">
        <v>19</v>
      </c>
    </row>
    <row r="133" spans="1:6">
      <c r="A133" t="s">
        <v>318</v>
      </c>
      <c r="B133" t="s">
        <v>16</v>
      </c>
      <c r="C133" t="s">
        <v>319</v>
      </c>
      <c r="E133" t="s">
        <v>18</v>
      </c>
      <c r="F133" t="s">
        <v>19</v>
      </c>
    </row>
    <row r="134" spans="1:6">
      <c r="A134" t="s">
        <v>320</v>
      </c>
      <c r="B134" t="s">
        <v>16</v>
      </c>
      <c r="C134" t="s">
        <v>321</v>
      </c>
      <c r="E134" t="s">
        <v>82</v>
      </c>
      <c r="F134" t="s">
        <v>83</v>
      </c>
    </row>
    <row r="135" spans="1:6">
      <c r="A135" t="s">
        <v>322</v>
      </c>
      <c r="B135" t="s">
        <v>16</v>
      </c>
      <c r="C135" t="s">
        <v>323</v>
      </c>
      <c r="E135" t="s">
        <v>324</v>
      </c>
      <c r="F135" t="s">
        <v>325</v>
      </c>
    </row>
    <row r="136" spans="1:6">
      <c r="A136" t="s">
        <v>326</v>
      </c>
      <c r="B136" t="s">
        <v>16</v>
      </c>
      <c r="C136" t="s">
        <v>327</v>
      </c>
      <c r="E136" t="s">
        <v>18</v>
      </c>
      <c r="F136" t="s">
        <v>19</v>
      </c>
    </row>
    <row r="137" spans="1:6">
      <c r="A137" t="s">
        <v>328</v>
      </c>
      <c r="B137" t="s">
        <v>16</v>
      </c>
      <c r="C137" t="s">
        <v>329</v>
      </c>
      <c r="E137" t="s">
        <v>330</v>
      </c>
      <c r="F137" t="s">
        <v>331</v>
      </c>
    </row>
    <row r="138" spans="1:6">
      <c r="A138" t="s">
        <v>332</v>
      </c>
      <c r="B138" t="s">
        <v>16</v>
      </c>
      <c r="C138" t="s">
        <v>333</v>
      </c>
      <c r="E138" t="s">
        <v>18</v>
      </c>
      <c r="F138" t="s">
        <v>19</v>
      </c>
    </row>
    <row r="139" spans="1:6">
      <c r="A139" t="s">
        <v>334</v>
      </c>
      <c r="B139" t="s">
        <v>16</v>
      </c>
      <c r="C139" t="s">
        <v>335</v>
      </c>
      <c r="E139" t="s">
        <v>34</v>
      </c>
      <c r="F139" t="s">
        <v>35</v>
      </c>
    </row>
    <row r="140" spans="1:6">
      <c r="A140" t="s">
        <v>336</v>
      </c>
      <c r="B140" t="s">
        <v>16</v>
      </c>
      <c r="C140" t="s">
        <v>337</v>
      </c>
      <c r="E140" t="s">
        <v>18</v>
      </c>
      <c r="F140" t="s">
        <v>19</v>
      </c>
    </row>
    <row r="141" spans="1:6">
      <c r="A141" t="s">
        <v>338</v>
      </c>
      <c r="B141" t="s">
        <v>16</v>
      </c>
      <c r="C141" t="s">
        <v>339</v>
      </c>
      <c r="E141" t="s">
        <v>18</v>
      </c>
      <c r="F141" t="s">
        <v>19</v>
      </c>
    </row>
    <row r="142" spans="1:6">
      <c r="A142" t="s">
        <v>340</v>
      </c>
      <c r="B142" t="s">
        <v>16</v>
      </c>
      <c r="C142" t="s">
        <v>341</v>
      </c>
      <c r="E142" t="s">
        <v>18</v>
      </c>
      <c r="F142" t="s">
        <v>19</v>
      </c>
    </row>
    <row r="143" spans="1:6">
      <c r="A143" t="s">
        <v>342</v>
      </c>
      <c r="B143" t="s">
        <v>16</v>
      </c>
      <c r="C143" t="s">
        <v>343</v>
      </c>
      <c r="E143" t="s">
        <v>34</v>
      </c>
      <c r="F143" t="s">
        <v>35</v>
      </c>
    </row>
    <row r="144" spans="1:6">
      <c r="A144" t="s">
        <v>344</v>
      </c>
      <c r="B144" t="s">
        <v>16</v>
      </c>
      <c r="C144" t="s">
        <v>345</v>
      </c>
      <c r="E144" t="s">
        <v>18</v>
      </c>
      <c r="F144" t="s">
        <v>19</v>
      </c>
    </row>
    <row r="145" spans="1:6">
      <c r="A145" t="s">
        <v>346</v>
      </c>
      <c r="B145" t="s">
        <v>16</v>
      </c>
      <c r="C145" t="s">
        <v>347</v>
      </c>
      <c r="E145" t="s">
        <v>18</v>
      </c>
      <c r="F145" t="s">
        <v>19</v>
      </c>
    </row>
    <row r="146" spans="1:6">
      <c r="A146" t="s">
        <v>348</v>
      </c>
      <c r="B146" t="s">
        <v>16</v>
      </c>
      <c r="C146" t="s">
        <v>349</v>
      </c>
      <c r="E146" t="s">
        <v>18</v>
      </c>
      <c r="F146" t="s">
        <v>19</v>
      </c>
    </row>
    <row r="147" spans="1:6">
      <c r="A147" t="s">
        <v>350</v>
      </c>
      <c r="B147" t="s">
        <v>16</v>
      </c>
      <c r="C147" t="s">
        <v>351</v>
      </c>
      <c r="E147" t="s">
        <v>18</v>
      </c>
      <c r="F147" t="s">
        <v>19</v>
      </c>
    </row>
    <row r="148" spans="1:6">
      <c r="A148" t="s">
        <v>352</v>
      </c>
      <c r="B148" t="s">
        <v>16</v>
      </c>
      <c r="C148" t="s">
        <v>353</v>
      </c>
      <c r="E148" t="s">
        <v>18</v>
      </c>
      <c r="F148" t="s">
        <v>19</v>
      </c>
    </row>
    <row r="149" spans="1:6">
      <c r="A149" t="s">
        <v>354</v>
      </c>
      <c r="B149" t="s">
        <v>16</v>
      </c>
      <c r="C149" t="s">
        <v>41</v>
      </c>
      <c r="E149" t="s">
        <v>52</v>
      </c>
      <c r="F149" t="s">
        <v>53</v>
      </c>
    </row>
    <row r="150" spans="1:6">
      <c r="A150" t="s">
        <v>355</v>
      </c>
      <c r="B150" t="s">
        <v>16</v>
      </c>
      <c r="C150" t="s">
        <v>356</v>
      </c>
      <c r="E150" t="s">
        <v>18</v>
      </c>
      <c r="F150" t="s">
        <v>19</v>
      </c>
    </row>
    <row r="151" spans="1:6">
      <c r="A151" t="s">
        <v>357</v>
      </c>
      <c r="B151" t="s">
        <v>16</v>
      </c>
      <c r="C151" t="s">
        <v>358</v>
      </c>
      <c r="E151" t="s">
        <v>18</v>
      </c>
      <c r="F151" t="s">
        <v>19</v>
      </c>
    </row>
    <row r="152" spans="1:6">
      <c r="A152" t="s">
        <v>359</v>
      </c>
      <c r="B152" t="s">
        <v>16</v>
      </c>
      <c r="C152" t="s">
        <v>360</v>
      </c>
      <c r="E152" t="s">
        <v>18</v>
      </c>
      <c r="F152" t="s">
        <v>19</v>
      </c>
    </row>
    <row r="153" spans="1:6">
      <c r="A153" t="s">
        <v>361</v>
      </c>
      <c r="B153" t="s">
        <v>16</v>
      </c>
      <c r="C153" t="s">
        <v>362</v>
      </c>
      <c r="E153" t="s">
        <v>18</v>
      </c>
      <c r="F153" t="s">
        <v>19</v>
      </c>
    </row>
    <row r="154" spans="1:6">
      <c r="A154" t="s">
        <v>363</v>
      </c>
      <c r="B154" t="s">
        <v>16</v>
      </c>
      <c r="C154" t="s">
        <v>364</v>
      </c>
      <c r="E154" t="s">
        <v>56</v>
      </c>
      <c r="F154" t="s">
        <v>57</v>
      </c>
    </row>
    <row r="155" spans="1:6">
      <c r="A155" t="s">
        <v>365</v>
      </c>
      <c r="B155" t="s">
        <v>16</v>
      </c>
      <c r="C155" t="s">
        <v>366</v>
      </c>
      <c r="E155" t="s">
        <v>18</v>
      </c>
      <c r="F155" t="s">
        <v>19</v>
      </c>
    </row>
    <row r="156" spans="1:6">
      <c r="A156" t="s">
        <v>367</v>
      </c>
      <c r="B156" t="s">
        <v>16</v>
      </c>
      <c r="C156" t="s">
        <v>368</v>
      </c>
      <c r="E156" t="s">
        <v>18</v>
      </c>
      <c r="F156" t="s">
        <v>19</v>
      </c>
    </row>
    <row r="157" spans="1:6">
      <c r="A157" t="s">
        <v>369</v>
      </c>
      <c r="B157" t="s">
        <v>16</v>
      </c>
      <c r="C157" t="s">
        <v>370</v>
      </c>
      <c r="E157" t="s">
        <v>371</v>
      </c>
      <c r="F157" t="s">
        <v>372</v>
      </c>
    </row>
    <row r="158" spans="1:6">
      <c r="A158" t="s">
        <v>373</v>
      </c>
      <c r="B158" t="s">
        <v>16</v>
      </c>
      <c r="C158" t="s">
        <v>374</v>
      </c>
      <c r="E158" t="s">
        <v>18</v>
      </c>
      <c r="F158" t="s">
        <v>19</v>
      </c>
    </row>
    <row r="159" spans="1:6">
      <c r="A159" t="s">
        <v>375</v>
      </c>
      <c r="B159" t="s">
        <v>16</v>
      </c>
      <c r="C159" t="s">
        <v>376</v>
      </c>
      <c r="E159" t="s">
        <v>224</v>
      </c>
      <c r="F159" t="s">
        <v>225</v>
      </c>
    </row>
    <row r="160" spans="1:6">
      <c r="A160" t="s">
        <v>377</v>
      </c>
      <c r="B160" t="s">
        <v>16</v>
      </c>
      <c r="C160" t="s">
        <v>378</v>
      </c>
      <c r="E160" t="s">
        <v>379</v>
      </c>
      <c r="F160" t="s">
        <v>299</v>
      </c>
    </row>
    <row r="161" spans="1:6">
      <c r="A161" t="s">
        <v>380</v>
      </c>
      <c r="B161" t="s">
        <v>16</v>
      </c>
      <c r="C161" t="s">
        <v>381</v>
      </c>
      <c r="E161" t="s">
        <v>18</v>
      </c>
      <c r="F161" t="s">
        <v>19</v>
      </c>
    </row>
    <row r="162" spans="1:6">
      <c r="A162" t="s">
        <v>382</v>
      </c>
      <c r="B162" t="s">
        <v>16</v>
      </c>
      <c r="C162" t="s">
        <v>383</v>
      </c>
      <c r="E162" t="s">
        <v>34</v>
      </c>
      <c r="F162" t="s">
        <v>35</v>
      </c>
    </row>
    <row r="163" spans="1:6">
      <c r="A163" t="s">
        <v>384</v>
      </c>
      <c r="B163" t="s">
        <v>16</v>
      </c>
      <c r="C163" t="s">
        <v>385</v>
      </c>
      <c r="E163" t="s">
        <v>18</v>
      </c>
      <c r="F163" t="s">
        <v>19</v>
      </c>
    </row>
    <row r="164" spans="1:6">
      <c r="A164" t="s">
        <v>386</v>
      </c>
      <c r="B164" t="s">
        <v>16</v>
      </c>
      <c r="C164" t="s">
        <v>387</v>
      </c>
      <c r="E164" t="s">
        <v>18</v>
      </c>
      <c r="F164" t="s">
        <v>19</v>
      </c>
    </row>
    <row r="165" spans="1:6">
      <c r="A165" t="s">
        <v>388</v>
      </c>
      <c r="B165" t="s">
        <v>16</v>
      </c>
      <c r="C165" t="s">
        <v>389</v>
      </c>
      <c r="E165" t="s">
        <v>390</v>
      </c>
      <c r="F165" t="s">
        <v>391</v>
      </c>
    </row>
    <row r="166" spans="1:6">
      <c r="A166" t="s">
        <v>392</v>
      </c>
      <c r="B166" t="s">
        <v>16</v>
      </c>
      <c r="C166" t="s">
        <v>393</v>
      </c>
      <c r="E166" t="s">
        <v>18</v>
      </c>
      <c r="F166" t="s">
        <v>19</v>
      </c>
    </row>
    <row r="167" spans="1:6">
      <c r="A167" t="s">
        <v>394</v>
      </c>
      <c r="B167" t="s">
        <v>16</v>
      </c>
      <c r="C167" t="s">
        <v>395</v>
      </c>
      <c r="E167" t="s">
        <v>18</v>
      </c>
      <c r="F167" t="s">
        <v>19</v>
      </c>
    </row>
    <row r="168" spans="1:6">
      <c r="A168" t="s">
        <v>396</v>
      </c>
      <c r="B168" t="s">
        <v>16</v>
      </c>
      <c r="C168" t="s">
        <v>397</v>
      </c>
      <c r="E168" t="s">
        <v>34</v>
      </c>
      <c r="F168" t="s">
        <v>35</v>
      </c>
    </row>
    <row r="169" spans="1:6">
      <c r="A169" t="s">
        <v>398</v>
      </c>
      <c r="B169" t="s">
        <v>16</v>
      </c>
      <c r="C169" t="s">
        <v>399</v>
      </c>
      <c r="E169" t="s">
        <v>18</v>
      </c>
      <c r="F169" t="s">
        <v>19</v>
      </c>
    </row>
    <row r="170" spans="1:6">
      <c r="A170" t="s">
        <v>400</v>
      </c>
      <c r="B170" t="s">
        <v>16</v>
      </c>
      <c r="C170" t="s">
        <v>401</v>
      </c>
      <c r="E170" t="s">
        <v>18</v>
      </c>
      <c r="F170" t="s">
        <v>19</v>
      </c>
    </row>
    <row r="171" spans="1:6">
      <c r="A171" t="s">
        <v>402</v>
      </c>
      <c r="B171" t="s">
        <v>16</v>
      </c>
      <c r="C171" t="s">
        <v>403</v>
      </c>
      <c r="E171" t="s">
        <v>18</v>
      </c>
      <c r="F171" t="s">
        <v>19</v>
      </c>
    </row>
    <row r="172" spans="1:6">
      <c r="A172" t="s">
        <v>404</v>
      </c>
      <c r="B172" t="s">
        <v>16</v>
      </c>
      <c r="C172" t="s">
        <v>405</v>
      </c>
      <c r="E172" t="s">
        <v>18</v>
      </c>
      <c r="F172" t="s">
        <v>19</v>
      </c>
    </row>
    <row r="173" spans="1:6">
      <c r="A173" t="s">
        <v>406</v>
      </c>
      <c r="B173" t="s">
        <v>16</v>
      </c>
      <c r="C173" t="s">
        <v>407</v>
      </c>
      <c r="E173" t="s">
        <v>18</v>
      </c>
      <c r="F173" t="s">
        <v>19</v>
      </c>
    </row>
    <row r="174" spans="1:6">
      <c r="A174" t="s">
        <v>408</v>
      </c>
      <c r="B174" t="s">
        <v>16</v>
      </c>
      <c r="C174" t="s">
        <v>409</v>
      </c>
      <c r="E174" t="s">
        <v>18</v>
      </c>
      <c r="F174" t="s">
        <v>19</v>
      </c>
    </row>
    <row r="175" spans="1:6">
      <c r="A175" t="s">
        <v>410</v>
      </c>
      <c r="B175" t="s">
        <v>16</v>
      </c>
      <c r="C175" t="s">
        <v>411</v>
      </c>
      <c r="E175" t="s">
        <v>18</v>
      </c>
      <c r="F175" t="s">
        <v>19</v>
      </c>
    </row>
    <row r="176" spans="1:6">
      <c r="A176" t="s">
        <v>412</v>
      </c>
      <c r="B176" t="s">
        <v>16</v>
      </c>
      <c r="C176" t="s">
        <v>413</v>
      </c>
      <c r="E176" t="s">
        <v>18</v>
      </c>
      <c r="F176" t="s">
        <v>19</v>
      </c>
    </row>
    <row r="177" spans="1:6">
      <c r="A177" t="s">
        <v>414</v>
      </c>
      <c r="B177" t="s">
        <v>16</v>
      </c>
      <c r="C177" t="s">
        <v>415</v>
      </c>
      <c r="E177" t="s">
        <v>18</v>
      </c>
      <c r="F177" t="s">
        <v>19</v>
      </c>
    </row>
    <row r="178" spans="1:6">
      <c r="A178" t="s">
        <v>416</v>
      </c>
      <c r="B178" t="s">
        <v>16</v>
      </c>
      <c r="C178" t="s">
        <v>417</v>
      </c>
      <c r="E178" t="s">
        <v>42</v>
      </c>
      <c r="F178" t="s">
        <v>43</v>
      </c>
    </row>
    <row r="179" spans="1:6">
      <c r="A179" t="s">
        <v>418</v>
      </c>
      <c r="B179" t="s">
        <v>16</v>
      </c>
      <c r="C179" t="s">
        <v>419</v>
      </c>
      <c r="E179" t="s">
        <v>18</v>
      </c>
      <c r="F179" t="s">
        <v>19</v>
      </c>
    </row>
    <row r="180" spans="1:6">
      <c r="A180" t="s">
        <v>420</v>
      </c>
      <c r="B180" t="s">
        <v>16</v>
      </c>
      <c r="C180" t="s">
        <v>421</v>
      </c>
      <c r="E180" t="s">
        <v>18</v>
      </c>
      <c r="F180" t="s">
        <v>19</v>
      </c>
    </row>
    <row r="181" spans="1:6">
      <c r="A181" t="s">
        <v>422</v>
      </c>
      <c r="B181" t="s">
        <v>16</v>
      </c>
      <c r="C181" t="s">
        <v>423</v>
      </c>
      <c r="E181" t="s">
        <v>312</v>
      </c>
      <c r="F181" t="s">
        <v>313</v>
      </c>
    </row>
    <row r="182" spans="1:6">
      <c r="A182" t="s">
        <v>424</v>
      </c>
      <c r="B182" t="s">
        <v>16</v>
      </c>
      <c r="C182" t="s">
        <v>425</v>
      </c>
      <c r="E182" t="s">
        <v>426</v>
      </c>
      <c r="F182" t="s">
        <v>427</v>
      </c>
    </row>
    <row r="183" spans="1:6">
      <c r="A183" t="s">
        <v>428</v>
      </c>
      <c r="B183" t="s">
        <v>16</v>
      </c>
      <c r="C183" t="s">
        <v>429</v>
      </c>
      <c r="E183" t="s">
        <v>18</v>
      </c>
      <c r="F183" t="s">
        <v>19</v>
      </c>
    </row>
    <row r="184" spans="1:6">
      <c r="A184" t="s">
        <v>430</v>
      </c>
      <c r="B184" t="s">
        <v>16</v>
      </c>
      <c r="C184" t="s">
        <v>431</v>
      </c>
      <c r="E184" t="s">
        <v>18</v>
      </c>
      <c r="F184" t="s">
        <v>19</v>
      </c>
    </row>
    <row r="185" spans="1:6">
      <c r="A185" t="s">
        <v>432</v>
      </c>
      <c r="B185" t="s">
        <v>16</v>
      </c>
      <c r="C185" t="s">
        <v>433</v>
      </c>
      <c r="E185" t="s">
        <v>18</v>
      </c>
      <c r="F185" t="s">
        <v>19</v>
      </c>
    </row>
    <row r="186" spans="1:6">
      <c r="A186" t="s">
        <v>434</v>
      </c>
      <c r="B186" t="s">
        <v>16</v>
      </c>
      <c r="C186" t="s">
        <v>435</v>
      </c>
      <c r="E186" t="s">
        <v>18</v>
      </c>
      <c r="F186" t="s">
        <v>19</v>
      </c>
    </row>
    <row r="187" spans="1:6">
      <c r="A187" t="s">
        <v>436</v>
      </c>
      <c r="B187" t="s">
        <v>16</v>
      </c>
      <c r="C187" t="s">
        <v>437</v>
      </c>
      <c r="E187" t="s">
        <v>18</v>
      </c>
      <c r="F187" t="s">
        <v>19</v>
      </c>
    </row>
    <row r="188" spans="1:6">
      <c r="A188" t="s">
        <v>438</v>
      </c>
      <c r="B188" t="s">
        <v>16</v>
      </c>
      <c r="C188" t="s">
        <v>439</v>
      </c>
      <c r="E188" t="s">
        <v>18</v>
      </c>
      <c r="F188" t="s">
        <v>19</v>
      </c>
    </row>
    <row r="189" spans="1:6">
      <c r="A189" t="s">
        <v>440</v>
      </c>
      <c r="B189" t="s">
        <v>16</v>
      </c>
      <c r="C189" t="s">
        <v>376</v>
      </c>
      <c r="E189" t="s">
        <v>56</v>
      </c>
      <c r="F189" t="s">
        <v>57</v>
      </c>
    </row>
    <row r="190" spans="1:6">
      <c r="A190" t="s">
        <v>441</v>
      </c>
      <c r="B190" t="s">
        <v>16</v>
      </c>
      <c r="C190" t="s">
        <v>442</v>
      </c>
      <c r="E190" t="s">
        <v>18</v>
      </c>
      <c r="F190" t="s">
        <v>19</v>
      </c>
    </row>
    <row r="191" spans="1:6">
      <c r="A191" t="s">
        <v>443</v>
      </c>
      <c r="B191" t="s">
        <v>16</v>
      </c>
      <c r="C191" t="s">
        <v>376</v>
      </c>
      <c r="E191" t="s">
        <v>274</v>
      </c>
      <c r="F191" t="s">
        <v>275</v>
      </c>
    </row>
    <row r="192" spans="1:6">
      <c r="A192" t="s">
        <v>444</v>
      </c>
      <c r="B192" t="s">
        <v>16</v>
      </c>
      <c r="C192" t="s">
        <v>445</v>
      </c>
      <c r="E192" t="s">
        <v>18</v>
      </c>
      <c r="F192" t="s">
        <v>19</v>
      </c>
    </row>
    <row r="193" spans="1:6">
      <c r="A193" t="s">
        <v>446</v>
      </c>
      <c r="B193" t="s">
        <v>16</v>
      </c>
      <c r="C193" t="s">
        <v>447</v>
      </c>
      <c r="E193" t="s">
        <v>18</v>
      </c>
      <c r="F193" t="s">
        <v>19</v>
      </c>
    </row>
    <row r="194" spans="1:6">
      <c r="A194" t="s">
        <v>448</v>
      </c>
      <c r="B194" t="s">
        <v>16</v>
      </c>
      <c r="C194" t="s">
        <v>449</v>
      </c>
      <c r="E194" t="s">
        <v>18</v>
      </c>
      <c r="F194" t="s">
        <v>19</v>
      </c>
    </row>
    <row r="195" spans="1:6">
      <c r="A195" t="s">
        <v>450</v>
      </c>
      <c r="B195" t="s">
        <v>16</v>
      </c>
      <c r="C195" t="s">
        <v>451</v>
      </c>
      <c r="E195" t="s">
        <v>330</v>
      </c>
      <c r="F195" t="s">
        <v>331</v>
      </c>
    </row>
    <row r="196" spans="1:6">
      <c r="A196" t="s">
        <v>452</v>
      </c>
      <c r="B196" t="s">
        <v>16</v>
      </c>
      <c r="C196" t="s">
        <v>453</v>
      </c>
      <c r="E196" t="s">
        <v>18</v>
      </c>
      <c r="F196" t="s">
        <v>19</v>
      </c>
    </row>
    <row r="197" spans="1:6">
      <c r="A197" t="s">
        <v>454</v>
      </c>
      <c r="B197" t="s">
        <v>16</v>
      </c>
      <c r="C197" t="s">
        <v>455</v>
      </c>
      <c r="E197" t="s">
        <v>456</v>
      </c>
      <c r="F197" t="s">
        <v>457</v>
      </c>
    </row>
    <row r="198" spans="1:6">
      <c r="A198" t="s">
        <v>458</v>
      </c>
      <c r="B198" t="s">
        <v>16</v>
      </c>
      <c r="C198" t="s">
        <v>459</v>
      </c>
      <c r="E198" t="s">
        <v>18</v>
      </c>
      <c r="F198" t="s">
        <v>19</v>
      </c>
    </row>
    <row r="199" spans="1:6">
      <c r="A199" t="s">
        <v>460</v>
      </c>
      <c r="B199" t="s">
        <v>16</v>
      </c>
      <c r="C199" t="s">
        <v>461</v>
      </c>
      <c r="E199" t="s">
        <v>18</v>
      </c>
      <c r="F199" t="s">
        <v>19</v>
      </c>
    </row>
    <row r="200" spans="1:6">
      <c r="A200" t="s">
        <v>462</v>
      </c>
      <c r="B200" t="s">
        <v>16</v>
      </c>
      <c r="C200" t="s">
        <v>463</v>
      </c>
      <c r="E200" t="s">
        <v>18</v>
      </c>
      <c r="F200" t="s">
        <v>19</v>
      </c>
    </row>
    <row r="201" spans="1:6">
      <c r="A201" t="s">
        <v>464</v>
      </c>
      <c r="B201" t="s">
        <v>16</v>
      </c>
      <c r="C201" t="s">
        <v>465</v>
      </c>
      <c r="E201" t="s">
        <v>18</v>
      </c>
      <c r="F201" t="s">
        <v>19</v>
      </c>
    </row>
    <row r="202" spans="1:6">
      <c r="A202" t="s">
        <v>466</v>
      </c>
      <c r="B202" t="s">
        <v>16</v>
      </c>
      <c r="C202" t="s">
        <v>467</v>
      </c>
      <c r="E202" t="s">
        <v>56</v>
      </c>
      <c r="F202" t="s">
        <v>57</v>
      </c>
    </row>
    <row r="203" spans="1:6">
      <c r="A203" t="s">
        <v>468</v>
      </c>
      <c r="B203" t="s">
        <v>16</v>
      </c>
      <c r="C203" t="s">
        <v>469</v>
      </c>
      <c r="E203" t="s">
        <v>18</v>
      </c>
      <c r="F203" t="s">
        <v>19</v>
      </c>
    </row>
    <row r="204" spans="1:6">
      <c r="A204" t="s">
        <v>470</v>
      </c>
      <c r="B204" t="s">
        <v>16</v>
      </c>
      <c r="C204" t="s">
        <v>471</v>
      </c>
      <c r="E204" t="s">
        <v>18</v>
      </c>
      <c r="F204" t="s">
        <v>19</v>
      </c>
    </row>
    <row r="205" spans="1:6">
      <c r="A205" t="s">
        <v>472</v>
      </c>
      <c r="B205" t="s">
        <v>16</v>
      </c>
      <c r="C205" t="s">
        <v>473</v>
      </c>
      <c r="E205" t="s">
        <v>18</v>
      </c>
      <c r="F205" t="s">
        <v>19</v>
      </c>
    </row>
    <row r="206" spans="1:6">
      <c r="A206" t="s">
        <v>474</v>
      </c>
      <c r="B206" t="s">
        <v>16</v>
      </c>
      <c r="C206" t="s">
        <v>364</v>
      </c>
      <c r="E206" t="s">
        <v>475</v>
      </c>
      <c r="F206" t="s">
        <v>476</v>
      </c>
    </row>
    <row r="207" spans="1:6">
      <c r="A207" t="s">
        <v>477</v>
      </c>
      <c r="B207" t="s">
        <v>16</v>
      </c>
      <c r="C207" t="s">
        <v>478</v>
      </c>
      <c r="E207" t="s">
        <v>18</v>
      </c>
      <c r="F207" t="s">
        <v>19</v>
      </c>
    </row>
    <row r="208" spans="1:6">
      <c r="A208" t="s">
        <v>479</v>
      </c>
      <c r="B208" t="s">
        <v>16</v>
      </c>
      <c r="C208" t="s">
        <v>480</v>
      </c>
      <c r="E208" t="s">
        <v>18</v>
      </c>
      <c r="F208" t="s">
        <v>19</v>
      </c>
    </row>
    <row r="209" spans="1:6">
      <c r="A209" t="s">
        <v>481</v>
      </c>
      <c r="B209" t="s">
        <v>16</v>
      </c>
      <c r="C209" t="s">
        <v>482</v>
      </c>
      <c r="E209" t="s">
        <v>18</v>
      </c>
      <c r="F209" t="s">
        <v>19</v>
      </c>
    </row>
    <row r="210" spans="1:6">
      <c r="A210" t="s">
        <v>483</v>
      </c>
      <c r="B210" t="s">
        <v>16</v>
      </c>
      <c r="C210" t="s">
        <v>484</v>
      </c>
      <c r="E210" t="s">
        <v>18</v>
      </c>
      <c r="F210" t="s">
        <v>19</v>
      </c>
    </row>
    <row r="211" spans="1:6">
      <c r="A211" t="s">
        <v>485</v>
      </c>
      <c r="B211" t="s">
        <v>16</v>
      </c>
      <c r="C211" t="s">
        <v>486</v>
      </c>
      <c r="E211" t="s">
        <v>18</v>
      </c>
      <c r="F211" t="s">
        <v>19</v>
      </c>
    </row>
    <row r="212" spans="1:6">
      <c r="A212" t="s">
        <v>487</v>
      </c>
      <c r="B212" t="s">
        <v>16</v>
      </c>
      <c r="C212" t="s">
        <v>488</v>
      </c>
      <c r="E212" t="s">
        <v>18</v>
      </c>
      <c r="F212" t="s">
        <v>19</v>
      </c>
    </row>
    <row r="213" spans="1:6">
      <c r="A213" t="s">
        <v>489</v>
      </c>
      <c r="B213" t="s">
        <v>16</v>
      </c>
      <c r="C213" t="s">
        <v>490</v>
      </c>
      <c r="E213" t="s">
        <v>18</v>
      </c>
      <c r="F213" t="s">
        <v>19</v>
      </c>
    </row>
    <row r="214" spans="1:6">
      <c r="A214" t="s">
        <v>491</v>
      </c>
      <c r="B214" t="s">
        <v>16</v>
      </c>
      <c r="C214" t="s">
        <v>492</v>
      </c>
      <c r="E214" t="s">
        <v>34</v>
      </c>
      <c r="F214" t="s">
        <v>35</v>
      </c>
    </row>
    <row r="215" spans="1:6">
      <c r="A215" t="s">
        <v>493</v>
      </c>
      <c r="B215" t="s">
        <v>16</v>
      </c>
      <c r="C215" t="s">
        <v>494</v>
      </c>
      <c r="E215" t="s">
        <v>18</v>
      </c>
      <c r="F215" t="s">
        <v>19</v>
      </c>
    </row>
    <row r="216" spans="1:6">
      <c r="A216" t="s">
        <v>495</v>
      </c>
      <c r="B216" t="s">
        <v>16</v>
      </c>
      <c r="C216" t="s">
        <v>496</v>
      </c>
      <c r="E216" t="s">
        <v>497</v>
      </c>
      <c r="F216" t="s">
        <v>498</v>
      </c>
    </row>
    <row r="217" spans="1:6">
      <c r="A217" t="s">
        <v>499</v>
      </c>
      <c r="B217" t="s">
        <v>16</v>
      </c>
      <c r="C217" t="s">
        <v>500</v>
      </c>
      <c r="E217" t="s">
        <v>18</v>
      </c>
      <c r="F217" t="s">
        <v>19</v>
      </c>
    </row>
    <row r="218" spans="1:6">
      <c r="A218" t="s">
        <v>501</v>
      </c>
      <c r="B218" t="s">
        <v>16</v>
      </c>
      <c r="C218" t="s">
        <v>502</v>
      </c>
      <c r="E218" t="s">
        <v>18</v>
      </c>
      <c r="F218" t="s">
        <v>19</v>
      </c>
    </row>
    <row r="219" spans="1:6">
      <c r="A219" t="s">
        <v>503</v>
      </c>
      <c r="B219" t="s">
        <v>16</v>
      </c>
      <c r="C219" t="s">
        <v>504</v>
      </c>
      <c r="E219" t="s">
        <v>18</v>
      </c>
      <c r="F219" t="s">
        <v>19</v>
      </c>
    </row>
    <row r="220" spans="1:6">
      <c r="A220" t="s">
        <v>505</v>
      </c>
      <c r="B220" t="s">
        <v>16</v>
      </c>
      <c r="C220" t="s">
        <v>506</v>
      </c>
      <c r="E220" t="s">
        <v>18</v>
      </c>
      <c r="F220" t="s">
        <v>19</v>
      </c>
    </row>
    <row r="221" spans="1:6">
      <c r="A221" t="s">
        <v>507</v>
      </c>
      <c r="B221" t="s">
        <v>16</v>
      </c>
      <c r="C221" t="s">
        <v>508</v>
      </c>
      <c r="E221" t="s">
        <v>18</v>
      </c>
      <c r="F221" t="s">
        <v>19</v>
      </c>
    </row>
    <row r="222" spans="1:6">
      <c r="A222" t="s">
        <v>509</v>
      </c>
      <c r="B222" t="s">
        <v>16</v>
      </c>
      <c r="C222" t="s">
        <v>510</v>
      </c>
      <c r="E222" t="s">
        <v>18</v>
      </c>
      <c r="F222" t="s">
        <v>19</v>
      </c>
    </row>
    <row r="223" spans="1:6">
      <c r="A223" t="s">
        <v>511</v>
      </c>
      <c r="B223" t="s">
        <v>16</v>
      </c>
      <c r="C223" t="s">
        <v>512</v>
      </c>
      <c r="E223" t="s">
        <v>18</v>
      </c>
      <c r="F223" t="s">
        <v>19</v>
      </c>
    </row>
    <row r="224" spans="1:6">
      <c r="A224" t="s">
        <v>513</v>
      </c>
      <c r="B224" t="s">
        <v>16</v>
      </c>
      <c r="C224" t="s">
        <v>514</v>
      </c>
      <c r="E224" t="s">
        <v>330</v>
      </c>
      <c r="F224" t="s">
        <v>331</v>
      </c>
    </row>
    <row r="225" spans="1:6">
      <c r="A225" t="s">
        <v>515</v>
      </c>
      <c r="B225" t="s">
        <v>16</v>
      </c>
      <c r="C225" t="s">
        <v>516</v>
      </c>
      <c r="E225" t="s">
        <v>18</v>
      </c>
      <c r="F225" t="s">
        <v>19</v>
      </c>
    </row>
    <row r="226" spans="1:6">
      <c r="A226" t="s">
        <v>517</v>
      </c>
      <c r="B226" t="s">
        <v>16</v>
      </c>
      <c r="C226" t="s">
        <v>518</v>
      </c>
      <c r="E226" t="s">
        <v>18</v>
      </c>
      <c r="F226" t="s">
        <v>19</v>
      </c>
    </row>
    <row r="227" spans="1:6">
      <c r="A227" t="s">
        <v>519</v>
      </c>
      <c r="B227" t="s">
        <v>16</v>
      </c>
      <c r="C227" t="s">
        <v>520</v>
      </c>
      <c r="E227" t="s">
        <v>18</v>
      </c>
      <c r="F227" t="s">
        <v>19</v>
      </c>
    </row>
    <row r="228" spans="1:6">
      <c r="A228" t="s">
        <v>521</v>
      </c>
      <c r="B228" t="s">
        <v>16</v>
      </c>
      <c r="C228" t="s">
        <v>522</v>
      </c>
      <c r="E228" t="s">
        <v>18</v>
      </c>
      <c r="F228" t="s">
        <v>19</v>
      </c>
    </row>
    <row r="229" spans="1:6">
      <c r="A229" t="s">
        <v>523</v>
      </c>
      <c r="B229" t="s">
        <v>16</v>
      </c>
      <c r="C229" t="s">
        <v>524</v>
      </c>
      <c r="E229" t="s">
        <v>18</v>
      </c>
      <c r="F229" t="s">
        <v>19</v>
      </c>
    </row>
    <row r="230" spans="1:6">
      <c r="A230" t="s">
        <v>525</v>
      </c>
      <c r="B230" t="s">
        <v>16</v>
      </c>
      <c r="C230" t="s">
        <v>526</v>
      </c>
      <c r="E230" t="s">
        <v>18</v>
      </c>
      <c r="F230" t="s">
        <v>19</v>
      </c>
    </row>
    <row r="231" spans="1:6">
      <c r="A231" t="s">
        <v>527</v>
      </c>
      <c r="B231" t="s">
        <v>16</v>
      </c>
      <c r="C231" t="s">
        <v>528</v>
      </c>
      <c r="E231" t="s">
        <v>18</v>
      </c>
      <c r="F231" t="s">
        <v>19</v>
      </c>
    </row>
    <row r="232" spans="1:6">
      <c r="A232" t="s">
        <v>529</v>
      </c>
      <c r="B232" t="s">
        <v>16</v>
      </c>
      <c r="C232" t="s">
        <v>85</v>
      </c>
      <c r="E232" t="s">
        <v>18</v>
      </c>
      <c r="F232" t="s">
        <v>19</v>
      </c>
    </row>
    <row r="233" spans="1:6">
      <c r="A233" t="s">
        <v>530</v>
      </c>
      <c r="B233" t="s">
        <v>16</v>
      </c>
      <c r="C233" t="s">
        <v>531</v>
      </c>
      <c r="E233" t="s">
        <v>456</v>
      </c>
      <c r="F233" t="s">
        <v>457</v>
      </c>
    </row>
    <row r="234" spans="1:6">
      <c r="A234" t="s">
        <v>532</v>
      </c>
      <c r="B234" t="s">
        <v>16</v>
      </c>
      <c r="C234" t="s">
        <v>533</v>
      </c>
      <c r="E234" t="s">
        <v>18</v>
      </c>
      <c r="F234" t="s">
        <v>19</v>
      </c>
    </row>
    <row r="235" spans="1:6">
      <c r="A235" t="s">
        <v>534</v>
      </c>
      <c r="B235" t="s">
        <v>16</v>
      </c>
      <c r="C235" t="s">
        <v>535</v>
      </c>
      <c r="E235" t="s">
        <v>34</v>
      </c>
      <c r="F235" t="s">
        <v>35</v>
      </c>
    </row>
    <row r="236" spans="1:6">
      <c r="A236" t="s">
        <v>536</v>
      </c>
      <c r="B236" t="s">
        <v>16</v>
      </c>
      <c r="C236" t="s">
        <v>537</v>
      </c>
      <c r="E236" t="s">
        <v>18</v>
      </c>
      <c r="F236" t="s">
        <v>19</v>
      </c>
    </row>
    <row r="237" spans="1:6">
      <c r="A237" t="s">
        <v>538</v>
      </c>
      <c r="B237" t="s">
        <v>16</v>
      </c>
      <c r="C237" t="s">
        <v>539</v>
      </c>
      <c r="E237" t="s">
        <v>18</v>
      </c>
      <c r="F237" t="s">
        <v>19</v>
      </c>
    </row>
    <row r="238" spans="1:6">
      <c r="A238" t="s">
        <v>540</v>
      </c>
      <c r="B238" t="s">
        <v>16</v>
      </c>
      <c r="C238" t="s">
        <v>541</v>
      </c>
      <c r="E238" t="s">
        <v>34</v>
      </c>
      <c r="F238" t="s">
        <v>35</v>
      </c>
    </row>
    <row r="239" spans="1:6">
      <c r="A239" t="s">
        <v>542</v>
      </c>
      <c r="B239" t="s">
        <v>16</v>
      </c>
      <c r="C239" t="s">
        <v>543</v>
      </c>
      <c r="E239" t="s">
        <v>18</v>
      </c>
      <c r="F239" t="s">
        <v>19</v>
      </c>
    </row>
    <row r="240" spans="1:6">
      <c r="A240" t="s">
        <v>544</v>
      </c>
      <c r="B240" t="s">
        <v>16</v>
      </c>
      <c r="C240" t="s">
        <v>545</v>
      </c>
      <c r="E240" t="s">
        <v>18</v>
      </c>
      <c r="F240" t="s">
        <v>19</v>
      </c>
    </row>
    <row r="241" spans="1:6">
      <c r="A241" t="s">
        <v>546</v>
      </c>
      <c r="B241" t="s">
        <v>16</v>
      </c>
      <c r="C241" t="s">
        <v>547</v>
      </c>
      <c r="E241" t="s">
        <v>18</v>
      </c>
      <c r="F241" t="s">
        <v>19</v>
      </c>
    </row>
    <row r="242" spans="1:6">
      <c r="A242" t="s">
        <v>548</v>
      </c>
      <c r="B242" t="s">
        <v>16</v>
      </c>
      <c r="C242" t="s">
        <v>549</v>
      </c>
      <c r="E242" t="s">
        <v>18</v>
      </c>
      <c r="F242" t="s">
        <v>19</v>
      </c>
    </row>
    <row r="243" spans="1:6">
      <c r="A243" t="s">
        <v>550</v>
      </c>
      <c r="B243" t="s">
        <v>16</v>
      </c>
      <c r="C243" t="s">
        <v>551</v>
      </c>
      <c r="E243" t="s">
        <v>18</v>
      </c>
      <c r="F243" t="s">
        <v>19</v>
      </c>
    </row>
    <row r="244" spans="1:6">
      <c r="A244" t="s">
        <v>552</v>
      </c>
      <c r="B244" t="s">
        <v>16</v>
      </c>
      <c r="C244" t="s">
        <v>553</v>
      </c>
      <c r="E244" t="s">
        <v>18</v>
      </c>
      <c r="F244" t="s">
        <v>19</v>
      </c>
    </row>
    <row r="245" spans="1:6">
      <c r="A245" t="s">
        <v>554</v>
      </c>
      <c r="B245" t="s">
        <v>16</v>
      </c>
      <c r="C245" t="s">
        <v>555</v>
      </c>
      <c r="E245" t="s">
        <v>18</v>
      </c>
      <c r="F245" t="s">
        <v>19</v>
      </c>
    </row>
    <row r="246" spans="1:6">
      <c r="A246" t="s">
        <v>556</v>
      </c>
      <c r="B246" t="s">
        <v>16</v>
      </c>
      <c r="C246" t="s">
        <v>557</v>
      </c>
      <c r="E246" t="s">
        <v>170</v>
      </c>
      <c r="F246" t="s">
        <v>171</v>
      </c>
    </row>
    <row r="247" spans="1:6">
      <c r="A247" t="s">
        <v>558</v>
      </c>
      <c r="B247" t="s">
        <v>16</v>
      </c>
      <c r="C247" t="s">
        <v>559</v>
      </c>
      <c r="E247" t="s">
        <v>34</v>
      </c>
      <c r="F247" t="s">
        <v>35</v>
      </c>
    </row>
    <row r="248" spans="1:6">
      <c r="A248" t="s">
        <v>560</v>
      </c>
      <c r="B248" t="s">
        <v>16</v>
      </c>
      <c r="C248" t="s">
        <v>561</v>
      </c>
      <c r="E248" t="s">
        <v>18</v>
      </c>
      <c r="F248" t="s">
        <v>19</v>
      </c>
    </row>
    <row r="249" spans="1:6">
      <c r="A249" t="s">
        <v>562</v>
      </c>
      <c r="B249" t="s">
        <v>16</v>
      </c>
      <c r="C249" t="s">
        <v>563</v>
      </c>
      <c r="E249" t="s">
        <v>34</v>
      </c>
      <c r="F249" t="s">
        <v>35</v>
      </c>
    </row>
    <row r="250" spans="1:6">
      <c r="A250" t="s">
        <v>564</v>
      </c>
      <c r="B250" t="s">
        <v>16</v>
      </c>
      <c r="C250" t="s">
        <v>565</v>
      </c>
      <c r="E250" t="s">
        <v>18</v>
      </c>
      <c r="F250" t="s">
        <v>19</v>
      </c>
    </row>
    <row r="251" spans="1:6">
      <c r="A251" t="s">
        <v>566</v>
      </c>
      <c r="B251" t="s">
        <v>16</v>
      </c>
      <c r="C251" t="s">
        <v>567</v>
      </c>
      <c r="E251" t="s">
        <v>34</v>
      </c>
      <c r="F251" t="s">
        <v>35</v>
      </c>
    </row>
    <row r="252" spans="1:6">
      <c r="A252" t="s">
        <v>568</v>
      </c>
      <c r="B252" t="s">
        <v>16</v>
      </c>
      <c r="C252" t="s">
        <v>569</v>
      </c>
      <c r="E252" t="s">
        <v>18</v>
      </c>
      <c r="F252" t="s">
        <v>19</v>
      </c>
    </row>
    <row r="253" spans="1:6">
      <c r="A253" t="s">
        <v>570</v>
      </c>
      <c r="B253" t="s">
        <v>16</v>
      </c>
      <c r="C253" t="s">
        <v>571</v>
      </c>
      <c r="E253" t="s">
        <v>18</v>
      </c>
      <c r="F253" t="s">
        <v>19</v>
      </c>
    </row>
    <row r="254" spans="1:6">
      <c r="A254" t="s">
        <v>572</v>
      </c>
      <c r="B254" t="s">
        <v>16</v>
      </c>
      <c r="C254" t="s">
        <v>573</v>
      </c>
      <c r="E254" t="s">
        <v>18</v>
      </c>
      <c r="F254" t="s">
        <v>19</v>
      </c>
    </row>
    <row r="255" spans="1:6">
      <c r="A255" t="s">
        <v>574</v>
      </c>
      <c r="B255" t="s">
        <v>16</v>
      </c>
      <c r="C255" t="s">
        <v>575</v>
      </c>
      <c r="E255" t="s">
        <v>257</v>
      </c>
      <c r="F255" t="s">
        <v>258</v>
      </c>
    </row>
    <row r="256" spans="1:6">
      <c r="A256" t="s">
        <v>576</v>
      </c>
      <c r="B256" t="s">
        <v>16</v>
      </c>
      <c r="C256" t="s">
        <v>577</v>
      </c>
      <c r="E256" t="s">
        <v>18</v>
      </c>
      <c r="F256" t="s">
        <v>19</v>
      </c>
    </row>
    <row r="257" spans="1:6">
      <c r="A257" t="s">
        <v>578</v>
      </c>
      <c r="B257" t="s">
        <v>16</v>
      </c>
      <c r="C257" t="s">
        <v>579</v>
      </c>
      <c r="E257" t="s">
        <v>18</v>
      </c>
      <c r="F257" t="s">
        <v>19</v>
      </c>
    </row>
    <row r="258" spans="1:6">
      <c r="A258" t="s">
        <v>580</v>
      </c>
      <c r="B258" t="s">
        <v>16</v>
      </c>
      <c r="C258" t="s">
        <v>581</v>
      </c>
      <c r="E258" t="s">
        <v>18</v>
      </c>
      <c r="F258" t="s">
        <v>19</v>
      </c>
    </row>
    <row r="259" spans="1:6">
      <c r="A259" t="s">
        <v>582</v>
      </c>
      <c r="B259" t="s">
        <v>16</v>
      </c>
      <c r="C259" t="s">
        <v>583</v>
      </c>
      <c r="E259" t="s">
        <v>18</v>
      </c>
      <c r="F259" t="s">
        <v>19</v>
      </c>
    </row>
    <row r="260" spans="1:6">
      <c r="A260" t="s">
        <v>584</v>
      </c>
      <c r="B260" t="s">
        <v>16</v>
      </c>
      <c r="C260" t="s">
        <v>585</v>
      </c>
      <c r="E260" t="s">
        <v>390</v>
      </c>
      <c r="F260" t="s">
        <v>391</v>
      </c>
    </row>
    <row r="261" spans="1:6">
      <c r="A261" t="s">
        <v>586</v>
      </c>
      <c r="B261" t="s">
        <v>16</v>
      </c>
      <c r="C261" t="s">
        <v>587</v>
      </c>
      <c r="E261" t="s">
        <v>18</v>
      </c>
      <c r="F261" t="s">
        <v>19</v>
      </c>
    </row>
    <row r="262" spans="1:6">
      <c r="A262" t="s">
        <v>588</v>
      </c>
      <c r="B262" t="s">
        <v>16</v>
      </c>
      <c r="C262" t="s">
        <v>589</v>
      </c>
      <c r="E262" t="s">
        <v>18</v>
      </c>
      <c r="F262" t="s">
        <v>19</v>
      </c>
    </row>
    <row r="263" spans="1:6">
      <c r="A263" t="s">
        <v>590</v>
      </c>
      <c r="B263" t="s">
        <v>16</v>
      </c>
      <c r="C263" t="s">
        <v>591</v>
      </c>
      <c r="E263" t="s">
        <v>18</v>
      </c>
      <c r="F263" t="s">
        <v>19</v>
      </c>
    </row>
    <row r="264" spans="1:6">
      <c r="A264" t="s">
        <v>592</v>
      </c>
      <c r="B264" t="s">
        <v>16</v>
      </c>
      <c r="C264" t="s">
        <v>593</v>
      </c>
      <c r="E264" t="s">
        <v>18</v>
      </c>
      <c r="F264" t="s">
        <v>19</v>
      </c>
    </row>
    <row r="265" spans="1:6">
      <c r="A265" t="s">
        <v>594</v>
      </c>
      <c r="B265" t="s">
        <v>16</v>
      </c>
      <c r="C265" t="s">
        <v>595</v>
      </c>
      <c r="E265" t="s">
        <v>34</v>
      </c>
      <c r="F265" t="s">
        <v>35</v>
      </c>
    </row>
    <row r="266" spans="1:6">
      <c r="A266" t="s">
        <v>596</v>
      </c>
      <c r="B266" t="s">
        <v>16</v>
      </c>
      <c r="C266" t="s">
        <v>597</v>
      </c>
      <c r="E266" t="s">
        <v>18</v>
      </c>
      <c r="F266" t="s">
        <v>19</v>
      </c>
    </row>
    <row r="267" spans="1:6">
      <c r="A267" t="s">
        <v>598</v>
      </c>
      <c r="B267" t="s">
        <v>16</v>
      </c>
      <c r="C267" t="s">
        <v>599</v>
      </c>
      <c r="E267" t="s">
        <v>18</v>
      </c>
      <c r="F267" t="s">
        <v>19</v>
      </c>
    </row>
    <row r="268" spans="1:6">
      <c r="A268" t="s">
        <v>600</v>
      </c>
      <c r="B268" t="s">
        <v>16</v>
      </c>
      <c r="C268" t="s">
        <v>601</v>
      </c>
      <c r="E268" t="s">
        <v>18</v>
      </c>
      <c r="F268" t="s">
        <v>19</v>
      </c>
    </row>
    <row r="269" spans="1:6">
      <c r="A269" t="s">
        <v>602</v>
      </c>
      <c r="B269" t="s">
        <v>16</v>
      </c>
      <c r="C269" t="s">
        <v>603</v>
      </c>
      <c r="E269" t="s">
        <v>18</v>
      </c>
      <c r="F269" t="s">
        <v>19</v>
      </c>
    </row>
    <row r="270" spans="1:6">
      <c r="A270" t="s">
        <v>604</v>
      </c>
      <c r="B270" t="s">
        <v>16</v>
      </c>
      <c r="C270" t="s">
        <v>605</v>
      </c>
      <c r="E270" t="s">
        <v>18</v>
      </c>
      <c r="F270" t="s">
        <v>19</v>
      </c>
    </row>
    <row r="271" spans="1:6">
      <c r="A271" t="s">
        <v>606</v>
      </c>
      <c r="B271" t="s">
        <v>16</v>
      </c>
      <c r="C271" t="s">
        <v>607</v>
      </c>
      <c r="E271" t="s">
        <v>18</v>
      </c>
      <c r="F271" t="s">
        <v>19</v>
      </c>
    </row>
    <row r="272" spans="1:6">
      <c r="A272" t="s">
        <v>608</v>
      </c>
      <c r="B272" t="s">
        <v>16</v>
      </c>
      <c r="C272" t="s">
        <v>609</v>
      </c>
      <c r="E272" t="s">
        <v>18</v>
      </c>
      <c r="F272" t="s">
        <v>19</v>
      </c>
    </row>
    <row r="273" spans="1:6">
      <c r="A273" t="s">
        <v>610</v>
      </c>
      <c r="B273" t="s">
        <v>16</v>
      </c>
      <c r="C273" t="s">
        <v>611</v>
      </c>
      <c r="E273" t="s">
        <v>18</v>
      </c>
      <c r="F273" t="s">
        <v>19</v>
      </c>
    </row>
    <row r="274" spans="1:6">
      <c r="A274" t="s">
        <v>612</v>
      </c>
      <c r="B274" t="s">
        <v>16</v>
      </c>
      <c r="C274" t="s">
        <v>613</v>
      </c>
      <c r="E274" t="s">
        <v>34</v>
      </c>
      <c r="F274" t="s">
        <v>35</v>
      </c>
    </row>
    <row r="275" spans="1:6">
      <c r="A275" t="s">
        <v>614</v>
      </c>
      <c r="B275" t="s">
        <v>16</v>
      </c>
      <c r="C275" t="s">
        <v>615</v>
      </c>
      <c r="E275" t="s">
        <v>18</v>
      </c>
      <c r="F275" t="s">
        <v>19</v>
      </c>
    </row>
    <row r="276" spans="1:6">
      <c r="A276" t="s">
        <v>616</v>
      </c>
      <c r="B276" t="s">
        <v>16</v>
      </c>
      <c r="C276" t="s">
        <v>617</v>
      </c>
      <c r="E276" t="s">
        <v>18</v>
      </c>
      <c r="F276" t="s">
        <v>19</v>
      </c>
    </row>
    <row r="277" spans="1:6">
      <c r="A277" t="s">
        <v>618</v>
      </c>
      <c r="B277" t="s">
        <v>16</v>
      </c>
      <c r="C277" t="s">
        <v>619</v>
      </c>
      <c r="E277" t="s">
        <v>18</v>
      </c>
      <c r="F277" t="s">
        <v>19</v>
      </c>
    </row>
    <row r="278" spans="1:6">
      <c r="A278" t="s">
        <v>620</v>
      </c>
      <c r="B278" t="s">
        <v>16</v>
      </c>
      <c r="C278" t="s">
        <v>621</v>
      </c>
      <c r="E278" t="s">
        <v>18</v>
      </c>
      <c r="F278" t="s">
        <v>19</v>
      </c>
    </row>
    <row r="279" spans="1:6">
      <c r="A279" t="s">
        <v>622</v>
      </c>
      <c r="B279" t="s">
        <v>16</v>
      </c>
      <c r="C279" t="s">
        <v>623</v>
      </c>
      <c r="E279" t="s">
        <v>34</v>
      </c>
      <c r="F279" t="s">
        <v>35</v>
      </c>
    </row>
    <row r="280" spans="1:6">
      <c r="A280" t="s">
        <v>624</v>
      </c>
      <c r="B280" t="s">
        <v>16</v>
      </c>
      <c r="C280" t="s">
        <v>625</v>
      </c>
      <c r="E280" t="s">
        <v>18</v>
      </c>
      <c r="F280" t="s">
        <v>19</v>
      </c>
    </row>
    <row r="281" spans="1:6">
      <c r="A281" t="s">
        <v>626</v>
      </c>
      <c r="B281" t="s">
        <v>16</v>
      </c>
      <c r="C281" t="s">
        <v>627</v>
      </c>
      <c r="E281" t="s">
        <v>202</v>
      </c>
      <c r="F281" t="s">
        <v>203</v>
      </c>
    </row>
    <row r="282" spans="1:6">
      <c r="A282" t="s">
        <v>628</v>
      </c>
      <c r="B282" t="s">
        <v>16</v>
      </c>
      <c r="C282" t="s">
        <v>629</v>
      </c>
      <c r="E282" t="s">
        <v>18</v>
      </c>
      <c r="F282" t="s">
        <v>19</v>
      </c>
    </row>
    <row r="283" spans="1:6">
      <c r="A283" t="s">
        <v>630</v>
      </c>
      <c r="B283" t="s">
        <v>16</v>
      </c>
      <c r="C283" t="s">
        <v>631</v>
      </c>
      <c r="E283" t="s">
        <v>18</v>
      </c>
      <c r="F283" t="s">
        <v>19</v>
      </c>
    </row>
    <row r="284" spans="1:6">
      <c r="A284" t="s">
        <v>632</v>
      </c>
      <c r="B284" t="s">
        <v>16</v>
      </c>
      <c r="C284" t="s">
        <v>633</v>
      </c>
      <c r="E284" t="s">
        <v>18</v>
      </c>
      <c r="F284" t="s">
        <v>19</v>
      </c>
    </row>
    <row r="285" spans="1:6">
      <c r="A285" t="s">
        <v>634</v>
      </c>
      <c r="B285" t="s">
        <v>16</v>
      </c>
      <c r="C285" t="s">
        <v>635</v>
      </c>
      <c r="E285" t="s">
        <v>34</v>
      </c>
      <c r="F285" t="s">
        <v>35</v>
      </c>
    </row>
    <row r="286" spans="1:6">
      <c r="A286" t="s">
        <v>636</v>
      </c>
      <c r="B286" t="s">
        <v>16</v>
      </c>
      <c r="C286" t="s">
        <v>637</v>
      </c>
      <c r="E286" t="s">
        <v>18</v>
      </c>
      <c r="F286" t="s">
        <v>19</v>
      </c>
    </row>
    <row r="287" spans="1:6">
      <c r="A287" t="s">
        <v>638</v>
      </c>
      <c r="B287" t="s">
        <v>16</v>
      </c>
      <c r="C287" t="s">
        <v>639</v>
      </c>
      <c r="E287" t="s">
        <v>56</v>
      </c>
      <c r="F287" t="s">
        <v>57</v>
      </c>
    </row>
    <row r="288" spans="1:6">
      <c r="A288" t="s">
        <v>640</v>
      </c>
      <c r="B288" t="s">
        <v>16</v>
      </c>
      <c r="C288" t="s">
        <v>333</v>
      </c>
      <c r="E288" t="s">
        <v>18</v>
      </c>
      <c r="F288" t="s">
        <v>19</v>
      </c>
    </row>
    <row r="289" spans="1:6">
      <c r="A289" t="s">
        <v>641</v>
      </c>
      <c r="B289" t="s">
        <v>16</v>
      </c>
      <c r="C289" t="s">
        <v>642</v>
      </c>
      <c r="E289" t="s">
        <v>78</v>
      </c>
      <c r="F289" t="s">
        <v>79</v>
      </c>
    </row>
    <row r="290" spans="1:6">
      <c r="A290" t="s">
        <v>643</v>
      </c>
      <c r="B290" t="s">
        <v>16</v>
      </c>
      <c r="C290" t="s">
        <v>644</v>
      </c>
      <c r="E290" t="s">
        <v>18</v>
      </c>
      <c r="F290" t="s">
        <v>19</v>
      </c>
    </row>
    <row r="291" spans="1:6">
      <c r="A291" t="s">
        <v>645</v>
      </c>
      <c r="B291" t="s">
        <v>16</v>
      </c>
      <c r="C291" t="s">
        <v>646</v>
      </c>
      <c r="E291" t="s">
        <v>18</v>
      </c>
      <c r="F291" t="s">
        <v>19</v>
      </c>
    </row>
    <row r="292" spans="1:6">
      <c r="A292" t="s">
        <v>647</v>
      </c>
      <c r="B292" t="s">
        <v>16</v>
      </c>
      <c r="C292" t="s">
        <v>648</v>
      </c>
      <c r="E292" t="s">
        <v>18</v>
      </c>
      <c r="F292" t="s">
        <v>19</v>
      </c>
    </row>
    <row r="293" spans="1:6">
      <c r="A293" t="s">
        <v>649</v>
      </c>
      <c r="B293" t="s">
        <v>16</v>
      </c>
      <c r="C293" t="s">
        <v>650</v>
      </c>
      <c r="E293" t="s">
        <v>188</v>
      </c>
      <c r="F293" t="s">
        <v>189</v>
      </c>
    </row>
    <row r="294" spans="1:6">
      <c r="A294" t="s">
        <v>651</v>
      </c>
      <c r="B294" t="s">
        <v>16</v>
      </c>
      <c r="C294" t="s">
        <v>652</v>
      </c>
      <c r="E294" t="s">
        <v>18</v>
      </c>
      <c r="F294" t="s">
        <v>19</v>
      </c>
    </row>
    <row r="295" spans="1:6">
      <c r="A295" t="s">
        <v>653</v>
      </c>
      <c r="B295" t="s">
        <v>16</v>
      </c>
      <c r="C295" t="s">
        <v>654</v>
      </c>
      <c r="E295" t="s">
        <v>18</v>
      </c>
      <c r="F295" t="s">
        <v>19</v>
      </c>
    </row>
    <row r="296" spans="1:6">
      <c r="A296" t="s">
        <v>655</v>
      </c>
      <c r="B296" t="s">
        <v>16</v>
      </c>
      <c r="C296" t="s">
        <v>656</v>
      </c>
      <c r="E296" t="s">
        <v>124</v>
      </c>
      <c r="F296" t="s">
        <v>125</v>
      </c>
    </row>
    <row r="297" spans="1:6">
      <c r="A297" t="s">
        <v>657</v>
      </c>
      <c r="B297" t="s">
        <v>16</v>
      </c>
      <c r="C297" t="s">
        <v>658</v>
      </c>
      <c r="E297" t="s">
        <v>18</v>
      </c>
      <c r="F297" t="s">
        <v>19</v>
      </c>
    </row>
    <row r="298" spans="1:6">
      <c r="A298" t="s">
        <v>659</v>
      </c>
      <c r="B298" t="s">
        <v>16</v>
      </c>
      <c r="C298" t="s">
        <v>660</v>
      </c>
      <c r="E298" t="s">
        <v>18</v>
      </c>
      <c r="F298" t="s">
        <v>19</v>
      </c>
    </row>
    <row r="299" spans="1:6">
      <c r="A299" t="s">
        <v>661</v>
      </c>
      <c r="B299" t="s">
        <v>16</v>
      </c>
      <c r="C299" t="s">
        <v>662</v>
      </c>
      <c r="E299" t="s">
        <v>188</v>
      </c>
      <c r="F299" t="s">
        <v>189</v>
      </c>
    </row>
    <row r="300" spans="1:6">
      <c r="A300" t="s">
        <v>663</v>
      </c>
      <c r="B300" t="s">
        <v>16</v>
      </c>
      <c r="C300" t="s">
        <v>664</v>
      </c>
      <c r="E300" t="s">
        <v>18</v>
      </c>
      <c r="F300" t="s">
        <v>19</v>
      </c>
    </row>
    <row r="301" spans="1:6">
      <c r="A301" t="s">
        <v>665</v>
      </c>
      <c r="B301" t="s">
        <v>16</v>
      </c>
      <c r="C301" t="s">
        <v>666</v>
      </c>
      <c r="E301" t="s">
        <v>18</v>
      </c>
      <c r="F301" t="s">
        <v>19</v>
      </c>
    </row>
    <row r="302" spans="1:6">
      <c r="A302" t="s">
        <v>667</v>
      </c>
      <c r="B302" t="s">
        <v>16</v>
      </c>
      <c r="C302" t="s">
        <v>668</v>
      </c>
      <c r="E302" t="s">
        <v>18</v>
      </c>
      <c r="F302" t="s">
        <v>19</v>
      </c>
    </row>
    <row r="303" spans="1:6">
      <c r="A303" t="s">
        <v>669</v>
      </c>
      <c r="B303" t="s">
        <v>16</v>
      </c>
      <c r="C303" t="s">
        <v>670</v>
      </c>
      <c r="E303" t="s">
        <v>18</v>
      </c>
      <c r="F303" t="s">
        <v>19</v>
      </c>
    </row>
    <row r="304" spans="1:6">
      <c r="A304" t="s">
        <v>671</v>
      </c>
      <c r="B304" t="s">
        <v>16</v>
      </c>
      <c r="C304" t="s">
        <v>672</v>
      </c>
      <c r="E304" t="s">
        <v>18</v>
      </c>
      <c r="F304" t="s">
        <v>19</v>
      </c>
    </row>
    <row r="305" spans="1:6">
      <c r="A305" t="s">
        <v>673</v>
      </c>
      <c r="B305" t="s">
        <v>16</v>
      </c>
      <c r="C305" t="s">
        <v>674</v>
      </c>
      <c r="E305" t="s">
        <v>18</v>
      </c>
      <c r="F305" t="s">
        <v>19</v>
      </c>
    </row>
    <row r="306" spans="1:6">
      <c r="A306" t="s">
        <v>675</v>
      </c>
      <c r="B306" t="s">
        <v>16</v>
      </c>
      <c r="C306" t="s">
        <v>676</v>
      </c>
      <c r="E306" t="s">
        <v>18</v>
      </c>
      <c r="F306" t="s">
        <v>19</v>
      </c>
    </row>
    <row r="307" spans="1:6">
      <c r="A307" t="s">
        <v>677</v>
      </c>
      <c r="B307" t="s">
        <v>16</v>
      </c>
      <c r="C307" t="s">
        <v>678</v>
      </c>
      <c r="E307" t="s">
        <v>18</v>
      </c>
      <c r="F307" t="s">
        <v>19</v>
      </c>
    </row>
    <row r="308" spans="1:6">
      <c r="A308" t="s">
        <v>679</v>
      </c>
      <c r="B308" t="s">
        <v>16</v>
      </c>
      <c r="C308" t="s">
        <v>680</v>
      </c>
      <c r="E308" t="s">
        <v>18</v>
      </c>
      <c r="F308" t="s">
        <v>19</v>
      </c>
    </row>
    <row r="309" spans="1:6">
      <c r="A309" t="s">
        <v>681</v>
      </c>
      <c r="B309" t="s">
        <v>16</v>
      </c>
      <c r="C309" t="s">
        <v>682</v>
      </c>
      <c r="E309" t="s">
        <v>34</v>
      </c>
      <c r="F309" t="s">
        <v>35</v>
      </c>
    </row>
    <row r="310" spans="1:6">
      <c r="A310" t="s">
        <v>683</v>
      </c>
      <c r="B310" t="s">
        <v>16</v>
      </c>
      <c r="C310" t="s">
        <v>684</v>
      </c>
      <c r="E310" t="s">
        <v>18</v>
      </c>
      <c r="F310" t="s">
        <v>19</v>
      </c>
    </row>
    <row r="311" spans="1:6">
      <c r="A311" t="s">
        <v>685</v>
      </c>
      <c r="B311" t="s">
        <v>16</v>
      </c>
      <c r="C311" t="s">
        <v>686</v>
      </c>
      <c r="E311" t="s">
        <v>18</v>
      </c>
      <c r="F311" t="s">
        <v>19</v>
      </c>
    </row>
    <row r="312" spans="1:6">
      <c r="A312" t="s">
        <v>687</v>
      </c>
      <c r="B312" t="s">
        <v>16</v>
      </c>
      <c r="C312" t="s">
        <v>688</v>
      </c>
      <c r="E312" t="s">
        <v>18</v>
      </c>
      <c r="F312" t="s">
        <v>19</v>
      </c>
    </row>
    <row r="313" spans="1:6">
      <c r="A313" t="s">
        <v>689</v>
      </c>
      <c r="B313" t="s">
        <v>16</v>
      </c>
      <c r="C313" t="s">
        <v>690</v>
      </c>
      <c r="E313" t="s">
        <v>18</v>
      </c>
      <c r="F313" t="s">
        <v>19</v>
      </c>
    </row>
    <row r="314" spans="1:6">
      <c r="A314" t="s">
        <v>691</v>
      </c>
      <c r="B314" t="s">
        <v>16</v>
      </c>
      <c r="C314" t="s">
        <v>692</v>
      </c>
      <c r="E314" t="s">
        <v>18</v>
      </c>
      <c r="F314" t="s">
        <v>19</v>
      </c>
    </row>
    <row r="315" spans="1:6">
      <c r="A315" t="s">
        <v>693</v>
      </c>
      <c r="B315" t="s">
        <v>16</v>
      </c>
      <c r="C315" t="s">
        <v>694</v>
      </c>
      <c r="E315" t="s">
        <v>274</v>
      </c>
      <c r="F315" t="s">
        <v>275</v>
      </c>
    </row>
    <row r="316" spans="1:6">
      <c r="A316" t="s">
        <v>695</v>
      </c>
      <c r="B316" t="s">
        <v>16</v>
      </c>
      <c r="C316" t="s">
        <v>696</v>
      </c>
      <c r="E316" t="s">
        <v>18</v>
      </c>
      <c r="F316" t="s">
        <v>19</v>
      </c>
    </row>
    <row r="317" spans="1:6">
      <c r="A317" t="s">
        <v>697</v>
      </c>
      <c r="B317" t="s">
        <v>16</v>
      </c>
      <c r="C317" t="s">
        <v>698</v>
      </c>
      <c r="E317" t="s">
        <v>18</v>
      </c>
      <c r="F317" t="s">
        <v>19</v>
      </c>
    </row>
    <row r="318" spans="1:6">
      <c r="A318" t="s">
        <v>699</v>
      </c>
      <c r="B318" t="s">
        <v>16</v>
      </c>
      <c r="C318" t="s">
        <v>700</v>
      </c>
      <c r="E318" t="s">
        <v>475</v>
      </c>
      <c r="F318" t="s">
        <v>476</v>
      </c>
    </row>
    <row r="319" spans="1:6">
      <c r="A319" t="s">
        <v>701</v>
      </c>
      <c r="B319" t="s">
        <v>16</v>
      </c>
      <c r="C319" t="s">
        <v>702</v>
      </c>
      <c r="E319" t="s">
        <v>34</v>
      </c>
      <c r="F319" t="s">
        <v>35</v>
      </c>
    </row>
    <row r="320" spans="1:6">
      <c r="A320" t="s">
        <v>703</v>
      </c>
      <c r="B320" t="s">
        <v>16</v>
      </c>
      <c r="C320" t="s">
        <v>704</v>
      </c>
      <c r="E320" t="s">
        <v>34</v>
      </c>
      <c r="F320" t="s">
        <v>35</v>
      </c>
    </row>
    <row r="321" spans="1:6">
      <c r="A321" t="s">
        <v>705</v>
      </c>
      <c r="B321" t="s">
        <v>16</v>
      </c>
      <c r="C321" t="s">
        <v>706</v>
      </c>
      <c r="E321" t="s">
        <v>18</v>
      </c>
      <c r="F321" t="s">
        <v>19</v>
      </c>
    </row>
    <row r="322" spans="1:6">
      <c r="A322" t="s">
        <v>707</v>
      </c>
      <c r="B322" t="s">
        <v>16</v>
      </c>
      <c r="C322" t="s">
        <v>708</v>
      </c>
      <c r="E322" t="s">
        <v>18</v>
      </c>
      <c r="F322" t="s">
        <v>19</v>
      </c>
    </row>
    <row r="323" spans="1:6">
      <c r="A323" t="s">
        <v>709</v>
      </c>
      <c r="B323" t="s">
        <v>16</v>
      </c>
      <c r="C323" t="s">
        <v>710</v>
      </c>
      <c r="E323" t="s">
        <v>34</v>
      </c>
      <c r="F323" t="s">
        <v>35</v>
      </c>
    </row>
    <row r="324" spans="1:6">
      <c r="A324" t="s">
        <v>711</v>
      </c>
      <c r="B324" t="s">
        <v>16</v>
      </c>
      <c r="C324" t="s">
        <v>712</v>
      </c>
      <c r="E324" t="s">
        <v>18</v>
      </c>
      <c r="F324" t="s">
        <v>19</v>
      </c>
    </row>
    <row r="325" spans="1:6">
      <c r="A325" t="s">
        <v>713</v>
      </c>
      <c r="B325" t="s">
        <v>16</v>
      </c>
      <c r="C325" t="s">
        <v>714</v>
      </c>
      <c r="E325" t="s">
        <v>18</v>
      </c>
      <c r="F325" t="s">
        <v>19</v>
      </c>
    </row>
    <row r="326" spans="1:6">
      <c r="A326" t="s">
        <v>715</v>
      </c>
      <c r="B326" t="s">
        <v>16</v>
      </c>
      <c r="C326" t="s">
        <v>716</v>
      </c>
      <c r="E326" t="s">
        <v>34</v>
      </c>
      <c r="F326" t="s">
        <v>35</v>
      </c>
    </row>
    <row r="327" spans="1:6">
      <c r="A327" t="s">
        <v>717</v>
      </c>
      <c r="B327" t="s">
        <v>16</v>
      </c>
      <c r="C327" t="s">
        <v>718</v>
      </c>
      <c r="E327" t="s">
        <v>18</v>
      </c>
      <c r="F327" t="s">
        <v>19</v>
      </c>
    </row>
    <row r="328" spans="1:6">
      <c r="A328" t="s">
        <v>719</v>
      </c>
      <c r="B328" t="s">
        <v>16</v>
      </c>
      <c r="C328" t="s">
        <v>720</v>
      </c>
      <c r="E328" t="s">
        <v>721</v>
      </c>
      <c r="F328" t="s">
        <v>171</v>
      </c>
    </row>
    <row r="329" spans="1:6">
      <c r="A329" t="s">
        <v>722</v>
      </c>
      <c r="B329" t="s">
        <v>16</v>
      </c>
      <c r="C329" t="s">
        <v>723</v>
      </c>
      <c r="E329" t="s">
        <v>18</v>
      </c>
      <c r="F329" t="s">
        <v>19</v>
      </c>
    </row>
    <row r="330" spans="1:6">
      <c r="A330" t="s">
        <v>724</v>
      </c>
      <c r="B330" t="s">
        <v>16</v>
      </c>
      <c r="C330" t="s">
        <v>725</v>
      </c>
      <c r="E330" t="s">
        <v>18</v>
      </c>
      <c r="F330" t="s">
        <v>19</v>
      </c>
    </row>
    <row r="331" spans="1:6">
      <c r="A331" t="s">
        <v>726</v>
      </c>
      <c r="B331" t="s">
        <v>16</v>
      </c>
      <c r="C331" t="s">
        <v>727</v>
      </c>
      <c r="E331" t="s">
        <v>18</v>
      </c>
      <c r="F331" t="s">
        <v>19</v>
      </c>
    </row>
    <row r="332" spans="1:6">
      <c r="A332" t="s">
        <v>728</v>
      </c>
      <c r="B332" t="s">
        <v>16</v>
      </c>
      <c r="C332" t="s">
        <v>729</v>
      </c>
      <c r="E332" t="s">
        <v>18</v>
      </c>
      <c r="F332" t="s">
        <v>19</v>
      </c>
    </row>
    <row r="333" spans="1:6">
      <c r="A333" t="s">
        <v>730</v>
      </c>
      <c r="B333" t="s">
        <v>16</v>
      </c>
      <c r="C333" t="s">
        <v>731</v>
      </c>
      <c r="E333" t="s">
        <v>18</v>
      </c>
      <c r="F333" t="s">
        <v>19</v>
      </c>
    </row>
    <row r="334" spans="1:6">
      <c r="A334" t="s">
        <v>732</v>
      </c>
      <c r="B334" t="s">
        <v>16</v>
      </c>
      <c r="C334" t="s">
        <v>733</v>
      </c>
      <c r="E334" t="s">
        <v>18</v>
      </c>
      <c r="F334" t="s">
        <v>19</v>
      </c>
    </row>
    <row r="335" spans="1:6">
      <c r="A335" t="s">
        <v>734</v>
      </c>
      <c r="B335" t="s">
        <v>16</v>
      </c>
      <c r="C335" t="s">
        <v>735</v>
      </c>
      <c r="E335" t="s">
        <v>18</v>
      </c>
      <c r="F335" t="s">
        <v>19</v>
      </c>
    </row>
    <row r="336" spans="1:6">
      <c r="A336" t="s">
        <v>736</v>
      </c>
      <c r="B336" t="s">
        <v>16</v>
      </c>
      <c r="C336" t="s">
        <v>737</v>
      </c>
      <c r="E336" t="s">
        <v>18</v>
      </c>
      <c r="F336" t="s">
        <v>19</v>
      </c>
    </row>
    <row r="337" spans="1:6">
      <c r="A337" t="s">
        <v>738</v>
      </c>
      <c r="B337" t="s">
        <v>16</v>
      </c>
      <c r="C337" t="s">
        <v>739</v>
      </c>
      <c r="E337" t="s">
        <v>18</v>
      </c>
      <c r="F337" t="s">
        <v>19</v>
      </c>
    </row>
    <row r="338" spans="1:6">
      <c r="A338" t="s">
        <v>740</v>
      </c>
      <c r="B338" t="s">
        <v>16</v>
      </c>
      <c r="C338" t="s">
        <v>409</v>
      </c>
      <c r="E338" t="s">
        <v>18</v>
      </c>
      <c r="F338" t="s">
        <v>19</v>
      </c>
    </row>
    <row r="339" spans="1:6">
      <c r="A339" t="s">
        <v>741</v>
      </c>
      <c r="B339" t="s">
        <v>16</v>
      </c>
      <c r="C339" t="s">
        <v>742</v>
      </c>
      <c r="E339" t="s">
        <v>18</v>
      </c>
      <c r="F339" t="s">
        <v>19</v>
      </c>
    </row>
    <row r="340" spans="1:6">
      <c r="A340" t="s">
        <v>743</v>
      </c>
      <c r="B340" t="s">
        <v>16</v>
      </c>
      <c r="C340" t="s">
        <v>744</v>
      </c>
      <c r="E340" t="s">
        <v>18</v>
      </c>
      <c r="F340" t="s">
        <v>19</v>
      </c>
    </row>
    <row r="341" spans="1:6">
      <c r="A341" t="s">
        <v>745</v>
      </c>
      <c r="B341" t="s">
        <v>16</v>
      </c>
      <c r="C341" t="s">
        <v>746</v>
      </c>
      <c r="E341" t="s">
        <v>18</v>
      </c>
      <c r="F341" t="s">
        <v>19</v>
      </c>
    </row>
    <row r="342" spans="1:6">
      <c r="A342" t="s">
        <v>747</v>
      </c>
      <c r="B342" t="s">
        <v>16</v>
      </c>
      <c r="C342" t="s">
        <v>748</v>
      </c>
      <c r="E342" t="s">
        <v>18</v>
      </c>
      <c r="F342" t="s">
        <v>19</v>
      </c>
    </row>
    <row r="343" spans="1:6">
      <c r="A343" t="s">
        <v>749</v>
      </c>
      <c r="B343" t="s">
        <v>16</v>
      </c>
      <c r="C343" t="s">
        <v>750</v>
      </c>
      <c r="E343" t="s">
        <v>751</v>
      </c>
      <c r="F343" t="s">
        <v>752</v>
      </c>
    </row>
    <row r="344" spans="1:6">
      <c r="A344" t="s">
        <v>753</v>
      </c>
      <c r="B344" t="s">
        <v>16</v>
      </c>
      <c r="C344" t="s">
        <v>754</v>
      </c>
      <c r="E344" t="s">
        <v>18</v>
      </c>
      <c r="F344" t="s">
        <v>19</v>
      </c>
    </row>
    <row r="345" spans="1:6">
      <c r="A345" t="s">
        <v>755</v>
      </c>
      <c r="B345" t="s">
        <v>16</v>
      </c>
      <c r="C345" t="s">
        <v>756</v>
      </c>
      <c r="E345" t="s">
        <v>18</v>
      </c>
      <c r="F345" t="s">
        <v>19</v>
      </c>
    </row>
    <row r="346" spans="1:6">
      <c r="A346" t="s">
        <v>757</v>
      </c>
      <c r="B346" t="s">
        <v>16</v>
      </c>
      <c r="C346" t="s">
        <v>758</v>
      </c>
      <c r="E346" t="s">
        <v>239</v>
      </c>
      <c r="F346" t="s">
        <v>43</v>
      </c>
    </row>
    <row r="347" spans="1:6">
      <c r="A347" t="s">
        <v>759</v>
      </c>
      <c r="B347" t="s">
        <v>16</v>
      </c>
      <c r="C347" t="s">
        <v>760</v>
      </c>
      <c r="E347" t="s">
        <v>18</v>
      </c>
      <c r="F347" t="s">
        <v>19</v>
      </c>
    </row>
    <row r="348" spans="1:6">
      <c r="A348" t="s">
        <v>761</v>
      </c>
      <c r="B348" t="s">
        <v>16</v>
      </c>
      <c r="C348" t="s">
        <v>762</v>
      </c>
      <c r="E348" t="s">
        <v>18</v>
      </c>
      <c r="F348" t="s">
        <v>19</v>
      </c>
    </row>
    <row r="349" spans="1:6">
      <c r="A349" t="s">
        <v>763</v>
      </c>
      <c r="B349" t="s">
        <v>16</v>
      </c>
      <c r="C349" t="s">
        <v>764</v>
      </c>
      <c r="E349" t="s">
        <v>18</v>
      </c>
      <c r="F349" t="s">
        <v>19</v>
      </c>
    </row>
    <row r="350" spans="1:6">
      <c r="A350" t="s">
        <v>765</v>
      </c>
      <c r="B350" t="s">
        <v>16</v>
      </c>
      <c r="C350" t="s">
        <v>153</v>
      </c>
      <c r="E350" t="s">
        <v>224</v>
      </c>
      <c r="F350" t="s">
        <v>225</v>
      </c>
    </row>
    <row r="351" spans="1:6">
      <c r="A351" t="s">
        <v>766</v>
      </c>
      <c r="B351" t="s">
        <v>16</v>
      </c>
      <c r="C351" t="s">
        <v>767</v>
      </c>
      <c r="E351" t="s">
        <v>18</v>
      </c>
      <c r="F351" t="s">
        <v>19</v>
      </c>
    </row>
    <row r="352" spans="1:6">
      <c r="A352" t="s">
        <v>768</v>
      </c>
      <c r="B352" t="s">
        <v>16</v>
      </c>
      <c r="C352" t="s">
        <v>769</v>
      </c>
      <c r="E352" t="s">
        <v>18</v>
      </c>
      <c r="F352" t="s">
        <v>19</v>
      </c>
    </row>
    <row r="353" spans="1:6">
      <c r="A353" t="s">
        <v>770</v>
      </c>
      <c r="B353" t="s">
        <v>16</v>
      </c>
      <c r="C353" t="s">
        <v>771</v>
      </c>
      <c r="E353" t="s">
        <v>34</v>
      </c>
      <c r="F353" t="s">
        <v>35</v>
      </c>
    </row>
    <row r="354" spans="1:6">
      <c r="A354" t="s">
        <v>772</v>
      </c>
      <c r="B354" t="s">
        <v>16</v>
      </c>
      <c r="C354" t="s">
        <v>773</v>
      </c>
      <c r="E354" t="s">
        <v>34</v>
      </c>
      <c r="F354" t="s">
        <v>35</v>
      </c>
    </row>
    <row r="355" spans="1:6">
      <c r="A355" t="s">
        <v>774</v>
      </c>
      <c r="B355" t="s">
        <v>16</v>
      </c>
      <c r="C355" t="s">
        <v>775</v>
      </c>
      <c r="E355" t="s">
        <v>34</v>
      </c>
      <c r="F355" t="s">
        <v>35</v>
      </c>
    </row>
    <row r="356" spans="1:6">
      <c r="A356" t="s">
        <v>776</v>
      </c>
      <c r="B356" t="s">
        <v>16</v>
      </c>
      <c r="C356" t="s">
        <v>777</v>
      </c>
      <c r="E356" t="s">
        <v>18</v>
      </c>
      <c r="F356" t="s">
        <v>19</v>
      </c>
    </row>
    <row r="357" spans="1:6">
      <c r="A357" t="s">
        <v>778</v>
      </c>
      <c r="B357" t="s">
        <v>16</v>
      </c>
      <c r="C357" t="s">
        <v>779</v>
      </c>
      <c r="E357" t="s">
        <v>18</v>
      </c>
      <c r="F357" t="s">
        <v>19</v>
      </c>
    </row>
    <row r="358" spans="1:6">
      <c r="A358" t="s">
        <v>780</v>
      </c>
      <c r="B358" t="s">
        <v>16</v>
      </c>
      <c r="C358" t="s">
        <v>781</v>
      </c>
      <c r="E358" t="s">
        <v>18</v>
      </c>
      <c r="F358" t="s">
        <v>19</v>
      </c>
    </row>
    <row r="359" spans="1:6">
      <c r="A359" t="s">
        <v>782</v>
      </c>
      <c r="B359" t="s">
        <v>16</v>
      </c>
      <c r="C359" t="s">
        <v>783</v>
      </c>
      <c r="E359" t="s">
        <v>18</v>
      </c>
      <c r="F359" t="s">
        <v>19</v>
      </c>
    </row>
    <row r="360" spans="1:6">
      <c r="A360" t="s">
        <v>784</v>
      </c>
      <c r="B360" t="s">
        <v>16</v>
      </c>
      <c r="C360" t="s">
        <v>785</v>
      </c>
      <c r="E360" t="s">
        <v>786</v>
      </c>
      <c r="F360" t="s">
        <v>787</v>
      </c>
    </row>
    <row r="361" spans="1:6">
      <c r="A361" t="s">
        <v>788</v>
      </c>
      <c r="B361" t="s">
        <v>16</v>
      </c>
      <c r="C361" t="s">
        <v>789</v>
      </c>
      <c r="E361" t="s">
        <v>18</v>
      </c>
      <c r="F361" t="s">
        <v>19</v>
      </c>
    </row>
    <row r="362" spans="1:6">
      <c r="A362" t="s">
        <v>790</v>
      </c>
      <c r="B362" t="s">
        <v>16</v>
      </c>
      <c r="C362" t="s">
        <v>791</v>
      </c>
      <c r="E362" t="s">
        <v>18</v>
      </c>
      <c r="F362" t="s">
        <v>19</v>
      </c>
    </row>
    <row r="363" spans="1:6">
      <c r="A363" t="s">
        <v>792</v>
      </c>
      <c r="B363" t="s">
        <v>16</v>
      </c>
      <c r="C363" t="s">
        <v>793</v>
      </c>
      <c r="E363" t="s">
        <v>202</v>
      </c>
      <c r="F363" t="s">
        <v>203</v>
      </c>
    </row>
    <row r="364" spans="1:6">
      <c r="A364" t="s">
        <v>794</v>
      </c>
      <c r="B364" t="s">
        <v>16</v>
      </c>
      <c r="C364" t="s">
        <v>795</v>
      </c>
      <c r="E364" t="s">
        <v>18</v>
      </c>
      <c r="F364" t="s">
        <v>19</v>
      </c>
    </row>
    <row r="365" spans="1:6">
      <c r="A365" t="s">
        <v>796</v>
      </c>
      <c r="B365" t="s">
        <v>16</v>
      </c>
      <c r="C365" t="s">
        <v>797</v>
      </c>
      <c r="E365" t="s">
        <v>34</v>
      </c>
      <c r="F365" t="s">
        <v>35</v>
      </c>
    </row>
    <row r="366" spans="1:6">
      <c r="A366" t="s">
        <v>798</v>
      </c>
      <c r="B366" t="s">
        <v>16</v>
      </c>
      <c r="C366" t="s">
        <v>557</v>
      </c>
      <c r="E366" t="s">
        <v>721</v>
      </c>
      <c r="F366" t="s">
        <v>171</v>
      </c>
    </row>
    <row r="367" spans="1:6">
      <c r="A367" t="s">
        <v>799</v>
      </c>
      <c r="B367" t="s">
        <v>16</v>
      </c>
      <c r="C367" t="s">
        <v>800</v>
      </c>
      <c r="E367" t="s">
        <v>18</v>
      </c>
      <c r="F367" t="s">
        <v>19</v>
      </c>
    </row>
    <row r="368" spans="1:6">
      <c r="A368" t="s">
        <v>801</v>
      </c>
      <c r="B368" t="s">
        <v>16</v>
      </c>
      <c r="C368" t="s">
        <v>802</v>
      </c>
      <c r="E368" t="s">
        <v>18</v>
      </c>
      <c r="F368" t="s">
        <v>19</v>
      </c>
    </row>
    <row r="369" spans="1:6">
      <c r="A369" t="s">
        <v>803</v>
      </c>
      <c r="B369" t="s">
        <v>16</v>
      </c>
      <c r="C369" t="s">
        <v>804</v>
      </c>
      <c r="E369" t="s">
        <v>34</v>
      </c>
      <c r="F369" t="s">
        <v>35</v>
      </c>
    </row>
    <row r="370" spans="1:6">
      <c r="A370" t="s">
        <v>805</v>
      </c>
      <c r="B370" t="s">
        <v>16</v>
      </c>
      <c r="C370" t="s">
        <v>806</v>
      </c>
      <c r="E370" t="s">
        <v>330</v>
      </c>
      <c r="F370" t="s">
        <v>331</v>
      </c>
    </row>
    <row r="371" spans="1:6">
      <c r="A371" t="s">
        <v>807</v>
      </c>
      <c r="B371" t="s">
        <v>16</v>
      </c>
      <c r="C371" t="s">
        <v>808</v>
      </c>
      <c r="E371" t="s">
        <v>18</v>
      </c>
      <c r="F371" t="s">
        <v>19</v>
      </c>
    </row>
    <row r="372" spans="1:6">
      <c r="A372" t="s">
        <v>809</v>
      </c>
      <c r="B372" t="s">
        <v>16</v>
      </c>
      <c r="C372" t="s">
        <v>810</v>
      </c>
      <c r="E372" t="s">
        <v>18</v>
      </c>
      <c r="F372" t="s">
        <v>19</v>
      </c>
    </row>
    <row r="373" spans="1:6">
      <c r="A373" t="s">
        <v>811</v>
      </c>
      <c r="B373" t="s">
        <v>16</v>
      </c>
      <c r="C373" t="s">
        <v>812</v>
      </c>
      <c r="E373" t="s">
        <v>371</v>
      </c>
      <c r="F373" t="s">
        <v>372</v>
      </c>
    </row>
    <row r="374" spans="1:6">
      <c r="A374" t="s">
        <v>813</v>
      </c>
      <c r="B374" t="s">
        <v>16</v>
      </c>
      <c r="C374" t="s">
        <v>814</v>
      </c>
      <c r="E374" t="s">
        <v>34</v>
      </c>
      <c r="F374" t="s">
        <v>35</v>
      </c>
    </row>
    <row r="375" spans="1:6">
      <c r="A375" t="s">
        <v>815</v>
      </c>
      <c r="B375" t="s">
        <v>16</v>
      </c>
      <c r="C375" t="s">
        <v>816</v>
      </c>
      <c r="E375" t="s">
        <v>18</v>
      </c>
      <c r="F375" t="s">
        <v>19</v>
      </c>
    </row>
    <row r="376" spans="1:6">
      <c r="A376" t="s">
        <v>817</v>
      </c>
      <c r="B376" t="s">
        <v>16</v>
      </c>
      <c r="C376" t="s">
        <v>818</v>
      </c>
      <c r="E376" t="s">
        <v>18</v>
      </c>
      <c r="F376" t="s">
        <v>19</v>
      </c>
    </row>
    <row r="377" spans="1:6">
      <c r="A377" t="s">
        <v>819</v>
      </c>
      <c r="B377" t="s">
        <v>16</v>
      </c>
      <c r="C377" t="s">
        <v>820</v>
      </c>
      <c r="E377" t="s">
        <v>821</v>
      </c>
      <c r="F377" t="s">
        <v>822</v>
      </c>
    </row>
    <row r="378" spans="1:6">
      <c r="A378" t="s">
        <v>823</v>
      </c>
      <c r="B378" t="s">
        <v>16</v>
      </c>
      <c r="C378" t="s">
        <v>824</v>
      </c>
      <c r="E378" t="s">
        <v>82</v>
      </c>
      <c r="F378" t="s">
        <v>83</v>
      </c>
    </row>
    <row r="379" spans="1:6">
      <c r="A379" t="s">
        <v>825</v>
      </c>
      <c r="B379" t="s">
        <v>16</v>
      </c>
      <c r="C379" t="s">
        <v>826</v>
      </c>
      <c r="E379" t="s">
        <v>827</v>
      </c>
      <c r="F379" t="s">
        <v>828</v>
      </c>
    </row>
    <row r="380" spans="1:6">
      <c r="A380" t="s">
        <v>829</v>
      </c>
      <c r="B380" t="s">
        <v>16</v>
      </c>
      <c r="C380" t="s">
        <v>830</v>
      </c>
      <c r="E380" t="s">
        <v>831</v>
      </c>
      <c r="F380" t="s">
        <v>832</v>
      </c>
    </row>
    <row r="381" spans="1:6">
      <c r="A381" t="s">
        <v>833</v>
      </c>
      <c r="B381" t="s">
        <v>16</v>
      </c>
      <c r="C381" t="s">
        <v>834</v>
      </c>
      <c r="E381" t="s">
        <v>18</v>
      </c>
      <c r="F381" t="s">
        <v>19</v>
      </c>
    </row>
    <row r="382" spans="1:6">
      <c r="A382" t="s">
        <v>835</v>
      </c>
      <c r="B382" t="s">
        <v>16</v>
      </c>
      <c r="C382" t="s">
        <v>836</v>
      </c>
      <c r="E382" t="s">
        <v>18</v>
      </c>
      <c r="F382" t="s">
        <v>19</v>
      </c>
    </row>
    <row r="383" spans="1:6">
      <c r="A383" t="s">
        <v>837</v>
      </c>
      <c r="B383" t="s">
        <v>16</v>
      </c>
      <c r="C383" t="s">
        <v>838</v>
      </c>
      <c r="E383" t="s">
        <v>34</v>
      </c>
      <c r="F383" t="s">
        <v>35</v>
      </c>
    </row>
    <row r="384" spans="1:6">
      <c r="A384" t="s">
        <v>839</v>
      </c>
      <c r="B384" t="s">
        <v>16</v>
      </c>
      <c r="C384" t="s">
        <v>840</v>
      </c>
      <c r="E384" t="s">
        <v>34</v>
      </c>
      <c r="F384" t="s">
        <v>35</v>
      </c>
    </row>
    <row r="385" spans="1:6">
      <c r="A385" t="s">
        <v>841</v>
      </c>
      <c r="B385" t="s">
        <v>16</v>
      </c>
      <c r="C385" t="s">
        <v>842</v>
      </c>
      <c r="E385" t="s">
        <v>18</v>
      </c>
      <c r="F385" t="s">
        <v>19</v>
      </c>
    </row>
    <row r="386" spans="1:6">
      <c r="A386" t="s">
        <v>843</v>
      </c>
      <c r="B386" t="s">
        <v>16</v>
      </c>
      <c r="C386" t="s">
        <v>844</v>
      </c>
      <c r="E386" t="s">
        <v>18</v>
      </c>
      <c r="F386" t="s">
        <v>19</v>
      </c>
    </row>
    <row r="387" spans="1:6">
      <c r="A387" t="s">
        <v>845</v>
      </c>
      <c r="B387" t="s">
        <v>16</v>
      </c>
      <c r="C387" t="s">
        <v>179</v>
      </c>
      <c r="E387" t="s">
        <v>18</v>
      </c>
      <c r="F387" t="s">
        <v>19</v>
      </c>
    </row>
    <row r="388" spans="1:6">
      <c r="A388" t="s">
        <v>846</v>
      </c>
      <c r="B388" t="s">
        <v>16</v>
      </c>
      <c r="C388" t="s">
        <v>847</v>
      </c>
      <c r="E388" t="s">
        <v>312</v>
      </c>
      <c r="F388" t="s">
        <v>313</v>
      </c>
    </row>
    <row r="389" spans="1:6">
      <c r="A389" t="s">
        <v>848</v>
      </c>
      <c r="B389" t="s">
        <v>16</v>
      </c>
      <c r="C389" t="s">
        <v>849</v>
      </c>
      <c r="E389" t="s">
        <v>18</v>
      </c>
      <c r="F389" t="s">
        <v>19</v>
      </c>
    </row>
    <row r="390" spans="1:6">
      <c r="A390" t="s">
        <v>850</v>
      </c>
      <c r="B390" t="s">
        <v>16</v>
      </c>
      <c r="C390" t="s">
        <v>851</v>
      </c>
      <c r="E390" t="s">
        <v>18</v>
      </c>
      <c r="F390" t="s">
        <v>19</v>
      </c>
    </row>
    <row r="391" spans="1:6">
      <c r="A391" t="s">
        <v>852</v>
      </c>
      <c r="B391" t="s">
        <v>16</v>
      </c>
      <c r="C391" t="s">
        <v>853</v>
      </c>
      <c r="E391" t="s">
        <v>18</v>
      </c>
      <c r="F391" t="s">
        <v>19</v>
      </c>
    </row>
    <row r="392" spans="1:6">
      <c r="A392" t="s">
        <v>854</v>
      </c>
      <c r="B392" t="s">
        <v>16</v>
      </c>
      <c r="C392" t="s">
        <v>855</v>
      </c>
      <c r="E392" t="s">
        <v>18</v>
      </c>
      <c r="F392" t="s">
        <v>19</v>
      </c>
    </row>
    <row r="393" spans="1:6">
      <c r="A393" t="s">
        <v>856</v>
      </c>
      <c r="B393" t="s">
        <v>16</v>
      </c>
      <c r="C393" t="s">
        <v>857</v>
      </c>
      <c r="E393" t="s">
        <v>34</v>
      </c>
      <c r="F393" t="s">
        <v>35</v>
      </c>
    </row>
    <row r="394" spans="1:6">
      <c r="A394" t="s">
        <v>858</v>
      </c>
      <c r="B394" t="s">
        <v>16</v>
      </c>
      <c r="C394" t="s">
        <v>859</v>
      </c>
      <c r="E394" t="s">
        <v>426</v>
      </c>
      <c r="F394" t="s">
        <v>427</v>
      </c>
    </row>
    <row r="395" spans="1:6">
      <c r="A395" t="s">
        <v>860</v>
      </c>
      <c r="B395" t="s">
        <v>16</v>
      </c>
      <c r="C395" t="s">
        <v>861</v>
      </c>
      <c r="E395" t="s">
        <v>18</v>
      </c>
      <c r="F395" t="s">
        <v>19</v>
      </c>
    </row>
    <row r="396" spans="1:6">
      <c r="A396" t="s">
        <v>862</v>
      </c>
      <c r="B396" t="s">
        <v>16</v>
      </c>
      <c r="C396" t="s">
        <v>863</v>
      </c>
      <c r="E396" t="s">
        <v>18</v>
      </c>
      <c r="F396" t="s">
        <v>19</v>
      </c>
    </row>
    <row r="397" spans="1:6">
      <c r="A397" t="s">
        <v>864</v>
      </c>
      <c r="B397" t="s">
        <v>16</v>
      </c>
      <c r="C397" t="s">
        <v>802</v>
      </c>
      <c r="E397" t="s">
        <v>18</v>
      </c>
      <c r="F397" t="s">
        <v>19</v>
      </c>
    </row>
    <row r="398" spans="1:6">
      <c r="A398" t="s">
        <v>865</v>
      </c>
      <c r="B398" t="s">
        <v>16</v>
      </c>
      <c r="C398" t="s">
        <v>866</v>
      </c>
      <c r="E398" t="s">
        <v>18</v>
      </c>
      <c r="F398" t="s">
        <v>19</v>
      </c>
    </row>
    <row r="399" spans="1:6">
      <c r="A399" t="s">
        <v>867</v>
      </c>
      <c r="B399" t="s">
        <v>16</v>
      </c>
      <c r="C399" t="s">
        <v>853</v>
      </c>
      <c r="E399" t="s">
        <v>18</v>
      </c>
      <c r="F399" t="s">
        <v>19</v>
      </c>
    </row>
    <row r="400" spans="1:6">
      <c r="A400" t="s">
        <v>868</v>
      </c>
      <c r="B400" t="s">
        <v>16</v>
      </c>
      <c r="C400" t="s">
        <v>869</v>
      </c>
      <c r="E400" t="s">
        <v>18</v>
      </c>
      <c r="F400" t="s">
        <v>19</v>
      </c>
    </row>
    <row r="401" spans="1:6">
      <c r="A401" t="s">
        <v>870</v>
      </c>
      <c r="B401" t="s">
        <v>16</v>
      </c>
      <c r="C401" t="s">
        <v>871</v>
      </c>
      <c r="E401" t="s">
        <v>18</v>
      </c>
      <c r="F401" t="s">
        <v>19</v>
      </c>
    </row>
    <row r="402" spans="1:6">
      <c r="A402" t="s">
        <v>872</v>
      </c>
      <c r="B402" t="s">
        <v>16</v>
      </c>
      <c r="C402" t="s">
        <v>376</v>
      </c>
      <c r="E402" t="s">
        <v>475</v>
      </c>
      <c r="F402" t="s">
        <v>476</v>
      </c>
    </row>
    <row r="403" spans="1:6">
      <c r="A403" t="s">
        <v>873</v>
      </c>
      <c r="B403" t="s">
        <v>16</v>
      </c>
      <c r="C403" t="s">
        <v>874</v>
      </c>
      <c r="E403" t="s">
        <v>18</v>
      </c>
      <c r="F403" t="s">
        <v>19</v>
      </c>
    </row>
    <row r="404" spans="1:6">
      <c r="A404" t="s">
        <v>875</v>
      </c>
      <c r="B404" t="s">
        <v>16</v>
      </c>
      <c r="C404" t="s">
        <v>876</v>
      </c>
      <c r="E404" t="s">
        <v>18</v>
      </c>
      <c r="F404" t="s">
        <v>19</v>
      </c>
    </row>
    <row r="405" spans="1:6">
      <c r="A405" t="s">
        <v>877</v>
      </c>
      <c r="B405" t="s">
        <v>16</v>
      </c>
      <c r="C405" t="s">
        <v>878</v>
      </c>
      <c r="E405" t="s">
        <v>46</v>
      </c>
      <c r="F405" t="s">
        <v>47</v>
      </c>
    </row>
    <row r="406" spans="1:6">
      <c r="A406" t="s">
        <v>879</v>
      </c>
      <c r="B406" t="s">
        <v>16</v>
      </c>
      <c r="C406" t="s">
        <v>880</v>
      </c>
      <c r="E406" t="s">
        <v>46</v>
      </c>
      <c r="F406" t="s">
        <v>47</v>
      </c>
    </row>
    <row r="407" spans="1:6">
      <c r="A407" t="s">
        <v>881</v>
      </c>
      <c r="B407" t="s">
        <v>16</v>
      </c>
      <c r="C407" t="s">
        <v>882</v>
      </c>
      <c r="E407" t="s">
        <v>18</v>
      </c>
      <c r="F407" t="s">
        <v>19</v>
      </c>
    </row>
    <row r="408" spans="1:6">
      <c r="A408" t="s">
        <v>883</v>
      </c>
      <c r="B408" t="s">
        <v>16</v>
      </c>
      <c r="C408" t="s">
        <v>884</v>
      </c>
      <c r="E408" t="s">
        <v>18</v>
      </c>
      <c r="F408" t="s">
        <v>19</v>
      </c>
    </row>
    <row r="409" spans="1:6">
      <c r="A409" t="s">
        <v>885</v>
      </c>
      <c r="B409" t="s">
        <v>16</v>
      </c>
      <c r="C409" t="s">
        <v>886</v>
      </c>
      <c r="E409" t="s">
        <v>18</v>
      </c>
      <c r="F409" t="s">
        <v>19</v>
      </c>
    </row>
    <row r="410" spans="1:6">
      <c r="A410" t="s">
        <v>887</v>
      </c>
      <c r="B410" t="s">
        <v>16</v>
      </c>
      <c r="C410" t="s">
        <v>888</v>
      </c>
      <c r="E410" t="s">
        <v>18</v>
      </c>
      <c r="F410" t="s">
        <v>19</v>
      </c>
    </row>
    <row r="411" spans="1:6">
      <c r="A411" t="s">
        <v>889</v>
      </c>
      <c r="B411" t="s">
        <v>16</v>
      </c>
      <c r="C411" t="s">
        <v>890</v>
      </c>
      <c r="E411" t="s">
        <v>18</v>
      </c>
      <c r="F411" t="s">
        <v>19</v>
      </c>
    </row>
    <row r="412" spans="1:6">
      <c r="A412" t="s">
        <v>891</v>
      </c>
      <c r="B412" t="s">
        <v>16</v>
      </c>
      <c r="C412" t="s">
        <v>892</v>
      </c>
      <c r="E412" t="s">
        <v>46</v>
      </c>
      <c r="F412" t="s">
        <v>47</v>
      </c>
    </row>
    <row r="413" spans="1:6">
      <c r="A413" t="s">
        <v>893</v>
      </c>
      <c r="B413" t="s">
        <v>16</v>
      </c>
      <c r="C413" t="s">
        <v>894</v>
      </c>
      <c r="E413" t="s">
        <v>18</v>
      </c>
      <c r="F413" t="s">
        <v>19</v>
      </c>
    </row>
    <row r="414" spans="1:6">
      <c r="A414" t="s">
        <v>895</v>
      </c>
      <c r="B414" t="s">
        <v>16</v>
      </c>
      <c r="C414" t="s">
        <v>896</v>
      </c>
      <c r="E414" t="s">
        <v>18</v>
      </c>
      <c r="F414" t="s">
        <v>19</v>
      </c>
    </row>
    <row r="415" spans="1:6">
      <c r="A415" t="s">
        <v>897</v>
      </c>
      <c r="B415" t="s">
        <v>16</v>
      </c>
      <c r="C415" t="s">
        <v>898</v>
      </c>
      <c r="E415" t="s">
        <v>18</v>
      </c>
      <c r="F415" t="s">
        <v>19</v>
      </c>
    </row>
    <row r="416" spans="1:6">
      <c r="A416" t="s">
        <v>899</v>
      </c>
      <c r="B416" t="s">
        <v>16</v>
      </c>
      <c r="C416" t="s">
        <v>900</v>
      </c>
      <c r="E416" t="s">
        <v>56</v>
      </c>
      <c r="F416" t="s">
        <v>57</v>
      </c>
    </row>
    <row r="417" spans="1:6">
      <c r="A417" t="s">
        <v>901</v>
      </c>
      <c r="B417" t="s">
        <v>16</v>
      </c>
      <c r="C417" t="s">
        <v>902</v>
      </c>
      <c r="E417" t="s">
        <v>18</v>
      </c>
      <c r="F417" t="s">
        <v>19</v>
      </c>
    </row>
    <row r="418" spans="1:6">
      <c r="A418" t="s">
        <v>903</v>
      </c>
      <c r="B418" t="s">
        <v>16</v>
      </c>
      <c r="C418" t="s">
        <v>904</v>
      </c>
      <c r="E418" t="s">
        <v>18</v>
      </c>
      <c r="F418" t="s">
        <v>19</v>
      </c>
    </row>
    <row r="419" spans="1:6">
      <c r="A419" t="s">
        <v>905</v>
      </c>
      <c r="B419" t="s">
        <v>16</v>
      </c>
      <c r="C419" t="s">
        <v>906</v>
      </c>
      <c r="E419" t="s">
        <v>18</v>
      </c>
      <c r="F419" t="s">
        <v>19</v>
      </c>
    </row>
    <row r="420" spans="1:6">
      <c r="A420" t="s">
        <v>907</v>
      </c>
      <c r="B420" t="s">
        <v>16</v>
      </c>
      <c r="C420" t="s">
        <v>908</v>
      </c>
      <c r="E420" t="s">
        <v>18</v>
      </c>
      <c r="F420" t="s">
        <v>19</v>
      </c>
    </row>
    <row r="421" spans="1:6">
      <c r="A421" t="s">
        <v>909</v>
      </c>
      <c r="B421" t="s">
        <v>16</v>
      </c>
      <c r="C421" t="s">
        <v>910</v>
      </c>
      <c r="E421" t="s">
        <v>18</v>
      </c>
      <c r="F421" t="s">
        <v>19</v>
      </c>
    </row>
    <row r="422" spans="1:6">
      <c r="A422" t="s">
        <v>911</v>
      </c>
      <c r="B422" t="s">
        <v>16</v>
      </c>
      <c r="C422" t="s">
        <v>912</v>
      </c>
      <c r="E422" t="s">
        <v>18</v>
      </c>
      <c r="F422" t="s">
        <v>19</v>
      </c>
    </row>
    <row r="423" spans="1:6">
      <c r="A423" t="s">
        <v>913</v>
      </c>
      <c r="B423" t="s">
        <v>16</v>
      </c>
      <c r="C423" t="s">
        <v>914</v>
      </c>
      <c r="E423" t="s">
        <v>82</v>
      </c>
      <c r="F423" t="s">
        <v>83</v>
      </c>
    </row>
    <row r="424" spans="1:6">
      <c r="A424" t="s">
        <v>915</v>
      </c>
      <c r="B424" t="s">
        <v>16</v>
      </c>
      <c r="C424" t="s">
        <v>916</v>
      </c>
      <c r="E424" t="s">
        <v>18</v>
      </c>
      <c r="F424" t="s">
        <v>19</v>
      </c>
    </row>
    <row r="425" spans="1:6">
      <c r="A425" t="s">
        <v>917</v>
      </c>
      <c r="B425" t="s">
        <v>16</v>
      </c>
      <c r="C425" t="s">
        <v>918</v>
      </c>
      <c r="E425" t="s">
        <v>18</v>
      </c>
      <c r="F425" t="s">
        <v>19</v>
      </c>
    </row>
    <row r="426" spans="1:6">
      <c r="A426" t="s">
        <v>919</v>
      </c>
      <c r="B426" t="s">
        <v>16</v>
      </c>
      <c r="C426" t="s">
        <v>920</v>
      </c>
      <c r="E426" t="s">
        <v>18</v>
      </c>
      <c r="F426" t="s">
        <v>19</v>
      </c>
    </row>
    <row r="427" spans="1:6">
      <c r="A427" t="s">
        <v>921</v>
      </c>
      <c r="B427" t="s">
        <v>16</v>
      </c>
      <c r="C427" t="s">
        <v>922</v>
      </c>
      <c r="E427" t="s">
        <v>18</v>
      </c>
      <c r="F427" t="s">
        <v>19</v>
      </c>
    </row>
    <row r="428" spans="1:6">
      <c r="A428" t="s">
        <v>923</v>
      </c>
      <c r="B428" t="s">
        <v>16</v>
      </c>
      <c r="C428" t="s">
        <v>924</v>
      </c>
      <c r="E428" t="s">
        <v>18</v>
      </c>
      <c r="F428" t="s">
        <v>19</v>
      </c>
    </row>
    <row r="429" spans="1:6">
      <c r="A429" t="s">
        <v>925</v>
      </c>
      <c r="B429" t="s">
        <v>16</v>
      </c>
      <c r="C429" t="s">
        <v>926</v>
      </c>
      <c r="E429" t="s">
        <v>18</v>
      </c>
      <c r="F429" t="s">
        <v>19</v>
      </c>
    </row>
    <row r="430" spans="1:6">
      <c r="A430" t="s">
        <v>927</v>
      </c>
      <c r="B430" t="s">
        <v>16</v>
      </c>
      <c r="C430" t="s">
        <v>928</v>
      </c>
      <c r="E430" t="s">
        <v>18</v>
      </c>
      <c r="F430" t="s">
        <v>19</v>
      </c>
    </row>
    <row r="431" spans="1:6">
      <c r="A431" t="s">
        <v>929</v>
      </c>
      <c r="B431" t="s">
        <v>16</v>
      </c>
      <c r="C431" t="s">
        <v>930</v>
      </c>
      <c r="E431" t="s">
        <v>18</v>
      </c>
      <c r="F431" t="s">
        <v>19</v>
      </c>
    </row>
    <row r="432" spans="1:6">
      <c r="A432" t="s">
        <v>931</v>
      </c>
      <c r="B432" t="s">
        <v>16</v>
      </c>
      <c r="C432" t="s">
        <v>932</v>
      </c>
      <c r="E432" t="s">
        <v>18</v>
      </c>
      <c r="F432" t="s">
        <v>19</v>
      </c>
    </row>
    <row r="433" spans="1:6">
      <c r="A433" t="s">
        <v>933</v>
      </c>
      <c r="B433" t="s">
        <v>16</v>
      </c>
      <c r="C433" t="s">
        <v>694</v>
      </c>
      <c r="E433" t="s">
        <v>56</v>
      </c>
      <c r="F433" t="s">
        <v>57</v>
      </c>
    </row>
    <row r="434" spans="1:6">
      <c r="A434" t="s">
        <v>934</v>
      </c>
      <c r="B434" t="s">
        <v>16</v>
      </c>
      <c r="C434" t="s">
        <v>900</v>
      </c>
      <c r="E434" t="s">
        <v>475</v>
      </c>
      <c r="F434" t="s">
        <v>476</v>
      </c>
    </row>
    <row r="435" spans="1:6">
      <c r="A435" t="s">
        <v>935</v>
      </c>
      <c r="B435" t="s">
        <v>16</v>
      </c>
      <c r="C435" t="s">
        <v>936</v>
      </c>
      <c r="E435" t="s">
        <v>18</v>
      </c>
      <c r="F435" t="s">
        <v>19</v>
      </c>
    </row>
    <row r="436" spans="1:6">
      <c r="A436" t="s">
        <v>937</v>
      </c>
      <c r="B436" t="s">
        <v>16</v>
      </c>
      <c r="C436" t="s">
        <v>938</v>
      </c>
      <c r="E436" t="s">
        <v>188</v>
      </c>
      <c r="F436" t="s">
        <v>189</v>
      </c>
    </row>
    <row r="437" spans="1:6">
      <c r="A437" t="s">
        <v>939</v>
      </c>
      <c r="B437" t="s">
        <v>16</v>
      </c>
      <c r="C437" t="s">
        <v>940</v>
      </c>
      <c r="E437" t="s">
        <v>18</v>
      </c>
      <c r="F437" t="s">
        <v>19</v>
      </c>
    </row>
    <row r="438" spans="1:6">
      <c r="A438" t="s">
        <v>941</v>
      </c>
      <c r="B438" t="s">
        <v>16</v>
      </c>
      <c r="C438" t="s">
        <v>942</v>
      </c>
      <c r="E438" t="s">
        <v>330</v>
      </c>
      <c r="F438" t="s">
        <v>331</v>
      </c>
    </row>
    <row r="439" spans="1:6">
      <c r="A439" t="s">
        <v>943</v>
      </c>
      <c r="B439" t="s">
        <v>16</v>
      </c>
      <c r="C439" t="s">
        <v>944</v>
      </c>
      <c r="E439" t="s">
        <v>18</v>
      </c>
      <c r="F439" t="s">
        <v>19</v>
      </c>
    </row>
    <row r="440" spans="1:6">
      <c r="A440" t="s">
        <v>945</v>
      </c>
      <c r="B440" t="s">
        <v>16</v>
      </c>
      <c r="C440" t="s">
        <v>946</v>
      </c>
      <c r="E440" t="s">
        <v>18</v>
      </c>
      <c r="F440" t="s">
        <v>19</v>
      </c>
    </row>
    <row r="441" spans="1:6">
      <c r="A441" t="s">
        <v>947</v>
      </c>
      <c r="B441" t="s">
        <v>16</v>
      </c>
      <c r="C441" t="s">
        <v>948</v>
      </c>
      <c r="E441" t="s">
        <v>34</v>
      </c>
      <c r="F441" t="s">
        <v>35</v>
      </c>
    </row>
    <row r="442" spans="1:6">
      <c r="A442" t="s">
        <v>949</v>
      </c>
      <c r="B442" t="s">
        <v>16</v>
      </c>
      <c r="C442" t="s">
        <v>950</v>
      </c>
      <c r="E442" t="s">
        <v>18</v>
      </c>
      <c r="F442" t="s">
        <v>19</v>
      </c>
    </row>
    <row r="443" spans="1:6">
      <c r="A443" t="s">
        <v>951</v>
      </c>
      <c r="B443" t="s">
        <v>16</v>
      </c>
      <c r="C443" t="s">
        <v>952</v>
      </c>
      <c r="E443" t="s">
        <v>18</v>
      </c>
      <c r="F443" t="s">
        <v>19</v>
      </c>
    </row>
    <row r="444" spans="1:6">
      <c r="A444" t="s">
        <v>953</v>
      </c>
      <c r="B444" t="s">
        <v>16</v>
      </c>
      <c r="C444" t="s">
        <v>954</v>
      </c>
      <c r="E444" t="s">
        <v>18</v>
      </c>
      <c r="F444" t="s">
        <v>19</v>
      </c>
    </row>
    <row r="445" spans="1:6">
      <c r="A445" t="s">
        <v>955</v>
      </c>
      <c r="B445" t="s">
        <v>16</v>
      </c>
      <c r="C445" t="s">
        <v>956</v>
      </c>
      <c r="E445" t="s">
        <v>18</v>
      </c>
      <c r="F445" t="s">
        <v>19</v>
      </c>
    </row>
    <row r="446" spans="1:6">
      <c r="A446" t="s">
        <v>957</v>
      </c>
      <c r="B446" t="s">
        <v>16</v>
      </c>
      <c r="C446" t="s">
        <v>958</v>
      </c>
      <c r="E446" t="s">
        <v>18</v>
      </c>
      <c r="F446" t="s">
        <v>19</v>
      </c>
    </row>
    <row r="447" spans="1:6">
      <c r="A447" t="s">
        <v>959</v>
      </c>
      <c r="B447" t="s">
        <v>16</v>
      </c>
      <c r="C447" t="s">
        <v>960</v>
      </c>
      <c r="E447" t="s">
        <v>18</v>
      </c>
      <c r="F447" t="s">
        <v>19</v>
      </c>
    </row>
    <row r="448" spans="1:6">
      <c r="A448" t="s">
        <v>961</v>
      </c>
      <c r="B448" t="s">
        <v>16</v>
      </c>
      <c r="C448" t="s">
        <v>962</v>
      </c>
      <c r="E448" t="s">
        <v>324</v>
      </c>
      <c r="F448" t="s">
        <v>325</v>
      </c>
    </row>
    <row r="449" spans="1:6">
      <c r="A449" t="s">
        <v>963</v>
      </c>
      <c r="B449" t="s">
        <v>16</v>
      </c>
      <c r="C449" t="s">
        <v>964</v>
      </c>
      <c r="E449" t="s">
        <v>18</v>
      </c>
      <c r="F449" t="s">
        <v>19</v>
      </c>
    </row>
    <row r="450" spans="1:6">
      <c r="A450" t="s">
        <v>965</v>
      </c>
      <c r="B450" t="s">
        <v>16</v>
      </c>
      <c r="C450" t="s">
        <v>966</v>
      </c>
      <c r="E450" t="s">
        <v>18</v>
      </c>
      <c r="F450" t="s">
        <v>19</v>
      </c>
    </row>
    <row r="451" spans="1:6">
      <c r="A451" t="s">
        <v>967</v>
      </c>
      <c r="B451" t="s">
        <v>16</v>
      </c>
      <c r="C451" t="s">
        <v>968</v>
      </c>
      <c r="E451" t="s">
        <v>18</v>
      </c>
      <c r="F451" t="s">
        <v>19</v>
      </c>
    </row>
    <row r="452" spans="1:6">
      <c r="A452" t="s">
        <v>969</v>
      </c>
      <c r="B452" t="s">
        <v>16</v>
      </c>
      <c r="C452" t="s">
        <v>970</v>
      </c>
      <c r="E452" t="s">
        <v>971</v>
      </c>
      <c r="F452" t="s">
        <v>972</v>
      </c>
    </row>
    <row r="453" spans="1:6">
      <c r="A453" t="s">
        <v>973</v>
      </c>
      <c r="B453" t="s">
        <v>16</v>
      </c>
      <c r="C453" t="s">
        <v>974</v>
      </c>
      <c r="E453" t="s">
        <v>18</v>
      </c>
      <c r="F453" t="s">
        <v>19</v>
      </c>
    </row>
    <row r="454" spans="1:6">
      <c r="A454" t="s">
        <v>975</v>
      </c>
      <c r="B454" t="s">
        <v>16</v>
      </c>
      <c r="C454" t="s">
        <v>976</v>
      </c>
      <c r="E454" t="s">
        <v>18</v>
      </c>
      <c r="F454" t="s">
        <v>19</v>
      </c>
    </row>
    <row r="455" spans="1:6">
      <c r="A455" t="s">
        <v>977</v>
      </c>
      <c r="B455" t="s">
        <v>16</v>
      </c>
      <c r="C455" t="s">
        <v>978</v>
      </c>
      <c r="E455" t="s">
        <v>18</v>
      </c>
      <c r="F455" t="s">
        <v>19</v>
      </c>
    </row>
    <row r="456" spans="1:6">
      <c r="A456" t="s">
        <v>979</v>
      </c>
      <c r="B456" t="s">
        <v>16</v>
      </c>
      <c r="C456" t="s">
        <v>980</v>
      </c>
      <c r="E456" t="s">
        <v>18</v>
      </c>
      <c r="F456" t="s">
        <v>19</v>
      </c>
    </row>
    <row r="457" spans="1:6">
      <c r="A457" t="s">
        <v>981</v>
      </c>
      <c r="B457" t="s">
        <v>16</v>
      </c>
      <c r="C457" t="s">
        <v>982</v>
      </c>
      <c r="E457" t="s">
        <v>18</v>
      </c>
      <c r="F457" t="s">
        <v>19</v>
      </c>
    </row>
    <row r="458" spans="1:6">
      <c r="A458" t="s">
        <v>983</v>
      </c>
      <c r="B458" t="s">
        <v>16</v>
      </c>
      <c r="C458" t="s">
        <v>41</v>
      </c>
      <c r="E458" t="s">
        <v>252</v>
      </c>
      <c r="F458" t="s">
        <v>253</v>
      </c>
    </row>
    <row r="459" spans="1:6">
      <c r="A459" t="s">
        <v>984</v>
      </c>
      <c r="B459" t="s">
        <v>16</v>
      </c>
      <c r="C459" t="s">
        <v>985</v>
      </c>
      <c r="E459" t="s">
        <v>18</v>
      </c>
      <c r="F459" t="s">
        <v>19</v>
      </c>
    </row>
    <row r="460" spans="1:6">
      <c r="A460" t="s">
        <v>986</v>
      </c>
      <c r="B460" t="s">
        <v>16</v>
      </c>
      <c r="C460" t="s">
        <v>987</v>
      </c>
      <c r="E460" t="s">
        <v>971</v>
      </c>
      <c r="F460" t="s">
        <v>972</v>
      </c>
    </row>
    <row r="461" spans="1:6">
      <c r="A461" t="s">
        <v>988</v>
      </c>
      <c r="B461" t="s">
        <v>16</v>
      </c>
      <c r="C461" t="s">
        <v>989</v>
      </c>
      <c r="E461" t="s">
        <v>18</v>
      </c>
      <c r="F461" t="s">
        <v>19</v>
      </c>
    </row>
    <row r="462" spans="1:6">
      <c r="A462" t="s">
        <v>990</v>
      </c>
      <c r="B462" t="s">
        <v>16</v>
      </c>
      <c r="C462" t="s">
        <v>991</v>
      </c>
      <c r="E462" t="s">
        <v>52</v>
      </c>
      <c r="F462" t="s">
        <v>53</v>
      </c>
    </row>
    <row r="463" spans="1:6">
      <c r="A463" t="s">
        <v>992</v>
      </c>
      <c r="B463" t="s">
        <v>16</v>
      </c>
      <c r="C463" t="s">
        <v>993</v>
      </c>
      <c r="E463" t="s">
        <v>18</v>
      </c>
      <c r="F463" t="s">
        <v>19</v>
      </c>
    </row>
    <row r="464" spans="1:6">
      <c r="A464" t="s">
        <v>994</v>
      </c>
      <c r="B464" t="s">
        <v>16</v>
      </c>
      <c r="C464" t="s">
        <v>995</v>
      </c>
      <c r="E464" t="s">
        <v>18</v>
      </c>
      <c r="F464" t="s">
        <v>19</v>
      </c>
    </row>
    <row r="465" spans="1:6">
      <c r="A465" t="s">
        <v>996</v>
      </c>
      <c r="B465" t="s">
        <v>16</v>
      </c>
      <c r="C465" t="s">
        <v>997</v>
      </c>
      <c r="E465" t="s">
        <v>18</v>
      </c>
      <c r="F465" t="s">
        <v>19</v>
      </c>
    </row>
    <row r="466" spans="1:6">
      <c r="A466" t="s">
        <v>998</v>
      </c>
      <c r="B466" t="s">
        <v>16</v>
      </c>
      <c r="C466" t="s">
        <v>999</v>
      </c>
      <c r="E466" t="s">
        <v>34</v>
      </c>
      <c r="F466" t="s">
        <v>35</v>
      </c>
    </row>
    <row r="467" spans="1:6">
      <c r="A467" t="s">
        <v>1000</v>
      </c>
      <c r="B467" t="s">
        <v>16</v>
      </c>
      <c r="C467" t="s">
        <v>1001</v>
      </c>
      <c r="E467" t="s">
        <v>18</v>
      </c>
      <c r="F467" t="s">
        <v>19</v>
      </c>
    </row>
    <row r="468" spans="1:6">
      <c r="A468" t="s">
        <v>1002</v>
      </c>
      <c r="B468" t="s">
        <v>16</v>
      </c>
      <c r="C468" t="s">
        <v>1003</v>
      </c>
      <c r="E468" t="s">
        <v>18</v>
      </c>
      <c r="F468" t="s">
        <v>19</v>
      </c>
    </row>
    <row r="469" spans="1:6">
      <c r="A469" t="s">
        <v>1004</v>
      </c>
      <c r="B469" t="s">
        <v>16</v>
      </c>
      <c r="C469" t="s">
        <v>1005</v>
      </c>
      <c r="E469" t="s">
        <v>18</v>
      </c>
      <c r="F469" t="s">
        <v>19</v>
      </c>
    </row>
    <row r="470" spans="1:6">
      <c r="A470" t="s">
        <v>1006</v>
      </c>
      <c r="B470" t="s">
        <v>16</v>
      </c>
      <c r="C470" t="s">
        <v>1007</v>
      </c>
      <c r="E470" t="s">
        <v>18</v>
      </c>
      <c r="F470" t="s">
        <v>19</v>
      </c>
    </row>
    <row r="471" spans="1:6">
      <c r="A471" t="s">
        <v>1008</v>
      </c>
      <c r="B471" t="s">
        <v>16</v>
      </c>
      <c r="C471" t="s">
        <v>1009</v>
      </c>
      <c r="E471" t="s">
        <v>18</v>
      </c>
      <c r="F471" t="s">
        <v>19</v>
      </c>
    </row>
    <row r="472" spans="1:6">
      <c r="A472" t="s">
        <v>1010</v>
      </c>
      <c r="B472" t="s">
        <v>16</v>
      </c>
      <c r="C472" t="s">
        <v>1011</v>
      </c>
      <c r="E472" t="s">
        <v>18</v>
      </c>
      <c r="F472" t="s">
        <v>19</v>
      </c>
    </row>
    <row r="473" spans="1:6">
      <c r="A473" t="s">
        <v>1012</v>
      </c>
      <c r="B473" t="s">
        <v>16</v>
      </c>
      <c r="C473" t="s">
        <v>1013</v>
      </c>
      <c r="E473" t="s">
        <v>18</v>
      </c>
      <c r="F473" t="s">
        <v>19</v>
      </c>
    </row>
    <row r="474" spans="1:6">
      <c r="A474" t="s">
        <v>1014</v>
      </c>
      <c r="B474" t="s">
        <v>16</v>
      </c>
      <c r="C474" t="s">
        <v>1015</v>
      </c>
      <c r="E474" t="s">
        <v>18</v>
      </c>
      <c r="F474" t="s">
        <v>19</v>
      </c>
    </row>
    <row r="475" spans="1:6">
      <c r="A475" t="s">
        <v>1016</v>
      </c>
      <c r="B475" t="s">
        <v>16</v>
      </c>
      <c r="C475" t="s">
        <v>1017</v>
      </c>
      <c r="E475" t="s">
        <v>34</v>
      </c>
      <c r="F475" t="s">
        <v>35</v>
      </c>
    </row>
    <row r="476" spans="1:6">
      <c r="A476" t="s">
        <v>1018</v>
      </c>
      <c r="B476" t="s">
        <v>16</v>
      </c>
      <c r="C476" t="s">
        <v>1019</v>
      </c>
      <c r="E476" t="s">
        <v>18</v>
      </c>
      <c r="F476" t="s">
        <v>19</v>
      </c>
    </row>
    <row r="477" spans="1:6">
      <c r="A477" t="s">
        <v>1020</v>
      </c>
      <c r="B477" t="s">
        <v>16</v>
      </c>
      <c r="C477" t="s">
        <v>758</v>
      </c>
      <c r="E477" t="s">
        <v>42</v>
      </c>
      <c r="F477" t="s">
        <v>43</v>
      </c>
    </row>
    <row r="478" spans="1:6">
      <c r="A478" t="s">
        <v>1021</v>
      </c>
      <c r="B478" t="s">
        <v>16</v>
      </c>
      <c r="C478" t="s">
        <v>1022</v>
      </c>
      <c r="E478" t="s">
        <v>18</v>
      </c>
      <c r="F478" t="s">
        <v>19</v>
      </c>
    </row>
    <row r="479" spans="1:6">
      <c r="A479" t="s">
        <v>1023</v>
      </c>
      <c r="B479" t="s">
        <v>16</v>
      </c>
      <c r="C479" t="s">
        <v>1024</v>
      </c>
      <c r="E479" t="s">
        <v>18</v>
      </c>
      <c r="F479" t="s">
        <v>19</v>
      </c>
    </row>
    <row r="480" spans="1:6">
      <c r="A480" t="s">
        <v>1025</v>
      </c>
      <c r="B480" t="s">
        <v>16</v>
      </c>
      <c r="C480" t="s">
        <v>1026</v>
      </c>
      <c r="E480" t="s">
        <v>18</v>
      </c>
      <c r="F480" t="s">
        <v>19</v>
      </c>
    </row>
    <row r="481" spans="1:6">
      <c r="A481" t="s">
        <v>1027</v>
      </c>
      <c r="B481" t="s">
        <v>16</v>
      </c>
      <c r="C481" t="s">
        <v>1028</v>
      </c>
      <c r="E481" t="s">
        <v>188</v>
      </c>
      <c r="F481" t="s">
        <v>189</v>
      </c>
    </row>
    <row r="482" spans="1:6">
      <c r="A482" t="s">
        <v>1029</v>
      </c>
      <c r="B482" t="s">
        <v>16</v>
      </c>
      <c r="C482" t="s">
        <v>1030</v>
      </c>
      <c r="E482" t="s">
        <v>18</v>
      </c>
      <c r="F482" t="s">
        <v>19</v>
      </c>
    </row>
    <row r="483" spans="1:6">
      <c r="A483" t="s">
        <v>1031</v>
      </c>
      <c r="B483" t="s">
        <v>16</v>
      </c>
      <c r="C483" t="s">
        <v>1032</v>
      </c>
      <c r="E483" t="s">
        <v>18</v>
      </c>
      <c r="F483" t="s">
        <v>19</v>
      </c>
    </row>
    <row r="484" spans="1:6">
      <c r="A484" t="s">
        <v>1033</v>
      </c>
      <c r="B484" t="s">
        <v>16</v>
      </c>
      <c r="C484" t="s">
        <v>1034</v>
      </c>
      <c r="E484" t="s">
        <v>252</v>
      </c>
      <c r="F484" t="s">
        <v>253</v>
      </c>
    </row>
    <row r="485" spans="1:6">
      <c r="A485" t="s">
        <v>1035</v>
      </c>
      <c r="B485" t="s">
        <v>16</v>
      </c>
      <c r="C485" t="s">
        <v>1036</v>
      </c>
      <c r="E485" t="s">
        <v>18</v>
      </c>
      <c r="F485" t="s">
        <v>19</v>
      </c>
    </row>
    <row r="486" spans="1:6">
      <c r="A486" t="s">
        <v>1037</v>
      </c>
      <c r="B486" t="s">
        <v>16</v>
      </c>
      <c r="C486" t="s">
        <v>1038</v>
      </c>
      <c r="E486" t="s">
        <v>18</v>
      </c>
      <c r="F486" t="s">
        <v>19</v>
      </c>
    </row>
    <row r="487" spans="1:6">
      <c r="A487" t="s">
        <v>1039</v>
      </c>
      <c r="B487" t="s">
        <v>16</v>
      </c>
      <c r="C487" t="s">
        <v>1040</v>
      </c>
      <c r="E487" t="s">
        <v>124</v>
      </c>
      <c r="F487" t="s">
        <v>125</v>
      </c>
    </row>
    <row r="488" spans="1:6">
      <c r="A488" t="s">
        <v>1041</v>
      </c>
      <c r="B488" t="s">
        <v>16</v>
      </c>
      <c r="C488" t="s">
        <v>1042</v>
      </c>
      <c r="E488" t="s">
        <v>18</v>
      </c>
      <c r="F488" t="s">
        <v>19</v>
      </c>
    </row>
    <row r="489" spans="1:6">
      <c r="A489" t="s">
        <v>1043</v>
      </c>
      <c r="B489" t="s">
        <v>16</v>
      </c>
      <c r="C489" t="s">
        <v>1044</v>
      </c>
      <c r="E489" t="s">
        <v>18</v>
      </c>
      <c r="F489" t="s">
        <v>19</v>
      </c>
    </row>
    <row r="490" spans="1:6">
      <c r="A490" t="s">
        <v>1045</v>
      </c>
      <c r="B490" t="s">
        <v>16</v>
      </c>
      <c r="C490" t="s">
        <v>51</v>
      </c>
      <c r="E490" t="s">
        <v>456</v>
      </c>
      <c r="F490" t="s">
        <v>457</v>
      </c>
    </row>
    <row r="491" spans="1:6">
      <c r="A491" t="s">
        <v>1046</v>
      </c>
      <c r="B491" t="s">
        <v>16</v>
      </c>
      <c r="C491" t="s">
        <v>1047</v>
      </c>
      <c r="E491" t="s">
        <v>34</v>
      </c>
      <c r="F491" t="s">
        <v>35</v>
      </c>
    </row>
    <row r="492" spans="1:6">
      <c r="A492" t="s">
        <v>1048</v>
      </c>
      <c r="B492" t="s">
        <v>16</v>
      </c>
      <c r="C492" t="s">
        <v>571</v>
      </c>
      <c r="E492" t="s">
        <v>18</v>
      </c>
      <c r="F492" t="s">
        <v>19</v>
      </c>
    </row>
    <row r="493" spans="1:6">
      <c r="A493" t="s">
        <v>1049</v>
      </c>
      <c r="B493" t="s">
        <v>16</v>
      </c>
      <c r="C493" t="s">
        <v>1050</v>
      </c>
      <c r="E493" t="s">
        <v>18</v>
      </c>
      <c r="F493" t="s">
        <v>19</v>
      </c>
    </row>
    <row r="494" spans="1:6">
      <c r="A494" t="s">
        <v>1051</v>
      </c>
      <c r="B494" t="s">
        <v>16</v>
      </c>
      <c r="C494" t="s">
        <v>1052</v>
      </c>
      <c r="E494" t="s">
        <v>18</v>
      </c>
      <c r="F494" t="s">
        <v>19</v>
      </c>
    </row>
    <row r="495" spans="1:6">
      <c r="A495" t="s">
        <v>1053</v>
      </c>
      <c r="B495" t="s">
        <v>16</v>
      </c>
      <c r="C495" t="s">
        <v>1054</v>
      </c>
      <c r="E495" t="s">
        <v>34</v>
      </c>
      <c r="F495" t="s">
        <v>35</v>
      </c>
    </row>
    <row r="496" spans="1:6">
      <c r="A496" t="s">
        <v>1055</v>
      </c>
      <c r="B496" t="s">
        <v>16</v>
      </c>
      <c r="C496" t="s">
        <v>1056</v>
      </c>
      <c r="E496" t="s">
        <v>18</v>
      </c>
      <c r="F496" t="s">
        <v>19</v>
      </c>
    </row>
    <row r="497" spans="1:6">
      <c r="A497" t="s">
        <v>1057</v>
      </c>
      <c r="B497" t="s">
        <v>16</v>
      </c>
      <c r="C497" t="s">
        <v>1058</v>
      </c>
      <c r="E497" t="s">
        <v>18</v>
      </c>
      <c r="F497" t="s">
        <v>19</v>
      </c>
    </row>
    <row r="498" spans="1:6">
      <c r="A498" t="s">
        <v>1059</v>
      </c>
      <c r="B498" t="s">
        <v>16</v>
      </c>
      <c r="C498" t="s">
        <v>1060</v>
      </c>
      <c r="E498" t="s">
        <v>1061</v>
      </c>
      <c r="F498" t="s">
        <v>1062</v>
      </c>
    </row>
    <row r="499" spans="1:6">
      <c r="A499" t="s">
        <v>1063</v>
      </c>
      <c r="B499" t="s">
        <v>16</v>
      </c>
      <c r="C499" t="s">
        <v>1064</v>
      </c>
      <c r="E499" t="s">
        <v>1065</v>
      </c>
      <c r="F499" t="s">
        <v>1066</v>
      </c>
    </row>
    <row r="500" spans="1:6">
      <c r="A500" t="s">
        <v>1067</v>
      </c>
      <c r="B500" t="s">
        <v>16</v>
      </c>
      <c r="C500" t="s">
        <v>1068</v>
      </c>
      <c r="E500" t="s">
        <v>34</v>
      </c>
      <c r="F500" t="s">
        <v>35</v>
      </c>
    </row>
    <row r="501" spans="1:6">
      <c r="A501" t="s">
        <v>1069</v>
      </c>
      <c r="B501" t="s">
        <v>16</v>
      </c>
      <c r="C501" t="s">
        <v>1070</v>
      </c>
      <c r="E501" t="s">
        <v>18</v>
      </c>
      <c r="F501" t="s">
        <v>19</v>
      </c>
    </row>
    <row r="502" spans="1:6">
      <c r="A502" t="s">
        <v>1071</v>
      </c>
      <c r="B502" t="s">
        <v>16</v>
      </c>
      <c r="C502" t="s">
        <v>1072</v>
      </c>
      <c r="E502" t="s">
        <v>18</v>
      </c>
      <c r="F502" t="s">
        <v>19</v>
      </c>
    </row>
    <row r="503" spans="1:6">
      <c r="A503" t="s">
        <v>1073</v>
      </c>
      <c r="B503" t="s">
        <v>16</v>
      </c>
      <c r="C503" t="s">
        <v>1074</v>
      </c>
      <c r="E503" t="s">
        <v>18</v>
      </c>
      <c r="F503" t="s">
        <v>19</v>
      </c>
    </row>
    <row r="504" spans="1:6">
      <c r="A504" t="s">
        <v>1075</v>
      </c>
      <c r="B504" t="s">
        <v>16</v>
      </c>
      <c r="C504" t="s">
        <v>1076</v>
      </c>
      <c r="E504" t="s">
        <v>34</v>
      </c>
      <c r="F504" t="s">
        <v>35</v>
      </c>
    </row>
    <row r="505" spans="1:6">
      <c r="A505" t="s">
        <v>1077</v>
      </c>
      <c r="B505" t="s">
        <v>16</v>
      </c>
      <c r="C505" t="s">
        <v>1078</v>
      </c>
      <c r="E505" t="s">
        <v>18</v>
      </c>
      <c r="F505" t="s">
        <v>19</v>
      </c>
    </row>
    <row r="506" spans="1:6">
      <c r="A506" t="s">
        <v>1079</v>
      </c>
      <c r="B506" t="s">
        <v>16</v>
      </c>
      <c r="C506" t="s">
        <v>1080</v>
      </c>
      <c r="E506" t="s">
        <v>751</v>
      </c>
      <c r="F506" t="s">
        <v>752</v>
      </c>
    </row>
    <row r="507" spans="1:6">
      <c r="A507" t="s">
        <v>1081</v>
      </c>
      <c r="B507" t="s">
        <v>16</v>
      </c>
      <c r="C507" t="s">
        <v>1082</v>
      </c>
      <c r="E507" t="s">
        <v>18</v>
      </c>
      <c r="F507" t="s">
        <v>19</v>
      </c>
    </row>
    <row r="508" spans="1:6">
      <c r="A508" t="s">
        <v>1083</v>
      </c>
      <c r="B508" t="s">
        <v>16</v>
      </c>
      <c r="C508" t="s">
        <v>1084</v>
      </c>
      <c r="E508" t="s">
        <v>34</v>
      </c>
      <c r="F508" t="s">
        <v>35</v>
      </c>
    </row>
    <row r="509" spans="1:6">
      <c r="A509" t="s">
        <v>1085</v>
      </c>
      <c r="B509" t="s">
        <v>16</v>
      </c>
      <c r="C509" t="s">
        <v>1086</v>
      </c>
      <c r="E509" t="s">
        <v>18</v>
      </c>
      <c r="F509" t="s">
        <v>19</v>
      </c>
    </row>
    <row r="510" spans="1:6">
      <c r="A510" t="s">
        <v>1087</v>
      </c>
      <c r="B510" t="s">
        <v>16</v>
      </c>
      <c r="C510" t="s">
        <v>1088</v>
      </c>
      <c r="E510" t="s">
        <v>18</v>
      </c>
      <c r="F510" t="s">
        <v>19</v>
      </c>
    </row>
    <row r="511" spans="1:6">
      <c r="A511" t="s">
        <v>1089</v>
      </c>
      <c r="B511" t="s">
        <v>16</v>
      </c>
      <c r="C511" t="s">
        <v>1090</v>
      </c>
      <c r="E511" t="s">
        <v>18</v>
      </c>
      <c r="F511" t="s">
        <v>19</v>
      </c>
    </row>
    <row r="512" spans="1:6">
      <c r="A512" t="s">
        <v>1091</v>
      </c>
      <c r="B512" t="s">
        <v>16</v>
      </c>
      <c r="C512" t="s">
        <v>1092</v>
      </c>
      <c r="E512" t="s">
        <v>18</v>
      </c>
      <c r="F512" t="s">
        <v>19</v>
      </c>
    </row>
    <row r="513" spans="1:6">
      <c r="A513" t="s">
        <v>1093</v>
      </c>
      <c r="B513" t="s">
        <v>16</v>
      </c>
      <c r="C513" t="s">
        <v>1094</v>
      </c>
      <c r="E513" t="s">
        <v>18</v>
      </c>
      <c r="F513" t="s">
        <v>19</v>
      </c>
    </row>
    <row r="514" spans="1:6">
      <c r="A514" t="s">
        <v>1095</v>
      </c>
      <c r="B514" t="s">
        <v>16</v>
      </c>
      <c r="C514" t="s">
        <v>1096</v>
      </c>
      <c r="E514" t="s">
        <v>18</v>
      </c>
      <c r="F514" t="s">
        <v>19</v>
      </c>
    </row>
    <row r="515" spans="1:6">
      <c r="A515" t="s">
        <v>1097</v>
      </c>
      <c r="B515" t="s">
        <v>16</v>
      </c>
      <c r="C515" t="s">
        <v>1098</v>
      </c>
      <c r="E515" t="s">
        <v>18</v>
      </c>
      <c r="F515" t="s">
        <v>19</v>
      </c>
    </row>
    <row r="516" spans="1:6">
      <c r="A516" t="s">
        <v>1099</v>
      </c>
      <c r="B516" t="s">
        <v>16</v>
      </c>
      <c r="C516" t="s">
        <v>1100</v>
      </c>
      <c r="E516" t="s">
        <v>18</v>
      </c>
      <c r="F516" t="s">
        <v>19</v>
      </c>
    </row>
    <row r="517" spans="1:6">
      <c r="A517" t="s">
        <v>1101</v>
      </c>
      <c r="B517" t="s">
        <v>16</v>
      </c>
      <c r="C517" t="s">
        <v>1102</v>
      </c>
      <c r="E517" t="s">
        <v>18</v>
      </c>
      <c r="F517" t="s">
        <v>19</v>
      </c>
    </row>
    <row r="518" spans="1:6">
      <c r="A518" t="s">
        <v>1103</v>
      </c>
      <c r="B518" t="s">
        <v>16</v>
      </c>
      <c r="C518" t="s">
        <v>1104</v>
      </c>
      <c r="E518" t="s">
        <v>18</v>
      </c>
      <c r="F518" t="s">
        <v>19</v>
      </c>
    </row>
    <row r="519" spans="1:6">
      <c r="A519" t="s">
        <v>1105</v>
      </c>
      <c r="B519" t="s">
        <v>16</v>
      </c>
      <c r="C519" t="s">
        <v>1106</v>
      </c>
      <c r="E519" t="s">
        <v>18</v>
      </c>
      <c r="F519" t="s">
        <v>19</v>
      </c>
    </row>
    <row r="520" spans="1:6">
      <c r="A520" t="s">
        <v>1107</v>
      </c>
      <c r="B520" t="s">
        <v>16</v>
      </c>
      <c r="C520" t="s">
        <v>1108</v>
      </c>
      <c r="E520" t="s">
        <v>18</v>
      </c>
      <c r="F520" t="s">
        <v>19</v>
      </c>
    </row>
    <row r="521" spans="1:6">
      <c r="A521" t="s">
        <v>1109</v>
      </c>
      <c r="B521" t="s">
        <v>16</v>
      </c>
      <c r="C521" t="s">
        <v>1110</v>
      </c>
      <c r="E521" t="s">
        <v>18</v>
      </c>
      <c r="F521" t="s">
        <v>19</v>
      </c>
    </row>
    <row r="522" spans="1:6">
      <c r="A522" t="s">
        <v>1111</v>
      </c>
      <c r="B522" t="s">
        <v>16</v>
      </c>
      <c r="C522" t="s">
        <v>1112</v>
      </c>
      <c r="E522" t="s">
        <v>18</v>
      </c>
      <c r="F522" t="s">
        <v>19</v>
      </c>
    </row>
    <row r="523" spans="1:6">
      <c r="A523" t="s">
        <v>1113</v>
      </c>
      <c r="B523" t="s">
        <v>16</v>
      </c>
      <c r="C523" t="s">
        <v>1114</v>
      </c>
      <c r="E523" t="s">
        <v>18</v>
      </c>
      <c r="F523" t="s">
        <v>19</v>
      </c>
    </row>
    <row r="524" spans="1:6">
      <c r="A524" t="s">
        <v>1115</v>
      </c>
      <c r="B524" t="s">
        <v>16</v>
      </c>
      <c r="C524" t="s">
        <v>1116</v>
      </c>
      <c r="E524" t="s">
        <v>18</v>
      </c>
      <c r="F524" t="s">
        <v>19</v>
      </c>
    </row>
    <row r="525" spans="1:6">
      <c r="A525" t="s">
        <v>1117</v>
      </c>
      <c r="B525" t="s">
        <v>16</v>
      </c>
      <c r="C525" t="s">
        <v>1118</v>
      </c>
      <c r="E525" t="s">
        <v>18</v>
      </c>
      <c r="F525" t="s">
        <v>19</v>
      </c>
    </row>
    <row r="526" spans="1:6">
      <c r="A526" t="s">
        <v>1119</v>
      </c>
      <c r="B526" t="s">
        <v>16</v>
      </c>
      <c r="C526" t="s">
        <v>1120</v>
      </c>
      <c r="E526" t="s">
        <v>330</v>
      </c>
      <c r="F526" t="s">
        <v>331</v>
      </c>
    </row>
    <row r="527" spans="1:6">
      <c r="A527" t="s">
        <v>1121</v>
      </c>
      <c r="B527" t="s">
        <v>16</v>
      </c>
      <c r="C527" t="s">
        <v>1122</v>
      </c>
      <c r="E527" t="s">
        <v>18</v>
      </c>
      <c r="F527" t="s">
        <v>19</v>
      </c>
    </row>
    <row r="528" spans="1:6">
      <c r="A528" t="s">
        <v>1123</v>
      </c>
      <c r="B528" t="s">
        <v>16</v>
      </c>
      <c r="C528" t="s">
        <v>1124</v>
      </c>
      <c r="E528" t="s">
        <v>56</v>
      </c>
      <c r="F528" t="s">
        <v>57</v>
      </c>
    </row>
    <row r="529" spans="1:6">
      <c r="A529" t="s">
        <v>1125</v>
      </c>
      <c r="B529" t="s">
        <v>16</v>
      </c>
      <c r="C529" t="s">
        <v>1126</v>
      </c>
      <c r="E529" t="s">
        <v>831</v>
      </c>
      <c r="F529" t="s">
        <v>832</v>
      </c>
    </row>
    <row r="530" spans="1:6">
      <c r="A530" t="s">
        <v>1127</v>
      </c>
      <c r="B530" t="s">
        <v>16</v>
      </c>
      <c r="C530" t="s">
        <v>1128</v>
      </c>
      <c r="E530" t="s">
        <v>18</v>
      </c>
      <c r="F530" t="s">
        <v>19</v>
      </c>
    </row>
    <row r="531" spans="1:6">
      <c r="A531" t="s">
        <v>1129</v>
      </c>
      <c r="B531" t="s">
        <v>16</v>
      </c>
      <c r="C531" t="s">
        <v>1130</v>
      </c>
      <c r="E531" t="s">
        <v>18</v>
      </c>
      <c r="F531" t="s">
        <v>19</v>
      </c>
    </row>
    <row r="532" spans="1:6">
      <c r="A532" t="s">
        <v>1131</v>
      </c>
      <c r="B532" t="s">
        <v>16</v>
      </c>
      <c r="C532" t="s">
        <v>1132</v>
      </c>
      <c r="E532" t="s">
        <v>18</v>
      </c>
      <c r="F532" t="s">
        <v>19</v>
      </c>
    </row>
    <row r="533" spans="1:6">
      <c r="A533" t="s">
        <v>1133</v>
      </c>
      <c r="B533" t="s">
        <v>16</v>
      </c>
      <c r="C533" t="s">
        <v>1134</v>
      </c>
      <c r="E533" t="s">
        <v>1135</v>
      </c>
      <c r="F533" t="s">
        <v>1136</v>
      </c>
    </row>
    <row r="534" spans="1:6">
      <c r="A534" t="s">
        <v>1137</v>
      </c>
      <c r="B534" t="s">
        <v>16</v>
      </c>
      <c r="C534" t="s">
        <v>1138</v>
      </c>
      <c r="E534" t="s">
        <v>34</v>
      </c>
      <c r="F534" t="s">
        <v>35</v>
      </c>
    </row>
    <row r="535" spans="1:6">
      <c r="A535" t="s">
        <v>1139</v>
      </c>
      <c r="B535" t="s">
        <v>16</v>
      </c>
      <c r="C535" t="s">
        <v>1140</v>
      </c>
      <c r="E535" t="s">
        <v>18</v>
      </c>
      <c r="F535" t="s">
        <v>19</v>
      </c>
    </row>
    <row r="536" spans="1:6">
      <c r="A536" t="s">
        <v>1141</v>
      </c>
      <c r="B536" t="s">
        <v>16</v>
      </c>
      <c r="C536" t="s">
        <v>1142</v>
      </c>
      <c r="E536" t="s">
        <v>34</v>
      </c>
      <c r="F536" t="s">
        <v>35</v>
      </c>
    </row>
    <row r="537" spans="1:6">
      <c r="A537" t="s">
        <v>1143</v>
      </c>
      <c r="B537" t="s">
        <v>16</v>
      </c>
      <c r="C537" t="s">
        <v>1144</v>
      </c>
      <c r="E537" t="s">
        <v>257</v>
      </c>
      <c r="F537" t="s">
        <v>258</v>
      </c>
    </row>
    <row r="538" spans="1:6">
      <c r="A538" t="s">
        <v>1145</v>
      </c>
      <c r="B538" t="s">
        <v>16</v>
      </c>
      <c r="C538" t="s">
        <v>1146</v>
      </c>
      <c r="E538" t="s">
        <v>98</v>
      </c>
      <c r="F538" t="s">
        <v>99</v>
      </c>
    </row>
    <row r="539" spans="1:6">
      <c r="A539" t="s">
        <v>1147</v>
      </c>
      <c r="B539" t="s">
        <v>16</v>
      </c>
      <c r="C539" t="s">
        <v>1148</v>
      </c>
      <c r="E539" t="s">
        <v>18</v>
      </c>
      <c r="F539" t="s">
        <v>19</v>
      </c>
    </row>
    <row r="540" spans="1:6">
      <c r="A540" t="s">
        <v>1149</v>
      </c>
      <c r="B540" t="s">
        <v>16</v>
      </c>
      <c r="C540" t="s">
        <v>1150</v>
      </c>
      <c r="E540" t="s">
        <v>18</v>
      </c>
      <c r="F540" t="s">
        <v>19</v>
      </c>
    </row>
    <row r="541" spans="1:6">
      <c r="A541" t="s">
        <v>1151</v>
      </c>
      <c r="B541" t="s">
        <v>16</v>
      </c>
      <c r="C541" t="s">
        <v>1152</v>
      </c>
      <c r="E541" t="s">
        <v>18</v>
      </c>
      <c r="F541" t="s">
        <v>19</v>
      </c>
    </row>
    <row r="542" spans="1:6">
      <c r="A542" t="s">
        <v>1153</v>
      </c>
      <c r="B542" t="s">
        <v>16</v>
      </c>
      <c r="C542" t="s">
        <v>1154</v>
      </c>
      <c r="E542" t="s">
        <v>18</v>
      </c>
      <c r="F542" t="s">
        <v>19</v>
      </c>
    </row>
    <row r="543" spans="1:6">
      <c r="A543" t="s">
        <v>1155</v>
      </c>
      <c r="B543" t="s">
        <v>16</v>
      </c>
      <c r="C543" t="s">
        <v>1156</v>
      </c>
      <c r="E543" t="s">
        <v>18</v>
      </c>
      <c r="F543" t="s">
        <v>19</v>
      </c>
    </row>
    <row r="544" spans="1:6">
      <c r="A544" t="s">
        <v>1157</v>
      </c>
      <c r="B544" t="s">
        <v>16</v>
      </c>
      <c r="C544" t="s">
        <v>1158</v>
      </c>
      <c r="E544" t="s">
        <v>18</v>
      </c>
      <c r="F544" t="s">
        <v>19</v>
      </c>
    </row>
    <row r="545" spans="1:6">
      <c r="A545" t="s">
        <v>1159</v>
      </c>
      <c r="B545" t="s">
        <v>16</v>
      </c>
      <c r="C545" t="s">
        <v>1160</v>
      </c>
      <c r="E545" t="s">
        <v>302</v>
      </c>
      <c r="F545" t="s">
        <v>303</v>
      </c>
    </row>
    <row r="546" spans="1:6">
      <c r="A546" t="s">
        <v>1161</v>
      </c>
      <c r="B546" t="s">
        <v>16</v>
      </c>
      <c r="C546" t="s">
        <v>1162</v>
      </c>
      <c r="E546" t="s">
        <v>34</v>
      </c>
      <c r="F546" t="s">
        <v>35</v>
      </c>
    </row>
    <row r="547" spans="1:6">
      <c r="A547" t="s">
        <v>1163</v>
      </c>
      <c r="B547" t="s">
        <v>16</v>
      </c>
      <c r="C547" t="s">
        <v>1164</v>
      </c>
      <c r="E547" t="s">
        <v>18</v>
      </c>
      <c r="F547" t="s">
        <v>19</v>
      </c>
    </row>
    <row r="548" spans="1:6">
      <c r="A548" t="s">
        <v>1165</v>
      </c>
      <c r="B548" t="s">
        <v>16</v>
      </c>
      <c r="C548" t="s">
        <v>1166</v>
      </c>
      <c r="E548" t="s">
        <v>18</v>
      </c>
      <c r="F548" t="s">
        <v>19</v>
      </c>
    </row>
    <row r="549" spans="1:6">
      <c r="A549" t="s">
        <v>1167</v>
      </c>
      <c r="B549" t="s">
        <v>16</v>
      </c>
      <c r="C549" t="s">
        <v>1168</v>
      </c>
      <c r="E549" t="s">
        <v>390</v>
      </c>
      <c r="F549" t="s">
        <v>391</v>
      </c>
    </row>
    <row r="550" spans="1:6">
      <c r="A550" t="s">
        <v>1169</v>
      </c>
      <c r="B550" t="s">
        <v>16</v>
      </c>
      <c r="C550" t="s">
        <v>73</v>
      </c>
      <c r="E550" t="s">
        <v>18</v>
      </c>
      <c r="F550" t="s">
        <v>19</v>
      </c>
    </row>
    <row r="551" spans="1:6">
      <c r="A551" t="s">
        <v>1170</v>
      </c>
      <c r="B551" t="s">
        <v>16</v>
      </c>
      <c r="C551" t="s">
        <v>1171</v>
      </c>
      <c r="E551" t="s">
        <v>18</v>
      </c>
      <c r="F551" t="s">
        <v>19</v>
      </c>
    </row>
    <row r="552" spans="1:6">
      <c r="A552" t="s">
        <v>1172</v>
      </c>
      <c r="B552" t="s">
        <v>16</v>
      </c>
      <c r="C552" t="s">
        <v>41</v>
      </c>
      <c r="E552" t="s">
        <v>1173</v>
      </c>
      <c r="F552" t="s">
        <v>43</v>
      </c>
    </row>
    <row r="553" spans="1:6">
      <c r="A553" t="s">
        <v>1174</v>
      </c>
      <c r="B553" t="s">
        <v>16</v>
      </c>
      <c r="C553" t="s">
        <v>1175</v>
      </c>
      <c r="E553" t="s">
        <v>18</v>
      </c>
      <c r="F553" t="s">
        <v>19</v>
      </c>
    </row>
    <row r="554" spans="1:6">
      <c r="A554" t="s">
        <v>1176</v>
      </c>
      <c r="B554" t="s">
        <v>16</v>
      </c>
      <c r="C554" t="s">
        <v>1177</v>
      </c>
      <c r="E554" t="s">
        <v>18</v>
      </c>
      <c r="F554" t="s">
        <v>19</v>
      </c>
    </row>
    <row r="555" spans="1:6">
      <c r="A555" t="s">
        <v>1178</v>
      </c>
      <c r="B555" t="s">
        <v>16</v>
      </c>
      <c r="C555" t="s">
        <v>1179</v>
      </c>
      <c r="E555" t="s">
        <v>34</v>
      </c>
      <c r="F555" t="s">
        <v>35</v>
      </c>
    </row>
    <row r="556" spans="1:6">
      <c r="A556" t="s">
        <v>1180</v>
      </c>
      <c r="B556" t="s">
        <v>16</v>
      </c>
      <c r="C556" t="s">
        <v>1181</v>
      </c>
      <c r="E556" t="s">
        <v>18</v>
      </c>
      <c r="F556" t="s">
        <v>19</v>
      </c>
    </row>
    <row r="557" spans="1:6">
      <c r="A557" t="s">
        <v>1182</v>
      </c>
      <c r="B557" t="s">
        <v>16</v>
      </c>
      <c r="C557" t="s">
        <v>103</v>
      </c>
      <c r="E557" t="s">
        <v>18</v>
      </c>
      <c r="F557" t="s">
        <v>19</v>
      </c>
    </row>
    <row r="558" spans="1:6">
      <c r="A558" t="s">
        <v>1183</v>
      </c>
      <c r="B558" t="s">
        <v>16</v>
      </c>
      <c r="C558" t="s">
        <v>1184</v>
      </c>
      <c r="E558" t="s">
        <v>312</v>
      </c>
      <c r="F558" t="s">
        <v>313</v>
      </c>
    </row>
    <row r="559" spans="1:6">
      <c r="A559" t="s">
        <v>1185</v>
      </c>
      <c r="B559" t="s">
        <v>16</v>
      </c>
      <c r="C559" t="s">
        <v>1186</v>
      </c>
      <c r="E559" t="s">
        <v>18</v>
      </c>
      <c r="F559" t="s">
        <v>19</v>
      </c>
    </row>
    <row r="560" spans="1:6">
      <c r="A560" t="s">
        <v>1187</v>
      </c>
      <c r="B560" t="s">
        <v>16</v>
      </c>
      <c r="C560" t="s">
        <v>1188</v>
      </c>
      <c r="E560" t="s">
        <v>18</v>
      </c>
      <c r="F560" t="s">
        <v>19</v>
      </c>
    </row>
    <row r="561" spans="1:6">
      <c r="A561" t="s">
        <v>1189</v>
      </c>
      <c r="B561" t="s">
        <v>16</v>
      </c>
      <c r="C561" t="s">
        <v>1190</v>
      </c>
      <c r="E561" t="s">
        <v>18</v>
      </c>
      <c r="F561" t="s">
        <v>19</v>
      </c>
    </row>
    <row r="562" spans="1:6">
      <c r="A562" t="s">
        <v>1191</v>
      </c>
      <c r="B562" t="s">
        <v>16</v>
      </c>
      <c r="C562" t="s">
        <v>1192</v>
      </c>
      <c r="E562" t="s">
        <v>18</v>
      </c>
      <c r="F562" t="s">
        <v>19</v>
      </c>
    </row>
    <row r="563" spans="1:6">
      <c r="A563" t="s">
        <v>1193</v>
      </c>
      <c r="B563" t="s">
        <v>16</v>
      </c>
      <c r="C563" t="s">
        <v>1194</v>
      </c>
      <c r="E563" t="s">
        <v>302</v>
      </c>
      <c r="F563" t="s">
        <v>303</v>
      </c>
    </row>
    <row r="564" spans="1:6">
      <c r="A564" t="s">
        <v>1195</v>
      </c>
      <c r="B564" t="s">
        <v>16</v>
      </c>
      <c r="C564" t="s">
        <v>1196</v>
      </c>
      <c r="E564" t="s">
        <v>18</v>
      </c>
      <c r="F564" t="s">
        <v>19</v>
      </c>
    </row>
    <row r="565" spans="1:6">
      <c r="A565" t="s">
        <v>1197</v>
      </c>
      <c r="B565" t="s">
        <v>16</v>
      </c>
      <c r="C565" t="s">
        <v>1198</v>
      </c>
      <c r="E565" t="s">
        <v>827</v>
      </c>
      <c r="F565" t="s">
        <v>828</v>
      </c>
    </row>
    <row r="566" spans="1:6">
      <c r="A566" t="s">
        <v>1199</v>
      </c>
      <c r="B566" t="s">
        <v>16</v>
      </c>
      <c r="C566" t="s">
        <v>1200</v>
      </c>
      <c r="E566" t="s">
        <v>18</v>
      </c>
      <c r="F566" t="s">
        <v>19</v>
      </c>
    </row>
    <row r="567" spans="1:6">
      <c r="A567" t="s">
        <v>1201</v>
      </c>
      <c r="B567" t="s">
        <v>16</v>
      </c>
      <c r="C567" t="s">
        <v>1202</v>
      </c>
      <c r="E567" t="s">
        <v>18</v>
      </c>
      <c r="F567" t="s">
        <v>19</v>
      </c>
    </row>
    <row r="568" spans="1:6">
      <c r="A568" t="s">
        <v>1203</v>
      </c>
      <c r="B568" t="s">
        <v>16</v>
      </c>
      <c r="C568" t="s">
        <v>1204</v>
      </c>
      <c r="E568" t="s">
        <v>18</v>
      </c>
      <c r="F568" t="s">
        <v>19</v>
      </c>
    </row>
    <row r="569" spans="1:6">
      <c r="A569" t="s">
        <v>1205</v>
      </c>
      <c r="B569" t="s">
        <v>16</v>
      </c>
      <c r="C569" t="s">
        <v>1206</v>
      </c>
      <c r="E569" t="s">
        <v>34</v>
      </c>
      <c r="F569" t="s">
        <v>35</v>
      </c>
    </row>
    <row r="570" spans="1:6">
      <c r="A570" t="s">
        <v>1207</v>
      </c>
      <c r="B570" t="s">
        <v>16</v>
      </c>
      <c r="C570" t="s">
        <v>1208</v>
      </c>
      <c r="E570" t="s">
        <v>18</v>
      </c>
      <c r="F570" t="s">
        <v>19</v>
      </c>
    </row>
    <row r="571" spans="1:6">
      <c r="A571" t="s">
        <v>1209</v>
      </c>
      <c r="B571" t="s">
        <v>16</v>
      </c>
      <c r="C571" t="s">
        <v>1210</v>
      </c>
      <c r="E571" t="s">
        <v>831</v>
      </c>
      <c r="F571" t="s">
        <v>832</v>
      </c>
    </row>
    <row r="572" spans="1:6">
      <c r="A572" t="s">
        <v>1211</v>
      </c>
      <c r="B572" t="s">
        <v>16</v>
      </c>
      <c r="C572" t="s">
        <v>1212</v>
      </c>
      <c r="E572" t="s">
        <v>312</v>
      </c>
      <c r="F572" t="s">
        <v>313</v>
      </c>
    </row>
    <row r="573" spans="1:6">
      <c r="A573" t="s">
        <v>1213</v>
      </c>
      <c r="B573" t="s">
        <v>16</v>
      </c>
      <c r="C573" t="s">
        <v>1214</v>
      </c>
      <c r="E573" t="s">
        <v>18</v>
      </c>
      <c r="F573" t="s">
        <v>19</v>
      </c>
    </row>
    <row r="574" spans="1:6">
      <c r="A574" t="s">
        <v>1215</v>
      </c>
      <c r="B574" t="s">
        <v>16</v>
      </c>
      <c r="C574" t="s">
        <v>637</v>
      </c>
      <c r="E574" t="s">
        <v>18</v>
      </c>
      <c r="F574" t="s">
        <v>19</v>
      </c>
    </row>
    <row r="575" spans="1:6">
      <c r="A575" t="s">
        <v>1216</v>
      </c>
      <c r="B575" t="s">
        <v>16</v>
      </c>
      <c r="C575" t="s">
        <v>117</v>
      </c>
      <c r="E575" t="s">
        <v>390</v>
      </c>
      <c r="F575" t="s">
        <v>391</v>
      </c>
    </row>
    <row r="576" spans="1:6">
      <c r="A576" t="s">
        <v>1217</v>
      </c>
      <c r="B576" t="s">
        <v>16</v>
      </c>
      <c r="C576" t="s">
        <v>1218</v>
      </c>
      <c r="E576" t="s">
        <v>18</v>
      </c>
      <c r="F576" t="s">
        <v>19</v>
      </c>
    </row>
    <row r="577" spans="1:6">
      <c r="A577" t="s">
        <v>1219</v>
      </c>
      <c r="B577" t="s">
        <v>16</v>
      </c>
      <c r="C577" t="s">
        <v>1220</v>
      </c>
      <c r="E577" t="s">
        <v>18</v>
      </c>
      <c r="F577" t="s">
        <v>19</v>
      </c>
    </row>
    <row r="578" spans="1:6">
      <c r="A578" t="s">
        <v>1221</v>
      </c>
      <c r="B578" t="s">
        <v>16</v>
      </c>
      <c r="C578" t="s">
        <v>1222</v>
      </c>
      <c r="E578" t="s">
        <v>1061</v>
      </c>
      <c r="F578" t="s">
        <v>1062</v>
      </c>
    </row>
    <row r="579" spans="1:6">
      <c r="A579" t="s">
        <v>1223</v>
      </c>
      <c r="B579" t="s">
        <v>16</v>
      </c>
      <c r="C579" t="s">
        <v>1224</v>
      </c>
      <c r="E579" t="s">
        <v>34</v>
      </c>
      <c r="F579" t="s">
        <v>35</v>
      </c>
    </row>
    <row r="580" spans="1:6">
      <c r="A580" t="s">
        <v>1225</v>
      </c>
      <c r="B580" t="s">
        <v>16</v>
      </c>
      <c r="C580" t="s">
        <v>1226</v>
      </c>
      <c r="E580" t="s">
        <v>18</v>
      </c>
      <c r="F580" t="s">
        <v>19</v>
      </c>
    </row>
    <row r="581" spans="1:6">
      <c r="A581" t="s">
        <v>1227</v>
      </c>
      <c r="B581" t="s">
        <v>16</v>
      </c>
      <c r="C581" t="s">
        <v>1228</v>
      </c>
      <c r="E581" t="s">
        <v>18</v>
      </c>
      <c r="F581" t="s">
        <v>19</v>
      </c>
    </row>
    <row r="582" spans="1:6">
      <c r="A582" t="s">
        <v>1229</v>
      </c>
      <c r="B582" t="s">
        <v>16</v>
      </c>
      <c r="C582" t="s">
        <v>1230</v>
      </c>
      <c r="E582" t="s">
        <v>18</v>
      </c>
      <c r="F582" t="s">
        <v>19</v>
      </c>
    </row>
    <row r="583" spans="1:6">
      <c r="A583" t="s">
        <v>1231</v>
      </c>
      <c r="B583" t="s">
        <v>16</v>
      </c>
      <c r="C583" t="s">
        <v>1232</v>
      </c>
      <c r="E583" t="s">
        <v>18</v>
      </c>
      <c r="F583" t="s">
        <v>19</v>
      </c>
    </row>
    <row r="584" spans="1:6">
      <c r="A584" t="s">
        <v>1233</v>
      </c>
      <c r="B584" t="s">
        <v>16</v>
      </c>
      <c r="C584" t="s">
        <v>1234</v>
      </c>
      <c r="E584" t="s">
        <v>18</v>
      </c>
      <c r="F584" t="s">
        <v>19</v>
      </c>
    </row>
    <row r="585" spans="1:6">
      <c r="A585" t="s">
        <v>1235</v>
      </c>
      <c r="B585" t="s">
        <v>16</v>
      </c>
      <c r="C585" t="s">
        <v>1236</v>
      </c>
      <c r="E585" t="s">
        <v>18</v>
      </c>
      <c r="F585" t="s">
        <v>19</v>
      </c>
    </row>
    <row r="586" spans="1:6">
      <c r="A586" t="s">
        <v>1237</v>
      </c>
      <c r="B586" t="s">
        <v>16</v>
      </c>
      <c r="C586" t="s">
        <v>1238</v>
      </c>
      <c r="E586" t="s">
        <v>18</v>
      </c>
      <c r="F586" t="s">
        <v>19</v>
      </c>
    </row>
    <row r="587" spans="1:6">
      <c r="A587" t="s">
        <v>1239</v>
      </c>
      <c r="B587" t="s">
        <v>16</v>
      </c>
      <c r="C587" t="s">
        <v>1240</v>
      </c>
      <c r="E587" t="s">
        <v>18</v>
      </c>
      <c r="F587" t="s">
        <v>19</v>
      </c>
    </row>
    <row r="588" spans="1:6">
      <c r="A588" t="s">
        <v>1241</v>
      </c>
      <c r="B588" t="s">
        <v>16</v>
      </c>
      <c r="C588" t="s">
        <v>1242</v>
      </c>
      <c r="E588" t="s">
        <v>18</v>
      </c>
      <c r="F588" t="s">
        <v>19</v>
      </c>
    </row>
    <row r="589" spans="1:6">
      <c r="A589" t="s">
        <v>1243</v>
      </c>
      <c r="B589" t="s">
        <v>16</v>
      </c>
      <c r="C589" t="s">
        <v>1244</v>
      </c>
      <c r="E589" t="s">
        <v>52</v>
      </c>
      <c r="F589" t="s">
        <v>53</v>
      </c>
    </row>
    <row r="590" spans="1:6">
      <c r="A590" t="s">
        <v>1245</v>
      </c>
      <c r="B590" t="s">
        <v>16</v>
      </c>
      <c r="C590" t="s">
        <v>1246</v>
      </c>
      <c r="E590" t="s">
        <v>18</v>
      </c>
      <c r="F590" t="s">
        <v>19</v>
      </c>
    </row>
    <row r="591" spans="1:6">
      <c r="A591" t="s">
        <v>1247</v>
      </c>
      <c r="B591" t="s">
        <v>16</v>
      </c>
      <c r="C591" t="s">
        <v>1248</v>
      </c>
      <c r="E591" t="s">
        <v>18</v>
      </c>
      <c r="F591" t="s">
        <v>19</v>
      </c>
    </row>
    <row r="592" spans="1:6">
      <c r="A592" t="s">
        <v>1249</v>
      </c>
      <c r="B592" t="s">
        <v>16</v>
      </c>
      <c r="C592" t="s">
        <v>1250</v>
      </c>
      <c r="E592" t="s">
        <v>18</v>
      </c>
      <c r="F592" t="s">
        <v>19</v>
      </c>
    </row>
    <row r="593" spans="1:6">
      <c r="A593" t="s">
        <v>1251</v>
      </c>
      <c r="B593" t="s">
        <v>16</v>
      </c>
      <c r="C593" t="s">
        <v>1252</v>
      </c>
      <c r="E593" t="s">
        <v>751</v>
      </c>
      <c r="F593" t="s">
        <v>752</v>
      </c>
    </row>
    <row r="594" spans="1:6">
      <c r="A594" t="s">
        <v>1253</v>
      </c>
      <c r="B594" t="s">
        <v>16</v>
      </c>
      <c r="C594" t="s">
        <v>1254</v>
      </c>
      <c r="E594" t="s">
        <v>18</v>
      </c>
      <c r="F594" t="s">
        <v>19</v>
      </c>
    </row>
    <row r="595" spans="1:6">
      <c r="A595" t="s">
        <v>1255</v>
      </c>
      <c r="B595" t="s">
        <v>16</v>
      </c>
      <c r="C595" t="s">
        <v>1256</v>
      </c>
      <c r="E595" t="s">
        <v>18</v>
      </c>
      <c r="F595" t="s">
        <v>19</v>
      </c>
    </row>
    <row r="596" spans="1:6">
      <c r="A596" t="s">
        <v>1257</v>
      </c>
      <c r="B596" t="s">
        <v>16</v>
      </c>
      <c r="C596" t="s">
        <v>1258</v>
      </c>
      <c r="E596" t="s">
        <v>18</v>
      </c>
      <c r="F596" t="s">
        <v>19</v>
      </c>
    </row>
    <row r="597" spans="1:6">
      <c r="A597" t="s">
        <v>1259</v>
      </c>
      <c r="B597" t="s">
        <v>16</v>
      </c>
      <c r="C597" t="s">
        <v>720</v>
      </c>
      <c r="E597" t="s">
        <v>170</v>
      </c>
      <c r="F597" t="s">
        <v>171</v>
      </c>
    </row>
    <row r="598" spans="1:6">
      <c r="A598" t="s">
        <v>1260</v>
      </c>
      <c r="B598" t="s">
        <v>16</v>
      </c>
      <c r="C598" t="s">
        <v>1261</v>
      </c>
      <c r="E598" t="s">
        <v>18</v>
      </c>
      <c r="F598" t="s">
        <v>19</v>
      </c>
    </row>
    <row r="599" spans="1:6">
      <c r="A599" t="s">
        <v>1262</v>
      </c>
      <c r="B599" t="s">
        <v>16</v>
      </c>
      <c r="C599" t="s">
        <v>1263</v>
      </c>
      <c r="E599" t="s">
        <v>390</v>
      </c>
      <c r="F599" t="s">
        <v>391</v>
      </c>
    </row>
    <row r="600" spans="1:6">
      <c r="A600" t="s">
        <v>1264</v>
      </c>
      <c r="B600" t="s">
        <v>16</v>
      </c>
      <c r="C600" t="s">
        <v>1265</v>
      </c>
      <c r="E600" t="s">
        <v>18</v>
      </c>
      <c r="F600" t="s">
        <v>19</v>
      </c>
    </row>
    <row r="601" spans="1:6">
      <c r="A601" t="s">
        <v>1266</v>
      </c>
      <c r="B601" t="s">
        <v>16</v>
      </c>
      <c r="C601" t="s">
        <v>1267</v>
      </c>
      <c r="E601" t="s">
        <v>34</v>
      </c>
      <c r="F601" t="s">
        <v>35</v>
      </c>
    </row>
    <row r="602" spans="1:6">
      <c r="A602" t="s">
        <v>1268</v>
      </c>
      <c r="B602" t="s">
        <v>16</v>
      </c>
      <c r="C602" t="s">
        <v>1269</v>
      </c>
      <c r="E602" t="s">
        <v>324</v>
      </c>
      <c r="F602" t="s">
        <v>325</v>
      </c>
    </row>
    <row r="603" spans="1:6">
      <c r="A603" t="s">
        <v>1270</v>
      </c>
      <c r="B603" t="s">
        <v>16</v>
      </c>
      <c r="C603" t="s">
        <v>1271</v>
      </c>
      <c r="E603" t="s">
        <v>18</v>
      </c>
      <c r="F603" t="s">
        <v>19</v>
      </c>
    </row>
    <row r="604" spans="1:6">
      <c r="A604" t="s">
        <v>1272</v>
      </c>
      <c r="B604" t="s">
        <v>16</v>
      </c>
      <c r="C604" t="s">
        <v>1273</v>
      </c>
      <c r="E604" t="s">
        <v>18</v>
      </c>
      <c r="F604" t="s">
        <v>19</v>
      </c>
    </row>
    <row r="605" spans="1:6">
      <c r="A605" t="s">
        <v>1274</v>
      </c>
      <c r="B605" t="s">
        <v>16</v>
      </c>
      <c r="C605" t="s">
        <v>1275</v>
      </c>
      <c r="E605" t="s">
        <v>18</v>
      </c>
      <c r="F605" t="s">
        <v>19</v>
      </c>
    </row>
    <row r="606" spans="1:6">
      <c r="A606" t="s">
        <v>1276</v>
      </c>
      <c r="B606" t="s">
        <v>16</v>
      </c>
      <c r="C606" t="s">
        <v>417</v>
      </c>
      <c r="E606" t="s">
        <v>1173</v>
      </c>
      <c r="F606" t="s">
        <v>43</v>
      </c>
    </row>
    <row r="607" spans="1:6">
      <c r="A607" t="s">
        <v>1277</v>
      </c>
      <c r="B607" t="s">
        <v>16</v>
      </c>
      <c r="C607" t="s">
        <v>1278</v>
      </c>
      <c r="E607" t="s">
        <v>18</v>
      </c>
      <c r="F607" t="s">
        <v>19</v>
      </c>
    </row>
    <row r="608" spans="1:6">
      <c r="A608" t="s">
        <v>1279</v>
      </c>
      <c r="B608" t="s">
        <v>16</v>
      </c>
      <c r="C608" t="s">
        <v>1280</v>
      </c>
      <c r="E608" t="s">
        <v>18</v>
      </c>
      <c r="F608" t="s">
        <v>19</v>
      </c>
    </row>
    <row r="609" spans="1:6">
      <c r="A609" t="s">
        <v>1281</v>
      </c>
      <c r="B609" t="s">
        <v>16</v>
      </c>
      <c r="C609" t="s">
        <v>1282</v>
      </c>
      <c r="E609" t="s">
        <v>18</v>
      </c>
      <c r="F609" t="s">
        <v>19</v>
      </c>
    </row>
    <row r="610" spans="1:6">
      <c r="A610" t="s">
        <v>1283</v>
      </c>
      <c r="B610" t="s">
        <v>16</v>
      </c>
      <c r="C610" t="s">
        <v>1284</v>
      </c>
      <c r="E610" t="s">
        <v>18</v>
      </c>
      <c r="F610" t="s">
        <v>19</v>
      </c>
    </row>
    <row r="611" spans="1:6">
      <c r="A611" t="s">
        <v>1285</v>
      </c>
      <c r="B611" t="s">
        <v>16</v>
      </c>
      <c r="C611" t="s">
        <v>1286</v>
      </c>
      <c r="E611" t="s">
        <v>371</v>
      </c>
      <c r="F611" t="s">
        <v>372</v>
      </c>
    </row>
    <row r="612" spans="1:6">
      <c r="A612" t="s">
        <v>1287</v>
      </c>
      <c r="B612" t="s">
        <v>16</v>
      </c>
      <c r="C612" t="s">
        <v>1288</v>
      </c>
      <c r="E612" t="s">
        <v>269</v>
      </c>
      <c r="F612" t="s">
        <v>270</v>
      </c>
    </row>
    <row r="613" spans="1:6">
      <c r="A613" t="s">
        <v>1289</v>
      </c>
      <c r="B613" t="s">
        <v>16</v>
      </c>
      <c r="C613" t="s">
        <v>1290</v>
      </c>
      <c r="E613" t="s">
        <v>18</v>
      </c>
      <c r="F613" t="s">
        <v>19</v>
      </c>
    </row>
    <row r="614" spans="1:6">
      <c r="A614" t="s">
        <v>1291</v>
      </c>
      <c r="B614" t="s">
        <v>16</v>
      </c>
      <c r="C614" t="s">
        <v>1292</v>
      </c>
      <c r="E614" t="s">
        <v>18</v>
      </c>
      <c r="F614" t="s">
        <v>19</v>
      </c>
    </row>
    <row r="615" spans="1:6">
      <c r="A615" t="s">
        <v>1293</v>
      </c>
      <c r="B615" t="s">
        <v>16</v>
      </c>
      <c r="C615" t="s">
        <v>1294</v>
      </c>
      <c r="E615" t="s">
        <v>18</v>
      </c>
      <c r="F615" t="s">
        <v>19</v>
      </c>
    </row>
    <row r="616" spans="1:6">
      <c r="A616" t="s">
        <v>1295</v>
      </c>
      <c r="B616" t="s">
        <v>16</v>
      </c>
      <c r="C616" t="s">
        <v>1296</v>
      </c>
      <c r="E616" t="s">
        <v>18</v>
      </c>
      <c r="F616" t="s">
        <v>19</v>
      </c>
    </row>
    <row r="617" spans="1:6">
      <c r="A617" t="s">
        <v>1297</v>
      </c>
      <c r="B617" t="s">
        <v>16</v>
      </c>
      <c r="C617" t="s">
        <v>1298</v>
      </c>
      <c r="E617" t="s">
        <v>18</v>
      </c>
      <c r="F617" t="s">
        <v>19</v>
      </c>
    </row>
    <row r="618" spans="1:6">
      <c r="A618" t="s">
        <v>1299</v>
      </c>
      <c r="B618" t="s">
        <v>16</v>
      </c>
      <c r="C618" t="s">
        <v>1300</v>
      </c>
      <c r="E618" t="s">
        <v>18</v>
      </c>
      <c r="F618" t="s">
        <v>19</v>
      </c>
    </row>
    <row r="619" spans="1:6">
      <c r="A619" t="s">
        <v>1301</v>
      </c>
      <c r="B619" t="s">
        <v>16</v>
      </c>
      <c r="C619" t="s">
        <v>1302</v>
      </c>
      <c r="E619" t="s">
        <v>18</v>
      </c>
      <c r="F619" t="s">
        <v>19</v>
      </c>
    </row>
    <row r="620" spans="1:6">
      <c r="A620" t="s">
        <v>1303</v>
      </c>
      <c r="B620" t="s">
        <v>16</v>
      </c>
      <c r="C620" t="s">
        <v>1304</v>
      </c>
      <c r="E620" t="s">
        <v>18</v>
      </c>
      <c r="F620" t="s">
        <v>19</v>
      </c>
    </row>
    <row r="621" spans="1:6">
      <c r="A621" t="s">
        <v>1305</v>
      </c>
      <c r="B621" t="s">
        <v>16</v>
      </c>
      <c r="C621" t="s">
        <v>1306</v>
      </c>
      <c r="E621" t="s">
        <v>18</v>
      </c>
      <c r="F621" t="s">
        <v>19</v>
      </c>
    </row>
    <row r="622" spans="1:6">
      <c r="A622" t="s">
        <v>1307</v>
      </c>
      <c r="B622" t="s">
        <v>16</v>
      </c>
      <c r="C622" t="s">
        <v>1308</v>
      </c>
      <c r="E622" t="s">
        <v>371</v>
      </c>
      <c r="F622" t="s">
        <v>372</v>
      </c>
    </row>
    <row r="623" spans="1:6">
      <c r="A623" t="s">
        <v>1309</v>
      </c>
      <c r="B623" t="s">
        <v>16</v>
      </c>
      <c r="C623" t="s">
        <v>1310</v>
      </c>
      <c r="E623" t="s">
        <v>390</v>
      </c>
      <c r="F623" t="s">
        <v>391</v>
      </c>
    </row>
    <row r="624" spans="1:6">
      <c r="A624" t="s">
        <v>1311</v>
      </c>
      <c r="B624" t="s">
        <v>16</v>
      </c>
      <c r="C624" t="s">
        <v>297</v>
      </c>
      <c r="E624" t="s">
        <v>379</v>
      </c>
      <c r="F624" t="s">
        <v>299</v>
      </c>
    </row>
    <row r="625" spans="1:6">
      <c r="A625" t="s">
        <v>1312</v>
      </c>
      <c r="B625" t="s">
        <v>16</v>
      </c>
      <c r="C625" t="s">
        <v>656</v>
      </c>
      <c r="E625" t="s">
        <v>188</v>
      </c>
      <c r="F625" t="s">
        <v>189</v>
      </c>
    </row>
    <row r="626" spans="1:6">
      <c r="A626" t="s">
        <v>1313</v>
      </c>
      <c r="B626" t="s">
        <v>16</v>
      </c>
      <c r="C626" t="s">
        <v>1314</v>
      </c>
      <c r="E626" t="s">
        <v>18</v>
      </c>
      <c r="F626" t="s">
        <v>19</v>
      </c>
    </row>
    <row r="627" spans="1:6">
      <c r="A627" t="s">
        <v>1315</v>
      </c>
      <c r="B627" t="s">
        <v>16</v>
      </c>
      <c r="C627" t="s">
        <v>1316</v>
      </c>
      <c r="E627" t="s">
        <v>34</v>
      </c>
      <c r="F627" t="s">
        <v>35</v>
      </c>
    </row>
    <row r="628" spans="1:6">
      <c r="A628" t="s">
        <v>1317</v>
      </c>
      <c r="B628" t="s">
        <v>16</v>
      </c>
      <c r="C628" t="s">
        <v>1318</v>
      </c>
      <c r="E628" t="s">
        <v>34</v>
      </c>
      <c r="F628" t="s">
        <v>35</v>
      </c>
    </row>
    <row r="629" spans="1:6">
      <c r="A629" t="s">
        <v>1319</v>
      </c>
      <c r="B629" t="s">
        <v>16</v>
      </c>
      <c r="C629" t="s">
        <v>1320</v>
      </c>
      <c r="E629" t="s">
        <v>18</v>
      </c>
      <c r="F629" t="s">
        <v>19</v>
      </c>
    </row>
    <row r="630" spans="1:6">
      <c r="A630" t="s">
        <v>1321</v>
      </c>
      <c r="B630" t="s">
        <v>16</v>
      </c>
      <c r="C630" t="s">
        <v>1322</v>
      </c>
      <c r="E630" t="s">
        <v>18</v>
      </c>
      <c r="F630" t="s">
        <v>19</v>
      </c>
    </row>
    <row r="631" spans="1:6">
      <c r="A631" t="s">
        <v>1323</v>
      </c>
      <c r="B631" t="s">
        <v>16</v>
      </c>
      <c r="C631" t="s">
        <v>1324</v>
      </c>
      <c r="E631" t="s">
        <v>18</v>
      </c>
      <c r="F631" t="s">
        <v>19</v>
      </c>
    </row>
    <row r="632" spans="1:6">
      <c r="A632" t="s">
        <v>1325</v>
      </c>
      <c r="B632" t="s">
        <v>16</v>
      </c>
      <c r="C632" t="s">
        <v>1326</v>
      </c>
      <c r="E632" t="s">
        <v>18</v>
      </c>
      <c r="F632" t="s">
        <v>19</v>
      </c>
    </row>
    <row r="633" spans="1:6">
      <c r="A633" t="s">
        <v>1327</v>
      </c>
      <c r="B633" t="s">
        <v>16</v>
      </c>
      <c r="C633" t="s">
        <v>1328</v>
      </c>
      <c r="E633" t="s">
        <v>18</v>
      </c>
      <c r="F633" t="s">
        <v>19</v>
      </c>
    </row>
    <row r="634" spans="1:6">
      <c r="A634" t="s">
        <v>1329</v>
      </c>
      <c r="B634" t="s">
        <v>16</v>
      </c>
      <c r="C634" t="s">
        <v>1330</v>
      </c>
      <c r="E634" t="s">
        <v>18</v>
      </c>
      <c r="F634" t="s">
        <v>19</v>
      </c>
    </row>
    <row r="635" spans="1:6">
      <c r="A635" t="s">
        <v>1331</v>
      </c>
      <c r="B635" t="s">
        <v>16</v>
      </c>
      <c r="C635" t="s">
        <v>1332</v>
      </c>
      <c r="E635" t="s">
        <v>18</v>
      </c>
      <c r="F635" t="s">
        <v>19</v>
      </c>
    </row>
    <row r="636" spans="1:6">
      <c r="A636" t="s">
        <v>1333</v>
      </c>
      <c r="B636" t="s">
        <v>16</v>
      </c>
      <c r="C636" t="s">
        <v>1334</v>
      </c>
      <c r="E636" t="s">
        <v>18</v>
      </c>
      <c r="F636" t="s">
        <v>19</v>
      </c>
    </row>
    <row r="637" spans="1:6">
      <c r="A637" t="s">
        <v>1335</v>
      </c>
      <c r="B637" t="s">
        <v>16</v>
      </c>
      <c r="C637" t="s">
        <v>1336</v>
      </c>
      <c r="E637" t="s">
        <v>18</v>
      </c>
      <c r="F637" t="s">
        <v>19</v>
      </c>
    </row>
    <row r="638" spans="1:6">
      <c r="A638" t="s">
        <v>1337</v>
      </c>
      <c r="B638" t="s">
        <v>16</v>
      </c>
      <c r="C638" t="s">
        <v>1338</v>
      </c>
      <c r="E638" t="s">
        <v>18</v>
      </c>
      <c r="F638" t="s">
        <v>19</v>
      </c>
    </row>
    <row r="639" spans="1:6">
      <c r="A639" t="s">
        <v>1339</v>
      </c>
      <c r="B639" t="s">
        <v>16</v>
      </c>
      <c r="C639" t="s">
        <v>1340</v>
      </c>
      <c r="E639" t="s">
        <v>18</v>
      </c>
      <c r="F639" t="s">
        <v>19</v>
      </c>
    </row>
    <row r="640" spans="1:6">
      <c r="A640" t="s">
        <v>1341</v>
      </c>
      <c r="B640" t="s">
        <v>16</v>
      </c>
      <c r="C640" t="s">
        <v>1342</v>
      </c>
      <c r="E640" t="s">
        <v>18</v>
      </c>
      <c r="F640" t="s">
        <v>19</v>
      </c>
    </row>
    <row r="641" spans="1:6">
      <c r="A641" t="s">
        <v>1343</v>
      </c>
      <c r="B641" t="s">
        <v>16</v>
      </c>
      <c r="C641" t="s">
        <v>1344</v>
      </c>
      <c r="E641" t="s">
        <v>18</v>
      </c>
      <c r="F641" t="s">
        <v>19</v>
      </c>
    </row>
    <row r="642" spans="1:6">
      <c r="A642" t="s">
        <v>1345</v>
      </c>
      <c r="B642" t="s">
        <v>16</v>
      </c>
      <c r="C642" t="s">
        <v>1346</v>
      </c>
      <c r="E642" t="s">
        <v>18</v>
      </c>
      <c r="F642" t="s">
        <v>19</v>
      </c>
    </row>
    <row r="643" spans="1:6">
      <c r="A643" t="s">
        <v>1347</v>
      </c>
      <c r="B643" t="s">
        <v>16</v>
      </c>
      <c r="C643" t="s">
        <v>1348</v>
      </c>
      <c r="E643" t="s">
        <v>18</v>
      </c>
      <c r="F643" t="s">
        <v>19</v>
      </c>
    </row>
    <row r="644" spans="1:6">
      <c r="A644" t="s">
        <v>1349</v>
      </c>
      <c r="B644" t="s">
        <v>16</v>
      </c>
      <c r="C644" t="s">
        <v>1350</v>
      </c>
      <c r="E644" t="s">
        <v>34</v>
      </c>
      <c r="F644" t="s">
        <v>35</v>
      </c>
    </row>
    <row r="645" spans="1:6">
      <c r="A645" t="s">
        <v>1351</v>
      </c>
      <c r="B645" t="s">
        <v>16</v>
      </c>
      <c r="C645" t="s">
        <v>1352</v>
      </c>
      <c r="E645" t="s">
        <v>324</v>
      </c>
      <c r="F645" t="s">
        <v>325</v>
      </c>
    </row>
    <row r="646" spans="1:6">
      <c r="A646" t="s">
        <v>1353</v>
      </c>
      <c r="B646" t="s">
        <v>16</v>
      </c>
      <c r="C646" t="s">
        <v>1354</v>
      </c>
      <c r="E646" t="s">
        <v>18</v>
      </c>
      <c r="F646" t="s">
        <v>19</v>
      </c>
    </row>
    <row r="647" spans="1:6">
      <c r="A647" t="s">
        <v>1355</v>
      </c>
      <c r="B647" t="s">
        <v>16</v>
      </c>
      <c r="C647" t="s">
        <v>1356</v>
      </c>
      <c r="E647" t="s">
        <v>18</v>
      </c>
      <c r="F647" t="s">
        <v>19</v>
      </c>
    </row>
    <row r="648" spans="1:6">
      <c r="A648" t="s">
        <v>1357</v>
      </c>
      <c r="B648" t="s">
        <v>16</v>
      </c>
      <c r="C648" t="s">
        <v>1358</v>
      </c>
      <c r="E648" t="s">
        <v>312</v>
      </c>
      <c r="F648" t="s">
        <v>313</v>
      </c>
    </row>
    <row r="649" spans="1:6">
      <c r="A649" t="s">
        <v>1359</v>
      </c>
      <c r="B649" t="s">
        <v>16</v>
      </c>
      <c r="C649" t="s">
        <v>1360</v>
      </c>
      <c r="E649" t="s">
        <v>82</v>
      </c>
      <c r="F649" t="s">
        <v>83</v>
      </c>
    </row>
    <row r="650" spans="1:6">
      <c r="A650" t="s">
        <v>1361</v>
      </c>
      <c r="B650" t="s">
        <v>16</v>
      </c>
      <c r="C650" t="s">
        <v>1362</v>
      </c>
      <c r="E650" t="s">
        <v>18</v>
      </c>
      <c r="F650" t="s">
        <v>19</v>
      </c>
    </row>
    <row r="651" spans="1:6">
      <c r="A651" t="s">
        <v>1363</v>
      </c>
      <c r="B651" t="s">
        <v>16</v>
      </c>
      <c r="C651" t="s">
        <v>1364</v>
      </c>
      <c r="E651" t="s">
        <v>18</v>
      </c>
      <c r="F651" t="s">
        <v>19</v>
      </c>
    </row>
    <row r="652" spans="1:6">
      <c r="A652" t="s">
        <v>1365</v>
      </c>
      <c r="B652" t="s">
        <v>16</v>
      </c>
      <c r="C652" t="s">
        <v>1366</v>
      </c>
      <c r="E652" t="s">
        <v>18</v>
      </c>
      <c r="F652" t="s">
        <v>19</v>
      </c>
    </row>
    <row r="653" spans="1:6">
      <c r="A653" t="s">
        <v>1367</v>
      </c>
      <c r="B653" t="s">
        <v>16</v>
      </c>
      <c r="C653" t="s">
        <v>1368</v>
      </c>
      <c r="E653" t="s">
        <v>18</v>
      </c>
      <c r="F653" t="s">
        <v>19</v>
      </c>
    </row>
    <row r="654" spans="1:6">
      <c r="A654" t="s">
        <v>1369</v>
      </c>
      <c r="B654" t="s">
        <v>16</v>
      </c>
      <c r="C654" t="s">
        <v>1370</v>
      </c>
      <c r="E654" t="s">
        <v>18</v>
      </c>
      <c r="F654" t="s">
        <v>19</v>
      </c>
    </row>
    <row r="655" spans="1:6">
      <c r="A655" t="s">
        <v>1371</v>
      </c>
      <c r="B655" t="s">
        <v>16</v>
      </c>
      <c r="C655" t="s">
        <v>1372</v>
      </c>
      <c r="E655" t="s">
        <v>34</v>
      </c>
      <c r="F655" t="s">
        <v>35</v>
      </c>
    </row>
    <row r="656" spans="1:6">
      <c r="A656" t="s">
        <v>1373</v>
      </c>
      <c r="B656" t="s">
        <v>16</v>
      </c>
      <c r="C656" t="s">
        <v>1374</v>
      </c>
      <c r="E656" t="s">
        <v>18</v>
      </c>
      <c r="F656" t="s">
        <v>19</v>
      </c>
    </row>
    <row r="657" spans="1:6">
      <c r="A657" t="s">
        <v>1375</v>
      </c>
      <c r="B657" t="s">
        <v>16</v>
      </c>
      <c r="C657" t="s">
        <v>1376</v>
      </c>
      <c r="E657" t="s">
        <v>18</v>
      </c>
      <c r="F657" t="s">
        <v>19</v>
      </c>
    </row>
    <row r="658" spans="1:6">
      <c r="A658" t="s">
        <v>1377</v>
      </c>
      <c r="B658" t="s">
        <v>16</v>
      </c>
      <c r="C658" t="s">
        <v>1378</v>
      </c>
      <c r="E658" t="s">
        <v>18</v>
      </c>
      <c r="F658" t="s">
        <v>19</v>
      </c>
    </row>
    <row r="659" spans="1:6">
      <c r="A659" t="s">
        <v>1379</v>
      </c>
      <c r="B659" t="s">
        <v>16</v>
      </c>
      <c r="C659" t="s">
        <v>1380</v>
      </c>
      <c r="E659" t="s">
        <v>18</v>
      </c>
      <c r="F659" t="s">
        <v>19</v>
      </c>
    </row>
    <row r="660" spans="1:6">
      <c r="A660" t="s">
        <v>1381</v>
      </c>
      <c r="B660" t="s">
        <v>16</v>
      </c>
      <c r="C660" t="s">
        <v>1382</v>
      </c>
      <c r="E660" t="s">
        <v>18</v>
      </c>
      <c r="F660" t="s">
        <v>19</v>
      </c>
    </row>
    <row r="661" spans="1:6">
      <c r="A661" t="s">
        <v>1383</v>
      </c>
      <c r="B661" t="s">
        <v>16</v>
      </c>
      <c r="C661" t="s">
        <v>1384</v>
      </c>
      <c r="E661" t="s">
        <v>18</v>
      </c>
      <c r="F661" t="s">
        <v>19</v>
      </c>
    </row>
    <row r="662" spans="1:6">
      <c r="A662" t="s">
        <v>1385</v>
      </c>
      <c r="B662" t="s">
        <v>16</v>
      </c>
      <c r="C662" t="s">
        <v>1386</v>
      </c>
      <c r="E662" t="s">
        <v>18</v>
      </c>
      <c r="F662" t="s">
        <v>19</v>
      </c>
    </row>
    <row r="663" spans="1:6">
      <c r="A663" t="s">
        <v>1387</v>
      </c>
      <c r="B663" t="s">
        <v>16</v>
      </c>
      <c r="C663" t="s">
        <v>1388</v>
      </c>
      <c r="E663" t="s">
        <v>18</v>
      </c>
      <c r="F663" t="s">
        <v>19</v>
      </c>
    </row>
    <row r="664" spans="1:6">
      <c r="A664" t="s">
        <v>1389</v>
      </c>
      <c r="B664" t="s">
        <v>16</v>
      </c>
      <c r="C664" t="s">
        <v>1390</v>
      </c>
      <c r="E664" t="s">
        <v>18</v>
      </c>
      <c r="F664" t="s">
        <v>19</v>
      </c>
    </row>
    <row r="665" spans="1:6">
      <c r="A665" t="s">
        <v>1391</v>
      </c>
      <c r="B665" t="s">
        <v>16</v>
      </c>
      <c r="C665" t="s">
        <v>1392</v>
      </c>
      <c r="E665" t="s">
        <v>18</v>
      </c>
      <c r="F665" t="s">
        <v>19</v>
      </c>
    </row>
    <row r="666" spans="1:6">
      <c r="A666" t="s">
        <v>1393</v>
      </c>
      <c r="B666" t="s">
        <v>16</v>
      </c>
      <c r="C666" t="s">
        <v>1394</v>
      </c>
      <c r="E666" t="s">
        <v>18</v>
      </c>
      <c r="F666" t="s">
        <v>19</v>
      </c>
    </row>
    <row r="667" spans="1:6">
      <c r="A667" t="s">
        <v>1395</v>
      </c>
      <c r="B667" t="s">
        <v>16</v>
      </c>
      <c r="C667" t="s">
        <v>1396</v>
      </c>
      <c r="E667" t="s">
        <v>18</v>
      </c>
      <c r="F667" t="s">
        <v>19</v>
      </c>
    </row>
    <row r="668" spans="1:6">
      <c r="A668" t="s">
        <v>1397</v>
      </c>
      <c r="B668" t="s">
        <v>16</v>
      </c>
      <c r="C668" t="s">
        <v>1398</v>
      </c>
      <c r="E668" t="s">
        <v>1061</v>
      </c>
      <c r="F668" t="s">
        <v>1062</v>
      </c>
    </row>
    <row r="669" spans="1:6">
      <c r="A669" t="s">
        <v>1399</v>
      </c>
      <c r="B669" t="s">
        <v>16</v>
      </c>
      <c r="C669" t="s">
        <v>1400</v>
      </c>
      <c r="E669" t="s">
        <v>18</v>
      </c>
      <c r="F669" t="s">
        <v>19</v>
      </c>
    </row>
    <row r="670" spans="1:6">
      <c r="A670" t="s">
        <v>1401</v>
      </c>
      <c r="B670" t="s">
        <v>16</v>
      </c>
      <c r="C670" t="s">
        <v>1402</v>
      </c>
      <c r="E670" t="s">
        <v>18</v>
      </c>
      <c r="F670" t="s">
        <v>19</v>
      </c>
    </row>
    <row r="671" spans="1:6">
      <c r="A671" t="s">
        <v>1403</v>
      </c>
      <c r="B671" t="s">
        <v>16</v>
      </c>
      <c r="C671" t="s">
        <v>1404</v>
      </c>
      <c r="E671" t="s">
        <v>18</v>
      </c>
      <c r="F671" t="s">
        <v>19</v>
      </c>
    </row>
    <row r="672" spans="1:6">
      <c r="A672" t="s">
        <v>1405</v>
      </c>
      <c r="B672" t="s">
        <v>16</v>
      </c>
      <c r="C672" t="s">
        <v>1406</v>
      </c>
      <c r="E672" t="s">
        <v>18</v>
      </c>
      <c r="F672" t="s">
        <v>19</v>
      </c>
    </row>
    <row r="673" spans="1:6">
      <c r="A673" t="s">
        <v>1407</v>
      </c>
      <c r="B673" t="s">
        <v>16</v>
      </c>
      <c r="C673" t="s">
        <v>1408</v>
      </c>
      <c r="E673" t="s">
        <v>18</v>
      </c>
      <c r="F673" t="s">
        <v>19</v>
      </c>
    </row>
    <row r="674" spans="1:6">
      <c r="A674" t="s">
        <v>1409</v>
      </c>
      <c r="B674" t="s">
        <v>16</v>
      </c>
      <c r="C674" t="s">
        <v>1410</v>
      </c>
      <c r="E674" t="s">
        <v>18</v>
      </c>
      <c r="F674" t="s">
        <v>19</v>
      </c>
    </row>
    <row r="675" spans="1:6">
      <c r="A675" t="s">
        <v>1411</v>
      </c>
      <c r="B675" t="s">
        <v>16</v>
      </c>
      <c r="C675" t="s">
        <v>1412</v>
      </c>
      <c r="E675" t="s">
        <v>18</v>
      </c>
      <c r="F675" t="s">
        <v>19</v>
      </c>
    </row>
    <row r="676" spans="1:6">
      <c r="A676" t="s">
        <v>1413</v>
      </c>
      <c r="B676" t="s">
        <v>16</v>
      </c>
      <c r="C676" t="s">
        <v>1414</v>
      </c>
      <c r="E676" t="s">
        <v>18</v>
      </c>
      <c r="F676" t="s">
        <v>19</v>
      </c>
    </row>
    <row r="677" spans="1:6">
      <c r="A677" t="s">
        <v>1415</v>
      </c>
      <c r="B677" t="s">
        <v>16</v>
      </c>
      <c r="C677" t="s">
        <v>442</v>
      </c>
      <c r="E677" t="s">
        <v>18</v>
      </c>
      <c r="F677" t="s">
        <v>19</v>
      </c>
    </row>
    <row r="678" spans="1:6">
      <c r="A678" t="s">
        <v>1416</v>
      </c>
      <c r="B678" t="s">
        <v>16</v>
      </c>
      <c r="C678" t="s">
        <v>1417</v>
      </c>
      <c r="E678" t="s">
        <v>18</v>
      </c>
      <c r="F678" t="s">
        <v>19</v>
      </c>
    </row>
    <row r="679" spans="1:6">
      <c r="A679" t="s">
        <v>1418</v>
      </c>
      <c r="B679" t="s">
        <v>16</v>
      </c>
      <c r="C679" t="s">
        <v>1419</v>
      </c>
      <c r="E679" t="s">
        <v>324</v>
      </c>
      <c r="F679" t="s">
        <v>325</v>
      </c>
    </row>
    <row r="680" spans="1:6">
      <c r="A680" t="s">
        <v>1420</v>
      </c>
      <c r="B680" t="s">
        <v>16</v>
      </c>
      <c r="C680" t="s">
        <v>1421</v>
      </c>
      <c r="E680" t="s">
        <v>18</v>
      </c>
      <c r="F680" t="s">
        <v>19</v>
      </c>
    </row>
    <row r="681" spans="1:6">
      <c r="A681" t="s">
        <v>1422</v>
      </c>
      <c r="B681" t="s">
        <v>16</v>
      </c>
      <c r="C681" t="s">
        <v>1423</v>
      </c>
      <c r="E681" t="s">
        <v>18</v>
      </c>
      <c r="F681" t="s">
        <v>19</v>
      </c>
    </row>
    <row r="682" spans="1:6">
      <c r="A682" t="s">
        <v>1424</v>
      </c>
      <c r="B682" t="s">
        <v>16</v>
      </c>
      <c r="C682" t="s">
        <v>1425</v>
      </c>
      <c r="E682" t="s">
        <v>18</v>
      </c>
      <c r="F682" t="s">
        <v>19</v>
      </c>
    </row>
    <row r="683" spans="1:6">
      <c r="A683" t="s">
        <v>1426</v>
      </c>
      <c r="B683" t="s">
        <v>16</v>
      </c>
      <c r="C683" t="s">
        <v>1427</v>
      </c>
      <c r="E683" t="s">
        <v>18</v>
      </c>
      <c r="F683" t="s">
        <v>19</v>
      </c>
    </row>
    <row r="684" spans="1:6">
      <c r="A684" t="s">
        <v>1428</v>
      </c>
      <c r="B684" t="s">
        <v>16</v>
      </c>
      <c r="C684" t="s">
        <v>1429</v>
      </c>
      <c r="E684" t="s">
        <v>18</v>
      </c>
      <c r="F684" t="s">
        <v>19</v>
      </c>
    </row>
    <row r="685" spans="1:6">
      <c r="A685" t="s">
        <v>1430</v>
      </c>
      <c r="B685" t="s">
        <v>16</v>
      </c>
      <c r="C685" t="s">
        <v>1431</v>
      </c>
      <c r="E685" t="s">
        <v>18</v>
      </c>
      <c r="F685" t="s">
        <v>19</v>
      </c>
    </row>
    <row r="686" spans="1:6">
      <c r="A686" t="s">
        <v>1432</v>
      </c>
      <c r="B686" t="s">
        <v>16</v>
      </c>
      <c r="C686" t="s">
        <v>1433</v>
      </c>
      <c r="E686" t="s">
        <v>18</v>
      </c>
      <c r="F686" t="s">
        <v>19</v>
      </c>
    </row>
    <row r="687" spans="1:6">
      <c r="A687" t="s">
        <v>1434</v>
      </c>
      <c r="B687" t="s">
        <v>16</v>
      </c>
      <c r="C687" t="s">
        <v>1435</v>
      </c>
      <c r="E687" t="s">
        <v>34</v>
      </c>
      <c r="F687" t="s">
        <v>35</v>
      </c>
    </row>
    <row r="688" spans="1:6">
      <c r="A688" t="s">
        <v>1436</v>
      </c>
      <c r="B688" t="s">
        <v>16</v>
      </c>
      <c r="C688" t="s">
        <v>1437</v>
      </c>
      <c r="E688" t="s">
        <v>18</v>
      </c>
      <c r="F688" t="s">
        <v>19</v>
      </c>
    </row>
    <row r="689" spans="1:6">
      <c r="A689" t="s">
        <v>1438</v>
      </c>
      <c r="B689" t="s">
        <v>16</v>
      </c>
      <c r="C689" t="s">
        <v>403</v>
      </c>
      <c r="E689" t="s">
        <v>18</v>
      </c>
      <c r="F689" t="s">
        <v>19</v>
      </c>
    </row>
    <row r="690" spans="1:6">
      <c r="A690" t="s">
        <v>1439</v>
      </c>
      <c r="B690" t="s">
        <v>16</v>
      </c>
      <c r="C690" t="s">
        <v>1440</v>
      </c>
      <c r="E690" t="s">
        <v>18</v>
      </c>
      <c r="F690" t="s">
        <v>19</v>
      </c>
    </row>
    <row r="691" spans="1:6">
      <c r="A691" t="s">
        <v>1441</v>
      </c>
      <c r="B691" t="s">
        <v>16</v>
      </c>
      <c r="C691" t="s">
        <v>1442</v>
      </c>
      <c r="E691" t="s">
        <v>18</v>
      </c>
      <c r="F691" t="s">
        <v>19</v>
      </c>
    </row>
    <row r="692" spans="1:6">
      <c r="A692" t="s">
        <v>1443</v>
      </c>
      <c r="B692" t="s">
        <v>16</v>
      </c>
      <c r="C692" t="s">
        <v>1444</v>
      </c>
      <c r="E692" t="s">
        <v>18</v>
      </c>
      <c r="F692" t="s">
        <v>19</v>
      </c>
    </row>
    <row r="693" spans="1:6">
      <c r="A693" t="s">
        <v>1445</v>
      </c>
      <c r="B693" t="s">
        <v>16</v>
      </c>
      <c r="C693" t="s">
        <v>1446</v>
      </c>
      <c r="E693" t="s">
        <v>18</v>
      </c>
      <c r="F693" t="s">
        <v>19</v>
      </c>
    </row>
    <row r="694" spans="1:6">
      <c r="A694" t="s">
        <v>1447</v>
      </c>
      <c r="B694" t="s">
        <v>16</v>
      </c>
      <c r="C694" t="s">
        <v>195</v>
      </c>
      <c r="E694" t="s">
        <v>1448</v>
      </c>
      <c r="F694" t="s">
        <v>1449</v>
      </c>
    </row>
    <row r="695" spans="1:6">
      <c r="A695" t="s">
        <v>1450</v>
      </c>
      <c r="B695" t="s">
        <v>16</v>
      </c>
      <c r="C695" t="s">
        <v>1451</v>
      </c>
      <c r="E695" t="s">
        <v>18</v>
      </c>
      <c r="F695" t="s">
        <v>19</v>
      </c>
    </row>
    <row r="696" spans="1:6">
      <c r="A696" t="s">
        <v>1452</v>
      </c>
      <c r="B696" t="s">
        <v>16</v>
      </c>
      <c r="C696" t="s">
        <v>1453</v>
      </c>
      <c r="E696" t="s">
        <v>1454</v>
      </c>
      <c r="F696" t="s">
        <v>1455</v>
      </c>
    </row>
    <row r="697" spans="1:6">
      <c r="A697" t="s">
        <v>1456</v>
      </c>
      <c r="B697" t="s">
        <v>16</v>
      </c>
      <c r="C697" t="s">
        <v>1457</v>
      </c>
      <c r="E697" t="s">
        <v>18</v>
      </c>
      <c r="F697" t="s">
        <v>19</v>
      </c>
    </row>
    <row r="698" spans="1:6">
      <c r="A698" t="s">
        <v>1458</v>
      </c>
      <c r="B698" t="s">
        <v>16</v>
      </c>
      <c r="C698" t="s">
        <v>1459</v>
      </c>
      <c r="E698" t="s">
        <v>18</v>
      </c>
      <c r="F698" t="s">
        <v>19</v>
      </c>
    </row>
    <row r="699" spans="1:6">
      <c r="A699" t="s">
        <v>1460</v>
      </c>
      <c r="B699" t="s">
        <v>16</v>
      </c>
      <c r="C699" t="s">
        <v>1461</v>
      </c>
      <c r="E699" t="s">
        <v>18</v>
      </c>
      <c r="F699" t="s">
        <v>19</v>
      </c>
    </row>
    <row r="700" spans="1:6">
      <c r="A700" t="s">
        <v>1462</v>
      </c>
      <c r="B700" t="s">
        <v>16</v>
      </c>
      <c r="C700" t="s">
        <v>1463</v>
      </c>
      <c r="E700" t="s">
        <v>18</v>
      </c>
      <c r="F700" t="s">
        <v>19</v>
      </c>
    </row>
    <row r="701" spans="1:6">
      <c r="A701" t="s">
        <v>1464</v>
      </c>
      <c r="B701" t="s">
        <v>16</v>
      </c>
      <c r="C701" t="s">
        <v>1465</v>
      </c>
      <c r="E701" t="s">
        <v>18</v>
      </c>
      <c r="F701" t="s">
        <v>19</v>
      </c>
    </row>
    <row r="702" spans="1:6">
      <c r="A702" t="s">
        <v>1466</v>
      </c>
      <c r="B702" t="s">
        <v>16</v>
      </c>
      <c r="C702" t="s">
        <v>1467</v>
      </c>
      <c r="E702" t="s">
        <v>34</v>
      </c>
      <c r="F702" t="s">
        <v>35</v>
      </c>
    </row>
    <row r="703" spans="1:6">
      <c r="A703" t="s">
        <v>1468</v>
      </c>
      <c r="B703" t="s">
        <v>16</v>
      </c>
      <c r="C703" t="s">
        <v>1469</v>
      </c>
      <c r="E703" t="s">
        <v>18</v>
      </c>
      <c r="F703" t="s">
        <v>19</v>
      </c>
    </row>
    <row r="704" spans="1:6">
      <c r="A704" t="s">
        <v>1470</v>
      </c>
      <c r="B704" t="s">
        <v>16</v>
      </c>
      <c r="C704" t="s">
        <v>1471</v>
      </c>
      <c r="E704" t="s">
        <v>18</v>
      </c>
      <c r="F704" t="s">
        <v>19</v>
      </c>
    </row>
    <row r="705" spans="1:6">
      <c r="A705" t="s">
        <v>1472</v>
      </c>
      <c r="B705" t="s">
        <v>16</v>
      </c>
      <c r="C705" t="s">
        <v>1473</v>
      </c>
      <c r="E705" t="s">
        <v>18</v>
      </c>
      <c r="F705" t="s">
        <v>19</v>
      </c>
    </row>
    <row r="706" spans="1:6">
      <c r="A706" t="s">
        <v>1474</v>
      </c>
      <c r="B706" t="s">
        <v>16</v>
      </c>
      <c r="C706" t="s">
        <v>557</v>
      </c>
      <c r="E706" t="s">
        <v>1475</v>
      </c>
      <c r="F706" t="s">
        <v>1476</v>
      </c>
    </row>
    <row r="707" spans="1:6">
      <c r="A707" t="s">
        <v>1477</v>
      </c>
      <c r="B707" t="s">
        <v>16</v>
      </c>
      <c r="C707" t="s">
        <v>1478</v>
      </c>
      <c r="E707" t="s">
        <v>34</v>
      </c>
      <c r="F707" t="s">
        <v>35</v>
      </c>
    </row>
    <row r="708" spans="1:6">
      <c r="A708" t="s">
        <v>1479</v>
      </c>
      <c r="B708" t="s">
        <v>16</v>
      </c>
      <c r="C708" t="s">
        <v>1480</v>
      </c>
      <c r="E708" t="s">
        <v>18</v>
      </c>
      <c r="F708" t="s">
        <v>19</v>
      </c>
    </row>
    <row r="709" spans="1:6">
      <c r="A709" t="s">
        <v>1481</v>
      </c>
      <c r="B709" t="s">
        <v>16</v>
      </c>
      <c r="C709" t="s">
        <v>1482</v>
      </c>
      <c r="E709" t="s">
        <v>1448</v>
      </c>
      <c r="F709" t="s">
        <v>1449</v>
      </c>
    </row>
    <row r="710" spans="1:6">
      <c r="A710" t="s">
        <v>1483</v>
      </c>
      <c r="B710" t="s">
        <v>16</v>
      </c>
      <c r="C710" t="s">
        <v>1484</v>
      </c>
      <c r="E710" t="s">
        <v>371</v>
      </c>
      <c r="F710" t="s">
        <v>372</v>
      </c>
    </row>
    <row r="711" spans="1:6">
      <c r="A711" t="s">
        <v>1485</v>
      </c>
      <c r="B711" t="s">
        <v>16</v>
      </c>
      <c r="C711" t="s">
        <v>1486</v>
      </c>
      <c r="E711" t="s">
        <v>18</v>
      </c>
      <c r="F711" t="s">
        <v>19</v>
      </c>
    </row>
    <row r="712" spans="1:6">
      <c r="A712" t="s">
        <v>1487</v>
      </c>
      <c r="B712" t="s">
        <v>16</v>
      </c>
      <c r="C712" t="s">
        <v>1488</v>
      </c>
      <c r="E712" t="s">
        <v>18</v>
      </c>
      <c r="F712" t="s">
        <v>19</v>
      </c>
    </row>
    <row r="713" spans="1:6">
      <c r="A713" t="s">
        <v>1489</v>
      </c>
      <c r="B713" t="s">
        <v>16</v>
      </c>
      <c r="C713" t="s">
        <v>1490</v>
      </c>
      <c r="E713" t="s">
        <v>18</v>
      </c>
      <c r="F713" t="s">
        <v>19</v>
      </c>
    </row>
    <row r="714" spans="1:6">
      <c r="A714" t="s">
        <v>1491</v>
      </c>
      <c r="B714" t="s">
        <v>16</v>
      </c>
      <c r="C714" t="s">
        <v>1492</v>
      </c>
      <c r="E714" t="s">
        <v>18</v>
      </c>
      <c r="F714" t="s">
        <v>19</v>
      </c>
    </row>
    <row r="715" spans="1:6">
      <c r="A715" t="s">
        <v>1493</v>
      </c>
      <c r="B715" t="s">
        <v>16</v>
      </c>
      <c r="C715" t="s">
        <v>1494</v>
      </c>
      <c r="E715" t="s">
        <v>18</v>
      </c>
      <c r="F715" t="s">
        <v>19</v>
      </c>
    </row>
    <row r="716" spans="1:6">
      <c r="A716" t="s">
        <v>1495</v>
      </c>
      <c r="B716" t="s">
        <v>16</v>
      </c>
      <c r="C716" t="s">
        <v>1496</v>
      </c>
      <c r="E716" t="s">
        <v>18</v>
      </c>
      <c r="F716" t="s">
        <v>19</v>
      </c>
    </row>
    <row r="717" spans="1:6">
      <c r="A717" t="s">
        <v>1497</v>
      </c>
      <c r="B717" t="s">
        <v>16</v>
      </c>
      <c r="C717" t="s">
        <v>1498</v>
      </c>
      <c r="E717" t="s">
        <v>18</v>
      </c>
      <c r="F717" t="s">
        <v>19</v>
      </c>
    </row>
    <row r="718" spans="1:6">
      <c r="A718" t="s">
        <v>1499</v>
      </c>
      <c r="B718" t="s">
        <v>16</v>
      </c>
      <c r="C718" t="s">
        <v>1500</v>
      </c>
      <c r="E718" t="s">
        <v>18</v>
      </c>
      <c r="F718" t="s">
        <v>19</v>
      </c>
    </row>
    <row r="719" spans="1:6">
      <c r="A719" t="s">
        <v>1501</v>
      </c>
      <c r="B719" t="s">
        <v>16</v>
      </c>
      <c r="C719" t="s">
        <v>1502</v>
      </c>
      <c r="E719" t="s">
        <v>18</v>
      </c>
      <c r="F719" t="s">
        <v>19</v>
      </c>
    </row>
    <row r="720" spans="1:6">
      <c r="A720" t="s">
        <v>1503</v>
      </c>
      <c r="B720" t="s">
        <v>16</v>
      </c>
      <c r="C720" t="s">
        <v>1504</v>
      </c>
      <c r="E720" t="s">
        <v>330</v>
      </c>
      <c r="F720" t="s">
        <v>331</v>
      </c>
    </row>
    <row r="721" spans="1:6">
      <c r="A721" t="s">
        <v>1505</v>
      </c>
      <c r="B721" t="s">
        <v>16</v>
      </c>
      <c r="C721" t="s">
        <v>1506</v>
      </c>
      <c r="E721" t="s">
        <v>18</v>
      </c>
      <c r="F721" t="s">
        <v>19</v>
      </c>
    </row>
    <row r="722" spans="1:6">
      <c r="A722" t="s">
        <v>1507</v>
      </c>
      <c r="B722" t="s">
        <v>16</v>
      </c>
      <c r="C722" t="s">
        <v>1508</v>
      </c>
      <c r="E722" t="s">
        <v>18</v>
      </c>
      <c r="F722" t="s">
        <v>19</v>
      </c>
    </row>
    <row r="723" spans="1:6">
      <c r="A723" t="s">
        <v>1509</v>
      </c>
      <c r="B723" t="s">
        <v>16</v>
      </c>
      <c r="C723" t="s">
        <v>1510</v>
      </c>
      <c r="E723" t="s">
        <v>18</v>
      </c>
      <c r="F723" t="s">
        <v>19</v>
      </c>
    </row>
    <row r="724" spans="1:6">
      <c r="A724" t="s">
        <v>1511</v>
      </c>
      <c r="B724" t="s">
        <v>16</v>
      </c>
      <c r="C724" t="s">
        <v>1512</v>
      </c>
      <c r="E724" t="s">
        <v>274</v>
      </c>
      <c r="F724" t="s">
        <v>275</v>
      </c>
    </row>
    <row r="725" spans="1:6">
      <c r="A725" t="s">
        <v>1513</v>
      </c>
      <c r="B725" t="s">
        <v>16</v>
      </c>
      <c r="C725" t="s">
        <v>1514</v>
      </c>
      <c r="E725" t="s">
        <v>18</v>
      </c>
      <c r="F725" t="s">
        <v>19</v>
      </c>
    </row>
    <row r="726" spans="1:6">
      <c r="A726" t="s">
        <v>1515</v>
      </c>
      <c r="B726" t="s">
        <v>16</v>
      </c>
      <c r="C726" t="s">
        <v>1516</v>
      </c>
      <c r="E726" t="s">
        <v>18</v>
      </c>
      <c r="F726" t="s">
        <v>19</v>
      </c>
    </row>
    <row r="727" spans="1:6">
      <c r="A727" t="s">
        <v>1517</v>
      </c>
      <c r="B727" t="s">
        <v>16</v>
      </c>
      <c r="C727" t="s">
        <v>1518</v>
      </c>
      <c r="E727" t="s">
        <v>18</v>
      </c>
      <c r="F727" t="s">
        <v>19</v>
      </c>
    </row>
    <row r="728" spans="1:6">
      <c r="A728" t="s">
        <v>1519</v>
      </c>
      <c r="B728" t="s">
        <v>16</v>
      </c>
      <c r="C728" t="s">
        <v>1520</v>
      </c>
      <c r="E728" t="s">
        <v>18</v>
      </c>
      <c r="F728" t="s">
        <v>19</v>
      </c>
    </row>
    <row r="729" spans="1:6">
      <c r="A729" t="s">
        <v>1521</v>
      </c>
      <c r="B729" t="s">
        <v>16</v>
      </c>
      <c r="C729" t="s">
        <v>1522</v>
      </c>
      <c r="E729" t="s">
        <v>18</v>
      </c>
      <c r="F729" t="s">
        <v>19</v>
      </c>
    </row>
    <row r="730" spans="1:6">
      <c r="A730" t="s">
        <v>1523</v>
      </c>
      <c r="B730" t="s">
        <v>16</v>
      </c>
      <c r="C730" t="s">
        <v>1524</v>
      </c>
      <c r="E730" t="s">
        <v>34</v>
      </c>
      <c r="F730" t="s">
        <v>35</v>
      </c>
    </row>
    <row r="731" spans="1:6">
      <c r="A731" t="s">
        <v>1525</v>
      </c>
      <c r="B731" t="s">
        <v>16</v>
      </c>
      <c r="C731" t="s">
        <v>1526</v>
      </c>
      <c r="E731" t="s">
        <v>18</v>
      </c>
      <c r="F731" t="s">
        <v>19</v>
      </c>
    </row>
    <row r="732" spans="1:6">
      <c r="A732" t="s">
        <v>1527</v>
      </c>
      <c r="B732" t="s">
        <v>16</v>
      </c>
      <c r="C732" t="s">
        <v>1528</v>
      </c>
      <c r="E732" t="s">
        <v>18</v>
      </c>
      <c r="F732" t="s">
        <v>19</v>
      </c>
    </row>
    <row r="733" spans="1:6">
      <c r="A733" t="s">
        <v>1529</v>
      </c>
      <c r="B733" t="s">
        <v>16</v>
      </c>
      <c r="C733" t="s">
        <v>1530</v>
      </c>
      <c r="E733" t="s">
        <v>18</v>
      </c>
      <c r="F733" t="s">
        <v>19</v>
      </c>
    </row>
    <row r="734" spans="1:6">
      <c r="A734" t="s">
        <v>1531</v>
      </c>
      <c r="B734" t="s">
        <v>16</v>
      </c>
      <c r="C734" t="s">
        <v>1532</v>
      </c>
      <c r="E734" t="s">
        <v>1135</v>
      </c>
      <c r="F734" t="s">
        <v>1136</v>
      </c>
    </row>
    <row r="735" spans="1:6">
      <c r="A735" t="s">
        <v>1533</v>
      </c>
      <c r="B735" t="s">
        <v>16</v>
      </c>
      <c r="C735" t="s">
        <v>1534</v>
      </c>
      <c r="E735" t="s">
        <v>330</v>
      </c>
      <c r="F735" t="s">
        <v>331</v>
      </c>
    </row>
    <row r="736" spans="1:6">
      <c r="A736" t="s">
        <v>1535</v>
      </c>
      <c r="B736" t="s">
        <v>16</v>
      </c>
      <c r="C736" t="s">
        <v>1536</v>
      </c>
      <c r="E736" t="s">
        <v>18</v>
      </c>
      <c r="F736" t="s">
        <v>19</v>
      </c>
    </row>
    <row r="737" spans="1:6">
      <c r="A737" t="s">
        <v>1537</v>
      </c>
      <c r="B737" t="s">
        <v>16</v>
      </c>
      <c r="C737" t="s">
        <v>1538</v>
      </c>
      <c r="E737" t="s">
        <v>18</v>
      </c>
      <c r="F737" t="s">
        <v>19</v>
      </c>
    </row>
    <row r="738" spans="1:6">
      <c r="A738" t="s">
        <v>1539</v>
      </c>
      <c r="B738" t="s">
        <v>16</v>
      </c>
      <c r="C738" t="s">
        <v>1540</v>
      </c>
      <c r="E738" t="s">
        <v>18</v>
      </c>
      <c r="F738" t="s">
        <v>19</v>
      </c>
    </row>
    <row r="739" spans="1:6">
      <c r="A739" t="s">
        <v>1541</v>
      </c>
      <c r="B739" t="s">
        <v>16</v>
      </c>
      <c r="C739" t="s">
        <v>1542</v>
      </c>
      <c r="E739" t="s">
        <v>18</v>
      </c>
      <c r="F739" t="s">
        <v>19</v>
      </c>
    </row>
    <row r="740" spans="1:6">
      <c r="A740" t="s">
        <v>1543</v>
      </c>
      <c r="B740" t="s">
        <v>16</v>
      </c>
      <c r="C740" t="s">
        <v>1544</v>
      </c>
      <c r="E740" t="s">
        <v>18</v>
      </c>
      <c r="F740" t="s">
        <v>19</v>
      </c>
    </row>
    <row r="741" spans="1:6">
      <c r="A741" t="s">
        <v>1545</v>
      </c>
      <c r="B741" t="s">
        <v>16</v>
      </c>
      <c r="C741" t="s">
        <v>1546</v>
      </c>
      <c r="E741" t="s">
        <v>1448</v>
      </c>
      <c r="F741" t="s">
        <v>1449</v>
      </c>
    </row>
    <row r="742" spans="1:6">
      <c r="A742" t="s">
        <v>1547</v>
      </c>
      <c r="B742" t="s">
        <v>16</v>
      </c>
      <c r="C742" t="s">
        <v>1548</v>
      </c>
      <c r="E742" t="s">
        <v>18</v>
      </c>
      <c r="F742" t="s">
        <v>19</v>
      </c>
    </row>
    <row r="743" spans="1:6">
      <c r="A743" t="s">
        <v>1549</v>
      </c>
      <c r="B743" t="s">
        <v>16</v>
      </c>
      <c r="C743" t="s">
        <v>1550</v>
      </c>
      <c r="E743" t="s">
        <v>18</v>
      </c>
      <c r="F743" t="s">
        <v>19</v>
      </c>
    </row>
    <row r="744" spans="1:6">
      <c r="A744" t="s">
        <v>1551</v>
      </c>
      <c r="B744" t="s">
        <v>16</v>
      </c>
      <c r="C744" t="s">
        <v>1552</v>
      </c>
      <c r="E744" t="s">
        <v>302</v>
      </c>
      <c r="F744" t="s">
        <v>303</v>
      </c>
    </row>
    <row r="745" spans="1:6">
      <c r="A745" t="s">
        <v>1553</v>
      </c>
      <c r="B745" t="s">
        <v>16</v>
      </c>
      <c r="C745" t="s">
        <v>1554</v>
      </c>
      <c r="E745" t="s">
        <v>18</v>
      </c>
      <c r="F745" t="s">
        <v>19</v>
      </c>
    </row>
    <row r="746" spans="1:6">
      <c r="A746" t="s">
        <v>1555</v>
      </c>
      <c r="B746" t="s">
        <v>16</v>
      </c>
      <c r="C746" t="s">
        <v>1556</v>
      </c>
      <c r="E746" t="s">
        <v>18</v>
      </c>
      <c r="F746" t="s">
        <v>19</v>
      </c>
    </row>
    <row r="747" spans="1:6">
      <c r="A747" t="s">
        <v>1557</v>
      </c>
      <c r="B747" t="s">
        <v>16</v>
      </c>
      <c r="C747" t="s">
        <v>1558</v>
      </c>
      <c r="E747" t="s">
        <v>18</v>
      </c>
      <c r="F747" t="s">
        <v>19</v>
      </c>
    </row>
    <row r="748" spans="1:6">
      <c r="A748" t="s">
        <v>1559</v>
      </c>
      <c r="B748" t="s">
        <v>16</v>
      </c>
      <c r="C748" t="s">
        <v>1560</v>
      </c>
      <c r="E748" t="s">
        <v>18</v>
      </c>
      <c r="F748" t="s">
        <v>19</v>
      </c>
    </row>
    <row r="749" spans="1:6">
      <c r="A749" t="s">
        <v>1561</v>
      </c>
      <c r="B749" t="s">
        <v>16</v>
      </c>
      <c r="C749" t="s">
        <v>1562</v>
      </c>
      <c r="E749" t="s">
        <v>18</v>
      </c>
      <c r="F749" t="s">
        <v>19</v>
      </c>
    </row>
    <row r="750" spans="1:6">
      <c r="A750" t="s">
        <v>1563</v>
      </c>
      <c r="B750" t="s">
        <v>16</v>
      </c>
      <c r="C750" t="s">
        <v>1564</v>
      </c>
      <c r="E750" t="s">
        <v>18</v>
      </c>
      <c r="F750" t="s">
        <v>19</v>
      </c>
    </row>
    <row r="751" spans="1:6">
      <c r="A751" t="s">
        <v>1565</v>
      </c>
      <c r="B751" t="s">
        <v>16</v>
      </c>
      <c r="C751" t="s">
        <v>1566</v>
      </c>
      <c r="E751" t="s">
        <v>18</v>
      </c>
      <c r="F751" t="s">
        <v>19</v>
      </c>
    </row>
    <row r="752" spans="1:6">
      <c r="A752" t="s">
        <v>1567</v>
      </c>
      <c r="B752" t="s">
        <v>16</v>
      </c>
      <c r="C752" t="s">
        <v>1568</v>
      </c>
      <c r="E752" t="s">
        <v>1065</v>
      </c>
      <c r="F752" t="s">
        <v>1066</v>
      </c>
    </row>
    <row r="753" spans="1:6">
      <c r="A753" t="s">
        <v>1569</v>
      </c>
      <c r="B753" t="s">
        <v>16</v>
      </c>
      <c r="C753" t="s">
        <v>1570</v>
      </c>
      <c r="E753" t="s">
        <v>18</v>
      </c>
      <c r="F753" t="s">
        <v>19</v>
      </c>
    </row>
    <row r="754" spans="1:6">
      <c r="A754" t="s">
        <v>1571</v>
      </c>
      <c r="B754" t="s">
        <v>16</v>
      </c>
      <c r="C754" t="s">
        <v>1546</v>
      </c>
      <c r="E754" t="s">
        <v>196</v>
      </c>
      <c r="F754" t="s">
        <v>197</v>
      </c>
    </row>
    <row r="755" spans="1:6">
      <c r="A755" t="s">
        <v>1572</v>
      </c>
      <c r="B755" t="s">
        <v>16</v>
      </c>
      <c r="C755" t="s">
        <v>1573</v>
      </c>
      <c r="E755" t="s">
        <v>56</v>
      </c>
      <c r="F755" t="s">
        <v>57</v>
      </c>
    </row>
    <row r="756" spans="1:6">
      <c r="A756" t="s">
        <v>1574</v>
      </c>
      <c r="B756" t="s">
        <v>16</v>
      </c>
      <c r="C756" t="s">
        <v>1575</v>
      </c>
      <c r="E756" t="s">
        <v>18</v>
      </c>
      <c r="F756" t="s">
        <v>19</v>
      </c>
    </row>
    <row r="757" spans="1:6">
      <c r="A757" t="s">
        <v>1576</v>
      </c>
      <c r="B757" t="s">
        <v>16</v>
      </c>
      <c r="C757" t="s">
        <v>1577</v>
      </c>
      <c r="E757" t="s">
        <v>18</v>
      </c>
      <c r="F757" t="s">
        <v>19</v>
      </c>
    </row>
    <row r="758" spans="1:6">
      <c r="A758" t="s">
        <v>1578</v>
      </c>
      <c r="B758" t="s">
        <v>16</v>
      </c>
      <c r="C758" t="s">
        <v>1579</v>
      </c>
      <c r="E758" t="s">
        <v>18</v>
      </c>
      <c r="F758" t="s">
        <v>19</v>
      </c>
    </row>
    <row r="759" spans="1:6">
      <c r="A759" t="s">
        <v>1580</v>
      </c>
      <c r="B759" t="s">
        <v>16</v>
      </c>
      <c r="C759" t="s">
        <v>1581</v>
      </c>
      <c r="E759" t="s">
        <v>18</v>
      </c>
      <c r="F759" t="s">
        <v>19</v>
      </c>
    </row>
    <row r="760" spans="1:6">
      <c r="A760" t="s">
        <v>1582</v>
      </c>
      <c r="B760" t="s">
        <v>16</v>
      </c>
      <c r="C760" t="s">
        <v>1583</v>
      </c>
      <c r="E760" t="s">
        <v>18</v>
      </c>
      <c r="F760" t="s">
        <v>19</v>
      </c>
    </row>
    <row r="761" spans="1:6">
      <c r="A761" t="s">
        <v>1584</v>
      </c>
      <c r="B761" t="s">
        <v>16</v>
      </c>
      <c r="C761" t="s">
        <v>1585</v>
      </c>
      <c r="E761" t="s">
        <v>18</v>
      </c>
      <c r="F761" t="s">
        <v>19</v>
      </c>
    </row>
    <row r="762" spans="1:6">
      <c r="A762" t="s">
        <v>1586</v>
      </c>
      <c r="B762" t="s">
        <v>16</v>
      </c>
      <c r="C762" t="s">
        <v>1587</v>
      </c>
      <c r="E762" t="s">
        <v>18</v>
      </c>
      <c r="F762" t="s">
        <v>19</v>
      </c>
    </row>
    <row r="763" spans="1:6">
      <c r="A763" t="s">
        <v>1588</v>
      </c>
      <c r="B763" t="s">
        <v>16</v>
      </c>
      <c r="C763" t="s">
        <v>1589</v>
      </c>
      <c r="E763" t="s">
        <v>302</v>
      </c>
      <c r="F763" t="s">
        <v>303</v>
      </c>
    </row>
    <row r="764" spans="1:6">
      <c r="A764" t="s">
        <v>1590</v>
      </c>
      <c r="B764" t="s">
        <v>16</v>
      </c>
      <c r="C764" t="s">
        <v>1591</v>
      </c>
      <c r="E764" t="s">
        <v>18</v>
      </c>
      <c r="F764" t="s">
        <v>19</v>
      </c>
    </row>
    <row r="765" spans="1:6">
      <c r="A765" t="s">
        <v>1592</v>
      </c>
      <c r="B765" t="s">
        <v>16</v>
      </c>
      <c r="C765" t="s">
        <v>1593</v>
      </c>
      <c r="E765" t="s">
        <v>18</v>
      </c>
      <c r="F765" t="s">
        <v>19</v>
      </c>
    </row>
    <row r="766" spans="1:6">
      <c r="A766" t="s">
        <v>1594</v>
      </c>
      <c r="B766" t="s">
        <v>16</v>
      </c>
      <c r="C766" t="s">
        <v>1595</v>
      </c>
      <c r="E766" t="s">
        <v>18</v>
      </c>
      <c r="F766" t="s">
        <v>19</v>
      </c>
    </row>
    <row r="767" spans="1:6">
      <c r="A767" t="s">
        <v>1596</v>
      </c>
      <c r="B767" t="s">
        <v>16</v>
      </c>
      <c r="C767" t="s">
        <v>1597</v>
      </c>
      <c r="E767" t="s">
        <v>18</v>
      </c>
      <c r="F767" t="s">
        <v>19</v>
      </c>
    </row>
    <row r="768" spans="1:6">
      <c r="A768" t="s">
        <v>1598</v>
      </c>
      <c r="B768" t="s">
        <v>16</v>
      </c>
      <c r="C768" t="s">
        <v>1599</v>
      </c>
      <c r="E768" t="s">
        <v>257</v>
      </c>
      <c r="F768" t="s">
        <v>258</v>
      </c>
    </row>
    <row r="769" spans="1:6">
      <c r="A769" t="s">
        <v>1600</v>
      </c>
      <c r="B769" t="s">
        <v>16</v>
      </c>
      <c r="C769" t="s">
        <v>1601</v>
      </c>
      <c r="E769" t="s">
        <v>18</v>
      </c>
      <c r="F769" t="s">
        <v>19</v>
      </c>
    </row>
    <row r="770" spans="1:6">
      <c r="A770" t="s">
        <v>1602</v>
      </c>
      <c r="B770" t="s">
        <v>16</v>
      </c>
      <c r="C770" t="s">
        <v>1603</v>
      </c>
      <c r="E770" t="s">
        <v>18</v>
      </c>
      <c r="F770" t="s">
        <v>19</v>
      </c>
    </row>
    <row r="771" spans="1:6">
      <c r="A771" t="s">
        <v>1604</v>
      </c>
      <c r="B771" t="s">
        <v>16</v>
      </c>
      <c r="C771" t="s">
        <v>1605</v>
      </c>
      <c r="E771" t="s">
        <v>18</v>
      </c>
      <c r="F771" t="s">
        <v>19</v>
      </c>
    </row>
    <row r="772" spans="1:6">
      <c r="A772" t="s">
        <v>1606</v>
      </c>
      <c r="B772" t="s">
        <v>16</v>
      </c>
      <c r="C772" t="s">
        <v>1607</v>
      </c>
      <c r="E772" t="s">
        <v>18</v>
      </c>
      <c r="F772" t="s">
        <v>19</v>
      </c>
    </row>
    <row r="773" spans="1:6">
      <c r="A773" t="s">
        <v>1608</v>
      </c>
      <c r="B773" t="s">
        <v>16</v>
      </c>
      <c r="C773" t="s">
        <v>1609</v>
      </c>
      <c r="E773" t="s">
        <v>18</v>
      </c>
      <c r="F773" t="s">
        <v>19</v>
      </c>
    </row>
    <row r="774" spans="1:6">
      <c r="A774" t="s">
        <v>1610</v>
      </c>
      <c r="B774" t="s">
        <v>16</v>
      </c>
      <c r="C774" t="s">
        <v>1611</v>
      </c>
      <c r="E774" t="s">
        <v>34</v>
      </c>
      <c r="F774" t="s">
        <v>35</v>
      </c>
    </row>
    <row r="775" spans="1:6">
      <c r="A775" t="s">
        <v>1612</v>
      </c>
      <c r="B775" t="s">
        <v>16</v>
      </c>
      <c r="C775" t="s">
        <v>1613</v>
      </c>
      <c r="E775" t="s">
        <v>18</v>
      </c>
      <c r="F775" t="s">
        <v>19</v>
      </c>
    </row>
    <row r="776" spans="1:6">
      <c r="A776" t="s">
        <v>1614</v>
      </c>
      <c r="B776" t="s">
        <v>16</v>
      </c>
      <c r="C776" t="s">
        <v>1615</v>
      </c>
      <c r="E776" t="s">
        <v>18</v>
      </c>
      <c r="F776" t="s">
        <v>19</v>
      </c>
    </row>
    <row r="777" spans="1:6">
      <c r="A777" t="s">
        <v>1616</v>
      </c>
      <c r="B777" t="s">
        <v>16</v>
      </c>
      <c r="C777" t="s">
        <v>1617</v>
      </c>
      <c r="E777" t="s">
        <v>18</v>
      </c>
      <c r="F777" t="s">
        <v>19</v>
      </c>
    </row>
    <row r="778" spans="1:6">
      <c r="A778" t="s">
        <v>1618</v>
      </c>
      <c r="B778" t="s">
        <v>16</v>
      </c>
      <c r="C778" t="s">
        <v>1619</v>
      </c>
      <c r="E778" t="s">
        <v>18</v>
      </c>
      <c r="F778" t="s">
        <v>19</v>
      </c>
    </row>
    <row r="779" spans="1:6">
      <c r="A779" t="s">
        <v>1620</v>
      </c>
      <c r="B779" t="s">
        <v>16</v>
      </c>
      <c r="C779" t="s">
        <v>1621</v>
      </c>
      <c r="E779" t="s">
        <v>18</v>
      </c>
      <c r="F779" t="s">
        <v>19</v>
      </c>
    </row>
    <row r="780" spans="1:6">
      <c r="A780" t="s">
        <v>1622</v>
      </c>
      <c r="B780" t="s">
        <v>16</v>
      </c>
      <c r="C780" t="s">
        <v>1623</v>
      </c>
      <c r="E780" t="s">
        <v>18</v>
      </c>
      <c r="F780" t="s">
        <v>19</v>
      </c>
    </row>
    <row r="781" spans="1:6">
      <c r="A781" t="s">
        <v>1624</v>
      </c>
      <c r="B781" t="s">
        <v>16</v>
      </c>
      <c r="C781" t="s">
        <v>1625</v>
      </c>
      <c r="E781" t="s">
        <v>18</v>
      </c>
      <c r="F781" t="s">
        <v>19</v>
      </c>
    </row>
    <row r="782" spans="1:6">
      <c r="A782" t="s">
        <v>1626</v>
      </c>
      <c r="B782" t="s">
        <v>16</v>
      </c>
      <c r="C782" t="s">
        <v>1627</v>
      </c>
      <c r="E782" t="s">
        <v>18</v>
      </c>
      <c r="F782" t="s">
        <v>19</v>
      </c>
    </row>
    <row r="783" spans="1:6">
      <c r="A783" t="s">
        <v>1628</v>
      </c>
      <c r="B783" t="s">
        <v>16</v>
      </c>
      <c r="C783" t="s">
        <v>1629</v>
      </c>
      <c r="E783" t="s">
        <v>18</v>
      </c>
      <c r="F783" t="s">
        <v>19</v>
      </c>
    </row>
    <row r="784" spans="1:6">
      <c r="A784" t="s">
        <v>1630</v>
      </c>
      <c r="B784" t="s">
        <v>16</v>
      </c>
      <c r="C784" t="s">
        <v>1631</v>
      </c>
      <c r="E784" t="s">
        <v>18</v>
      </c>
      <c r="F784" t="s">
        <v>19</v>
      </c>
    </row>
    <row r="785" spans="1:6">
      <c r="A785" t="s">
        <v>1632</v>
      </c>
      <c r="B785" t="s">
        <v>16</v>
      </c>
      <c r="C785" t="s">
        <v>1633</v>
      </c>
      <c r="E785" t="s">
        <v>18</v>
      </c>
      <c r="F785" t="s">
        <v>19</v>
      </c>
    </row>
    <row r="786" spans="1:6">
      <c r="A786" t="s">
        <v>1634</v>
      </c>
      <c r="B786" t="s">
        <v>16</v>
      </c>
      <c r="C786" t="s">
        <v>55</v>
      </c>
      <c r="E786" t="s">
        <v>224</v>
      </c>
      <c r="F786" t="s">
        <v>225</v>
      </c>
    </row>
    <row r="787" spans="1:6">
      <c r="A787" t="s">
        <v>1635</v>
      </c>
      <c r="B787" t="s">
        <v>16</v>
      </c>
      <c r="C787" t="s">
        <v>1636</v>
      </c>
      <c r="E787" t="s">
        <v>371</v>
      </c>
      <c r="F787" t="s">
        <v>372</v>
      </c>
    </row>
    <row r="788" spans="1:6">
      <c r="A788" t="s">
        <v>1637</v>
      </c>
      <c r="B788" t="s">
        <v>16</v>
      </c>
      <c r="C788" t="s">
        <v>1412</v>
      </c>
      <c r="E788" t="s">
        <v>18</v>
      </c>
      <c r="F788" t="s">
        <v>19</v>
      </c>
    </row>
    <row r="789" spans="1:6">
      <c r="A789" t="s">
        <v>1638</v>
      </c>
      <c r="B789" t="s">
        <v>16</v>
      </c>
      <c r="C789" t="s">
        <v>1639</v>
      </c>
      <c r="E789" t="s">
        <v>46</v>
      </c>
      <c r="F789" t="s">
        <v>47</v>
      </c>
    </row>
    <row r="790" spans="1:6">
      <c r="A790" t="s">
        <v>1640</v>
      </c>
      <c r="B790" t="s">
        <v>16</v>
      </c>
      <c r="C790" t="s">
        <v>1641</v>
      </c>
      <c r="E790" t="s">
        <v>18</v>
      </c>
      <c r="F790" t="s">
        <v>19</v>
      </c>
    </row>
    <row r="791" spans="1:6">
      <c r="A791" t="s">
        <v>1642</v>
      </c>
      <c r="B791" t="s">
        <v>16</v>
      </c>
      <c r="C791" t="s">
        <v>1643</v>
      </c>
      <c r="E791" t="s">
        <v>18</v>
      </c>
      <c r="F791" t="s">
        <v>19</v>
      </c>
    </row>
    <row r="792" spans="1:6">
      <c r="A792" t="s">
        <v>1644</v>
      </c>
      <c r="B792" t="s">
        <v>16</v>
      </c>
      <c r="C792" t="s">
        <v>1645</v>
      </c>
      <c r="E792" t="s">
        <v>18</v>
      </c>
      <c r="F792" t="s">
        <v>19</v>
      </c>
    </row>
    <row r="793" spans="1:6">
      <c r="A793" t="s">
        <v>1646</v>
      </c>
      <c r="B793" t="s">
        <v>16</v>
      </c>
      <c r="C793" t="s">
        <v>1647</v>
      </c>
      <c r="E793" t="s">
        <v>18</v>
      </c>
      <c r="F793" t="s">
        <v>19</v>
      </c>
    </row>
    <row r="794" spans="1:6">
      <c r="A794" t="s">
        <v>1648</v>
      </c>
      <c r="B794" t="s">
        <v>16</v>
      </c>
      <c r="C794" t="s">
        <v>1649</v>
      </c>
      <c r="E794" t="s">
        <v>18</v>
      </c>
      <c r="F794" t="s">
        <v>19</v>
      </c>
    </row>
    <row r="795" spans="1:6">
      <c r="A795" t="s">
        <v>1650</v>
      </c>
      <c r="B795" t="s">
        <v>16</v>
      </c>
      <c r="C795" t="s">
        <v>1651</v>
      </c>
      <c r="E795" t="s">
        <v>18</v>
      </c>
      <c r="F795" t="s">
        <v>19</v>
      </c>
    </row>
    <row r="796" spans="1:6">
      <c r="A796" t="s">
        <v>1652</v>
      </c>
      <c r="B796" t="s">
        <v>16</v>
      </c>
      <c r="C796" t="s">
        <v>1653</v>
      </c>
      <c r="E796" t="s">
        <v>18</v>
      </c>
      <c r="F796" t="s">
        <v>19</v>
      </c>
    </row>
    <row r="797" spans="1:6">
      <c r="A797" t="s">
        <v>1654</v>
      </c>
      <c r="B797" t="s">
        <v>16</v>
      </c>
      <c r="C797" t="s">
        <v>1655</v>
      </c>
      <c r="E797" t="s">
        <v>18</v>
      </c>
      <c r="F797" t="s">
        <v>19</v>
      </c>
    </row>
    <row r="798" spans="1:6">
      <c r="A798" t="s">
        <v>1656</v>
      </c>
      <c r="B798" t="s">
        <v>16</v>
      </c>
      <c r="C798" t="s">
        <v>1657</v>
      </c>
      <c r="E798" t="s">
        <v>18</v>
      </c>
      <c r="F798" t="s">
        <v>19</v>
      </c>
    </row>
    <row r="799" spans="1:6">
      <c r="A799" t="s">
        <v>1658</v>
      </c>
      <c r="B799" t="s">
        <v>16</v>
      </c>
      <c r="C799" t="s">
        <v>1659</v>
      </c>
      <c r="E799" t="s">
        <v>18</v>
      </c>
      <c r="F799" t="s">
        <v>19</v>
      </c>
    </row>
    <row r="800" spans="1:6">
      <c r="A800" t="s">
        <v>1660</v>
      </c>
      <c r="B800" t="s">
        <v>16</v>
      </c>
      <c r="C800" t="s">
        <v>1661</v>
      </c>
      <c r="E800" t="s">
        <v>34</v>
      </c>
      <c r="F800" t="s">
        <v>35</v>
      </c>
    </row>
    <row r="801" spans="1:6">
      <c r="A801" t="s">
        <v>1662</v>
      </c>
      <c r="B801" t="s">
        <v>16</v>
      </c>
      <c r="C801" t="s">
        <v>1663</v>
      </c>
      <c r="E801" t="s">
        <v>34</v>
      </c>
      <c r="F801" t="s">
        <v>35</v>
      </c>
    </row>
    <row r="802" spans="1:6">
      <c r="A802" t="s">
        <v>1664</v>
      </c>
      <c r="B802" t="s">
        <v>16</v>
      </c>
      <c r="C802" t="s">
        <v>1665</v>
      </c>
      <c r="E802" t="s">
        <v>18</v>
      </c>
      <c r="F802" t="s">
        <v>19</v>
      </c>
    </row>
    <row r="803" spans="1:6">
      <c r="A803" t="s">
        <v>1666</v>
      </c>
      <c r="B803" t="s">
        <v>16</v>
      </c>
      <c r="C803" t="s">
        <v>1667</v>
      </c>
      <c r="E803" t="s">
        <v>34</v>
      </c>
      <c r="F803" t="s">
        <v>35</v>
      </c>
    </row>
    <row r="804" spans="1:6">
      <c r="A804" t="s">
        <v>1668</v>
      </c>
      <c r="B804" t="s">
        <v>16</v>
      </c>
      <c r="C804" t="s">
        <v>1669</v>
      </c>
      <c r="E804" t="s">
        <v>34</v>
      </c>
      <c r="F804" t="s">
        <v>35</v>
      </c>
    </row>
    <row r="805" spans="1:6">
      <c r="A805" t="s">
        <v>1670</v>
      </c>
      <c r="B805" t="s">
        <v>16</v>
      </c>
      <c r="C805" t="s">
        <v>1671</v>
      </c>
      <c r="E805" t="s">
        <v>18</v>
      </c>
      <c r="F805" t="s">
        <v>19</v>
      </c>
    </row>
    <row r="806" spans="1:6">
      <c r="A806" t="s">
        <v>1672</v>
      </c>
      <c r="B806" t="s">
        <v>16</v>
      </c>
      <c r="C806" t="s">
        <v>1673</v>
      </c>
      <c r="E806" t="s">
        <v>18</v>
      </c>
      <c r="F806" t="s">
        <v>19</v>
      </c>
    </row>
    <row r="807" spans="1:6">
      <c r="A807" t="s">
        <v>1674</v>
      </c>
      <c r="B807" t="s">
        <v>16</v>
      </c>
      <c r="C807" t="s">
        <v>455</v>
      </c>
      <c r="E807" t="s">
        <v>52</v>
      </c>
      <c r="F807" t="s">
        <v>53</v>
      </c>
    </row>
    <row r="808" spans="1:6">
      <c r="A808" t="s">
        <v>1675</v>
      </c>
      <c r="B808" t="s">
        <v>16</v>
      </c>
      <c r="C808" t="s">
        <v>1676</v>
      </c>
      <c r="E808" t="s">
        <v>18</v>
      </c>
      <c r="F808" t="s">
        <v>19</v>
      </c>
    </row>
    <row r="809" spans="1:6">
      <c r="A809" t="s">
        <v>1677</v>
      </c>
      <c r="B809" t="s">
        <v>16</v>
      </c>
      <c r="C809" t="s">
        <v>802</v>
      </c>
      <c r="E809" t="s">
        <v>18</v>
      </c>
      <c r="F809" t="s">
        <v>19</v>
      </c>
    </row>
    <row r="810" spans="1:6">
      <c r="A810" t="s">
        <v>1678</v>
      </c>
      <c r="B810" t="s">
        <v>16</v>
      </c>
      <c r="C810" t="s">
        <v>1679</v>
      </c>
      <c r="E810" t="s">
        <v>18</v>
      </c>
      <c r="F810" t="s">
        <v>19</v>
      </c>
    </row>
    <row r="811" spans="1:6">
      <c r="A811" t="s">
        <v>1680</v>
      </c>
      <c r="B811" t="s">
        <v>16</v>
      </c>
      <c r="C811" t="s">
        <v>1681</v>
      </c>
      <c r="E811" t="s">
        <v>324</v>
      </c>
      <c r="F811" t="s">
        <v>325</v>
      </c>
    </row>
    <row r="812" spans="1:6">
      <c r="A812" t="s">
        <v>1682</v>
      </c>
      <c r="B812" t="s">
        <v>16</v>
      </c>
      <c r="C812" t="s">
        <v>1683</v>
      </c>
      <c r="E812" t="s">
        <v>1454</v>
      </c>
      <c r="F812" t="s">
        <v>1455</v>
      </c>
    </row>
    <row r="813" spans="1:6">
      <c r="A813" t="s">
        <v>1684</v>
      </c>
      <c r="B813" t="s">
        <v>16</v>
      </c>
      <c r="C813" t="s">
        <v>1685</v>
      </c>
      <c r="E813" t="s">
        <v>18</v>
      </c>
      <c r="F813" t="s">
        <v>19</v>
      </c>
    </row>
    <row r="814" spans="1:6">
      <c r="A814" t="s">
        <v>1686</v>
      </c>
      <c r="B814" t="s">
        <v>16</v>
      </c>
      <c r="C814" t="s">
        <v>1687</v>
      </c>
      <c r="E814" t="s">
        <v>497</v>
      </c>
      <c r="F814" t="s">
        <v>498</v>
      </c>
    </row>
    <row r="815" spans="1:6">
      <c r="A815" t="s">
        <v>1688</v>
      </c>
      <c r="B815" t="s">
        <v>16</v>
      </c>
      <c r="C815" t="s">
        <v>758</v>
      </c>
      <c r="E815" t="s">
        <v>1173</v>
      </c>
      <c r="F815" t="s">
        <v>43</v>
      </c>
    </row>
    <row r="816" spans="1:6">
      <c r="A816" t="s">
        <v>1689</v>
      </c>
      <c r="B816" t="s">
        <v>16</v>
      </c>
      <c r="C816" t="s">
        <v>1690</v>
      </c>
      <c r="E816" t="s">
        <v>18</v>
      </c>
      <c r="F816" t="s">
        <v>19</v>
      </c>
    </row>
    <row r="817" spans="1:6">
      <c r="A817" t="s">
        <v>1691</v>
      </c>
      <c r="B817" t="s">
        <v>16</v>
      </c>
      <c r="C817" t="s">
        <v>223</v>
      </c>
      <c r="E817" t="s">
        <v>56</v>
      </c>
      <c r="F817" t="s">
        <v>57</v>
      </c>
    </row>
    <row r="818" spans="1:6">
      <c r="A818" t="s">
        <v>1692</v>
      </c>
      <c r="B818" t="s">
        <v>16</v>
      </c>
      <c r="C818" t="s">
        <v>1693</v>
      </c>
      <c r="E818" t="s">
        <v>18</v>
      </c>
      <c r="F818" t="s">
        <v>19</v>
      </c>
    </row>
    <row r="819" spans="1:6">
      <c r="A819" t="s">
        <v>1694</v>
      </c>
      <c r="B819" t="s">
        <v>16</v>
      </c>
      <c r="C819" t="s">
        <v>1695</v>
      </c>
      <c r="E819" t="s">
        <v>18</v>
      </c>
      <c r="F819" t="s">
        <v>19</v>
      </c>
    </row>
    <row r="820" spans="1:6">
      <c r="A820" t="s">
        <v>1696</v>
      </c>
      <c r="B820" t="s">
        <v>16</v>
      </c>
      <c r="C820" t="s">
        <v>1697</v>
      </c>
      <c r="E820" t="s">
        <v>18</v>
      </c>
      <c r="F820" t="s">
        <v>19</v>
      </c>
    </row>
    <row r="821" spans="1:6">
      <c r="A821" t="s">
        <v>1698</v>
      </c>
      <c r="B821" t="s">
        <v>16</v>
      </c>
      <c r="C821" t="s">
        <v>1699</v>
      </c>
      <c r="E821" t="s">
        <v>18</v>
      </c>
      <c r="F821" t="s">
        <v>19</v>
      </c>
    </row>
    <row r="822" spans="1:6">
      <c r="A822" t="s">
        <v>1700</v>
      </c>
      <c r="B822" t="s">
        <v>16</v>
      </c>
      <c r="C822" t="s">
        <v>1701</v>
      </c>
      <c r="E822" t="s">
        <v>18</v>
      </c>
      <c r="F822" t="s">
        <v>19</v>
      </c>
    </row>
    <row r="823" spans="1:6">
      <c r="A823" t="s">
        <v>1702</v>
      </c>
      <c r="B823" t="s">
        <v>16</v>
      </c>
      <c r="C823" t="s">
        <v>1703</v>
      </c>
      <c r="E823" t="s">
        <v>18</v>
      </c>
      <c r="F823" t="s">
        <v>19</v>
      </c>
    </row>
    <row r="824" spans="1:6">
      <c r="A824" t="s">
        <v>1704</v>
      </c>
      <c r="B824" t="s">
        <v>16</v>
      </c>
      <c r="C824" t="s">
        <v>1705</v>
      </c>
      <c r="E824" t="s">
        <v>18</v>
      </c>
      <c r="F824" t="s">
        <v>19</v>
      </c>
    </row>
    <row r="825" spans="1:6">
      <c r="A825" t="s">
        <v>1706</v>
      </c>
      <c r="B825" t="s">
        <v>16</v>
      </c>
      <c r="C825" t="s">
        <v>1707</v>
      </c>
      <c r="E825" t="s">
        <v>34</v>
      </c>
      <c r="F825" t="s">
        <v>35</v>
      </c>
    </row>
    <row r="826" spans="1:6">
      <c r="A826" t="s">
        <v>1708</v>
      </c>
      <c r="B826" t="s">
        <v>16</v>
      </c>
      <c r="C826" t="s">
        <v>1709</v>
      </c>
      <c r="E826" t="s">
        <v>34</v>
      </c>
      <c r="F826" t="s">
        <v>35</v>
      </c>
    </row>
    <row r="827" spans="1:6">
      <c r="A827" t="s">
        <v>1710</v>
      </c>
      <c r="B827" t="s">
        <v>16</v>
      </c>
      <c r="C827" t="s">
        <v>1711</v>
      </c>
      <c r="E827" t="s">
        <v>18</v>
      </c>
      <c r="F827" t="s">
        <v>19</v>
      </c>
    </row>
    <row r="828" spans="1:6">
      <c r="A828" t="s">
        <v>1712</v>
      </c>
      <c r="B828" t="s">
        <v>16</v>
      </c>
      <c r="C828" t="s">
        <v>1713</v>
      </c>
      <c r="E828" t="s">
        <v>18</v>
      </c>
      <c r="F828" t="s">
        <v>19</v>
      </c>
    </row>
    <row r="829" spans="1:6">
      <c r="A829" t="s">
        <v>1714</v>
      </c>
      <c r="B829" t="s">
        <v>16</v>
      </c>
      <c r="C829" t="s">
        <v>1715</v>
      </c>
      <c r="E829" t="s">
        <v>18</v>
      </c>
      <c r="F829" t="s">
        <v>19</v>
      </c>
    </row>
    <row r="830" spans="1:6">
      <c r="A830" t="s">
        <v>1716</v>
      </c>
      <c r="B830" t="s">
        <v>16</v>
      </c>
      <c r="C830" t="s">
        <v>1717</v>
      </c>
      <c r="E830" t="s">
        <v>34</v>
      </c>
      <c r="F830" t="s">
        <v>35</v>
      </c>
    </row>
    <row r="831" spans="1:6">
      <c r="A831" t="s">
        <v>1718</v>
      </c>
      <c r="B831" t="s">
        <v>16</v>
      </c>
      <c r="C831" t="s">
        <v>1719</v>
      </c>
      <c r="E831" t="s">
        <v>18</v>
      </c>
      <c r="F831" t="s">
        <v>19</v>
      </c>
    </row>
    <row r="832" spans="1:6">
      <c r="A832" t="s">
        <v>1720</v>
      </c>
      <c r="B832" t="s">
        <v>16</v>
      </c>
      <c r="C832" t="s">
        <v>1721</v>
      </c>
      <c r="E832" t="s">
        <v>18</v>
      </c>
      <c r="F832" t="s">
        <v>19</v>
      </c>
    </row>
    <row r="833" spans="1:6">
      <c r="A833" t="s">
        <v>1722</v>
      </c>
      <c r="B833" t="s">
        <v>16</v>
      </c>
      <c r="C833" t="s">
        <v>1723</v>
      </c>
      <c r="E833" t="s">
        <v>34</v>
      </c>
      <c r="F833" t="s">
        <v>35</v>
      </c>
    </row>
    <row r="834" spans="1:6">
      <c r="A834" t="s">
        <v>1724</v>
      </c>
      <c r="B834" t="s">
        <v>16</v>
      </c>
      <c r="C834" t="s">
        <v>1725</v>
      </c>
      <c r="E834" t="s">
        <v>34</v>
      </c>
      <c r="F834" t="s">
        <v>35</v>
      </c>
    </row>
    <row r="835" spans="1:6">
      <c r="A835" t="s">
        <v>1726</v>
      </c>
      <c r="B835" t="s">
        <v>16</v>
      </c>
      <c r="C835" t="s">
        <v>1727</v>
      </c>
      <c r="E835" t="s">
        <v>18</v>
      </c>
      <c r="F835" t="s">
        <v>19</v>
      </c>
    </row>
    <row r="836" spans="1:6">
      <c r="A836" t="s">
        <v>1728</v>
      </c>
      <c r="B836" t="s">
        <v>16</v>
      </c>
      <c r="C836" t="s">
        <v>1729</v>
      </c>
      <c r="E836" t="s">
        <v>18</v>
      </c>
      <c r="F836" t="s">
        <v>19</v>
      </c>
    </row>
    <row r="837" spans="1:6">
      <c r="A837" t="s">
        <v>1730</v>
      </c>
      <c r="B837" t="s">
        <v>16</v>
      </c>
      <c r="C837" t="s">
        <v>1731</v>
      </c>
      <c r="E837" t="s">
        <v>18</v>
      </c>
      <c r="F837" t="s">
        <v>19</v>
      </c>
    </row>
    <row r="838" spans="1:6">
      <c r="A838" t="s">
        <v>1732</v>
      </c>
      <c r="B838" t="s">
        <v>16</v>
      </c>
      <c r="C838" t="s">
        <v>1733</v>
      </c>
      <c r="E838" t="s">
        <v>18</v>
      </c>
      <c r="F838" t="s">
        <v>19</v>
      </c>
    </row>
    <row r="839" spans="1:6">
      <c r="A839" t="s">
        <v>1734</v>
      </c>
      <c r="B839" t="s">
        <v>16</v>
      </c>
      <c r="C839" t="s">
        <v>1735</v>
      </c>
      <c r="E839" t="s">
        <v>18</v>
      </c>
      <c r="F839" t="s">
        <v>19</v>
      </c>
    </row>
    <row r="840" spans="1:6">
      <c r="A840" t="s">
        <v>1736</v>
      </c>
      <c r="B840" t="s">
        <v>16</v>
      </c>
      <c r="C840" t="s">
        <v>1737</v>
      </c>
      <c r="E840" t="s">
        <v>1061</v>
      </c>
      <c r="F840" t="s">
        <v>1062</v>
      </c>
    </row>
    <row r="841" spans="1:6">
      <c r="A841" t="s">
        <v>1738</v>
      </c>
      <c r="B841" t="s">
        <v>16</v>
      </c>
      <c r="C841" t="s">
        <v>1739</v>
      </c>
      <c r="E841" t="s">
        <v>34</v>
      </c>
      <c r="F841" t="s">
        <v>35</v>
      </c>
    </row>
    <row r="842" spans="1:6">
      <c r="A842" t="s">
        <v>1740</v>
      </c>
      <c r="B842" t="s">
        <v>16</v>
      </c>
      <c r="C842" t="s">
        <v>1741</v>
      </c>
      <c r="E842" t="s">
        <v>18</v>
      </c>
      <c r="F842" t="s">
        <v>19</v>
      </c>
    </row>
    <row r="843" spans="1:6">
      <c r="A843" t="s">
        <v>1742</v>
      </c>
      <c r="B843" t="s">
        <v>16</v>
      </c>
      <c r="C843" t="s">
        <v>1743</v>
      </c>
      <c r="E843" t="s">
        <v>34</v>
      </c>
      <c r="F843" t="s">
        <v>35</v>
      </c>
    </row>
    <row r="844" spans="1:6">
      <c r="A844" t="s">
        <v>1744</v>
      </c>
      <c r="B844" t="s">
        <v>16</v>
      </c>
      <c r="C844" t="s">
        <v>1745</v>
      </c>
      <c r="E844" t="s">
        <v>18</v>
      </c>
      <c r="F844" t="s">
        <v>19</v>
      </c>
    </row>
    <row r="845" spans="1:6">
      <c r="A845" t="s">
        <v>1746</v>
      </c>
      <c r="B845" t="s">
        <v>16</v>
      </c>
      <c r="C845" t="s">
        <v>1747</v>
      </c>
      <c r="E845" t="s">
        <v>18</v>
      </c>
      <c r="F845" t="s">
        <v>19</v>
      </c>
    </row>
    <row r="846" spans="1:6">
      <c r="A846" t="s">
        <v>1748</v>
      </c>
      <c r="B846" t="s">
        <v>16</v>
      </c>
      <c r="C846" t="s">
        <v>1749</v>
      </c>
      <c r="E846" t="s">
        <v>18</v>
      </c>
      <c r="F846" t="s">
        <v>19</v>
      </c>
    </row>
    <row r="847" spans="1:6">
      <c r="A847" t="s">
        <v>1750</v>
      </c>
      <c r="B847" t="s">
        <v>16</v>
      </c>
      <c r="C847" t="s">
        <v>1751</v>
      </c>
      <c r="E847" t="s">
        <v>18</v>
      </c>
      <c r="F847" t="s">
        <v>19</v>
      </c>
    </row>
    <row r="848" spans="1:6">
      <c r="A848" t="s">
        <v>1752</v>
      </c>
      <c r="B848" t="s">
        <v>16</v>
      </c>
      <c r="C848" t="s">
        <v>1753</v>
      </c>
      <c r="E848" t="s">
        <v>1754</v>
      </c>
      <c r="F848" t="s">
        <v>1755</v>
      </c>
    </row>
    <row r="849" spans="1:6">
      <c r="A849" t="s">
        <v>1756</v>
      </c>
      <c r="B849" t="s">
        <v>16</v>
      </c>
      <c r="C849" t="s">
        <v>1757</v>
      </c>
      <c r="E849" t="s">
        <v>18</v>
      </c>
      <c r="F849" t="s">
        <v>19</v>
      </c>
    </row>
    <row r="850" spans="1:6">
      <c r="A850" t="s">
        <v>1758</v>
      </c>
      <c r="B850" t="s">
        <v>16</v>
      </c>
      <c r="C850" t="s">
        <v>1759</v>
      </c>
      <c r="E850" t="s">
        <v>18</v>
      </c>
      <c r="F850" t="s">
        <v>19</v>
      </c>
    </row>
    <row r="851" spans="1:6">
      <c r="A851" t="s">
        <v>1760</v>
      </c>
      <c r="B851" t="s">
        <v>16</v>
      </c>
      <c r="C851" t="s">
        <v>1761</v>
      </c>
      <c r="E851" t="s">
        <v>18</v>
      </c>
      <c r="F851" t="s">
        <v>19</v>
      </c>
    </row>
    <row r="852" spans="1:6">
      <c r="A852" t="s">
        <v>1762</v>
      </c>
      <c r="B852" t="s">
        <v>16</v>
      </c>
      <c r="C852" t="s">
        <v>1763</v>
      </c>
      <c r="E852" t="s">
        <v>18</v>
      </c>
      <c r="F852" t="s">
        <v>19</v>
      </c>
    </row>
    <row r="853" spans="1:6">
      <c r="A853" t="s">
        <v>1764</v>
      </c>
      <c r="B853" t="s">
        <v>16</v>
      </c>
      <c r="C853" t="s">
        <v>1765</v>
      </c>
      <c r="E853" t="s">
        <v>18</v>
      </c>
      <c r="F853" t="s">
        <v>19</v>
      </c>
    </row>
    <row r="854" spans="1:6">
      <c r="A854" t="s">
        <v>1766</v>
      </c>
      <c r="B854" t="s">
        <v>16</v>
      </c>
      <c r="C854" t="s">
        <v>1767</v>
      </c>
      <c r="E854" t="s">
        <v>18</v>
      </c>
      <c r="F854" t="s">
        <v>19</v>
      </c>
    </row>
    <row r="855" spans="1:6">
      <c r="A855" t="s">
        <v>1768</v>
      </c>
      <c r="B855" t="s">
        <v>16</v>
      </c>
      <c r="C855" t="s">
        <v>1769</v>
      </c>
      <c r="E855" t="s">
        <v>18</v>
      </c>
      <c r="F855" t="s">
        <v>19</v>
      </c>
    </row>
    <row r="856" spans="1:6">
      <c r="A856" t="s">
        <v>1770</v>
      </c>
      <c r="B856" t="s">
        <v>16</v>
      </c>
      <c r="C856" t="s">
        <v>1771</v>
      </c>
      <c r="E856" t="s">
        <v>1772</v>
      </c>
      <c r="F856" t="s">
        <v>1773</v>
      </c>
    </row>
    <row r="857" spans="1:6">
      <c r="A857" t="s">
        <v>1774</v>
      </c>
      <c r="B857" t="s">
        <v>16</v>
      </c>
      <c r="C857" t="s">
        <v>1775</v>
      </c>
      <c r="E857" t="s">
        <v>18</v>
      </c>
      <c r="F857" t="s">
        <v>19</v>
      </c>
    </row>
    <row r="858" spans="1:6">
      <c r="A858" t="s">
        <v>1776</v>
      </c>
      <c r="B858" t="s">
        <v>16</v>
      </c>
      <c r="C858" t="s">
        <v>417</v>
      </c>
      <c r="E858" t="s">
        <v>239</v>
      </c>
      <c r="F858" t="s">
        <v>43</v>
      </c>
    </row>
    <row r="859" spans="1:6">
      <c r="A859" t="s">
        <v>1777</v>
      </c>
      <c r="B859" t="s">
        <v>16</v>
      </c>
      <c r="C859" t="s">
        <v>1778</v>
      </c>
      <c r="E859" t="s">
        <v>34</v>
      </c>
      <c r="F859" t="s">
        <v>35</v>
      </c>
    </row>
    <row r="860" spans="1:6">
      <c r="A860" t="s">
        <v>1779</v>
      </c>
      <c r="B860" t="s">
        <v>16</v>
      </c>
      <c r="C860" t="s">
        <v>1780</v>
      </c>
      <c r="E860" t="s">
        <v>18</v>
      </c>
      <c r="F860" t="s">
        <v>19</v>
      </c>
    </row>
    <row r="861" spans="1:6">
      <c r="A861" t="s">
        <v>1781</v>
      </c>
      <c r="B861" t="s">
        <v>16</v>
      </c>
      <c r="C861" t="s">
        <v>1782</v>
      </c>
      <c r="E861" t="s">
        <v>18</v>
      </c>
      <c r="F861" t="s">
        <v>19</v>
      </c>
    </row>
    <row r="862" spans="1:6">
      <c r="A862" t="s">
        <v>1783</v>
      </c>
      <c r="B862" t="s">
        <v>16</v>
      </c>
      <c r="C862" t="s">
        <v>1784</v>
      </c>
      <c r="E862" t="s">
        <v>18</v>
      </c>
      <c r="F862" t="s">
        <v>19</v>
      </c>
    </row>
    <row r="863" spans="1:6">
      <c r="A863" t="s">
        <v>1785</v>
      </c>
      <c r="B863" t="s">
        <v>16</v>
      </c>
      <c r="C863" t="s">
        <v>1786</v>
      </c>
      <c r="E863" t="s">
        <v>18</v>
      </c>
      <c r="F863" t="s">
        <v>19</v>
      </c>
    </row>
    <row r="864" spans="1:6">
      <c r="A864" t="s">
        <v>1787</v>
      </c>
      <c r="B864" t="s">
        <v>16</v>
      </c>
      <c r="C864" t="s">
        <v>1788</v>
      </c>
      <c r="E864" t="s">
        <v>18</v>
      </c>
      <c r="F864" t="s">
        <v>19</v>
      </c>
    </row>
    <row r="865" spans="1:6">
      <c r="A865" t="s">
        <v>1789</v>
      </c>
      <c r="B865" t="s">
        <v>16</v>
      </c>
      <c r="C865" t="s">
        <v>1790</v>
      </c>
      <c r="E865" t="s">
        <v>18</v>
      </c>
      <c r="F865" t="s">
        <v>19</v>
      </c>
    </row>
    <row r="866" spans="1:6">
      <c r="A866" t="s">
        <v>1791</v>
      </c>
      <c r="B866" t="s">
        <v>16</v>
      </c>
      <c r="C866" t="s">
        <v>1792</v>
      </c>
      <c r="E866" t="s">
        <v>18</v>
      </c>
      <c r="F866" t="s">
        <v>19</v>
      </c>
    </row>
    <row r="867" spans="1:6">
      <c r="A867" t="s">
        <v>1793</v>
      </c>
      <c r="B867" t="s">
        <v>16</v>
      </c>
      <c r="C867" t="s">
        <v>1794</v>
      </c>
      <c r="E867" t="s">
        <v>18</v>
      </c>
      <c r="F867" t="s">
        <v>19</v>
      </c>
    </row>
    <row r="868" spans="1:6">
      <c r="A868" t="s">
        <v>1795</v>
      </c>
      <c r="B868" t="s">
        <v>16</v>
      </c>
      <c r="C868" t="s">
        <v>1796</v>
      </c>
      <c r="E868" t="s">
        <v>324</v>
      </c>
      <c r="F868" t="s">
        <v>325</v>
      </c>
    </row>
    <row r="869" spans="1:6">
      <c r="A869" t="s">
        <v>1797</v>
      </c>
      <c r="B869" t="s">
        <v>16</v>
      </c>
      <c r="C869" t="s">
        <v>684</v>
      </c>
      <c r="E869" t="s">
        <v>18</v>
      </c>
      <c r="F869" t="s">
        <v>19</v>
      </c>
    </row>
    <row r="870" spans="1:6">
      <c r="A870" t="s">
        <v>1798</v>
      </c>
      <c r="B870" t="s">
        <v>16</v>
      </c>
      <c r="C870" t="s">
        <v>991</v>
      </c>
      <c r="E870" t="s">
        <v>456</v>
      </c>
      <c r="F870" t="s">
        <v>457</v>
      </c>
    </row>
    <row r="871" spans="1:6">
      <c r="A871" t="s">
        <v>1799</v>
      </c>
      <c r="B871" t="s">
        <v>16</v>
      </c>
      <c r="C871" t="s">
        <v>1800</v>
      </c>
      <c r="E871" t="s">
        <v>18</v>
      </c>
      <c r="F871" t="s">
        <v>19</v>
      </c>
    </row>
    <row r="872" spans="1:6">
      <c r="A872" t="s">
        <v>1801</v>
      </c>
      <c r="B872" t="s">
        <v>16</v>
      </c>
      <c r="C872" t="s">
        <v>700</v>
      </c>
      <c r="E872" t="s">
        <v>56</v>
      </c>
      <c r="F872" t="s">
        <v>57</v>
      </c>
    </row>
    <row r="873" spans="1:6">
      <c r="A873" t="s">
        <v>1802</v>
      </c>
      <c r="B873" t="s">
        <v>16</v>
      </c>
      <c r="C873" t="s">
        <v>1803</v>
      </c>
      <c r="E873" t="s">
        <v>18</v>
      </c>
      <c r="F873" t="s">
        <v>19</v>
      </c>
    </row>
    <row r="874" spans="1:6">
      <c r="A874" t="s">
        <v>1804</v>
      </c>
      <c r="B874" t="s">
        <v>16</v>
      </c>
      <c r="C874" t="s">
        <v>1805</v>
      </c>
      <c r="E874" t="s">
        <v>18</v>
      </c>
      <c r="F874" t="s">
        <v>19</v>
      </c>
    </row>
    <row r="875" spans="1:6">
      <c r="A875" t="s">
        <v>1806</v>
      </c>
      <c r="B875" t="s">
        <v>16</v>
      </c>
      <c r="C875" t="s">
        <v>1807</v>
      </c>
      <c r="E875" t="s">
        <v>18</v>
      </c>
      <c r="F875" t="s">
        <v>19</v>
      </c>
    </row>
    <row r="876" spans="1:6">
      <c r="A876" t="s">
        <v>1808</v>
      </c>
      <c r="B876" t="s">
        <v>16</v>
      </c>
      <c r="C876" t="s">
        <v>103</v>
      </c>
      <c r="E876" t="s">
        <v>18</v>
      </c>
      <c r="F876" t="s">
        <v>19</v>
      </c>
    </row>
    <row r="877" spans="1:6">
      <c r="A877" t="s">
        <v>1809</v>
      </c>
      <c r="B877" t="s">
        <v>16</v>
      </c>
      <c r="C877" t="s">
        <v>467</v>
      </c>
      <c r="E877" t="s">
        <v>274</v>
      </c>
      <c r="F877" t="s">
        <v>275</v>
      </c>
    </row>
    <row r="878" spans="1:6">
      <c r="A878" t="s">
        <v>1810</v>
      </c>
      <c r="B878" t="s">
        <v>16</v>
      </c>
      <c r="C878" t="s">
        <v>1811</v>
      </c>
      <c r="E878" t="s">
        <v>18</v>
      </c>
      <c r="F878" t="s">
        <v>19</v>
      </c>
    </row>
    <row r="879" spans="1:6">
      <c r="A879" t="s">
        <v>1812</v>
      </c>
      <c r="B879" t="s">
        <v>16</v>
      </c>
      <c r="C879" t="s">
        <v>1813</v>
      </c>
      <c r="E879" t="s">
        <v>18</v>
      </c>
      <c r="F879" t="s">
        <v>19</v>
      </c>
    </row>
    <row r="880" spans="1:6">
      <c r="A880" t="s">
        <v>1814</v>
      </c>
      <c r="B880" t="s">
        <v>16</v>
      </c>
      <c r="C880" t="s">
        <v>1573</v>
      </c>
      <c r="E880" t="s">
        <v>224</v>
      </c>
      <c r="F880" t="s">
        <v>225</v>
      </c>
    </row>
    <row r="881" spans="1:6">
      <c r="A881" t="s">
        <v>1815</v>
      </c>
      <c r="B881" t="s">
        <v>16</v>
      </c>
      <c r="C881" t="s">
        <v>1816</v>
      </c>
      <c r="E881" t="s">
        <v>18</v>
      </c>
      <c r="F881" t="s">
        <v>19</v>
      </c>
    </row>
    <row r="882" spans="1:6">
      <c r="A882" t="s">
        <v>1817</v>
      </c>
      <c r="B882" t="s">
        <v>16</v>
      </c>
      <c r="C882" t="s">
        <v>1818</v>
      </c>
      <c r="E882" t="s">
        <v>18</v>
      </c>
      <c r="F882" t="s">
        <v>19</v>
      </c>
    </row>
    <row r="883" spans="1:6">
      <c r="A883" t="s">
        <v>1819</v>
      </c>
      <c r="B883" t="s">
        <v>16</v>
      </c>
      <c r="C883" t="s">
        <v>1820</v>
      </c>
      <c r="E883" t="s">
        <v>18</v>
      </c>
      <c r="F883" t="s">
        <v>19</v>
      </c>
    </row>
    <row r="884" spans="1:6">
      <c r="A884" t="s">
        <v>1821</v>
      </c>
      <c r="B884" t="s">
        <v>16</v>
      </c>
      <c r="C884" t="s">
        <v>41</v>
      </c>
      <c r="E884" t="s">
        <v>831</v>
      </c>
      <c r="F884" t="s">
        <v>832</v>
      </c>
    </row>
    <row r="885" spans="1:6">
      <c r="A885" t="s">
        <v>1822</v>
      </c>
      <c r="B885" t="s">
        <v>16</v>
      </c>
      <c r="C885" t="s">
        <v>223</v>
      </c>
      <c r="E885" t="s">
        <v>475</v>
      </c>
      <c r="F885" t="s">
        <v>476</v>
      </c>
    </row>
    <row r="886" spans="1:6">
      <c r="A886" t="s">
        <v>1823</v>
      </c>
      <c r="B886" t="s">
        <v>16</v>
      </c>
      <c r="C886" t="s">
        <v>543</v>
      </c>
      <c r="E886" t="s">
        <v>18</v>
      </c>
      <c r="F886" t="s">
        <v>19</v>
      </c>
    </row>
    <row r="887" spans="1:6">
      <c r="A887" t="s">
        <v>1824</v>
      </c>
      <c r="B887" t="s">
        <v>16</v>
      </c>
      <c r="C887" t="s">
        <v>1825</v>
      </c>
      <c r="E887" t="s">
        <v>18</v>
      </c>
      <c r="F887" t="s">
        <v>19</v>
      </c>
    </row>
    <row r="888" spans="1:6">
      <c r="A888" t="s">
        <v>1826</v>
      </c>
      <c r="B888" t="s">
        <v>16</v>
      </c>
      <c r="C888" t="s">
        <v>1210</v>
      </c>
      <c r="E888" t="s">
        <v>252</v>
      </c>
      <c r="F888" t="s">
        <v>253</v>
      </c>
    </row>
    <row r="889" spans="1:6">
      <c r="A889" t="s">
        <v>1827</v>
      </c>
      <c r="B889" t="s">
        <v>16</v>
      </c>
      <c r="C889" t="s">
        <v>1828</v>
      </c>
      <c r="E889" t="s">
        <v>18</v>
      </c>
      <c r="F889" t="s">
        <v>19</v>
      </c>
    </row>
    <row r="890" spans="1:6">
      <c r="A890" t="s">
        <v>1829</v>
      </c>
      <c r="B890" t="s">
        <v>16</v>
      </c>
      <c r="C890" t="s">
        <v>1830</v>
      </c>
      <c r="E890" t="s">
        <v>257</v>
      </c>
      <c r="F890" t="s">
        <v>258</v>
      </c>
    </row>
    <row r="891" spans="1:6">
      <c r="A891" t="s">
        <v>1831</v>
      </c>
      <c r="B891" t="s">
        <v>16</v>
      </c>
      <c r="C891" t="s">
        <v>1832</v>
      </c>
      <c r="E891" t="s">
        <v>18</v>
      </c>
      <c r="F891" t="s">
        <v>19</v>
      </c>
    </row>
    <row r="892" spans="1:6">
      <c r="A892" t="s">
        <v>1833</v>
      </c>
      <c r="B892" t="s">
        <v>16</v>
      </c>
      <c r="C892" t="s">
        <v>1834</v>
      </c>
      <c r="E892" t="s">
        <v>18</v>
      </c>
      <c r="F892" t="s">
        <v>19</v>
      </c>
    </row>
    <row r="893" spans="1:6">
      <c r="A893" t="s">
        <v>1835</v>
      </c>
      <c r="B893" t="s">
        <v>16</v>
      </c>
      <c r="C893" t="s">
        <v>637</v>
      </c>
      <c r="E893" t="s">
        <v>18</v>
      </c>
      <c r="F893" t="s">
        <v>19</v>
      </c>
    </row>
    <row r="894" spans="1:6">
      <c r="A894" t="s">
        <v>1836</v>
      </c>
      <c r="B894" t="s">
        <v>16</v>
      </c>
      <c r="C894" t="s">
        <v>1837</v>
      </c>
      <c r="E894" t="s">
        <v>34</v>
      </c>
      <c r="F894" t="s">
        <v>35</v>
      </c>
    </row>
    <row r="895" spans="1:6">
      <c r="A895" t="s">
        <v>1838</v>
      </c>
      <c r="B895" t="s">
        <v>16</v>
      </c>
      <c r="C895" t="s">
        <v>1839</v>
      </c>
      <c r="E895" t="s">
        <v>18</v>
      </c>
      <c r="F895" t="s">
        <v>19</v>
      </c>
    </row>
    <row r="896" spans="1:6">
      <c r="A896" t="s">
        <v>1840</v>
      </c>
      <c r="B896" t="s">
        <v>16</v>
      </c>
      <c r="C896" t="s">
        <v>1841</v>
      </c>
      <c r="E896" t="s">
        <v>18</v>
      </c>
      <c r="F896" t="s">
        <v>19</v>
      </c>
    </row>
    <row r="897" spans="1:6">
      <c r="A897" t="s">
        <v>1842</v>
      </c>
      <c r="B897" t="s">
        <v>16</v>
      </c>
      <c r="C897" t="s">
        <v>1843</v>
      </c>
      <c r="E897" t="s">
        <v>18</v>
      </c>
      <c r="F897" t="s">
        <v>19</v>
      </c>
    </row>
    <row r="898" spans="1:6">
      <c r="A898" t="s">
        <v>1844</v>
      </c>
      <c r="B898" t="s">
        <v>16</v>
      </c>
      <c r="C898" t="s">
        <v>1845</v>
      </c>
      <c r="E898" t="s">
        <v>18</v>
      </c>
      <c r="F898" t="s">
        <v>19</v>
      </c>
    </row>
    <row r="899" spans="1:6">
      <c r="A899" t="s">
        <v>1846</v>
      </c>
      <c r="B899" t="s">
        <v>16</v>
      </c>
      <c r="C899" t="s">
        <v>1847</v>
      </c>
      <c r="E899" t="s">
        <v>18</v>
      </c>
      <c r="F899" t="s">
        <v>19</v>
      </c>
    </row>
    <row r="900" spans="1:6">
      <c r="A900" t="s">
        <v>1848</v>
      </c>
      <c r="B900" t="s">
        <v>16</v>
      </c>
      <c r="C900" t="s">
        <v>1512</v>
      </c>
      <c r="E900" t="s">
        <v>56</v>
      </c>
      <c r="F900" t="s">
        <v>57</v>
      </c>
    </row>
    <row r="901" spans="1:6">
      <c r="A901" t="s">
        <v>1849</v>
      </c>
      <c r="B901" t="s">
        <v>16</v>
      </c>
      <c r="C901" t="s">
        <v>1850</v>
      </c>
      <c r="E901" t="s">
        <v>18</v>
      </c>
      <c r="F901" t="s">
        <v>19</v>
      </c>
    </row>
    <row r="902" spans="1:6">
      <c r="A902" t="s">
        <v>1851</v>
      </c>
      <c r="B902" t="s">
        <v>16</v>
      </c>
      <c r="C902" t="s">
        <v>1852</v>
      </c>
      <c r="E902" t="s">
        <v>18</v>
      </c>
      <c r="F902" t="s">
        <v>19</v>
      </c>
    </row>
    <row r="903" spans="1:6">
      <c r="A903" t="s">
        <v>1853</v>
      </c>
      <c r="B903" t="s">
        <v>16</v>
      </c>
      <c r="C903" t="s">
        <v>1854</v>
      </c>
      <c r="E903" t="s">
        <v>18</v>
      </c>
      <c r="F903" t="s">
        <v>19</v>
      </c>
    </row>
    <row r="904" spans="1:6">
      <c r="A904" t="s">
        <v>1855</v>
      </c>
      <c r="B904" t="s">
        <v>16</v>
      </c>
      <c r="C904" t="s">
        <v>1856</v>
      </c>
      <c r="E904" t="s">
        <v>18</v>
      </c>
      <c r="F904" t="s">
        <v>19</v>
      </c>
    </row>
    <row r="905" spans="1:6">
      <c r="A905" t="s">
        <v>1857</v>
      </c>
      <c r="B905" t="s">
        <v>16</v>
      </c>
      <c r="C905" t="s">
        <v>1858</v>
      </c>
      <c r="E905" t="s">
        <v>18</v>
      </c>
      <c r="F905" t="s">
        <v>19</v>
      </c>
    </row>
    <row r="906" spans="1:6">
      <c r="A906" t="s">
        <v>1859</v>
      </c>
      <c r="B906" t="s">
        <v>16</v>
      </c>
      <c r="C906" t="s">
        <v>1860</v>
      </c>
      <c r="E906" t="s">
        <v>18</v>
      </c>
      <c r="F906" t="s">
        <v>19</v>
      </c>
    </row>
    <row r="907" spans="1:6">
      <c r="A907" t="s">
        <v>1861</v>
      </c>
      <c r="B907" t="s">
        <v>16</v>
      </c>
      <c r="C907" t="s">
        <v>1653</v>
      </c>
      <c r="E907" t="s">
        <v>18</v>
      </c>
      <c r="F907" t="s">
        <v>19</v>
      </c>
    </row>
    <row r="908" spans="1:6">
      <c r="A908" t="s">
        <v>1862</v>
      </c>
      <c r="B908" t="s">
        <v>16</v>
      </c>
      <c r="C908" t="s">
        <v>1863</v>
      </c>
      <c r="E908" t="s">
        <v>18</v>
      </c>
      <c r="F908" t="s">
        <v>19</v>
      </c>
    </row>
    <row r="909" spans="1:6">
      <c r="A909" t="s">
        <v>1864</v>
      </c>
      <c r="B909" t="s">
        <v>16</v>
      </c>
      <c r="C909" t="s">
        <v>1865</v>
      </c>
      <c r="E909" t="s">
        <v>18</v>
      </c>
      <c r="F909" t="s">
        <v>19</v>
      </c>
    </row>
    <row r="910" spans="1:6">
      <c r="A910" t="s">
        <v>1866</v>
      </c>
      <c r="B910" t="s">
        <v>16</v>
      </c>
      <c r="C910" t="s">
        <v>1867</v>
      </c>
      <c r="E910" t="s">
        <v>82</v>
      </c>
      <c r="F910" t="s">
        <v>83</v>
      </c>
    </row>
    <row r="911" spans="1:6">
      <c r="A911" t="s">
        <v>1868</v>
      </c>
      <c r="B911" t="s">
        <v>16</v>
      </c>
      <c r="C911" t="s">
        <v>1869</v>
      </c>
      <c r="E911" t="s">
        <v>18</v>
      </c>
      <c r="F911" t="s">
        <v>19</v>
      </c>
    </row>
    <row r="912" spans="1:6">
      <c r="A912" t="s">
        <v>1870</v>
      </c>
      <c r="B912" t="s">
        <v>16</v>
      </c>
      <c r="C912" t="s">
        <v>1871</v>
      </c>
      <c r="E912" t="s">
        <v>18</v>
      </c>
      <c r="F912" t="s">
        <v>19</v>
      </c>
    </row>
    <row r="913" spans="1:6">
      <c r="A913" t="s">
        <v>1872</v>
      </c>
      <c r="B913" t="s">
        <v>16</v>
      </c>
      <c r="C913" t="s">
        <v>1873</v>
      </c>
      <c r="E913" t="s">
        <v>18</v>
      </c>
      <c r="F913" t="s">
        <v>19</v>
      </c>
    </row>
    <row r="914" spans="1:6">
      <c r="A914" t="s">
        <v>1874</v>
      </c>
      <c r="B914" t="s">
        <v>16</v>
      </c>
      <c r="C914" t="s">
        <v>1875</v>
      </c>
      <c r="E914" t="s">
        <v>18</v>
      </c>
      <c r="F914" t="s">
        <v>19</v>
      </c>
    </row>
    <row r="915" spans="1:6">
      <c r="A915" t="s">
        <v>1876</v>
      </c>
      <c r="B915" t="s">
        <v>16</v>
      </c>
      <c r="C915" t="s">
        <v>1877</v>
      </c>
      <c r="E915" t="s">
        <v>18</v>
      </c>
      <c r="F915" t="s">
        <v>19</v>
      </c>
    </row>
    <row r="916" spans="1:6">
      <c r="A916" t="s">
        <v>1878</v>
      </c>
      <c r="B916" t="s">
        <v>16</v>
      </c>
      <c r="C916" t="s">
        <v>1879</v>
      </c>
      <c r="E916" t="s">
        <v>18</v>
      </c>
      <c r="F916" t="s">
        <v>19</v>
      </c>
    </row>
    <row r="917" spans="1:6">
      <c r="A917" t="s">
        <v>1880</v>
      </c>
      <c r="B917" t="s">
        <v>16</v>
      </c>
      <c r="C917" t="s">
        <v>1881</v>
      </c>
      <c r="E917" t="s">
        <v>18</v>
      </c>
      <c r="F917" t="s">
        <v>19</v>
      </c>
    </row>
    <row r="918" spans="1:6">
      <c r="A918" t="s">
        <v>1882</v>
      </c>
      <c r="B918" t="s">
        <v>16</v>
      </c>
      <c r="C918" t="s">
        <v>1883</v>
      </c>
      <c r="E918" t="s">
        <v>18</v>
      </c>
      <c r="F918" t="s">
        <v>19</v>
      </c>
    </row>
    <row r="919" spans="1:6">
      <c r="A919" t="s">
        <v>1884</v>
      </c>
      <c r="B919" t="s">
        <v>16</v>
      </c>
      <c r="C919" t="s">
        <v>1885</v>
      </c>
      <c r="E919" t="s">
        <v>18</v>
      </c>
      <c r="F919" t="s">
        <v>19</v>
      </c>
    </row>
    <row r="920" spans="1:6">
      <c r="A920" t="s">
        <v>1886</v>
      </c>
      <c r="B920" t="s">
        <v>16</v>
      </c>
      <c r="C920" t="s">
        <v>1887</v>
      </c>
      <c r="E920" t="s">
        <v>18</v>
      </c>
      <c r="F920" t="s">
        <v>19</v>
      </c>
    </row>
    <row r="921" spans="1:6">
      <c r="A921" t="s">
        <v>1888</v>
      </c>
      <c r="B921" t="s">
        <v>16</v>
      </c>
      <c r="C921" t="s">
        <v>1889</v>
      </c>
      <c r="E921" t="s">
        <v>18</v>
      </c>
      <c r="F921" t="s">
        <v>19</v>
      </c>
    </row>
    <row r="922" spans="1:6">
      <c r="A922" t="s">
        <v>1890</v>
      </c>
      <c r="B922" t="s">
        <v>16</v>
      </c>
      <c r="C922" t="s">
        <v>1891</v>
      </c>
      <c r="E922" t="s">
        <v>18</v>
      </c>
      <c r="F922" t="s">
        <v>19</v>
      </c>
    </row>
    <row r="923" spans="1:6">
      <c r="A923" t="s">
        <v>1892</v>
      </c>
      <c r="B923" t="s">
        <v>16</v>
      </c>
      <c r="C923" t="s">
        <v>1893</v>
      </c>
      <c r="E923" t="s">
        <v>18</v>
      </c>
      <c r="F923" t="s">
        <v>19</v>
      </c>
    </row>
    <row r="924" spans="1:6">
      <c r="A924" t="s">
        <v>1894</v>
      </c>
      <c r="B924" t="s">
        <v>16</v>
      </c>
      <c r="C924" t="s">
        <v>1895</v>
      </c>
      <c r="E924" t="s">
        <v>312</v>
      </c>
      <c r="F924" t="s">
        <v>313</v>
      </c>
    </row>
    <row r="925" spans="1:6">
      <c r="A925" t="s">
        <v>1896</v>
      </c>
      <c r="B925" t="s">
        <v>16</v>
      </c>
      <c r="C925" t="s">
        <v>1897</v>
      </c>
      <c r="E925" t="s">
        <v>18</v>
      </c>
      <c r="F925" t="s">
        <v>19</v>
      </c>
    </row>
    <row r="926" spans="1:6">
      <c r="A926" t="s">
        <v>1898</v>
      </c>
      <c r="B926" t="s">
        <v>16</v>
      </c>
      <c r="C926" t="s">
        <v>1899</v>
      </c>
      <c r="E926" t="s">
        <v>18</v>
      </c>
      <c r="F926" t="s">
        <v>19</v>
      </c>
    </row>
    <row r="927" spans="1:6">
      <c r="A927" t="s">
        <v>1900</v>
      </c>
      <c r="B927" t="s">
        <v>16</v>
      </c>
      <c r="C927" t="s">
        <v>1901</v>
      </c>
      <c r="E927" t="s">
        <v>390</v>
      </c>
      <c r="F927" t="s">
        <v>391</v>
      </c>
    </row>
    <row r="928" spans="1:6">
      <c r="A928" t="s">
        <v>1902</v>
      </c>
      <c r="B928" t="s">
        <v>16</v>
      </c>
      <c r="C928" t="s">
        <v>1903</v>
      </c>
      <c r="E928" t="s">
        <v>302</v>
      </c>
      <c r="F928" t="s">
        <v>303</v>
      </c>
    </row>
    <row r="929" spans="1:6">
      <c r="A929" t="s">
        <v>1904</v>
      </c>
      <c r="B929" t="s">
        <v>16</v>
      </c>
      <c r="C929" t="s">
        <v>1905</v>
      </c>
      <c r="E929" t="s">
        <v>34</v>
      </c>
      <c r="F929" t="s">
        <v>35</v>
      </c>
    </row>
    <row r="930" spans="1:6">
      <c r="A930" t="s">
        <v>1906</v>
      </c>
      <c r="B930" t="s">
        <v>16</v>
      </c>
      <c r="C930" t="s">
        <v>1907</v>
      </c>
      <c r="E930" t="s">
        <v>18</v>
      </c>
      <c r="F930" t="s">
        <v>19</v>
      </c>
    </row>
    <row r="931" spans="1:6">
      <c r="A931" t="s">
        <v>1908</v>
      </c>
      <c r="B931" t="s">
        <v>16</v>
      </c>
      <c r="C931" t="s">
        <v>830</v>
      </c>
      <c r="E931" t="s">
        <v>252</v>
      </c>
      <c r="F931" t="s">
        <v>253</v>
      </c>
    </row>
    <row r="932" spans="1:6">
      <c r="A932" t="s">
        <v>1909</v>
      </c>
      <c r="B932" t="s">
        <v>16</v>
      </c>
      <c r="C932" t="s">
        <v>1910</v>
      </c>
      <c r="E932" t="s">
        <v>18</v>
      </c>
      <c r="F932" t="s">
        <v>19</v>
      </c>
    </row>
    <row r="933" spans="1:6">
      <c r="A933" t="s">
        <v>1911</v>
      </c>
      <c r="B933" t="s">
        <v>16</v>
      </c>
      <c r="C933" t="s">
        <v>1912</v>
      </c>
      <c r="E933" t="s">
        <v>18</v>
      </c>
      <c r="F933" t="s">
        <v>19</v>
      </c>
    </row>
    <row r="934" spans="1:6">
      <c r="A934" t="s">
        <v>1913</v>
      </c>
      <c r="B934" t="s">
        <v>16</v>
      </c>
      <c r="C934" t="s">
        <v>1914</v>
      </c>
      <c r="E934" t="s">
        <v>18</v>
      </c>
      <c r="F934" t="s">
        <v>19</v>
      </c>
    </row>
    <row r="935" spans="1:6">
      <c r="A935" t="s">
        <v>1915</v>
      </c>
      <c r="B935" t="s">
        <v>16</v>
      </c>
      <c r="C935" t="s">
        <v>1916</v>
      </c>
      <c r="E935" t="s">
        <v>18</v>
      </c>
      <c r="F935" t="s">
        <v>19</v>
      </c>
    </row>
    <row r="936" spans="1:6">
      <c r="A936" t="s">
        <v>1917</v>
      </c>
      <c r="B936" t="s">
        <v>16</v>
      </c>
      <c r="C936" t="s">
        <v>1918</v>
      </c>
      <c r="E936" t="s">
        <v>18</v>
      </c>
      <c r="F936" t="s">
        <v>19</v>
      </c>
    </row>
    <row r="937" spans="1:6">
      <c r="A937" t="s">
        <v>1919</v>
      </c>
      <c r="B937" t="s">
        <v>16</v>
      </c>
      <c r="C937" t="s">
        <v>1920</v>
      </c>
      <c r="E937" t="s">
        <v>18</v>
      </c>
      <c r="F937" t="s">
        <v>19</v>
      </c>
    </row>
    <row r="938" spans="1:6">
      <c r="A938" t="s">
        <v>1921</v>
      </c>
      <c r="B938" t="s">
        <v>16</v>
      </c>
      <c r="C938" t="s">
        <v>1922</v>
      </c>
      <c r="E938" t="s">
        <v>18</v>
      </c>
      <c r="F938" t="s">
        <v>19</v>
      </c>
    </row>
    <row r="939" spans="1:6">
      <c r="A939" t="s">
        <v>1923</v>
      </c>
      <c r="B939" t="s">
        <v>16</v>
      </c>
      <c r="C939" t="s">
        <v>1924</v>
      </c>
      <c r="E939" t="s">
        <v>18</v>
      </c>
      <c r="F939" t="s">
        <v>19</v>
      </c>
    </row>
    <row r="940" spans="1:6">
      <c r="A940" t="s">
        <v>1925</v>
      </c>
      <c r="B940" t="s">
        <v>16</v>
      </c>
      <c r="C940" t="s">
        <v>1926</v>
      </c>
      <c r="E940" t="s">
        <v>34</v>
      </c>
      <c r="F940" t="s">
        <v>35</v>
      </c>
    </row>
    <row r="941" spans="1:6">
      <c r="A941" t="s">
        <v>1927</v>
      </c>
      <c r="B941" t="s">
        <v>16</v>
      </c>
      <c r="C941" t="s">
        <v>1928</v>
      </c>
      <c r="E941" t="s">
        <v>1929</v>
      </c>
      <c r="F941" t="s">
        <v>1755</v>
      </c>
    </row>
    <row r="942" spans="1:6">
      <c r="A942" t="s">
        <v>1930</v>
      </c>
      <c r="B942" t="s">
        <v>16</v>
      </c>
      <c r="C942" t="s">
        <v>1931</v>
      </c>
      <c r="E942" t="s">
        <v>274</v>
      </c>
      <c r="F942" t="s">
        <v>275</v>
      </c>
    </row>
    <row r="943" spans="1:6">
      <c r="A943" t="s">
        <v>1932</v>
      </c>
      <c r="B943" t="s">
        <v>16</v>
      </c>
      <c r="C943" t="s">
        <v>1522</v>
      </c>
      <c r="E943" t="s">
        <v>18</v>
      </c>
      <c r="F943" t="s">
        <v>19</v>
      </c>
    </row>
    <row r="944" spans="1:6">
      <c r="A944" t="s">
        <v>1933</v>
      </c>
      <c r="B944" t="s">
        <v>16</v>
      </c>
      <c r="C944" t="s">
        <v>1934</v>
      </c>
      <c r="E944" t="s">
        <v>18</v>
      </c>
      <c r="F944" t="s">
        <v>19</v>
      </c>
    </row>
    <row r="945" spans="1:6">
      <c r="A945" t="s">
        <v>1935</v>
      </c>
      <c r="B945" t="s">
        <v>16</v>
      </c>
      <c r="C945" t="s">
        <v>1936</v>
      </c>
      <c r="E945" t="s">
        <v>18</v>
      </c>
      <c r="F945" t="s">
        <v>19</v>
      </c>
    </row>
    <row r="946" spans="1:6">
      <c r="A946" t="s">
        <v>1937</v>
      </c>
      <c r="B946" t="s">
        <v>16</v>
      </c>
      <c r="C946" t="s">
        <v>1938</v>
      </c>
      <c r="E946" t="s">
        <v>18</v>
      </c>
      <c r="F946" t="s">
        <v>19</v>
      </c>
    </row>
    <row r="947" spans="1:6">
      <c r="A947" t="s">
        <v>1939</v>
      </c>
      <c r="B947" t="s">
        <v>16</v>
      </c>
      <c r="C947" t="s">
        <v>1940</v>
      </c>
      <c r="E947" t="s">
        <v>18</v>
      </c>
      <c r="F947" t="s">
        <v>19</v>
      </c>
    </row>
    <row r="948" spans="1:6">
      <c r="A948" t="s">
        <v>1941</v>
      </c>
      <c r="B948" t="s">
        <v>16</v>
      </c>
      <c r="C948" t="s">
        <v>1942</v>
      </c>
      <c r="E948" t="s">
        <v>18</v>
      </c>
      <c r="F948" t="s">
        <v>19</v>
      </c>
    </row>
    <row r="949" spans="1:6">
      <c r="A949" t="s">
        <v>1943</v>
      </c>
      <c r="B949" t="s">
        <v>16</v>
      </c>
      <c r="C949" t="s">
        <v>1944</v>
      </c>
      <c r="E949" t="s">
        <v>18</v>
      </c>
      <c r="F949" t="s">
        <v>19</v>
      </c>
    </row>
    <row r="950" spans="1:6">
      <c r="A950" t="s">
        <v>1945</v>
      </c>
      <c r="B950" t="s">
        <v>16</v>
      </c>
      <c r="C950" t="s">
        <v>1946</v>
      </c>
      <c r="E950" t="s">
        <v>18</v>
      </c>
      <c r="F950" t="s">
        <v>19</v>
      </c>
    </row>
    <row r="951" spans="1:6">
      <c r="A951" t="s">
        <v>1947</v>
      </c>
      <c r="B951" t="s">
        <v>16</v>
      </c>
      <c r="C951" t="s">
        <v>1948</v>
      </c>
      <c r="E951" t="s">
        <v>18</v>
      </c>
      <c r="F951" t="s">
        <v>19</v>
      </c>
    </row>
    <row r="952" spans="1:6">
      <c r="A952" t="s">
        <v>1949</v>
      </c>
      <c r="B952" t="s">
        <v>16</v>
      </c>
      <c r="C952" t="s">
        <v>1950</v>
      </c>
      <c r="E952" t="s">
        <v>18</v>
      </c>
      <c r="F952" t="s">
        <v>19</v>
      </c>
    </row>
    <row r="953" spans="1:6">
      <c r="A953" t="s">
        <v>1951</v>
      </c>
      <c r="B953" t="s">
        <v>16</v>
      </c>
      <c r="C953" t="s">
        <v>1952</v>
      </c>
      <c r="E953" t="s">
        <v>18</v>
      </c>
      <c r="F953" t="s">
        <v>19</v>
      </c>
    </row>
    <row r="954" spans="1:6">
      <c r="A954" t="s">
        <v>1953</v>
      </c>
      <c r="B954" t="s">
        <v>16</v>
      </c>
      <c r="C954" t="s">
        <v>1954</v>
      </c>
      <c r="E954" t="s">
        <v>18</v>
      </c>
      <c r="F954" t="s">
        <v>19</v>
      </c>
    </row>
    <row r="955" spans="1:6">
      <c r="A955" t="s">
        <v>1955</v>
      </c>
      <c r="B955" t="s">
        <v>16</v>
      </c>
      <c r="C955" t="s">
        <v>1956</v>
      </c>
      <c r="E955" t="s">
        <v>18</v>
      </c>
      <c r="F955" t="s">
        <v>19</v>
      </c>
    </row>
    <row r="956" spans="1:6">
      <c r="A956" t="s">
        <v>1957</v>
      </c>
      <c r="B956" t="s">
        <v>16</v>
      </c>
      <c r="C956" t="s">
        <v>1958</v>
      </c>
      <c r="E956" t="s">
        <v>18</v>
      </c>
      <c r="F956" t="s">
        <v>19</v>
      </c>
    </row>
    <row r="957" spans="1:6">
      <c r="A957" t="s">
        <v>1959</v>
      </c>
      <c r="B957" t="s">
        <v>16</v>
      </c>
      <c r="C957" t="s">
        <v>1960</v>
      </c>
      <c r="E957" t="s">
        <v>18</v>
      </c>
      <c r="F957" t="s">
        <v>19</v>
      </c>
    </row>
    <row r="958" spans="1:6">
      <c r="A958" t="s">
        <v>1961</v>
      </c>
      <c r="B958" t="s">
        <v>16</v>
      </c>
      <c r="C958" t="s">
        <v>1482</v>
      </c>
      <c r="E958" t="s">
        <v>196</v>
      </c>
      <c r="F958" t="s">
        <v>197</v>
      </c>
    </row>
    <row r="959" spans="1:6">
      <c r="A959" t="s">
        <v>1962</v>
      </c>
      <c r="B959" t="s">
        <v>16</v>
      </c>
      <c r="C959" t="s">
        <v>103</v>
      </c>
      <c r="E959" t="s">
        <v>18</v>
      </c>
      <c r="F959" t="s">
        <v>19</v>
      </c>
    </row>
    <row r="960" spans="1:6">
      <c r="A960" t="s">
        <v>1963</v>
      </c>
      <c r="B960" t="s">
        <v>16</v>
      </c>
      <c r="C960" t="s">
        <v>1964</v>
      </c>
      <c r="E960" t="s">
        <v>18</v>
      </c>
      <c r="F960" t="s">
        <v>19</v>
      </c>
    </row>
    <row r="961" spans="1:6">
      <c r="A961" t="s">
        <v>1965</v>
      </c>
      <c r="B961" t="s">
        <v>16</v>
      </c>
      <c r="C961" t="s">
        <v>1966</v>
      </c>
      <c r="E961" t="s">
        <v>188</v>
      </c>
      <c r="F961" t="s">
        <v>189</v>
      </c>
    </row>
    <row r="962" spans="1:6">
      <c r="A962" t="s">
        <v>1967</v>
      </c>
      <c r="B962" t="s">
        <v>16</v>
      </c>
      <c r="C962" t="s">
        <v>1968</v>
      </c>
      <c r="E962" t="s">
        <v>18</v>
      </c>
      <c r="F962" t="s">
        <v>19</v>
      </c>
    </row>
    <row r="963" spans="1:6">
      <c r="A963" t="s">
        <v>1969</v>
      </c>
      <c r="B963" t="s">
        <v>16</v>
      </c>
      <c r="C963" t="s">
        <v>1970</v>
      </c>
      <c r="E963" t="s">
        <v>18</v>
      </c>
      <c r="F963" t="s">
        <v>19</v>
      </c>
    </row>
    <row r="964" spans="1:6">
      <c r="A964" t="s">
        <v>1971</v>
      </c>
      <c r="B964" t="s">
        <v>16</v>
      </c>
      <c r="C964" t="s">
        <v>169</v>
      </c>
      <c r="E964" t="s">
        <v>721</v>
      </c>
      <c r="F964" t="s">
        <v>171</v>
      </c>
    </row>
    <row r="965" spans="1:6">
      <c r="A965" t="s">
        <v>1972</v>
      </c>
      <c r="B965" t="s">
        <v>16</v>
      </c>
      <c r="C965" t="s">
        <v>1973</v>
      </c>
      <c r="E965" t="s">
        <v>18</v>
      </c>
      <c r="F965" t="s">
        <v>19</v>
      </c>
    </row>
    <row r="966" spans="1:6">
      <c r="A966" t="s">
        <v>1974</v>
      </c>
      <c r="B966" t="s">
        <v>16</v>
      </c>
      <c r="C966" t="s">
        <v>1975</v>
      </c>
      <c r="E966" t="s">
        <v>18</v>
      </c>
      <c r="F966" t="s">
        <v>19</v>
      </c>
    </row>
    <row r="967" spans="1:6">
      <c r="A967" t="s">
        <v>1976</v>
      </c>
      <c r="B967" t="s">
        <v>16</v>
      </c>
      <c r="C967" t="s">
        <v>1977</v>
      </c>
      <c r="E967" t="s">
        <v>18</v>
      </c>
      <c r="F967" t="s">
        <v>19</v>
      </c>
    </row>
    <row r="968" spans="1:6">
      <c r="A968" t="s">
        <v>1978</v>
      </c>
      <c r="B968" t="s">
        <v>16</v>
      </c>
      <c r="C968" t="s">
        <v>1979</v>
      </c>
      <c r="E968" t="s">
        <v>18</v>
      </c>
      <c r="F968" t="s">
        <v>19</v>
      </c>
    </row>
    <row r="969" spans="1:6">
      <c r="A969" t="s">
        <v>1980</v>
      </c>
      <c r="B969" t="s">
        <v>16</v>
      </c>
      <c r="C969" t="s">
        <v>1981</v>
      </c>
      <c r="E969" t="s">
        <v>18</v>
      </c>
      <c r="F969" t="s">
        <v>19</v>
      </c>
    </row>
    <row r="970" spans="1:6">
      <c r="A970" t="s">
        <v>1982</v>
      </c>
      <c r="B970" t="s">
        <v>16</v>
      </c>
      <c r="C970" t="s">
        <v>1983</v>
      </c>
      <c r="E970" t="s">
        <v>18</v>
      </c>
      <c r="F970" t="s">
        <v>19</v>
      </c>
    </row>
    <row r="971" spans="1:6">
      <c r="A971" t="s">
        <v>1984</v>
      </c>
      <c r="B971" t="s">
        <v>16</v>
      </c>
      <c r="C971" t="s">
        <v>1985</v>
      </c>
      <c r="E971" t="s">
        <v>18</v>
      </c>
      <c r="F971" t="s">
        <v>19</v>
      </c>
    </row>
    <row r="972" spans="1:6">
      <c r="A972" t="s">
        <v>1986</v>
      </c>
      <c r="B972" t="s">
        <v>16</v>
      </c>
      <c r="C972" t="s">
        <v>1987</v>
      </c>
      <c r="E972" t="s">
        <v>18</v>
      </c>
      <c r="F972" t="s">
        <v>19</v>
      </c>
    </row>
    <row r="973" spans="1:6">
      <c r="A973" t="s">
        <v>1988</v>
      </c>
      <c r="B973" t="s">
        <v>16</v>
      </c>
      <c r="C973" t="s">
        <v>1989</v>
      </c>
      <c r="E973" t="s">
        <v>46</v>
      </c>
      <c r="F973" t="s">
        <v>47</v>
      </c>
    </row>
    <row r="974" spans="1:6">
      <c r="A974" t="s">
        <v>1990</v>
      </c>
      <c r="B974" t="s">
        <v>16</v>
      </c>
      <c r="C974" t="s">
        <v>1753</v>
      </c>
      <c r="E974" t="s">
        <v>1929</v>
      </c>
      <c r="F974" t="s">
        <v>1755</v>
      </c>
    </row>
    <row r="975" spans="1:6">
      <c r="A975" t="s">
        <v>1991</v>
      </c>
      <c r="B975" t="s">
        <v>16</v>
      </c>
      <c r="C975" t="s">
        <v>1992</v>
      </c>
      <c r="E975" t="s">
        <v>18</v>
      </c>
      <c r="F975" t="s">
        <v>19</v>
      </c>
    </row>
    <row r="976" spans="1:6">
      <c r="A976" t="s">
        <v>1993</v>
      </c>
      <c r="B976" t="s">
        <v>16</v>
      </c>
      <c r="C976" t="s">
        <v>1994</v>
      </c>
      <c r="E976" t="s">
        <v>208</v>
      </c>
      <c r="F976" t="s">
        <v>209</v>
      </c>
    </row>
    <row r="977" spans="1:6">
      <c r="A977" t="s">
        <v>1995</v>
      </c>
      <c r="B977" t="s">
        <v>16</v>
      </c>
      <c r="C977" t="s">
        <v>1124</v>
      </c>
      <c r="E977" t="s">
        <v>475</v>
      </c>
      <c r="F977" t="s">
        <v>476</v>
      </c>
    </row>
    <row r="978" spans="1:6">
      <c r="A978" t="s">
        <v>1996</v>
      </c>
      <c r="B978" t="s">
        <v>16</v>
      </c>
      <c r="C978" t="s">
        <v>1997</v>
      </c>
      <c r="E978" t="s">
        <v>18</v>
      </c>
      <c r="F978" t="s">
        <v>19</v>
      </c>
    </row>
    <row r="979" spans="1:6">
      <c r="A979" t="s">
        <v>1998</v>
      </c>
      <c r="B979" t="s">
        <v>16</v>
      </c>
      <c r="C979" t="s">
        <v>1999</v>
      </c>
      <c r="E979" t="s">
        <v>18</v>
      </c>
      <c r="F979" t="s">
        <v>19</v>
      </c>
    </row>
    <row r="980" spans="1:6">
      <c r="A980" t="s">
        <v>2000</v>
      </c>
      <c r="B980" t="s">
        <v>16</v>
      </c>
      <c r="C980" t="s">
        <v>2001</v>
      </c>
      <c r="E980" t="s">
        <v>426</v>
      </c>
      <c r="F980" t="s">
        <v>427</v>
      </c>
    </row>
    <row r="981" spans="1:6">
      <c r="A981" t="s">
        <v>2002</v>
      </c>
      <c r="B981" t="s">
        <v>16</v>
      </c>
      <c r="C981" t="s">
        <v>2003</v>
      </c>
      <c r="E981" t="s">
        <v>18</v>
      </c>
      <c r="F981" t="s">
        <v>19</v>
      </c>
    </row>
    <row r="982" spans="1:6">
      <c r="A982" t="s">
        <v>2004</v>
      </c>
      <c r="B982" t="s">
        <v>16</v>
      </c>
      <c r="C982" t="s">
        <v>378</v>
      </c>
      <c r="E982" t="s">
        <v>298</v>
      </c>
      <c r="F982" t="s">
        <v>299</v>
      </c>
    </row>
    <row r="983" spans="1:6">
      <c r="A983" t="s">
        <v>2005</v>
      </c>
      <c r="B983" t="s">
        <v>16</v>
      </c>
      <c r="C983" t="s">
        <v>2006</v>
      </c>
      <c r="E983" t="s">
        <v>1772</v>
      </c>
      <c r="F983" t="s">
        <v>1773</v>
      </c>
    </row>
    <row r="984" spans="1:6">
      <c r="A984" t="s">
        <v>2007</v>
      </c>
      <c r="B984" t="s">
        <v>16</v>
      </c>
      <c r="C984" t="s">
        <v>2008</v>
      </c>
      <c r="E984" t="s">
        <v>18</v>
      </c>
      <c r="F984" t="s">
        <v>19</v>
      </c>
    </row>
    <row r="985" spans="1:6">
      <c r="A985" t="s">
        <v>2009</v>
      </c>
      <c r="B985" t="s">
        <v>16</v>
      </c>
      <c r="C985" t="s">
        <v>2010</v>
      </c>
      <c r="E985" t="s">
        <v>18</v>
      </c>
      <c r="F985" t="s">
        <v>19</v>
      </c>
    </row>
    <row r="986" spans="1:6">
      <c r="A986" t="s">
        <v>2011</v>
      </c>
      <c r="B986" t="s">
        <v>16</v>
      </c>
      <c r="C986" t="s">
        <v>169</v>
      </c>
      <c r="E986" t="s">
        <v>1475</v>
      </c>
      <c r="F986" t="s">
        <v>1476</v>
      </c>
    </row>
    <row r="987" spans="1:6">
      <c r="A987" t="s">
        <v>2012</v>
      </c>
      <c r="B987" t="s">
        <v>16</v>
      </c>
      <c r="C987" t="s">
        <v>1928</v>
      </c>
      <c r="E987" t="s">
        <v>1754</v>
      </c>
      <c r="F987" t="s">
        <v>1755</v>
      </c>
    </row>
    <row r="988" spans="1:6">
      <c r="A988" t="s">
        <v>2013</v>
      </c>
      <c r="B988" t="s">
        <v>16</v>
      </c>
      <c r="C988" t="s">
        <v>2014</v>
      </c>
      <c r="E988" t="s">
        <v>34</v>
      </c>
      <c r="F988" t="s">
        <v>35</v>
      </c>
    </row>
    <row r="989" spans="1:6">
      <c r="A989" t="s">
        <v>2015</v>
      </c>
      <c r="B989" t="s">
        <v>16</v>
      </c>
      <c r="C989" t="s">
        <v>2016</v>
      </c>
      <c r="E989" t="s">
        <v>18</v>
      </c>
      <c r="F989" t="s">
        <v>19</v>
      </c>
    </row>
    <row r="990" spans="1:6">
      <c r="A990" t="s">
        <v>2017</v>
      </c>
      <c r="B990" t="s">
        <v>16</v>
      </c>
      <c r="C990" t="s">
        <v>2018</v>
      </c>
      <c r="E990" t="s">
        <v>18</v>
      </c>
      <c r="F990" t="s">
        <v>19</v>
      </c>
    </row>
    <row r="991" spans="1:6">
      <c r="A991" t="s">
        <v>2019</v>
      </c>
      <c r="B991" t="s">
        <v>16</v>
      </c>
      <c r="C991" t="s">
        <v>2020</v>
      </c>
      <c r="E991" t="s">
        <v>18</v>
      </c>
      <c r="F991" t="s">
        <v>19</v>
      </c>
    </row>
    <row r="992" spans="1:6">
      <c r="A992" t="s">
        <v>2021</v>
      </c>
      <c r="B992" t="s">
        <v>16</v>
      </c>
      <c r="C992" t="s">
        <v>2022</v>
      </c>
      <c r="E992" t="s">
        <v>18</v>
      </c>
      <c r="F992" t="s">
        <v>19</v>
      </c>
    </row>
    <row r="993" spans="1:6">
      <c r="A993" t="s">
        <v>2023</v>
      </c>
      <c r="B993" t="s">
        <v>16</v>
      </c>
      <c r="C993" t="s">
        <v>2024</v>
      </c>
      <c r="E993" t="s">
        <v>34</v>
      </c>
      <c r="F993" t="s">
        <v>35</v>
      </c>
    </row>
    <row r="994" spans="1:6">
      <c r="A994" t="s">
        <v>2025</v>
      </c>
      <c r="B994" t="s">
        <v>16</v>
      </c>
      <c r="C994" t="s">
        <v>2026</v>
      </c>
      <c r="E994" t="s">
        <v>18</v>
      </c>
      <c r="F994" t="s">
        <v>19</v>
      </c>
    </row>
    <row r="995" spans="1:6">
      <c r="A995" t="s">
        <v>2027</v>
      </c>
      <c r="B995" t="s">
        <v>16</v>
      </c>
      <c r="C995" t="s">
        <v>2028</v>
      </c>
      <c r="E995" t="s">
        <v>18</v>
      </c>
      <c r="F995" t="s">
        <v>19</v>
      </c>
    </row>
    <row r="996" spans="1:6">
      <c r="A996" t="s">
        <v>2029</v>
      </c>
      <c r="B996" t="s">
        <v>16</v>
      </c>
      <c r="C996" t="s">
        <v>639</v>
      </c>
      <c r="E996" t="s">
        <v>224</v>
      </c>
      <c r="F996" t="s">
        <v>225</v>
      </c>
    </row>
    <row r="997" spans="1:6">
      <c r="A997" t="s">
        <v>2030</v>
      </c>
      <c r="B997" t="s">
        <v>16</v>
      </c>
      <c r="C997" t="s">
        <v>2031</v>
      </c>
      <c r="E997" t="s">
        <v>18</v>
      </c>
      <c r="F997" t="s">
        <v>19</v>
      </c>
    </row>
    <row r="998" spans="1:6">
      <c r="A998" t="s">
        <v>2032</v>
      </c>
      <c r="B998" t="s">
        <v>16</v>
      </c>
      <c r="C998" t="s">
        <v>2033</v>
      </c>
      <c r="E998" t="s">
        <v>18</v>
      </c>
      <c r="F998" t="s">
        <v>19</v>
      </c>
    </row>
    <row r="999" spans="1:6">
      <c r="A999" t="s">
        <v>2034</v>
      </c>
      <c r="B999" t="s">
        <v>16</v>
      </c>
      <c r="C999" t="s">
        <v>646</v>
      </c>
      <c r="E999" t="s">
        <v>18</v>
      </c>
      <c r="F999" t="s">
        <v>19</v>
      </c>
    </row>
    <row r="1000" spans="1:6">
      <c r="A1000" t="s">
        <v>2035</v>
      </c>
      <c r="B1000" t="s">
        <v>16</v>
      </c>
      <c r="C1000" t="s">
        <v>2036</v>
      </c>
      <c r="E1000" t="s">
        <v>18</v>
      </c>
      <c r="F1000" t="s">
        <v>19</v>
      </c>
    </row>
    <row r="1001" spans="1:6">
      <c r="A1001" t="s">
        <v>2037</v>
      </c>
      <c r="B1001" t="s">
        <v>16</v>
      </c>
      <c r="C1001" t="s">
        <v>2038</v>
      </c>
      <c r="E1001" t="s">
        <v>18</v>
      </c>
      <c r="F1001" t="s">
        <v>19</v>
      </c>
    </row>
    <row r="1002" spans="1:6">
      <c r="A1002" t="s">
        <v>2039</v>
      </c>
      <c r="B1002" t="s">
        <v>16</v>
      </c>
      <c r="C1002" t="s">
        <v>2040</v>
      </c>
      <c r="E1002" t="s">
        <v>18</v>
      </c>
      <c r="F1002" t="s">
        <v>19</v>
      </c>
    </row>
    <row r="1003" spans="1:6">
      <c r="A1003" t="s">
        <v>2041</v>
      </c>
      <c r="B1003" t="s">
        <v>16</v>
      </c>
      <c r="C1003" t="s">
        <v>2042</v>
      </c>
      <c r="E1003" t="s">
        <v>18</v>
      </c>
      <c r="F1003" t="s">
        <v>19</v>
      </c>
    </row>
    <row r="1004" spans="1:6">
      <c r="A1004" t="s">
        <v>2043</v>
      </c>
      <c r="B1004" t="s">
        <v>16</v>
      </c>
      <c r="C1004" t="s">
        <v>2044</v>
      </c>
      <c r="E1004" t="s">
        <v>18</v>
      </c>
      <c r="F1004" t="s">
        <v>19</v>
      </c>
    </row>
    <row r="1005" spans="1:6">
      <c r="A1005" t="s">
        <v>2045</v>
      </c>
      <c r="B1005" t="s">
        <v>16</v>
      </c>
      <c r="C1005" t="s">
        <v>2046</v>
      </c>
      <c r="E1005" t="s">
        <v>18</v>
      </c>
      <c r="F1005" t="s">
        <v>19</v>
      </c>
    </row>
    <row r="1006" spans="1:6">
      <c r="A1006" t="s">
        <v>2047</v>
      </c>
      <c r="B1006" t="s">
        <v>16</v>
      </c>
      <c r="C1006" t="s">
        <v>2048</v>
      </c>
      <c r="E1006" t="s">
        <v>18</v>
      </c>
      <c r="F1006" t="s">
        <v>19</v>
      </c>
    </row>
    <row r="1007" spans="1:6">
      <c r="A1007" t="s">
        <v>2049</v>
      </c>
      <c r="B1007" t="s">
        <v>16</v>
      </c>
      <c r="C1007" t="s">
        <v>2050</v>
      </c>
      <c r="E1007" t="s">
        <v>18</v>
      </c>
      <c r="F1007" t="s">
        <v>19</v>
      </c>
    </row>
    <row r="1008" spans="1:6">
      <c r="A1008" t="s">
        <v>2051</v>
      </c>
      <c r="B1008" t="s">
        <v>16</v>
      </c>
      <c r="C1008" t="s">
        <v>2052</v>
      </c>
      <c r="E1008" t="s">
        <v>18</v>
      </c>
      <c r="F1008" t="s">
        <v>19</v>
      </c>
    </row>
    <row r="1009" spans="1:6">
      <c r="A1009" t="s">
        <v>2053</v>
      </c>
      <c r="B1009" t="s">
        <v>16</v>
      </c>
      <c r="C1009" t="s">
        <v>2054</v>
      </c>
      <c r="E1009" t="s">
        <v>18</v>
      </c>
      <c r="F1009" t="s">
        <v>19</v>
      </c>
    </row>
    <row r="1010" spans="1:6">
      <c r="A1010" t="s">
        <v>2055</v>
      </c>
      <c r="B1010" t="s">
        <v>16</v>
      </c>
      <c r="C1010" t="s">
        <v>1034</v>
      </c>
      <c r="E1010" t="s">
        <v>831</v>
      </c>
      <c r="F1010" t="s">
        <v>832</v>
      </c>
    </row>
    <row r="1011" spans="1:6">
      <c r="A1011" t="s">
        <v>2056</v>
      </c>
      <c r="B1011" t="s">
        <v>16</v>
      </c>
      <c r="C1011" t="s">
        <v>2057</v>
      </c>
      <c r="E1011" t="s">
        <v>302</v>
      </c>
      <c r="F1011" t="s">
        <v>303</v>
      </c>
    </row>
    <row r="1012" spans="1:6">
      <c r="A1012" t="s">
        <v>2058</v>
      </c>
      <c r="B1012" t="s">
        <v>16</v>
      </c>
      <c r="C1012" t="s">
        <v>2059</v>
      </c>
      <c r="E1012" t="s">
        <v>18</v>
      </c>
      <c r="F1012" t="s">
        <v>19</v>
      </c>
    </row>
    <row r="1013" spans="1:6">
      <c r="A1013" t="s">
        <v>2060</v>
      </c>
      <c r="B1013" t="s">
        <v>16</v>
      </c>
      <c r="C1013" t="s">
        <v>2061</v>
      </c>
      <c r="E1013" t="s">
        <v>18</v>
      </c>
      <c r="F1013" t="s">
        <v>19</v>
      </c>
    </row>
    <row r="1014" spans="1:6">
      <c r="A1014" t="s">
        <v>2062</v>
      </c>
      <c r="B1014" t="s">
        <v>16</v>
      </c>
      <c r="C1014" t="s">
        <v>1994</v>
      </c>
      <c r="E1014" t="s">
        <v>821</v>
      </c>
      <c r="F1014" t="s">
        <v>822</v>
      </c>
    </row>
    <row r="1015" spans="1:6">
      <c r="A1015" t="s">
        <v>2063</v>
      </c>
      <c r="B1015" t="s">
        <v>16</v>
      </c>
      <c r="C1015" t="s">
        <v>2064</v>
      </c>
      <c r="E1015" t="s">
        <v>18</v>
      </c>
      <c r="F1015" t="s">
        <v>19</v>
      </c>
    </row>
    <row r="1016" spans="1:6">
      <c r="A1016" t="s">
        <v>2065</v>
      </c>
      <c r="B1016" t="s">
        <v>16</v>
      </c>
      <c r="C1016" t="s">
        <v>1931</v>
      </c>
      <c r="E1016" t="s">
        <v>56</v>
      </c>
      <c r="F1016" t="s">
        <v>57</v>
      </c>
    </row>
    <row r="1017" spans="1:6">
      <c r="A1017" t="s">
        <v>2066</v>
      </c>
      <c r="B1017" t="s">
        <v>16</v>
      </c>
      <c r="C1017" t="s">
        <v>1852</v>
      </c>
      <c r="E1017" t="s">
        <v>18</v>
      </c>
      <c r="F1017" t="s">
        <v>19</v>
      </c>
    </row>
    <row r="1018" spans="1:6">
      <c r="A1018" t="s">
        <v>2067</v>
      </c>
      <c r="B1018" t="s">
        <v>16</v>
      </c>
      <c r="C1018" t="s">
        <v>2068</v>
      </c>
      <c r="E1018" t="s">
        <v>18</v>
      </c>
      <c r="F1018" t="s">
        <v>19</v>
      </c>
    </row>
    <row r="1019" spans="1:6">
      <c r="A1019" t="s">
        <v>2069</v>
      </c>
      <c r="B1019" t="s">
        <v>16</v>
      </c>
      <c r="C1019" t="s">
        <v>2070</v>
      </c>
      <c r="E1019" t="s">
        <v>18</v>
      </c>
      <c r="F1019" t="s">
        <v>19</v>
      </c>
    </row>
    <row r="1020" spans="1:6">
      <c r="A1020" t="s">
        <v>2071</v>
      </c>
      <c r="B1020" t="s">
        <v>16</v>
      </c>
      <c r="C1020" t="s">
        <v>2072</v>
      </c>
      <c r="E1020" t="s">
        <v>18</v>
      </c>
      <c r="F1020" t="s">
        <v>19</v>
      </c>
    </row>
    <row r="1021" spans="1:6">
      <c r="A1021" t="s">
        <v>2073</v>
      </c>
      <c r="B1021" t="s">
        <v>16</v>
      </c>
      <c r="C1021" t="s">
        <v>2074</v>
      </c>
      <c r="E1021" t="s">
        <v>786</v>
      </c>
      <c r="F1021" t="s">
        <v>787</v>
      </c>
    </row>
    <row r="1022" spans="1:6">
      <c r="A1022" t="s">
        <v>2075</v>
      </c>
      <c r="B1022" t="s">
        <v>16</v>
      </c>
      <c r="C1022" t="s">
        <v>2076</v>
      </c>
      <c r="E1022" t="s">
        <v>18</v>
      </c>
      <c r="F1022" t="s">
        <v>19</v>
      </c>
    </row>
    <row r="1023" spans="1:6">
      <c r="A1023" t="s">
        <v>2077</v>
      </c>
      <c r="B1023" t="s">
        <v>16</v>
      </c>
      <c r="C1023" t="s">
        <v>2078</v>
      </c>
      <c r="E1023" t="s">
        <v>18</v>
      </c>
      <c r="F1023" t="s">
        <v>19</v>
      </c>
    </row>
    <row r="1024" spans="1:6">
      <c r="A1024" t="s">
        <v>2079</v>
      </c>
      <c r="B1024" t="s">
        <v>16</v>
      </c>
      <c r="C1024" t="s">
        <v>2080</v>
      </c>
      <c r="E1024" t="s">
        <v>18</v>
      </c>
      <c r="F1024" t="s">
        <v>19</v>
      </c>
    </row>
    <row r="1025" spans="1:7">
      <c r="A1025" t="s">
        <v>2081</v>
      </c>
      <c r="B1025" t="s">
        <v>16</v>
      </c>
      <c r="C1025" t="s">
        <v>2082</v>
      </c>
      <c r="E1025" t="s">
        <v>18</v>
      </c>
      <c r="F1025" t="s">
        <v>19</v>
      </c>
    </row>
    <row r="1026" spans="1:7">
      <c r="A1026" t="s">
        <v>2083</v>
      </c>
      <c r="B1026" t="s">
        <v>2084</v>
      </c>
      <c r="C1026" t="s">
        <v>2085</v>
      </c>
      <c r="G1026">
        <v>105</v>
      </c>
    </row>
    <row r="1027" spans="1:7">
      <c r="A1027" t="s">
        <v>2086</v>
      </c>
      <c r="B1027" t="s">
        <v>2087</v>
      </c>
    </row>
    <row r="1028" spans="1:7">
      <c r="A1028" t="s">
        <v>2088</v>
      </c>
      <c r="B1028" t="s">
        <v>2087</v>
      </c>
    </row>
    <row r="1029" spans="1:7">
      <c r="A1029" t="s">
        <v>2089</v>
      </c>
      <c r="B1029" t="s">
        <v>2087</v>
      </c>
    </row>
    <row r="1030" spans="1:7">
      <c r="A1030" t="s">
        <v>2090</v>
      </c>
      <c r="B1030" t="s">
        <v>2087</v>
      </c>
    </row>
    <row r="1031" spans="1:7">
      <c r="A1031" t="s">
        <v>2091</v>
      </c>
      <c r="B1031" t="s">
        <v>2087</v>
      </c>
    </row>
    <row r="1032" spans="1:7">
      <c r="A1032" t="s">
        <v>2092</v>
      </c>
      <c r="B1032" t="s">
        <v>2087</v>
      </c>
    </row>
    <row r="1033" spans="1:7">
      <c r="A1033" t="s">
        <v>2093</v>
      </c>
      <c r="B1033" t="s">
        <v>2087</v>
      </c>
    </row>
    <row r="1034" spans="1:7">
      <c r="A1034" t="s">
        <v>2094</v>
      </c>
      <c r="B1034" t="s">
        <v>2087</v>
      </c>
    </row>
    <row r="1035" spans="1:7">
      <c r="A1035" t="s">
        <v>2095</v>
      </c>
      <c r="B1035" t="s">
        <v>2087</v>
      </c>
    </row>
    <row r="1036" spans="1:7">
      <c r="A1036" t="s">
        <v>2096</v>
      </c>
      <c r="B1036" t="s">
        <v>2087</v>
      </c>
    </row>
    <row r="1037" spans="1:7">
      <c r="A1037" t="s">
        <v>2097</v>
      </c>
      <c r="B1037" t="s">
        <v>2087</v>
      </c>
    </row>
    <row r="1038" spans="1:7">
      <c r="A1038" t="s">
        <v>2098</v>
      </c>
      <c r="B1038" t="s">
        <v>2087</v>
      </c>
    </row>
    <row r="1039" spans="1:7">
      <c r="A1039" t="s">
        <v>2099</v>
      </c>
      <c r="B1039" t="s">
        <v>2087</v>
      </c>
    </row>
    <row r="1040" spans="1:7">
      <c r="A1040" t="s">
        <v>2100</v>
      </c>
      <c r="B1040" t="s">
        <v>2087</v>
      </c>
    </row>
    <row r="1041" spans="1:2">
      <c r="A1041" t="s">
        <v>2101</v>
      </c>
      <c r="B1041" t="s">
        <v>2087</v>
      </c>
    </row>
    <row r="1042" spans="1:2">
      <c r="A1042" t="s">
        <v>2102</v>
      </c>
      <c r="B1042" t="s">
        <v>2087</v>
      </c>
    </row>
    <row r="1043" spans="1:2">
      <c r="A1043" t="s">
        <v>2103</v>
      </c>
      <c r="B1043" t="s">
        <v>2087</v>
      </c>
    </row>
    <row r="1044" spans="1:2">
      <c r="A1044" t="s">
        <v>2104</v>
      </c>
      <c r="B1044" t="s">
        <v>2087</v>
      </c>
    </row>
    <row r="1045" spans="1:2">
      <c r="A1045" t="s">
        <v>2105</v>
      </c>
      <c r="B1045" t="s">
        <v>2087</v>
      </c>
    </row>
    <row r="1046" spans="1:2">
      <c r="A1046" t="s">
        <v>2106</v>
      </c>
      <c r="B1046" t="s">
        <v>2087</v>
      </c>
    </row>
    <row r="1047" spans="1:2">
      <c r="A1047" t="s">
        <v>2107</v>
      </c>
      <c r="B1047" t="s">
        <v>2087</v>
      </c>
    </row>
    <row r="1048" spans="1:2">
      <c r="A1048" t="s">
        <v>2108</v>
      </c>
      <c r="B1048" t="s">
        <v>2087</v>
      </c>
    </row>
    <row r="1049" spans="1:2">
      <c r="A1049" t="s">
        <v>2109</v>
      </c>
      <c r="B1049" t="s">
        <v>2087</v>
      </c>
    </row>
    <row r="1050" spans="1:2">
      <c r="A1050" t="s">
        <v>2110</v>
      </c>
      <c r="B1050" t="s">
        <v>2087</v>
      </c>
    </row>
    <row r="1051" spans="1:2">
      <c r="A1051" t="s">
        <v>2111</v>
      </c>
      <c r="B1051" t="s">
        <v>2087</v>
      </c>
    </row>
    <row r="1052" spans="1:2">
      <c r="A1052" t="s">
        <v>2112</v>
      </c>
      <c r="B1052" t="s">
        <v>2087</v>
      </c>
    </row>
    <row r="1053" spans="1:2">
      <c r="A1053" t="s">
        <v>2113</v>
      </c>
      <c r="B1053" t="s">
        <v>2087</v>
      </c>
    </row>
    <row r="1054" spans="1:2">
      <c r="A1054" t="s">
        <v>2114</v>
      </c>
      <c r="B1054" t="s">
        <v>2087</v>
      </c>
    </row>
    <row r="1055" spans="1:2">
      <c r="A1055" t="s">
        <v>2115</v>
      </c>
      <c r="B1055" t="s">
        <v>2087</v>
      </c>
    </row>
    <row r="1056" spans="1:2">
      <c r="A1056" t="s">
        <v>2116</v>
      </c>
      <c r="B1056" t="s">
        <v>2087</v>
      </c>
    </row>
    <row r="1057" spans="1:2">
      <c r="A1057" t="s">
        <v>2117</v>
      </c>
      <c r="B1057" t="s">
        <v>2087</v>
      </c>
    </row>
    <row r="1058" spans="1:2">
      <c r="A1058" t="s">
        <v>2118</v>
      </c>
      <c r="B1058" t="s">
        <v>2087</v>
      </c>
    </row>
    <row r="1059" spans="1:2">
      <c r="A1059" t="s">
        <v>2119</v>
      </c>
      <c r="B1059" t="s">
        <v>2087</v>
      </c>
    </row>
    <row r="1060" spans="1:2">
      <c r="A1060" t="s">
        <v>2120</v>
      </c>
      <c r="B1060" t="s">
        <v>2087</v>
      </c>
    </row>
    <row r="1061" spans="1:2">
      <c r="A1061" t="s">
        <v>2121</v>
      </c>
      <c r="B1061" t="s">
        <v>2087</v>
      </c>
    </row>
    <row r="1062" spans="1:2">
      <c r="A1062" t="s">
        <v>2122</v>
      </c>
      <c r="B1062" t="s">
        <v>2087</v>
      </c>
    </row>
    <row r="1063" spans="1:2">
      <c r="A1063" t="s">
        <v>2123</v>
      </c>
      <c r="B1063" t="s">
        <v>2087</v>
      </c>
    </row>
    <row r="1064" spans="1:2">
      <c r="A1064" t="s">
        <v>2124</v>
      </c>
      <c r="B1064" t="s">
        <v>2087</v>
      </c>
    </row>
    <row r="1065" spans="1:2">
      <c r="A1065" t="s">
        <v>2125</v>
      </c>
      <c r="B1065" t="s">
        <v>2087</v>
      </c>
    </row>
    <row r="1066" spans="1:2">
      <c r="A1066" t="s">
        <v>2126</v>
      </c>
      <c r="B1066" t="s">
        <v>2087</v>
      </c>
    </row>
    <row r="1067" spans="1:2">
      <c r="A1067" t="s">
        <v>2127</v>
      </c>
      <c r="B1067" t="s">
        <v>2087</v>
      </c>
    </row>
    <row r="1068" spans="1:2">
      <c r="A1068" t="s">
        <v>2128</v>
      </c>
      <c r="B1068" t="s">
        <v>2087</v>
      </c>
    </row>
    <row r="1069" spans="1:2">
      <c r="A1069" t="s">
        <v>2129</v>
      </c>
      <c r="B1069" t="s">
        <v>2087</v>
      </c>
    </row>
    <row r="1070" spans="1:2">
      <c r="A1070" t="s">
        <v>2130</v>
      </c>
      <c r="B1070" t="s">
        <v>2087</v>
      </c>
    </row>
    <row r="1071" spans="1:2">
      <c r="A1071" t="s">
        <v>2131</v>
      </c>
      <c r="B1071" t="s">
        <v>2087</v>
      </c>
    </row>
    <row r="1072" spans="1:2">
      <c r="A1072" t="s">
        <v>2132</v>
      </c>
      <c r="B1072" t="s">
        <v>2087</v>
      </c>
    </row>
    <row r="1073" spans="1:2">
      <c r="A1073" t="s">
        <v>2133</v>
      </c>
      <c r="B1073" t="s">
        <v>2087</v>
      </c>
    </row>
    <row r="1074" spans="1:2">
      <c r="A1074" t="s">
        <v>2134</v>
      </c>
      <c r="B1074" t="s">
        <v>2087</v>
      </c>
    </row>
    <row r="1075" spans="1:2">
      <c r="A1075" t="s">
        <v>2135</v>
      </c>
      <c r="B1075" t="s">
        <v>2087</v>
      </c>
    </row>
    <row r="1076" spans="1:2">
      <c r="A1076" t="s">
        <v>2136</v>
      </c>
      <c r="B1076" t="s">
        <v>2087</v>
      </c>
    </row>
    <row r="1077" spans="1:2">
      <c r="A1077" t="s">
        <v>2137</v>
      </c>
      <c r="B1077" t="s">
        <v>2087</v>
      </c>
    </row>
    <row r="1078" spans="1:2">
      <c r="A1078" t="s">
        <v>2138</v>
      </c>
      <c r="B1078" t="s">
        <v>2087</v>
      </c>
    </row>
    <row r="1079" spans="1:2">
      <c r="A1079" t="s">
        <v>2139</v>
      </c>
      <c r="B1079" t="s">
        <v>2087</v>
      </c>
    </row>
    <row r="1080" spans="1:2">
      <c r="A1080" t="s">
        <v>2140</v>
      </c>
      <c r="B1080" t="s">
        <v>2087</v>
      </c>
    </row>
    <row r="1081" spans="1:2">
      <c r="A1081" t="s">
        <v>2141</v>
      </c>
      <c r="B1081" t="s">
        <v>2087</v>
      </c>
    </row>
    <row r="1082" spans="1:2">
      <c r="A1082" t="s">
        <v>2142</v>
      </c>
      <c r="B1082" t="s">
        <v>2087</v>
      </c>
    </row>
    <row r="1083" spans="1:2">
      <c r="A1083" t="s">
        <v>2143</v>
      </c>
      <c r="B1083" t="s">
        <v>2087</v>
      </c>
    </row>
    <row r="1084" spans="1:2">
      <c r="A1084" t="s">
        <v>2144</v>
      </c>
      <c r="B1084" t="s">
        <v>2087</v>
      </c>
    </row>
    <row r="1085" spans="1:2">
      <c r="A1085" t="s">
        <v>2145</v>
      </c>
      <c r="B1085" t="s">
        <v>2087</v>
      </c>
    </row>
    <row r="1086" spans="1:2">
      <c r="A1086" t="s">
        <v>2146</v>
      </c>
      <c r="B1086" t="s">
        <v>2087</v>
      </c>
    </row>
    <row r="1087" spans="1:2">
      <c r="A1087" t="s">
        <v>2147</v>
      </c>
      <c r="B1087" t="s">
        <v>2087</v>
      </c>
    </row>
    <row r="1088" spans="1:2">
      <c r="A1088" t="s">
        <v>2148</v>
      </c>
      <c r="B1088" t="s">
        <v>2087</v>
      </c>
    </row>
    <row r="1089" spans="1:2">
      <c r="A1089" t="s">
        <v>2149</v>
      </c>
      <c r="B1089" t="s">
        <v>2087</v>
      </c>
    </row>
    <row r="1090" spans="1:2">
      <c r="A1090" t="s">
        <v>2150</v>
      </c>
      <c r="B1090" t="s">
        <v>2087</v>
      </c>
    </row>
    <row r="1091" spans="1:2">
      <c r="A1091" t="s">
        <v>2151</v>
      </c>
      <c r="B1091" t="s">
        <v>2087</v>
      </c>
    </row>
    <row r="1092" spans="1:2">
      <c r="A1092" t="s">
        <v>2152</v>
      </c>
      <c r="B1092" t="s">
        <v>2087</v>
      </c>
    </row>
    <row r="1093" spans="1:2">
      <c r="A1093" t="s">
        <v>2153</v>
      </c>
      <c r="B1093" t="s">
        <v>2087</v>
      </c>
    </row>
    <row r="1094" spans="1:2">
      <c r="A1094" t="s">
        <v>2154</v>
      </c>
      <c r="B1094" t="s">
        <v>2087</v>
      </c>
    </row>
    <row r="1095" spans="1:2">
      <c r="A1095" t="s">
        <v>2155</v>
      </c>
      <c r="B1095" t="s">
        <v>2087</v>
      </c>
    </row>
    <row r="1096" spans="1:2">
      <c r="A1096" t="s">
        <v>2156</v>
      </c>
      <c r="B1096" t="s">
        <v>2087</v>
      </c>
    </row>
    <row r="1097" spans="1:2">
      <c r="A1097" t="s">
        <v>2157</v>
      </c>
      <c r="B1097" t="s">
        <v>2087</v>
      </c>
    </row>
    <row r="1098" spans="1:2">
      <c r="A1098" t="s">
        <v>2158</v>
      </c>
      <c r="B1098" t="s">
        <v>2087</v>
      </c>
    </row>
    <row r="1099" spans="1:2">
      <c r="A1099" t="s">
        <v>2159</v>
      </c>
      <c r="B1099" t="s">
        <v>2087</v>
      </c>
    </row>
    <row r="1100" spans="1:2">
      <c r="A1100" t="s">
        <v>2160</v>
      </c>
      <c r="B1100" t="s">
        <v>2087</v>
      </c>
    </row>
    <row r="1101" spans="1:2">
      <c r="A1101" t="s">
        <v>2161</v>
      </c>
      <c r="B1101" t="s">
        <v>2087</v>
      </c>
    </row>
    <row r="1102" spans="1:2">
      <c r="A1102" t="s">
        <v>2162</v>
      </c>
      <c r="B1102" t="s">
        <v>2087</v>
      </c>
    </row>
    <row r="1103" spans="1:2">
      <c r="A1103" t="s">
        <v>2163</v>
      </c>
      <c r="B1103" t="s">
        <v>2087</v>
      </c>
    </row>
    <row r="1104" spans="1:2">
      <c r="A1104" t="s">
        <v>2164</v>
      </c>
      <c r="B1104" t="s">
        <v>2087</v>
      </c>
    </row>
    <row r="1105" spans="1:2">
      <c r="A1105" t="s">
        <v>2165</v>
      </c>
      <c r="B1105" t="s">
        <v>2087</v>
      </c>
    </row>
    <row r="1106" spans="1:2">
      <c r="A1106" t="s">
        <v>2166</v>
      </c>
      <c r="B1106" t="s">
        <v>2087</v>
      </c>
    </row>
    <row r="1107" spans="1:2">
      <c r="A1107" t="s">
        <v>2167</v>
      </c>
      <c r="B1107" t="s">
        <v>2087</v>
      </c>
    </row>
    <row r="1108" spans="1:2">
      <c r="A1108" t="s">
        <v>2168</v>
      </c>
      <c r="B1108" t="s">
        <v>2087</v>
      </c>
    </row>
    <row r="1109" spans="1:2">
      <c r="A1109" t="s">
        <v>2169</v>
      </c>
      <c r="B1109" t="s">
        <v>2087</v>
      </c>
    </row>
    <row r="1110" spans="1:2">
      <c r="A1110" t="s">
        <v>2170</v>
      </c>
      <c r="B1110" t="s">
        <v>2087</v>
      </c>
    </row>
    <row r="1111" spans="1:2">
      <c r="A1111" t="s">
        <v>2171</v>
      </c>
      <c r="B1111" t="s">
        <v>2087</v>
      </c>
    </row>
    <row r="1112" spans="1:2">
      <c r="A1112" t="s">
        <v>2172</v>
      </c>
      <c r="B1112" t="s">
        <v>2087</v>
      </c>
    </row>
    <row r="1113" spans="1:2">
      <c r="A1113" t="s">
        <v>2173</v>
      </c>
      <c r="B1113" t="s">
        <v>2087</v>
      </c>
    </row>
    <row r="1114" spans="1:2">
      <c r="A1114" t="s">
        <v>2174</v>
      </c>
      <c r="B1114" t="s">
        <v>2087</v>
      </c>
    </row>
    <row r="1115" spans="1:2">
      <c r="A1115" t="s">
        <v>2175</v>
      </c>
      <c r="B1115" t="s">
        <v>2087</v>
      </c>
    </row>
    <row r="1116" spans="1:2">
      <c r="A1116" t="s">
        <v>2176</v>
      </c>
      <c r="B1116" t="s">
        <v>2087</v>
      </c>
    </row>
    <row r="1117" spans="1:2">
      <c r="A1117" t="s">
        <v>2177</v>
      </c>
      <c r="B1117" t="s">
        <v>2087</v>
      </c>
    </row>
    <row r="1118" spans="1:2">
      <c r="A1118" t="s">
        <v>2178</v>
      </c>
      <c r="B1118" t="s">
        <v>2087</v>
      </c>
    </row>
    <row r="1119" spans="1:2">
      <c r="A1119" t="s">
        <v>2179</v>
      </c>
      <c r="B1119" t="s">
        <v>2087</v>
      </c>
    </row>
    <row r="1120" spans="1:2">
      <c r="A1120" t="s">
        <v>2180</v>
      </c>
      <c r="B1120" t="s">
        <v>2087</v>
      </c>
    </row>
    <row r="1121" spans="1:2">
      <c r="A1121" t="s">
        <v>2181</v>
      </c>
      <c r="B1121" t="s">
        <v>2087</v>
      </c>
    </row>
    <row r="1122" spans="1:2">
      <c r="A1122" t="s">
        <v>2182</v>
      </c>
      <c r="B1122" t="s">
        <v>2087</v>
      </c>
    </row>
    <row r="1123" spans="1:2">
      <c r="A1123" t="s">
        <v>2183</v>
      </c>
      <c r="B1123" t="s">
        <v>2087</v>
      </c>
    </row>
    <row r="1124" spans="1:2">
      <c r="A1124" t="s">
        <v>2184</v>
      </c>
      <c r="B1124" t="s">
        <v>2087</v>
      </c>
    </row>
    <row r="1125" spans="1:2">
      <c r="A1125" t="s">
        <v>2185</v>
      </c>
      <c r="B1125" t="s">
        <v>2087</v>
      </c>
    </row>
    <row r="1126" spans="1:2">
      <c r="A1126" t="s">
        <v>2186</v>
      </c>
      <c r="B1126" t="s">
        <v>2087</v>
      </c>
    </row>
    <row r="1127" spans="1:2">
      <c r="A1127" t="s">
        <v>2187</v>
      </c>
      <c r="B1127" t="s">
        <v>2087</v>
      </c>
    </row>
    <row r="1128" spans="1:2">
      <c r="A1128" t="s">
        <v>2188</v>
      </c>
      <c r="B1128" t="s">
        <v>2087</v>
      </c>
    </row>
    <row r="1129" spans="1:2">
      <c r="A1129" t="s">
        <v>2189</v>
      </c>
      <c r="B1129" t="s">
        <v>2087</v>
      </c>
    </row>
    <row r="1130" spans="1:2">
      <c r="A1130" t="s">
        <v>2190</v>
      </c>
      <c r="B1130" t="s">
        <v>2087</v>
      </c>
    </row>
    <row r="1131" spans="1:2">
      <c r="A1131" t="s">
        <v>2191</v>
      </c>
      <c r="B1131" t="s">
        <v>2087</v>
      </c>
    </row>
    <row r="1132" spans="1:2">
      <c r="A1132" t="s">
        <v>2192</v>
      </c>
      <c r="B1132" t="s">
        <v>2087</v>
      </c>
    </row>
    <row r="1133" spans="1:2">
      <c r="A1133" t="s">
        <v>2193</v>
      </c>
      <c r="B1133" t="s">
        <v>2087</v>
      </c>
    </row>
    <row r="1134" spans="1:2">
      <c r="A1134" t="s">
        <v>2194</v>
      </c>
      <c r="B1134" t="s">
        <v>2087</v>
      </c>
    </row>
    <row r="1135" spans="1:2">
      <c r="A1135" t="s">
        <v>2195</v>
      </c>
      <c r="B1135" t="s">
        <v>2087</v>
      </c>
    </row>
    <row r="1136" spans="1:2">
      <c r="A1136" t="s">
        <v>2196</v>
      </c>
      <c r="B1136" t="s">
        <v>2087</v>
      </c>
    </row>
    <row r="1137" spans="1:2">
      <c r="A1137" t="s">
        <v>2197</v>
      </c>
      <c r="B1137" t="s">
        <v>2087</v>
      </c>
    </row>
    <row r="1138" spans="1:2">
      <c r="A1138" t="s">
        <v>2198</v>
      </c>
      <c r="B1138" t="s">
        <v>2087</v>
      </c>
    </row>
    <row r="1139" spans="1:2">
      <c r="A1139" t="s">
        <v>2199</v>
      </c>
      <c r="B1139" t="s">
        <v>2087</v>
      </c>
    </row>
    <row r="1140" spans="1:2">
      <c r="A1140" t="s">
        <v>2200</v>
      </c>
      <c r="B1140" t="s">
        <v>2087</v>
      </c>
    </row>
    <row r="1141" spans="1:2">
      <c r="A1141" t="s">
        <v>2201</v>
      </c>
      <c r="B1141" t="s">
        <v>2087</v>
      </c>
    </row>
    <row r="1142" spans="1:2">
      <c r="A1142" t="s">
        <v>2202</v>
      </c>
      <c r="B1142" t="s">
        <v>2087</v>
      </c>
    </row>
    <row r="1143" spans="1:2">
      <c r="A1143" t="s">
        <v>2203</v>
      </c>
      <c r="B1143" t="s">
        <v>2087</v>
      </c>
    </row>
    <row r="1144" spans="1:2">
      <c r="A1144" t="s">
        <v>2204</v>
      </c>
      <c r="B1144" t="s">
        <v>2087</v>
      </c>
    </row>
    <row r="1145" spans="1:2">
      <c r="A1145" t="s">
        <v>2205</v>
      </c>
      <c r="B1145" t="s">
        <v>2087</v>
      </c>
    </row>
    <row r="1146" spans="1:2">
      <c r="A1146" t="s">
        <v>2206</v>
      </c>
      <c r="B1146" t="s">
        <v>2087</v>
      </c>
    </row>
    <row r="1147" spans="1:2">
      <c r="A1147" t="s">
        <v>2207</v>
      </c>
      <c r="B1147" t="s">
        <v>2087</v>
      </c>
    </row>
    <row r="1148" spans="1:2">
      <c r="A1148" t="s">
        <v>2208</v>
      </c>
      <c r="B1148" t="s">
        <v>2087</v>
      </c>
    </row>
    <row r="1149" spans="1:2">
      <c r="A1149" t="s">
        <v>2209</v>
      </c>
      <c r="B1149" t="s">
        <v>2087</v>
      </c>
    </row>
    <row r="1150" spans="1:2">
      <c r="A1150" t="s">
        <v>2210</v>
      </c>
      <c r="B1150" t="s">
        <v>2087</v>
      </c>
    </row>
    <row r="1151" spans="1:2">
      <c r="A1151" t="s">
        <v>2211</v>
      </c>
      <c r="B1151" t="s">
        <v>2087</v>
      </c>
    </row>
    <row r="1152" spans="1:2">
      <c r="A1152" t="s">
        <v>2212</v>
      </c>
      <c r="B1152" t="s">
        <v>2087</v>
      </c>
    </row>
    <row r="1153" spans="1:3">
      <c r="A1153" t="s">
        <v>2213</v>
      </c>
      <c r="B1153" t="s">
        <v>2087</v>
      </c>
    </row>
    <row r="1154" spans="1:3">
      <c r="A1154" t="s">
        <v>2214</v>
      </c>
      <c r="B1154" t="s">
        <v>2087</v>
      </c>
    </row>
    <row r="1155" spans="1:3">
      <c r="A1155" t="s">
        <v>2215</v>
      </c>
      <c r="B1155" t="s">
        <v>2087</v>
      </c>
    </row>
    <row r="1156" spans="1:3">
      <c r="A1156" t="s">
        <v>2216</v>
      </c>
      <c r="B1156" t="s">
        <v>2087</v>
      </c>
    </row>
    <row r="1157" spans="1:3">
      <c r="A1157" t="s">
        <v>2217</v>
      </c>
      <c r="B1157" t="s">
        <v>2087</v>
      </c>
    </row>
    <row r="1158" spans="1:3">
      <c r="A1158" t="s">
        <v>2218</v>
      </c>
      <c r="B1158" t="s">
        <v>2087</v>
      </c>
    </row>
    <row r="1159" spans="1:3">
      <c r="A1159" t="s">
        <v>2219</v>
      </c>
      <c r="B1159" t="s">
        <v>2087</v>
      </c>
    </row>
    <row r="1160" spans="1:3">
      <c r="A1160" t="s">
        <v>2220</v>
      </c>
      <c r="B1160" t="s">
        <v>2087</v>
      </c>
    </row>
    <row r="1161" spans="1:3">
      <c r="A1161" t="s">
        <v>2221</v>
      </c>
      <c r="B1161" t="s">
        <v>2222</v>
      </c>
      <c r="C1161" t="s">
        <v>2223</v>
      </c>
    </row>
    <row r="1162" spans="1:3">
      <c r="A1162" t="s">
        <v>2224</v>
      </c>
      <c r="B1162" t="s">
        <v>2225</v>
      </c>
      <c r="C1162" t="s">
        <v>2226</v>
      </c>
    </row>
    <row r="1163" spans="1:3">
      <c r="A1163" t="s">
        <v>2227</v>
      </c>
      <c r="B1163" t="s">
        <v>2225</v>
      </c>
      <c r="C1163" t="s">
        <v>2228</v>
      </c>
    </row>
    <row r="1164" spans="1:3">
      <c r="A1164" t="s">
        <v>2229</v>
      </c>
      <c r="B1164" t="s">
        <v>2225</v>
      </c>
      <c r="C1164" t="s">
        <v>2230</v>
      </c>
    </row>
    <row r="1165" spans="1:3">
      <c r="A1165" t="s">
        <v>2231</v>
      </c>
      <c r="B1165" t="s">
        <v>2225</v>
      </c>
      <c r="C1165" t="s">
        <v>2232</v>
      </c>
    </row>
    <row r="1166" spans="1:3">
      <c r="A1166" t="s">
        <v>2233</v>
      </c>
      <c r="B1166" t="s">
        <v>2225</v>
      </c>
      <c r="C1166" t="s">
        <v>2234</v>
      </c>
    </row>
    <row r="1167" spans="1:3">
      <c r="A1167" t="s">
        <v>2235</v>
      </c>
      <c r="B1167" t="s">
        <v>2225</v>
      </c>
      <c r="C1167" t="s">
        <v>2236</v>
      </c>
    </row>
    <row r="1168" spans="1:3">
      <c r="A1168" t="s">
        <v>2237</v>
      </c>
      <c r="B1168" t="s">
        <v>2225</v>
      </c>
      <c r="C1168" t="s">
        <v>2238</v>
      </c>
    </row>
    <row r="1169" spans="1:3">
      <c r="A1169" t="s">
        <v>2239</v>
      </c>
      <c r="B1169" t="s">
        <v>2225</v>
      </c>
      <c r="C1169" t="s">
        <v>2240</v>
      </c>
    </row>
    <row r="1170" spans="1:3">
      <c r="A1170" t="s">
        <v>2241</v>
      </c>
      <c r="B1170" t="s">
        <v>2225</v>
      </c>
      <c r="C1170" t="s">
        <v>2242</v>
      </c>
    </row>
    <row r="1171" spans="1:3">
      <c r="A1171" t="s">
        <v>2243</v>
      </c>
      <c r="B1171" t="s">
        <v>2225</v>
      </c>
      <c r="C1171" t="s">
        <v>2244</v>
      </c>
    </row>
    <row r="1172" spans="1:3">
      <c r="A1172" t="s">
        <v>2245</v>
      </c>
      <c r="B1172" t="s">
        <v>2246</v>
      </c>
      <c r="C1172" t="s">
        <v>2247</v>
      </c>
    </row>
    <row r="1173" spans="1:3">
      <c r="A1173" t="s">
        <v>2248</v>
      </c>
      <c r="B1173" t="s">
        <v>2246</v>
      </c>
      <c r="C1173" t="s">
        <v>2249</v>
      </c>
    </row>
    <row r="1174" spans="1:3">
      <c r="A1174" t="s">
        <v>2250</v>
      </c>
      <c r="B1174" t="s">
        <v>2246</v>
      </c>
      <c r="C1174" t="s">
        <v>2251</v>
      </c>
    </row>
    <row r="1175" spans="1:3">
      <c r="A1175" t="s">
        <v>2252</v>
      </c>
      <c r="B1175" t="s">
        <v>2246</v>
      </c>
      <c r="C1175" t="s">
        <v>2253</v>
      </c>
    </row>
    <row r="1176" spans="1:3">
      <c r="A1176" t="s">
        <v>2254</v>
      </c>
      <c r="B1176" t="s">
        <v>2246</v>
      </c>
      <c r="C1176" t="s">
        <v>2255</v>
      </c>
    </row>
    <row r="1177" spans="1:3">
      <c r="A1177" t="s">
        <v>2256</v>
      </c>
      <c r="B1177" t="s">
        <v>2246</v>
      </c>
      <c r="C1177" t="s">
        <v>2257</v>
      </c>
    </row>
    <row r="1178" spans="1:3">
      <c r="A1178" t="s">
        <v>2258</v>
      </c>
      <c r="B1178" t="s">
        <v>2246</v>
      </c>
      <c r="C1178" t="s">
        <v>2259</v>
      </c>
    </row>
    <row r="1179" spans="1:3">
      <c r="A1179" t="s">
        <v>2260</v>
      </c>
      <c r="B1179" t="s">
        <v>2246</v>
      </c>
      <c r="C1179" t="s">
        <v>2261</v>
      </c>
    </row>
    <row r="1180" spans="1:3">
      <c r="A1180" t="s">
        <v>2262</v>
      </c>
      <c r="B1180" t="s">
        <v>2246</v>
      </c>
      <c r="C1180" t="s">
        <v>2263</v>
      </c>
    </row>
    <row r="1181" spans="1:3">
      <c r="A1181" t="s">
        <v>2264</v>
      </c>
      <c r="B1181" t="s">
        <v>2246</v>
      </c>
      <c r="C1181" t="s">
        <v>2265</v>
      </c>
    </row>
    <row r="1182" spans="1:3">
      <c r="A1182" t="s">
        <v>2266</v>
      </c>
      <c r="B1182" t="s">
        <v>2246</v>
      </c>
      <c r="C1182" t="s">
        <v>2267</v>
      </c>
    </row>
    <row r="1183" spans="1:3">
      <c r="A1183" t="s">
        <v>2268</v>
      </c>
      <c r="B1183" t="s">
        <v>2246</v>
      </c>
      <c r="C1183" t="s">
        <v>2269</v>
      </c>
    </row>
    <row r="1184" spans="1:3">
      <c r="A1184" t="s">
        <v>2270</v>
      </c>
      <c r="B1184" t="s">
        <v>2246</v>
      </c>
      <c r="C1184" t="s">
        <v>2271</v>
      </c>
    </row>
    <row r="1185" spans="1:3">
      <c r="A1185" t="s">
        <v>2272</v>
      </c>
      <c r="B1185" t="s">
        <v>2246</v>
      </c>
      <c r="C1185" t="s">
        <v>2273</v>
      </c>
    </row>
    <row r="1186" spans="1:3">
      <c r="A1186" t="s">
        <v>2274</v>
      </c>
      <c r="B1186" t="s">
        <v>2246</v>
      </c>
      <c r="C1186" t="s">
        <v>2275</v>
      </c>
    </row>
    <row r="1187" spans="1:3">
      <c r="A1187" t="s">
        <v>2276</v>
      </c>
      <c r="B1187" t="s">
        <v>2246</v>
      </c>
      <c r="C1187" t="s">
        <v>2277</v>
      </c>
    </row>
    <row r="1188" spans="1:3">
      <c r="A1188" t="s">
        <v>2278</v>
      </c>
      <c r="B1188" t="s">
        <v>2246</v>
      </c>
      <c r="C1188" t="s">
        <v>2279</v>
      </c>
    </row>
    <row r="1189" spans="1:3">
      <c r="A1189" t="s">
        <v>2280</v>
      </c>
      <c r="B1189" t="s">
        <v>2246</v>
      </c>
      <c r="C1189" t="s">
        <v>2281</v>
      </c>
    </row>
    <row r="1190" spans="1:3">
      <c r="A1190" t="s">
        <v>2282</v>
      </c>
      <c r="B1190" t="s">
        <v>2246</v>
      </c>
      <c r="C1190" t="s">
        <v>2283</v>
      </c>
    </row>
    <row r="1191" spans="1:3">
      <c r="A1191" t="s">
        <v>2284</v>
      </c>
      <c r="B1191" t="s">
        <v>2246</v>
      </c>
      <c r="C1191" t="s">
        <v>2285</v>
      </c>
    </row>
    <row r="1192" spans="1:3">
      <c r="A1192" t="s">
        <v>2286</v>
      </c>
      <c r="B1192" t="s">
        <v>2246</v>
      </c>
      <c r="C1192" t="s">
        <v>2287</v>
      </c>
    </row>
    <row r="1193" spans="1:3">
      <c r="A1193" t="s">
        <v>2288</v>
      </c>
      <c r="B1193" t="s">
        <v>2246</v>
      </c>
      <c r="C1193" t="s">
        <v>2289</v>
      </c>
    </row>
    <row r="1194" spans="1:3">
      <c r="A1194" t="s">
        <v>2290</v>
      </c>
      <c r="B1194" t="s">
        <v>2246</v>
      </c>
      <c r="C1194" t="s">
        <v>2291</v>
      </c>
    </row>
    <row r="1195" spans="1:3">
      <c r="A1195" t="s">
        <v>2292</v>
      </c>
      <c r="B1195" t="s">
        <v>2246</v>
      </c>
      <c r="C1195" t="s">
        <v>2293</v>
      </c>
    </row>
    <row r="1196" spans="1:3">
      <c r="A1196" t="s">
        <v>2294</v>
      </c>
      <c r="B1196" t="s">
        <v>2246</v>
      </c>
      <c r="C1196" t="s">
        <v>2295</v>
      </c>
    </row>
    <row r="1197" spans="1:3">
      <c r="A1197" t="s">
        <v>2296</v>
      </c>
      <c r="B1197" t="s">
        <v>2246</v>
      </c>
      <c r="C1197" t="s">
        <v>2297</v>
      </c>
    </row>
    <row r="1198" spans="1:3">
      <c r="A1198" t="s">
        <v>2298</v>
      </c>
      <c r="B1198" t="s">
        <v>2246</v>
      </c>
      <c r="C1198" t="s">
        <v>2299</v>
      </c>
    </row>
    <row r="1199" spans="1:3">
      <c r="A1199" t="s">
        <v>2300</v>
      </c>
      <c r="B1199" t="s">
        <v>2246</v>
      </c>
      <c r="C1199" t="s">
        <v>2301</v>
      </c>
    </row>
    <row r="1200" spans="1:3">
      <c r="A1200" t="s">
        <v>2302</v>
      </c>
      <c r="B1200" t="s">
        <v>2246</v>
      </c>
      <c r="C1200" t="s">
        <v>2303</v>
      </c>
    </row>
    <row r="1201" spans="1:3">
      <c r="A1201" t="s">
        <v>2304</v>
      </c>
      <c r="B1201" t="s">
        <v>2246</v>
      </c>
      <c r="C1201" t="s">
        <v>2305</v>
      </c>
    </row>
    <row r="1202" spans="1:3">
      <c r="A1202" t="s">
        <v>2306</v>
      </c>
      <c r="B1202" t="s">
        <v>2246</v>
      </c>
      <c r="C1202" t="s">
        <v>2307</v>
      </c>
    </row>
    <row r="1203" spans="1:3">
      <c r="A1203" t="s">
        <v>2308</v>
      </c>
      <c r="B1203" t="s">
        <v>2246</v>
      </c>
      <c r="C1203" t="s">
        <v>2309</v>
      </c>
    </row>
    <row r="1204" spans="1:3">
      <c r="A1204" t="s">
        <v>2310</v>
      </c>
      <c r="B1204" t="s">
        <v>2246</v>
      </c>
      <c r="C1204" t="s">
        <v>2311</v>
      </c>
    </row>
    <row r="1205" spans="1:3">
      <c r="A1205" t="s">
        <v>2312</v>
      </c>
      <c r="B1205" t="s">
        <v>2246</v>
      </c>
      <c r="C1205" t="s">
        <v>2313</v>
      </c>
    </row>
    <row r="1206" spans="1:3">
      <c r="A1206" t="s">
        <v>2314</v>
      </c>
      <c r="B1206" t="s">
        <v>2246</v>
      </c>
      <c r="C1206" t="s">
        <v>2315</v>
      </c>
    </row>
    <row r="1207" spans="1:3">
      <c r="A1207" t="s">
        <v>2316</v>
      </c>
      <c r="B1207" t="s">
        <v>2246</v>
      </c>
      <c r="C1207" t="s">
        <v>2317</v>
      </c>
    </row>
    <row r="1208" spans="1:3">
      <c r="A1208" t="s">
        <v>2318</v>
      </c>
      <c r="B1208" t="s">
        <v>2246</v>
      </c>
      <c r="C1208" t="s">
        <v>2319</v>
      </c>
    </row>
    <row r="1209" spans="1:3">
      <c r="A1209" t="s">
        <v>2320</v>
      </c>
      <c r="B1209" t="s">
        <v>2246</v>
      </c>
      <c r="C1209" t="s">
        <v>2321</v>
      </c>
    </row>
    <row r="1210" spans="1:3">
      <c r="A1210" t="s">
        <v>2322</v>
      </c>
      <c r="B1210" t="s">
        <v>2246</v>
      </c>
      <c r="C1210" t="s">
        <v>2323</v>
      </c>
    </row>
    <row r="1211" spans="1:3">
      <c r="A1211" t="s">
        <v>2324</v>
      </c>
      <c r="B1211" t="s">
        <v>2246</v>
      </c>
      <c r="C1211" t="s">
        <v>2325</v>
      </c>
    </row>
    <row r="1212" spans="1:3">
      <c r="A1212" t="s">
        <v>2326</v>
      </c>
      <c r="B1212" t="s">
        <v>2246</v>
      </c>
      <c r="C1212" t="s">
        <v>2327</v>
      </c>
    </row>
    <row r="1213" spans="1:3">
      <c r="A1213" t="s">
        <v>2328</v>
      </c>
      <c r="B1213" t="s">
        <v>2246</v>
      </c>
      <c r="C1213" t="s">
        <v>2329</v>
      </c>
    </row>
    <row r="1214" spans="1:3">
      <c r="A1214" t="s">
        <v>2330</v>
      </c>
      <c r="B1214" t="s">
        <v>2246</v>
      </c>
      <c r="C1214" t="s">
        <v>2331</v>
      </c>
    </row>
    <row r="1215" spans="1:3">
      <c r="A1215" t="s">
        <v>2332</v>
      </c>
      <c r="B1215" t="s">
        <v>2246</v>
      </c>
      <c r="C1215" t="s">
        <v>2333</v>
      </c>
    </row>
    <row r="1216" spans="1:3">
      <c r="A1216" t="s">
        <v>2334</v>
      </c>
      <c r="B1216" t="s">
        <v>2246</v>
      </c>
      <c r="C1216" t="s">
        <v>2335</v>
      </c>
    </row>
    <row r="1217" spans="1:3">
      <c r="A1217" t="s">
        <v>2336</v>
      </c>
      <c r="B1217" t="s">
        <v>2246</v>
      </c>
      <c r="C1217" t="s">
        <v>2337</v>
      </c>
    </row>
    <row r="1218" spans="1:3">
      <c r="A1218" t="s">
        <v>2338</v>
      </c>
      <c r="B1218" t="s">
        <v>2246</v>
      </c>
      <c r="C1218" t="s">
        <v>2339</v>
      </c>
    </row>
    <row r="1219" spans="1:3">
      <c r="A1219" t="s">
        <v>2340</v>
      </c>
      <c r="B1219" t="s">
        <v>2246</v>
      </c>
      <c r="C1219" t="s">
        <v>2341</v>
      </c>
    </row>
    <row r="1220" spans="1:3">
      <c r="A1220" t="s">
        <v>2342</v>
      </c>
      <c r="B1220" t="s">
        <v>2246</v>
      </c>
      <c r="C1220" t="s">
        <v>2343</v>
      </c>
    </row>
    <row r="1221" spans="1:3">
      <c r="A1221" t="s">
        <v>2344</v>
      </c>
      <c r="B1221" t="s">
        <v>2246</v>
      </c>
      <c r="C1221" t="s">
        <v>2345</v>
      </c>
    </row>
    <row r="1222" spans="1:3">
      <c r="A1222" t="s">
        <v>2346</v>
      </c>
      <c r="B1222" t="s">
        <v>2246</v>
      </c>
      <c r="C1222" t="s">
        <v>2347</v>
      </c>
    </row>
    <row r="1223" spans="1:3">
      <c r="A1223" t="s">
        <v>2348</v>
      </c>
      <c r="B1223" t="s">
        <v>2246</v>
      </c>
      <c r="C1223" t="s">
        <v>2349</v>
      </c>
    </row>
    <row r="1224" spans="1:3">
      <c r="A1224" t="s">
        <v>2350</v>
      </c>
      <c r="B1224" t="s">
        <v>2246</v>
      </c>
      <c r="C1224" t="s">
        <v>2351</v>
      </c>
    </row>
    <row r="1225" spans="1:3">
      <c r="A1225" t="s">
        <v>2352</v>
      </c>
      <c r="B1225" t="s">
        <v>2246</v>
      </c>
      <c r="C1225" t="s">
        <v>2353</v>
      </c>
    </row>
    <row r="1226" spans="1:3">
      <c r="A1226" t="s">
        <v>2354</v>
      </c>
      <c r="B1226" t="s">
        <v>2246</v>
      </c>
      <c r="C1226" t="s">
        <v>2355</v>
      </c>
    </row>
    <row r="1227" spans="1:3">
      <c r="A1227" t="s">
        <v>2356</v>
      </c>
      <c r="B1227" t="s">
        <v>2246</v>
      </c>
      <c r="C1227" t="s">
        <v>2357</v>
      </c>
    </row>
    <row r="1228" spans="1:3">
      <c r="A1228" t="s">
        <v>2358</v>
      </c>
      <c r="B1228" t="s">
        <v>2246</v>
      </c>
      <c r="C1228" t="s">
        <v>2359</v>
      </c>
    </row>
    <row r="1229" spans="1:3">
      <c r="A1229" t="s">
        <v>2360</v>
      </c>
      <c r="B1229" t="s">
        <v>2246</v>
      </c>
      <c r="C1229" t="s">
        <v>2361</v>
      </c>
    </row>
    <row r="1230" spans="1:3">
      <c r="A1230" t="s">
        <v>2362</v>
      </c>
      <c r="B1230" t="s">
        <v>2246</v>
      </c>
      <c r="C1230" t="s">
        <v>2363</v>
      </c>
    </row>
    <row r="1231" spans="1:3">
      <c r="A1231" t="s">
        <v>2364</v>
      </c>
      <c r="B1231" t="s">
        <v>2246</v>
      </c>
      <c r="C1231" t="s">
        <v>2365</v>
      </c>
    </row>
    <row r="1232" spans="1:3">
      <c r="A1232" t="s">
        <v>2366</v>
      </c>
      <c r="B1232" t="s">
        <v>2246</v>
      </c>
      <c r="C1232" t="s">
        <v>2367</v>
      </c>
    </row>
    <row r="1233" spans="1:3">
      <c r="A1233" t="s">
        <v>2368</v>
      </c>
      <c r="B1233" t="s">
        <v>2246</v>
      </c>
      <c r="C1233" t="s">
        <v>2369</v>
      </c>
    </row>
    <row r="1234" spans="1:3">
      <c r="A1234" t="s">
        <v>2370</v>
      </c>
      <c r="B1234" t="s">
        <v>2246</v>
      </c>
      <c r="C1234" t="s">
        <v>2371</v>
      </c>
    </row>
    <row r="1235" spans="1:3">
      <c r="A1235" t="s">
        <v>2372</v>
      </c>
      <c r="B1235" t="s">
        <v>2246</v>
      </c>
      <c r="C1235" t="s">
        <v>2373</v>
      </c>
    </row>
    <row r="1236" spans="1:3">
      <c r="A1236" t="s">
        <v>2374</v>
      </c>
      <c r="B1236" t="s">
        <v>2246</v>
      </c>
      <c r="C1236" t="s">
        <v>2375</v>
      </c>
    </row>
    <row r="1237" spans="1:3">
      <c r="A1237" t="s">
        <v>2376</v>
      </c>
      <c r="B1237" t="s">
        <v>2246</v>
      </c>
      <c r="C1237" t="s">
        <v>2377</v>
      </c>
    </row>
    <row r="1238" spans="1:3">
      <c r="A1238" t="s">
        <v>2378</v>
      </c>
      <c r="B1238" t="s">
        <v>2246</v>
      </c>
      <c r="C1238" t="s">
        <v>2379</v>
      </c>
    </row>
    <row r="1239" spans="1:3">
      <c r="A1239" t="s">
        <v>2380</v>
      </c>
      <c r="B1239" t="s">
        <v>2246</v>
      </c>
      <c r="C1239" t="s">
        <v>2381</v>
      </c>
    </row>
    <row r="1240" spans="1:3">
      <c r="A1240" t="s">
        <v>2382</v>
      </c>
      <c r="B1240" t="s">
        <v>2246</v>
      </c>
      <c r="C1240" t="s">
        <v>2383</v>
      </c>
    </row>
    <row r="1241" spans="1:3">
      <c r="A1241" t="s">
        <v>2384</v>
      </c>
      <c r="B1241" t="s">
        <v>2246</v>
      </c>
      <c r="C1241" t="s">
        <v>2385</v>
      </c>
    </row>
    <row r="1242" spans="1:3">
      <c r="A1242" t="s">
        <v>2386</v>
      </c>
      <c r="B1242" t="s">
        <v>2246</v>
      </c>
      <c r="C1242" t="s">
        <v>2387</v>
      </c>
    </row>
    <row r="1243" spans="1:3">
      <c r="A1243" t="s">
        <v>2388</v>
      </c>
      <c r="B1243" t="s">
        <v>2246</v>
      </c>
      <c r="C1243" t="s">
        <v>2389</v>
      </c>
    </row>
    <row r="1244" spans="1:3">
      <c r="A1244" t="s">
        <v>2390</v>
      </c>
      <c r="B1244" t="s">
        <v>2246</v>
      </c>
      <c r="C1244" t="s">
        <v>2391</v>
      </c>
    </row>
    <row r="1245" spans="1:3">
      <c r="A1245" t="s">
        <v>2392</v>
      </c>
      <c r="B1245" t="s">
        <v>2246</v>
      </c>
      <c r="C1245" t="s">
        <v>2393</v>
      </c>
    </row>
    <row r="1246" spans="1:3">
      <c r="A1246" t="s">
        <v>2394</v>
      </c>
      <c r="B1246" t="s">
        <v>2246</v>
      </c>
      <c r="C1246" t="s">
        <v>2395</v>
      </c>
    </row>
    <row r="1247" spans="1:3">
      <c r="A1247" t="s">
        <v>2396</v>
      </c>
      <c r="B1247" t="s">
        <v>2246</v>
      </c>
      <c r="C1247" t="s">
        <v>2397</v>
      </c>
    </row>
    <row r="1248" spans="1:3">
      <c r="A1248" t="s">
        <v>2398</v>
      </c>
      <c r="B1248" t="s">
        <v>2246</v>
      </c>
      <c r="C1248" t="s">
        <v>2399</v>
      </c>
    </row>
    <row r="1249" spans="1:3">
      <c r="A1249" t="s">
        <v>2400</v>
      </c>
      <c r="B1249" t="s">
        <v>2246</v>
      </c>
      <c r="C1249" t="s">
        <v>2401</v>
      </c>
    </row>
    <row r="1250" spans="1:3">
      <c r="A1250" t="s">
        <v>2402</v>
      </c>
      <c r="B1250" t="s">
        <v>2246</v>
      </c>
      <c r="C1250" t="s">
        <v>2403</v>
      </c>
    </row>
    <row r="1251" spans="1:3">
      <c r="A1251" t="s">
        <v>2404</v>
      </c>
      <c r="B1251" t="s">
        <v>2246</v>
      </c>
      <c r="C1251" t="s">
        <v>2405</v>
      </c>
    </row>
    <row r="1252" spans="1:3">
      <c r="A1252" t="s">
        <v>2406</v>
      </c>
      <c r="B1252" t="s">
        <v>2246</v>
      </c>
      <c r="C1252" t="s">
        <v>2407</v>
      </c>
    </row>
    <row r="1253" spans="1:3">
      <c r="A1253" t="s">
        <v>2408</v>
      </c>
      <c r="B1253" t="s">
        <v>2246</v>
      </c>
      <c r="C1253" t="s">
        <v>2409</v>
      </c>
    </row>
    <row r="1254" spans="1:3">
      <c r="A1254" t="s">
        <v>2410</v>
      </c>
      <c r="B1254" t="s">
        <v>2246</v>
      </c>
      <c r="C1254" t="s">
        <v>2411</v>
      </c>
    </row>
    <row r="1255" spans="1:3">
      <c r="A1255" t="s">
        <v>2412</v>
      </c>
      <c r="B1255" t="s">
        <v>2246</v>
      </c>
      <c r="C1255" t="s">
        <v>2413</v>
      </c>
    </row>
    <row r="1256" spans="1:3">
      <c r="A1256" t="s">
        <v>2414</v>
      </c>
      <c r="B1256" t="s">
        <v>2246</v>
      </c>
      <c r="C1256" t="s">
        <v>2415</v>
      </c>
    </row>
    <row r="1257" spans="1:3">
      <c r="A1257" t="s">
        <v>2416</v>
      </c>
      <c r="B1257" t="s">
        <v>2246</v>
      </c>
      <c r="C1257" t="s">
        <v>2417</v>
      </c>
    </row>
    <row r="1258" spans="1:3">
      <c r="A1258" t="s">
        <v>2418</v>
      </c>
      <c r="B1258" t="s">
        <v>2246</v>
      </c>
      <c r="C1258" t="s">
        <v>2419</v>
      </c>
    </row>
    <row r="1259" spans="1:3">
      <c r="A1259" t="s">
        <v>2420</v>
      </c>
      <c r="B1259" t="s">
        <v>2246</v>
      </c>
      <c r="C1259" t="s">
        <v>2421</v>
      </c>
    </row>
    <row r="1260" spans="1:3">
      <c r="A1260" t="s">
        <v>2422</v>
      </c>
      <c r="B1260" t="s">
        <v>2246</v>
      </c>
      <c r="C1260" t="s">
        <v>2423</v>
      </c>
    </row>
    <row r="1261" spans="1:3">
      <c r="A1261" t="s">
        <v>2424</v>
      </c>
      <c r="B1261" t="s">
        <v>2246</v>
      </c>
      <c r="C1261" t="s">
        <v>2425</v>
      </c>
    </row>
    <row r="1262" spans="1:3">
      <c r="A1262" t="s">
        <v>2426</v>
      </c>
      <c r="B1262" t="s">
        <v>2246</v>
      </c>
      <c r="C1262" t="s">
        <v>2427</v>
      </c>
    </row>
    <row r="1263" spans="1:3">
      <c r="A1263" t="s">
        <v>2428</v>
      </c>
      <c r="B1263" t="s">
        <v>2246</v>
      </c>
      <c r="C1263" t="s">
        <v>2429</v>
      </c>
    </row>
    <row r="1264" spans="1:3">
      <c r="A1264" t="s">
        <v>2430</v>
      </c>
      <c r="B1264" t="s">
        <v>2246</v>
      </c>
      <c r="C1264" t="s">
        <v>2431</v>
      </c>
    </row>
    <row r="1265" spans="1:3">
      <c r="A1265" t="s">
        <v>2432</v>
      </c>
      <c r="B1265" t="s">
        <v>2246</v>
      </c>
      <c r="C1265" t="s">
        <v>2433</v>
      </c>
    </row>
    <row r="1266" spans="1:3">
      <c r="A1266" t="s">
        <v>2434</v>
      </c>
      <c r="B1266" t="s">
        <v>2246</v>
      </c>
      <c r="C1266" t="s">
        <v>2435</v>
      </c>
    </row>
    <row r="1267" spans="1:3">
      <c r="A1267" t="s">
        <v>2436</v>
      </c>
      <c r="B1267" t="s">
        <v>2246</v>
      </c>
      <c r="C1267" t="s">
        <v>2437</v>
      </c>
    </row>
    <row r="1268" spans="1:3">
      <c r="A1268" t="s">
        <v>2438</v>
      </c>
      <c r="B1268" t="s">
        <v>2246</v>
      </c>
      <c r="C1268" t="s">
        <v>2439</v>
      </c>
    </row>
    <row r="1269" spans="1:3">
      <c r="A1269" t="s">
        <v>2440</v>
      </c>
      <c r="B1269" t="s">
        <v>2246</v>
      </c>
      <c r="C1269" t="s">
        <v>2441</v>
      </c>
    </row>
    <row r="1270" spans="1:3">
      <c r="A1270" t="s">
        <v>2442</v>
      </c>
      <c r="B1270" t="s">
        <v>2246</v>
      </c>
      <c r="C1270" t="s">
        <v>2443</v>
      </c>
    </row>
    <row r="1271" spans="1:3">
      <c r="A1271" t="s">
        <v>2444</v>
      </c>
      <c r="B1271" t="s">
        <v>2246</v>
      </c>
      <c r="C1271" t="s">
        <v>2445</v>
      </c>
    </row>
    <row r="1272" spans="1:3">
      <c r="A1272" t="s">
        <v>2446</v>
      </c>
      <c r="B1272" t="s">
        <v>2246</v>
      </c>
      <c r="C1272" t="s">
        <v>2447</v>
      </c>
    </row>
    <row r="1273" spans="1:3">
      <c r="A1273" t="s">
        <v>2448</v>
      </c>
      <c r="B1273" t="s">
        <v>2246</v>
      </c>
      <c r="C1273" t="s">
        <v>2449</v>
      </c>
    </row>
    <row r="1274" spans="1:3">
      <c r="A1274" t="s">
        <v>2450</v>
      </c>
      <c r="B1274" t="s">
        <v>2246</v>
      </c>
      <c r="C1274" t="s">
        <v>2451</v>
      </c>
    </row>
    <row r="1275" spans="1:3">
      <c r="A1275" t="s">
        <v>2452</v>
      </c>
      <c r="B1275" t="s">
        <v>2246</v>
      </c>
      <c r="C1275" t="s">
        <v>2453</v>
      </c>
    </row>
    <row r="1276" spans="1:3">
      <c r="A1276" t="s">
        <v>2454</v>
      </c>
      <c r="B1276" t="s">
        <v>2246</v>
      </c>
      <c r="C1276" t="s">
        <v>2455</v>
      </c>
    </row>
    <row r="1277" spans="1:3">
      <c r="A1277" t="s">
        <v>2456</v>
      </c>
      <c r="B1277" t="s">
        <v>2246</v>
      </c>
      <c r="C1277" t="s">
        <v>2457</v>
      </c>
    </row>
    <row r="1278" spans="1:3">
      <c r="A1278" t="s">
        <v>2458</v>
      </c>
      <c r="B1278" t="s">
        <v>2246</v>
      </c>
      <c r="C1278" t="s">
        <v>2459</v>
      </c>
    </row>
    <row r="1279" spans="1:3">
      <c r="A1279" t="s">
        <v>2460</v>
      </c>
      <c r="B1279" t="s">
        <v>2246</v>
      </c>
      <c r="C1279" t="s">
        <v>2461</v>
      </c>
    </row>
    <row r="1280" spans="1:3">
      <c r="A1280" t="s">
        <v>2462</v>
      </c>
      <c r="B1280" t="s">
        <v>2246</v>
      </c>
      <c r="C1280" t="s">
        <v>2463</v>
      </c>
    </row>
    <row r="1281" spans="1:6">
      <c r="A1281" t="s">
        <v>2464</v>
      </c>
      <c r="B1281" t="s">
        <v>2246</v>
      </c>
      <c r="C1281" t="s">
        <v>2465</v>
      </c>
    </row>
    <row r="1282" spans="1:6">
      <c r="A1282" t="s">
        <v>2466</v>
      </c>
      <c r="B1282" t="s">
        <v>2246</v>
      </c>
      <c r="C1282" t="s">
        <v>2467</v>
      </c>
    </row>
    <row r="1283" spans="1:6">
      <c r="A1283" t="s">
        <v>2468</v>
      </c>
      <c r="B1283" t="s">
        <v>2246</v>
      </c>
      <c r="C1283" t="s">
        <v>2469</v>
      </c>
    </row>
    <row r="1284" spans="1:6">
      <c r="A1284" t="s">
        <v>2470</v>
      </c>
      <c r="B1284" t="s">
        <v>2246</v>
      </c>
      <c r="C1284" t="s">
        <v>2471</v>
      </c>
    </row>
    <row r="1285" spans="1:6">
      <c r="A1285" t="s">
        <v>2472</v>
      </c>
      <c r="B1285" t="s">
        <v>2246</v>
      </c>
      <c r="C1285" t="s">
        <v>2473</v>
      </c>
    </row>
    <row r="1286" spans="1:6">
      <c r="A1286" t="s">
        <v>2474</v>
      </c>
      <c r="B1286" t="s">
        <v>2246</v>
      </c>
      <c r="C1286" t="s">
        <v>2475</v>
      </c>
    </row>
    <row r="1287" spans="1:6">
      <c r="A1287" t="s">
        <v>2476</v>
      </c>
      <c r="B1287" t="s">
        <v>2246</v>
      </c>
      <c r="C1287" t="s">
        <v>2477</v>
      </c>
    </row>
    <row r="1288" spans="1:6">
      <c r="A1288" t="s">
        <v>2478</v>
      </c>
      <c r="B1288" t="s">
        <v>2479</v>
      </c>
      <c r="C1288" t="s">
        <v>2223</v>
      </c>
    </row>
    <row r="1289" spans="1:6">
      <c r="A1289" t="s">
        <v>2480</v>
      </c>
      <c r="B1289" t="s">
        <v>2481</v>
      </c>
      <c r="C1289" t="s">
        <v>2482</v>
      </c>
      <c r="D1289" t="s">
        <v>2483</v>
      </c>
      <c r="E1289" t="s">
        <v>302</v>
      </c>
      <c r="F1289" t="s">
        <v>303</v>
      </c>
    </row>
    <row r="1290" spans="1:6">
      <c r="A1290" t="s">
        <v>2484</v>
      </c>
      <c r="B1290" t="s">
        <v>2481</v>
      </c>
      <c r="C1290" t="s">
        <v>2485</v>
      </c>
      <c r="D1290" t="s">
        <v>2486</v>
      </c>
    </row>
    <row r="1291" spans="1:6">
      <c r="A1291" t="s">
        <v>2487</v>
      </c>
      <c r="B1291" t="s">
        <v>2481</v>
      </c>
      <c r="C1291" t="s">
        <v>2488</v>
      </c>
      <c r="D1291" t="s">
        <v>2489</v>
      </c>
    </row>
    <row r="1292" spans="1:6">
      <c r="A1292" t="s">
        <v>2490</v>
      </c>
      <c r="B1292" t="s">
        <v>2481</v>
      </c>
      <c r="C1292" t="s">
        <v>2491</v>
      </c>
      <c r="D1292" t="s">
        <v>2492</v>
      </c>
    </row>
    <row r="1293" spans="1:6">
      <c r="A1293" t="s">
        <v>2493</v>
      </c>
      <c r="B1293" t="s">
        <v>2481</v>
      </c>
      <c r="C1293" t="s">
        <v>2494</v>
      </c>
      <c r="D1293" t="s">
        <v>2489</v>
      </c>
    </row>
    <row r="1294" spans="1:6">
      <c r="A1294" t="s">
        <v>2495</v>
      </c>
      <c r="B1294" t="s">
        <v>2481</v>
      </c>
      <c r="C1294" t="s">
        <v>2496</v>
      </c>
      <c r="D1294" t="s">
        <v>2483</v>
      </c>
    </row>
    <row r="1295" spans="1:6">
      <c r="A1295" t="s">
        <v>2497</v>
      </c>
      <c r="B1295" t="s">
        <v>2481</v>
      </c>
      <c r="C1295" t="s">
        <v>2498</v>
      </c>
      <c r="D1295" t="s">
        <v>2483</v>
      </c>
      <c r="E1295" t="s">
        <v>298</v>
      </c>
      <c r="F1295" t="s">
        <v>299</v>
      </c>
    </row>
    <row r="1296" spans="1:6">
      <c r="A1296" t="s">
        <v>2499</v>
      </c>
      <c r="B1296" t="s">
        <v>2481</v>
      </c>
      <c r="C1296" t="s">
        <v>2500</v>
      </c>
      <c r="D1296" t="s">
        <v>2483</v>
      </c>
    </row>
    <row r="1297" spans="1:6">
      <c r="A1297" t="s">
        <v>2501</v>
      </c>
      <c r="B1297" t="s">
        <v>2481</v>
      </c>
      <c r="C1297" t="s">
        <v>2502</v>
      </c>
      <c r="D1297" t="s">
        <v>2483</v>
      </c>
    </row>
    <row r="1298" spans="1:6">
      <c r="A1298" t="s">
        <v>2503</v>
      </c>
      <c r="B1298" t="s">
        <v>2481</v>
      </c>
      <c r="C1298" t="s">
        <v>2504</v>
      </c>
      <c r="D1298" t="s">
        <v>2505</v>
      </c>
    </row>
    <row r="1299" spans="1:6">
      <c r="A1299" t="s">
        <v>2506</v>
      </c>
      <c r="B1299" t="s">
        <v>2481</v>
      </c>
      <c r="C1299" t="s">
        <v>2507</v>
      </c>
      <c r="D1299" t="s">
        <v>2483</v>
      </c>
      <c r="E1299" t="s">
        <v>330</v>
      </c>
      <c r="F1299" t="s">
        <v>331</v>
      </c>
    </row>
    <row r="1300" spans="1:6">
      <c r="A1300" t="s">
        <v>2508</v>
      </c>
      <c r="B1300" t="s">
        <v>2481</v>
      </c>
      <c r="C1300" t="s">
        <v>2509</v>
      </c>
      <c r="D1300" t="s">
        <v>2483</v>
      </c>
    </row>
    <row r="1301" spans="1:6">
      <c r="A1301" t="s">
        <v>2510</v>
      </c>
      <c r="B1301" t="s">
        <v>2481</v>
      </c>
      <c r="C1301" t="s">
        <v>2511</v>
      </c>
      <c r="D1301" t="s">
        <v>2512</v>
      </c>
    </row>
    <row r="1302" spans="1:6">
      <c r="A1302" t="s">
        <v>2513</v>
      </c>
      <c r="B1302" t="s">
        <v>2481</v>
      </c>
      <c r="C1302" t="s">
        <v>2514</v>
      </c>
      <c r="D1302" t="s">
        <v>2515</v>
      </c>
    </row>
    <row r="1303" spans="1:6">
      <c r="A1303" t="s">
        <v>2516</v>
      </c>
      <c r="B1303" t="s">
        <v>2481</v>
      </c>
      <c r="C1303" t="s">
        <v>2517</v>
      </c>
      <c r="D1303" t="s">
        <v>2518</v>
      </c>
    </row>
    <row r="1304" spans="1:6">
      <c r="A1304" t="s">
        <v>2519</v>
      </c>
      <c r="B1304" t="s">
        <v>2481</v>
      </c>
      <c r="C1304" t="s">
        <v>2520</v>
      </c>
      <c r="D1304" t="s">
        <v>2505</v>
      </c>
    </row>
    <row r="1305" spans="1:6">
      <c r="A1305" t="s">
        <v>2521</v>
      </c>
      <c r="B1305" t="s">
        <v>2481</v>
      </c>
      <c r="C1305" t="s">
        <v>2522</v>
      </c>
      <c r="D1305" t="s">
        <v>2523</v>
      </c>
    </row>
    <row r="1306" spans="1:6">
      <c r="A1306" t="s">
        <v>2524</v>
      </c>
      <c r="B1306" t="s">
        <v>2481</v>
      </c>
      <c r="C1306" t="s">
        <v>2525</v>
      </c>
      <c r="D1306" t="s">
        <v>2483</v>
      </c>
      <c r="E1306" t="s">
        <v>82</v>
      </c>
      <c r="F1306" t="s">
        <v>83</v>
      </c>
    </row>
    <row r="1307" spans="1:6">
      <c r="A1307" t="s">
        <v>2526</v>
      </c>
      <c r="B1307" t="s">
        <v>2481</v>
      </c>
      <c r="C1307" t="s">
        <v>2527</v>
      </c>
      <c r="D1307" t="s">
        <v>2483</v>
      </c>
      <c r="E1307" t="s">
        <v>18</v>
      </c>
      <c r="F1307" t="s">
        <v>19</v>
      </c>
    </row>
    <row r="1308" spans="1:6">
      <c r="A1308" t="s">
        <v>2528</v>
      </c>
      <c r="B1308" t="s">
        <v>2481</v>
      </c>
      <c r="C1308" t="s">
        <v>2529</v>
      </c>
      <c r="D1308" t="s">
        <v>2483</v>
      </c>
    </row>
    <row r="1309" spans="1:6">
      <c r="A1309" t="s">
        <v>2530</v>
      </c>
      <c r="B1309" t="s">
        <v>2481</v>
      </c>
      <c r="C1309" t="s">
        <v>2531</v>
      </c>
      <c r="D1309" t="s">
        <v>2483</v>
      </c>
    </row>
    <row r="1310" spans="1:6">
      <c r="A1310" t="s">
        <v>2532</v>
      </c>
      <c r="B1310" t="s">
        <v>2481</v>
      </c>
      <c r="C1310" t="s">
        <v>2533</v>
      </c>
      <c r="D1310" t="s">
        <v>2483</v>
      </c>
      <c r="E1310" t="s">
        <v>34</v>
      </c>
      <c r="F1310" t="s">
        <v>35</v>
      </c>
    </row>
    <row r="1311" spans="1:6">
      <c r="A1311" t="s">
        <v>2534</v>
      </c>
      <c r="B1311" t="s">
        <v>2481</v>
      </c>
      <c r="C1311" t="s">
        <v>2535</v>
      </c>
      <c r="D1311" t="s">
        <v>2483</v>
      </c>
    </row>
    <row r="1312" spans="1:6">
      <c r="A1312" t="s">
        <v>2536</v>
      </c>
      <c r="B1312" t="s">
        <v>2537</v>
      </c>
    </row>
    <row r="1313" spans="1:2">
      <c r="A1313" t="s">
        <v>2538</v>
      </c>
      <c r="B1313" t="s">
        <v>2537</v>
      </c>
    </row>
    <row r="1314" spans="1:2">
      <c r="A1314" t="s">
        <v>2539</v>
      </c>
      <c r="B1314" t="s">
        <v>2537</v>
      </c>
    </row>
    <row r="1315" spans="1:2">
      <c r="A1315" t="s">
        <v>2540</v>
      </c>
      <c r="B1315" t="s">
        <v>2537</v>
      </c>
    </row>
    <row r="1316" spans="1:2">
      <c r="A1316" t="s">
        <v>2541</v>
      </c>
      <c r="B1316" t="s">
        <v>2537</v>
      </c>
    </row>
    <row r="1317" spans="1:2">
      <c r="A1317" t="s">
        <v>2542</v>
      </c>
      <c r="B1317" t="s">
        <v>2537</v>
      </c>
    </row>
    <row r="1318" spans="1:2">
      <c r="A1318" t="s">
        <v>2543</v>
      </c>
      <c r="B1318" t="s">
        <v>2537</v>
      </c>
    </row>
    <row r="1319" spans="1:2">
      <c r="A1319" t="s">
        <v>2544</v>
      </c>
      <c r="B1319" t="s">
        <v>2537</v>
      </c>
    </row>
    <row r="1320" spans="1:2">
      <c r="A1320" t="s">
        <v>2545</v>
      </c>
      <c r="B1320" t="s">
        <v>2537</v>
      </c>
    </row>
    <row r="1321" spans="1:2">
      <c r="A1321" t="s">
        <v>2546</v>
      </c>
      <c r="B1321" t="s">
        <v>2537</v>
      </c>
    </row>
    <row r="1322" spans="1:2">
      <c r="A1322" t="s">
        <v>2547</v>
      </c>
      <c r="B1322" t="s">
        <v>2537</v>
      </c>
    </row>
    <row r="1323" spans="1:2">
      <c r="A1323" t="s">
        <v>2548</v>
      </c>
      <c r="B1323" t="s">
        <v>2537</v>
      </c>
    </row>
    <row r="1324" spans="1:2">
      <c r="A1324" t="s">
        <v>2549</v>
      </c>
      <c r="B1324" t="s">
        <v>2537</v>
      </c>
    </row>
    <row r="1325" spans="1:2">
      <c r="A1325" t="s">
        <v>2550</v>
      </c>
      <c r="B1325" t="s">
        <v>2537</v>
      </c>
    </row>
    <row r="1326" spans="1:2">
      <c r="A1326" t="s">
        <v>2551</v>
      </c>
      <c r="B1326" t="s">
        <v>2537</v>
      </c>
    </row>
    <row r="1327" spans="1:2">
      <c r="A1327" t="s">
        <v>2552</v>
      </c>
      <c r="B1327" t="s">
        <v>2537</v>
      </c>
    </row>
    <row r="1328" spans="1:2">
      <c r="A1328" t="s">
        <v>2553</v>
      </c>
      <c r="B1328" t="s">
        <v>2537</v>
      </c>
    </row>
    <row r="1329" spans="1:6">
      <c r="A1329" t="s">
        <v>2554</v>
      </c>
      <c r="B1329" t="s">
        <v>2537</v>
      </c>
    </row>
    <row r="1330" spans="1:6">
      <c r="A1330" t="s">
        <v>2555</v>
      </c>
      <c r="B1330" t="s">
        <v>2537</v>
      </c>
    </row>
    <row r="1331" spans="1:6">
      <c r="A1331" t="s">
        <v>2556</v>
      </c>
      <c r="B1331" t="s">
        <v>2537</v>
      </c>
    </row>
    <row r="1332" spans="1:6">
      <c r="A1332" t="s">
        <v>2557</v>
      </c>
      <c r="B1332" t="s">
        <v>2537</v>
      </c>
    </row>
    <row r="1333" spans="1:6">
      <c r="A1333" t="s">
        <v>2558</v>
      </c>
      <c r="B1333" t="s">
        <v>2537</v>
      </c>
    </row>
    <row r="1334" spans="1:6">
      <c r="A1334" t="s">
        <v>2559</v>
      </c>
      <c r="B1334" t="s">
        <v>2537</v>
      </c>
    </row>
    <row r="1335" spans="1:6">
      <c r="A1335" t="s">
        <v>2560</v>
      </c>
      <c r="B1335" t="s">
        <v>2561</v>
      </c>
      <c r="C1335" t="s">
        <v>2341</v>
      </c>
      <c r="E1335" t="s">
        <v>18</v>
      </c>
      <c r="F1335" t="s">
        <v>19</v>
      </c>
    </row>
    <row r="1336" spans="1:6">
      <c r="A1336" t="s">
        <v>2562</v>
      </c>
      <c r="B1336" t="s">
        <v>2561</v>
      </c>
      <c r="C1336" t="s">
        <v>2317</v>
      </c>
      <c r="E1336" t="s">
        <v>18</v>
      </c>
      <c r="F1336" t="s">
        <v>19</v>
      </c>
    </row>
    <row r="1337" spans="1:6">
      <c r="A1337" t="s">
        <v>2563</v>
      </c>
      <c r="B1337" t="s">
        <v>2561</v>
      </c>
      <c r="C1337" t="s">
        <v>2299</v>
      </c>
      <c r="E1337" t="s">
        <v>34</v>
      </c>
      <c r="F1337" t="s">
        <v>35</v>
      </c>
    </row>
    <row r="1338" spans="1:6">
      <c r="A1338" t="s">
        <v>2564</v>
      </c>
      <c r="B1338" t="s">
        <v>2561</v>
      </c>
      <c r="C1338" t="s">
        <v>2253</v>
      </c>
      <c r="E1338" t="s">
        <v>18</v>
      </c>
      <c r="F1338" t="s">
        <v>19</v>
      </c>
    </row>
    <row r="1339" spans="1:6">
      <c r="A1339" t="s">
        <v>2565</v>
      </c>
      <c r="B1339" t="s">
        <v>2561</v>
      </c>
      <c r="C1339" t="s">
        <v>2399</v>
      </c>
      <c r="E1339" t="s">
        <v>18</v>
      </c>
      <c r="F1339" t="s">
        <v>19</v>
      </c>
    </row>
    <row r="1340" spans="1:6">
      <c r="A1340" t="s">
        <v>2566</v>
      </c>
      <c r="B1340" t="s">
        <v>2561</v>
      </c>
      <c r="C1340" t="s">
        <v>2567</v>
      </c>
      <c r="E1340" t="s">
        <v>18</v>
      </c>
      <c r="F1340" t="s">
        <v>19</v>
      </c>
    </row>
    <row r="1341" spans="1:6">
      <c r="A1341" t="s">
        <v>2568</v>
      </c>
      <c r="B1341" t="s">
        <v>2561</v>
      </c>
      <c r="C1341" t="s">
        <v>2285</v>
      </c>
      <c r="E1341" t="s">
        <v>18</v>
      </c>
      <c r="F1341" t="s">
        <v>19</v>
      </c>
    </row>
    <row r="1342" spans="1:6">
      <c r="A1342" t="s">
        <v>2569</v>
      </c>
      <c r="B1342" t="s">
        <v>2561</v>
      </c>
      <c r="C1342" t="s">
        <v>2287</v>
      </c>
      <c r="E1342" t="s">
        <v>18</v>
      </c>
      <c r="F1342" t="s">
        <v>19</v>
      </c>
    </row>
    <row r="1343" spans="1:6">
      <c r="A1343" t="s">
        <v>2570</v>
      </c>
      <c r="B1343" t="s">
        <v>2561</v>
      </c>
      <c r="C1343" t="s">
        <v>2361</v>
      </c>
      <c r="E1343" t="s">
        <v>18</v>
      </c>
      <c r="F1343" t="s">
        <v>19</v>
      </c>
    </row>
    <row r="1344" spans="1:6">
      <c r="A1344" t="s">
        <v>2571</v>
      </c>
      <c r="B1344" t="s">
        <v>2561</v>
      </c>
      <c r="C1344" t="s">
        <v>2419</v>
      </c>
      <c r="E1344" t="s">
        <v>18</v>
      </c>
      <c r="F1344" t="s">
        <v>19</v>
      </c>
    </row>
    <row r="1345" spans="1:6">
      <c r="A1345" t="s">
        <v>2572</v>
      </c>
      <c r="B1345" t="s">
        <v>2561</v>
      </c>
      <c r="C1345" t="s">
        <v>2373</v>
      </c>
      <c r="E1345" t="s">
        <v>18</v>
      </c>
      <c r="F1345" t="s">
        <v>19</v>
      </c>
    </row>
    <row r="1346" spans="1:6">
      <c r="A1346" t="s">
        <v>2573</v>
      </c>
      <c r="B1346" t="s">
        <v>2561</v>
      </c>
      <c r="C1346" t="s">
        <v>2293</v>
      </c>
      <c r="E1346" t="s">
        <v>18</v>
      </c>
      <c r="F1346" t="s">
        <v>19</v>
      </c>
    </row>
    <row r="1347" spans="1:6">
      <c r="A1347" t="s">
        <v>2574</v>
      </c>
      <c r="B1347" t="s">
        <v>2561</v>
      </c>
      <c r="C1347" t="s">
        <v>2313</v>
      </c>
      <c r="E1347" t="s">
        <v>18</v>
      </c>
      <c r="F1347" t="s">
        <v>19</v>
      </c>
    </row>
    <row r="1348" spans="1:6">
      <c r="A1348" t="s">
        <v>2575</v>
      </c>
      <c r="B1348" t="s">
        <v>2561</v>
      </c>
      <c r="C1348" t="s">
        <v>2576</v>
      </c>
      <c r="E1348" t="s">
        <v>34</v>
      </c>
      <c r="F1348" t="s">
        <v>35</v>
      </c>
    </row>
    <row r="1349" spans="1:6">
      <c r="A1349" t="s">
        <v>2577</v>
      </c>
      <c r="B1349" t="s">
        <v>2561</v>
      </c>
      <c r="C1349" t="s">
        <v>2453</v>
      </c>
      <c r="E1349" t="s">
        <v>18</v>
      </c>
      <c r="F1349" t="s">
        <v>19</v>
      </c>
    </row>
    <row r="1350" spans="1:6">
      <c r="A1350" t="s">
        <v>2578</v>
      </c>
      <c r="B1350" t="s">
        <v>2561</v>
      </c>
      <c r="C1350" t="s">
        <v>2315</v>
      </c>
      <c r="E1350" t="s">
        <v>18</v>
      </c>
      <c r="F1350" t="s">
        <v>19</v>
      </c>
    </row>
    <row r="1351" spans="1:6">
      <c r="A1351" t="s">
        <v>2579</v>
      </c>
      <c r="B1351" t="s">
        <v>2561</v>
      </c>
      <c r="C1351" t="s">
        <v>2423</v>
      </c>
      <c r="E1351" t="s">
        <v>18</v>
      </c>
      <c r="F1351" t="s">
        <v>19</v>
      </c>
    </row>
    <row r="1352" spans="1:6">
      <c r="A1352" t="s">
        <v>2580</v>
      </c>
      <c r="B1352" t="s">
        <v>2561</v>
      </c>
      <c r="C1352" t="s">
        <v>2387</v>
      </c>
      <c r="E1352" t="s">
        <v>18</v>
      </c>
      <c r="F1352" t="s">
        <v>19</v>
      </c>
    </row>
    <row r="1353" spans="1:6">
      <c r="A1353" t="s">
        <v>2581</v>
      </c>
      <c r="B1353" t="s">
        <v>2561</v>
      </c>
      <c r="C1353" t="s">
        <v>2437</v>
      </c>
      <c r="E1353" t="s">
        <v>18</v>
      </c>
      <c r="F1353" t="s">
        <v>19</v>
      </c>
    </row>
    <row r="1354" spans="1:6">
      <c r="A1354" t="s">
        <v>2582</v>
      </c>
      <c r="B1354" t="s">
        <v>2561</v>
      </c>
      <c r="C1354" t="s">
        <v>2417</v>
      </c>
      <c r="E1354" t="s">
        <v>18</v>
      </c>
      <c r="F1354" t="s">
        <v>19</v>
      </c>
    </row>
    <row r="1355" spans="1:6">
      <c r="A1355" t="s">
        <v>2583</v>
      </c>
      <c r="B1355" t="s">
        <v>2561</v>
      </c>
      <c r="C1355" t="s">
        <v>2275</v>
      </c>
      <c r="E1355" t="s">
        <v>18</v>
      </c>
      <c r="F1355" t="s">
        <v>19</v>
      </c>
    </row>
    <row r="1356" spans="1:6">
      <c r="A1356" t="s">
        <v>2584</v>
      </c>
      <c r="B1356" t="s">
        <v>2561</v>
      </c>
      <c r="C1356" t="s">
        <v>2307</v>
      </c>
      <c r="E1356" t="s">
        <v>18</v>
      </c>
      <c r="F1356" t="s">
        <v>19</v>
      </c>
    </row>
    <row r="1357" spans="1:6">
      <c r="A1357" t="s">
        <v>2585</v>
      </c>
      <c r="B1357" t="s">
        <v>2561</v>
      </c>
      <c r="C1357" t="s">
        <v>2586</v>
      </c>
      <c r="E1357" t="s">
        <v>18</v>
      </c>
      <c r="F1357" t="s">
        <v>19</v>
      </c>
    </row>
    <row r="1358" spans="1:6">
      <c r="A1358" t="s">
        <v>2587</v>
      </c>
      <c r="B1358" t="s">
        <v>2561</v>
      </c>
      <c r="C1358" t="s">
        <v>2588</v>
      </c>
      <c r="E1358" t="s">
        <v>18</v>
      </c>
      <c r="F1358" t="s">
        <v>19</v>
      </c>
    </row>
    <row r="1359" spans="1:6">
      <c r="A1359" t="s">
        <v>2589</v>
      </c>
      <c r="B1359" t="s">
        <v>2561</v>
      </c>
      <c r="C1359" t="s">
        <v>1903</v>
      </c>
      <c r="E1359" t="s">
        <v>34</v>
      </c>
      <c r="F1359" t="s">
        <v>35</v>
      </c>
    </row>
    <row r="1360" spans="1:6">
      <c r="A1360" t="s">
        <v>2590</v>
      </c>
      <c r="B1360" t="s">
        <v>2561</v>
      </c>
      <c r="C1360" t="s">
        <v>2297</v>
      </c>
      <c r="E1360" t="s">
        <v>34</v>
      </c>
      <c r="F1360" t="s">
        <v>35</v>
      </c>
    </row>
    <row r="1361" spans="1:6">
      <c r="A1361" t="s">
        <v>2591</v>
      </c>
      <c r="B1361" t="s">
        <v>2561</v>
      </c>
      <c r="C1361" t="s">
        <v>2371</v>
      </c>
      <c r="E1361" t="s">
        <v>18</v>
      </c>
      <c r="F1361" t="s">
        <v>19</v>
      </c>
    </row>
    <row r="1362" spans="1:6">
      <c r="A1362" t="s">
        <v>2592</v>
      </c>
      <c r="B1362" t="s">
        <v>2561</v>
      </c>
      <c r="C1362" t="s">
        <v>2295</v>
      </c>
      <c r="E1362" t="s">
        <v>18</v>
      </c>
      <c r="F1362" t="s">
        <v>19</v>
      </c>
    </row>
    <row r="1363" spans="1:6">
      <c r="A1363" t="s">
        <v>2593</v>
      </c>
      <c r="B1363" t="s">
        <v>2561</v>
      </c>
      <c r="C1363" t="s">
        <v>2269</v>
      </c>
      <c r="E1363" t="s">
        <v>18</v>
      </c>
      <c r="F1363" t="s">
        <v>19</v>
      </c>
    </row>
    <row r="1364" spans="1:6">
      <c r="A1364" t="s">
        <v>2594</v>
      </c>
      <c r="B1364" t="s">
        <v>2561</v>
      </c>
      <c r="C1364" t="s">
        <v>2415</v>
      </c>
      <c r="E1364" t="s">
        <v>18</v>
      </c>
      <c r="F1364" t="s">
        <v>19</v>
      </c>
    </row>
    <row r="1365" spans="1:6">
      <c r="A1365" t="s">
        <v>2595</v>
      </c>
      <c r="B1365" t="s">
        <v>2561</v>
      </c>
      <c r="C1365" t="s">
        <v>2365</v>
      </c>
      <c r="E1365" t="s">
        <v>18</v>
      </c>
      <c r="F1365" t="s">
        <v>19</v>
      </c>
    </row>
    <row r="1366" spans="1:6">
      <c r="A1366" t="s">
        <v>2596</v>
      </c>
      <c r="B1366" t="s">
        <v>2561</v>
      </c>
      <c r="C1366" t="s">
        <v>2401</v>
      </c>
      <c r="E1366" t="s">
        <v>18</v>
      </c>
      <c r="F1366" t="s">
        <v>19</v>
      </c>
    </row>
    <row r="1367" spans="1:6">
      <c r="A1367" t="s">
        <v>2597</v>
      </c>
      <c r="B1367" t="s">
        <v>2561</v>
      </c>
      <c r="C1367" t="s">
        <v>2467</v>
      </c>
      <c r="E1367" t="s">
        <v>18</v>
      </c>
      <c r="F1367" t="s">
        <v>19</v>
      </c>
    </row>
    <row r="1368" spans="1:6">
      <c r="A1368" t="s">
        <v>2598</v>
      </c>
      <c r="B1368" t="s">
        <v>2561</v>
      </c>
      <c r="C1368" t="s">
        <v>2599</v>
      </c>
      <c r="E1368" t="s">
        <v>18</v>
      </c>
      <c r="F1368" t="s">
        <v>19</v>
      </c>
    </row>
    <row r="1369" spans="1:6">
      <c r="A1369" t="s">
        <v>2600</v>
      </c>
      <c r="B1369" t="s">
        <v>2561</v>
      </c>
      <c r="C1369" t="s">
        <v>2311</v>
      </c>
      <c r="E1369" t="s">
        <v>18</v>
      </c>
      <c r="F1369" t="s">
        <v>19</v>
      </c>
    </row>
    <row r="1370" spans="1:6">
      <c r="A1370" t="s">
        <v>2601</v>
      </c>
      <c r="B1370" t="s">
        <v>2561</v>
      </c>
      <c r="C1370" t="s">
        <v>2257</v>
      </c>
      <c r="E1370" t="s">
        <v>18</v>
      </c>
      <c r="F1370" t="s">
        <v>19</v>
      </c>
    </row>
    <row r="1371" spans="1:6">
      <c r="A1371" t="s">
        <v>2602</v>
      </c>
      <c r="B1371" t="s">
        <v>2561</v>
      </c>
      <c r="C1371" t="s">
        <v>2289</v>
      </c>
      <c r="E1371" t="s">
        <v>18</v>
      </c>
      <c r="F1371" t="s">
        <v>19</v>
      </c>
    </row>
    <row r="1372" spans="1:6">
      <c r="A1372" t="s">
        <v>2603</v>
      </c>
      <c r="B1372" t="s">
        <v>2561</v>
      </c>
      <c r="C1372" t="s">
        <v>2403</v>
      </c>
      <c r="E1372" t="s">
        <v>18</v>
      </c>
      <c r="F1372" t="s">
        <v>19</v>
      </c>
    </row>
    <row r="1373" spans="1:6">
      <c r="A1373" t="s">
        <v>2604</v>
      </c>
      <c r="B1373" t="s">
        <v>2561</v>
      </c>
      <c r="C1373" t="s">
        <v>1194</v>
      </c>
      <c r="E1373" t="s">
        <v>34</v>
      </c>
      <c r="F1373" t="s">
        <v>35</v>
      </c>
    </row>
    <row r="1374" spans="1:6">
      <c r="A1374" t="s">
        <v>2605</v>
      </c>
      <c r="B1374" t="s">
        <v>2561</v>
      </c>
      <c r="C1374" t="s">
        <v>2461</v>
      </c>
      <c r="E1374" t="s">
        <v>18</v>
      </c>
      <c r="F1374" t="s">
        <v>19</v>
      </c>
    </row>
    <row r="1375" spans="1:6">
      <c r="A1375" t="s">
        <v>2606</v>
      </c>
      <c r="B1375" t="s">
        <v>2561</v>
      </c>
      <c r="C1375" t="s">
        <v>2343</v>
      </c>
      <c r="E1375" t="s">
        <v>18</v>
      </c>
      <c r="F1375" t="s">
        <v>19</v>
      </c>
    </row>
    <row r="1376" spans="1:6">
      <c r="A1376" t="s">
        <v>2607</v>
      </c>
      <c r="B1376" t="s">
        <v>2561</v>
      </c>
      <c r="C1376" t="s">
        <v>2355</v>
      </c>
      <c r="E1376" t="s">
        <v>18</v>
      </c>
      <c r="F1376" t="s">
        <v>19</v>
      </c>
    </row>
    <row r="1377" spans="1:6">
      <c r="A1377" t="s">
        <v>2608</v>
      </c>
      <c r="B1377" t="s">
        <v>2561</v>
      </c>
      <c r="C1377" t="s">
        <v>2271</v>
      </c>
      <c r="E1377" t="s">
        <v>34</v>
      </c>
      <c r="F1377" t="s">
        <v>35</v>
      </c>
    </row>
    <row r="1378" spans="1:6">
      <c r="A1378" t="s">
        <v>2609</v>
      </c>
      <c r="B1378" t="s">
        <v>2561</v>
      </c>
      <c r="C1378" t="s">
        <v>2351</v>
      </c>
      <c r="E1378" t="s">
        <v>18</v>
      </c>
      <c r="F1378" t="s">
        <v>19</v>
      </c>
    </row>
    <row r="1379" spans="1:6">
      <c r="A1379" t="s">
        <v>2610</v>
      </c>
      <c r="B1379" t="s">
        <v>2561</v>
      </c>
      <c r="C1379" t="s">
        <v>2333</v>
      </c>
      <c r="E1379" t="s">
        <v>18</v>
      </c>
      <c r="F1379" t="s">
        <v>19</v>
      </c>
    </row>
    <row r="1380" spans="1:6">
      <c r="A1380" t="s">
        <v>2611</v>
      </c>
      <c r="B1380" t="s">
        <v>2561</v>
      </c>
      <c r="C1380" t="s">
        <v>2259</v>
      </c>
      <c r="E1380" t="s">
        <v>18</v>
      </c>
      <c r="F1380" t="s">
        <v>19</v>
      </c>
    </row>
    <row r="1381" spans="1:6">
      <c r="A1381" t="s">
        <v>2612</v>
      </c>
      <c r="B1381" t="s">
        <v>2561</v>
      </c>
      <c r="C1381" t="s">
        <v>2443</v>
      </c>
      <c r="E1381" t="s">
        <v>18</v>
      </c>
      <c r="F1381" t="s">
        <v>19</v>
      </c>
    </row>
    <row r="1382" spans="1:6">
      <c r="A1382" t="s">
        <v>2613</v>
      </c>
      <c r="B1382" t="s">
        <v>2561</v>
      </c>
      <c r="C1382" t="s">
        <v>2263</v>
      </c>
      <c r="E1382" t="s">
        <v>18</v>
      </c>
      <c r="F1382" t="s">
        <v>19</v>
      </c>
    </row>
    <row r="1383" spans="1:6">
      <c r="A1383" t="s">
        <v>2614</v>
      </c>
      <c r="B1383" t="s">
        <v>2561</v>
      </c>
      <c r="C1383" t="s">
        <v>2363</v>
      </c>
      <c r="E1383" t="s">
        <v>18</v>
      </c>
      <c r="F1383" t="s">
        <v>19</v>
      </c>
    </row>
    <row r="1384" spans="1:6">
      <c r="A1384" t="s">
        <v>2615</v>
      </c>
      <c r="B1384" t="s">
        <v>2561</v>
      </c>
      <c r="C1384" t="s">
        <v>2375</v>
      </c>
      <c r="E1384" t="s">
        <v>18</v>
      </c>
      <c r="F1384" t="s">
        <v>19</v>
      </c>
    </row>
    <row r="1385" spans="1:6">
      <c r="A1385" t="s">
        <v>2616</v>
      </c>
      <c r="B1385" t="s">
        <v>2561</v>
      </c>
      <c r="C1385" t="s">
        <v>2331</v>
      </c>
      <c r="E1385" t="s">
        <v>18</v>
      </c>
      <c r="F1385" t="s">
        <v>19</v>
      </c>
    </row>
    <row r="1386" spans="1:6">
      <c r="A1386" t="s">
        <v>2617</v>
      </c>
      <c r="B1386" t="s">
        <v>2561</v>
      </c>
      <c r="C1386" t="s">
        <v>2618</v>
      </c>
      <c r="E1386" t="s">
        <v>18</v>
      </c>
      <c r="F1386" t="s">
        <v>19</v>
      </c>
    </row>
    <row r="1387" spans="1:6">
      <c r="A1387" t="s">
        <v>2619</v>
      </c>
      <c r="B1387" t="s">
        <v>2561</v>
      </c>
      <c r="C1387" t="s">
        <v>2383</v>
      </c>
      <c r="E1387" t="s">
        <v>18</v>
      </c>
      <c r="F1387" t="s">
        <v>19</v>
      </c>
    </row>
    <row r="1388" spans="1:6">
      <c r="A1388" t="s">
        <v>2620</v>
      </c>
      <c r="B1388" t="s">
        <v>2561</v>
      </c>
      <c r="C1388" t="s">
        <v>2413</v>
      </c>
      <c r="E1388" t="s">
        <v>18</v>
      </c>
      <c r="F1388" t="s">
        <v>19</v>
      </c>
    </row>
    <row r="1389" spans="1:6">
      <c r="A1389" t="s">
        <v>2621</v>
      </c>
      <c r="B1389" t="s">
        <v>2561</v>
      </c>
      <c r="C1389" t="s">
        <v>2469</v>
      </c>
      <c r="E1389" t="s">
        <v>18</v>
      </c>
      <c r="F1389" t="s">
        <v>19</v>
      </c>
    </row>
    <row r="1390" spans="1:6">
      <c r="A1390" t="s">
        <v>2622</v>
      </c>
      <c r="B1390" t="s">
        <v>2561</v>
      </c>
      <c r="C1390" t="s">
        <v>2623</v>
      </c>
      <c r="E1390" t="s">
        <v>18</v>
      </c>
      <c r="F1390" t="s">
        <v>19</v>
      </c>
    </row>
    <row r="1391" spans="1:6">
      <c r="A1391" t="s">
        <v>2624</v>
      </c>
      <c r="B1391" t="s">
        <v>2561</v>
      </c>
      <c r="C1391" t="s">
        <v>2449</v>
      </c>
      <c r="E1391" t="s">
        <v>18</v>
      </c>
      <c r="F1391" t="s">
        <v>19</v>
      </c>
    </row>
    <row r="1392" spans="1:6">
      <c r="A1392" t="s">
        <v>2625</v>
      </c>
      <c r="B1392" t="s">
        <v>2561</v>
      </c>
      <c r="C1392" t="s">
        <v>2425</v>
      </c>
      <c r="E1392" t="s">
        <v>18</v>
      </c>
      <c r="F1392" t="s">
        <v>19</v>
      </c>
    </row>
    <row r="1393" spans="1:6">
      <c r="A1393" t="s">
        <v>2626</v>
      </c>
      <c r="B1393" t="s">
        <v>2561</v>
      </c>
      <c r="C1393" t="s">
        <v>2475</v>
      </c>
      <c r="E1393" t="s">
        <v>18</v>
      </c>
      <c r="F1393" t="s">
        <v>19</v>
      </c>
    </row>
    <row r="1394" spans="1:6">
      <c r="A1394" t="s">
        <v>2627</v>
      </c>
      <c r="B1394" t="s">
        <v>2561</v>
      </c>
      <c r="C1394" t="s">
        <v>2628</v>
      </c>
      <c r="E1394" t="s">
        <v>18</v>
      </c>
      <c r="F1394" t="s">
        <v>19</v>
      </c>
    </row>
    <row r="1395" spans="1:6">
      <c r="A1395" t="s">
        <v>2629</v>
      </c>
      <c r="B1395" t="s">
        <v>2561</v>
      </c>
      <c r="C1395" t="s">
        <v>2249</v>
      </c>
      <c r="E1395" t="s">
        <v>18</v>
      </c>
      <c r="F1395" t="s">
        <v>19</v>
      </c>
    </row>
    <row r="1396" spans="1:6">
      <c r="A1396" t="s">
        <v>2630</v>
      </c>
      <c r="B1396" t="s">
        <v>2561</v>
      </c>
      <c r="C1396" t="s">
        <v>2631</v>
      </c>
      <c r="E1396" t="s">
        <v>18</v>
      </c>
      <c r="F1396" t="s">
        <v>19</v>
      </c>
    </row>
    <row r="1397" spans="1:6">
      <c r="A1397" t="s">
        <v>2632</v>
      </c>
      <c r="B1397" t="s">
        <v>2561</v>
      </c>
      <c r="C1397" t="s">
        <v>2303</v>
      </c>
      <c r="E1397" t="s">
        <v>18</v>
      </c>
      <c r="F1397" t="s">
        <v>19</v>
      </c>
    </row>
    <row r="1398" spans="1:6">
      <c r="A1398" t="s">
        <v>2633</v>
      </c>
      <c r="B1398" t="s">
        <v>2561</v>
      </c>
      <c r="C1398" t="s">
        <v>2261</v>
      </c>
      <c r="E1398" t="s">
        <v>18</v>
      </c>
      <c r="F1398" t="s">
        <v>19</v>
      </c>
    </row>
    <row r="1399" spans="1:6">
      <c r="A1399" t="s">
        <v>2634</v>
      </c>
      <c r="B1399" t="s">
        <v>2561</v>
      </c>
      <c r="C1399" t="s">
        <v>2377</v>
      </c>
      <c r="E1399" t="s">
        <v>18</v>
      </c>
      <c r="F1399" t="s">
        <v>19</v>
      </c>
    </row>
    <row r="1400" spans="1:6">
      <c r="A1400" t="s">
        <v>2635</v>
      </c>
      <c r="B1400" t="s">
        <v>2561</v>
      </c>
      <c r="C1400" t="s">
        <v>2433</v>
      </c>
      <c r="E1400" t="s">
        <v>18</v>
      </c>
      <c r="F1400" t="s">
        <v>19</v>
      </c>
    </row>
    <row r="1401" spans="1:6">
      <c r="A1401" t="s">
        <v>2636</v>
      </c>
      <c r="B1401" t="s">
        <v>2561</v>
      </c>
      <c r="C1401" t="s">
        <v>2057</v>
      </c>
      <c r="E1401" t="s">
        <v>34</v>
      </c>
      <c r="F1401" t="s">
        <v>35</v>
      </c>
    </row>
    <row r="1402" spans="1:6">
      <c r="A1402" t="s">
        <v>2637</v>
      </c>
      <c r="B1402" t="s">
        <v>2561</v>
      </c>
      <c r="C1402" t="s">
        <v>2473</v>
      </c>
      <c r="E1402" t="s">
        <v>18</v>
      </c>
      <c r="F1402" t="s">
        <v>19</v>
      </c>
    </row>
    <row r="1403" spans="1:6">
      <c r="A1403" t="s">
        <v>2638</v>
      </c>
      <c r="B1403" t="s">
        <v>2561</v>
      </c>
      <c r="C1403" t="s">
        <v>2321</v>
      </c>
      <c r="E1403" t="s">
        <v>18</v>
      </c>
      <c r="F1403" t="s">
        <v>19</v>
      </c>
    </row>
    <row r="1404" spans="1:6">
      <c r="A1404" t="s">
        <v>2639</v>
      </c>
      <c r="B1404" t="s">
        <v>2561</v>
      </c>
      <c r="C1404" t="s">
        <v>2339</v>
      </c>
      <c r="E1404" t="s">
        <v>18</v>
      </c>
      <c r="F1404" t="s">
        <v>19</v>
      </c>
    </row>
    <row r="1405" spans="1:6">
      <c r="A1405" t="s">
        <v>2640</v>
      </c>
      <c r="B1405" t="s">
        <v>2561</v>
      </c>
      <c r="C1405" t="s">
        <v>2641</v>
      </c>
      <c r="E1405" t="s">
        <v>18</v>
      </c>
      <c r="F1405" t="s">
        <v>19</v>
      </c>
    </row>
    <row r="1406" spans="1:6">
      <c r="A1406" t="s">
        <v>2642</v>
      </c>
      <c r="B1406" t="s">
        <v>2561</v>
      </c>
      <c r="C1406" t="s">
        <v>2255</v>
      </c>
      <c r="E1406" t="s">
        <v>18</v>
      </c>
      <c r="F1406" t="s">
        <v>19</v>
      </c>
    </row>
    <row r="1407" spans="1:6">
      <c r="A1407" t="s">
        <v>2643</v>
      </c>
      <c r="B1407" t="s">
        <v>2561</v>
      </c>
      <c r="C1407" t="s">
        <v>2405</v>
      </c>
      <c r="E1407" t="s">
        <v>18</v>
      </c>
      <c r="F1407" t="s">
        <v>19</v>
      </c>
    </row>
    <row r="1408" spans="1:6">
      <c r="A1408" t="s">
        <v>2644</v>
      </c>
      <c r="B1408" t="s">
        <v>2561</v>
      </c>
      <c r="C1408" t="s">
        <v>2357</v>
      </c>
      <c r="E1408" t="s">
        <v>18</v>
      </c>
      <c r="F1408" t="s">
        <v>19</v>
      </c>
    </row>
    <row r="1409" spans="1:6">
      <c r="A1409" t="s">
        <v>2645</v>
      </c>
      <c r="B1409" t="s">
        <v>2561</v>
      </c>
      <c r="C1409" t="s">
        <v>2459</v>
      </c>
      <c r="E1409" t="s">
        <v>18</v>
      </c>
      <c r="F1409" t="s">
        <v>19</v>
      </c>
    </row>
    <row r="1410" spans="1:6">
      <c r="A1410" t="s">
        <v>2646</v>
      </c>
      <c r="B1410" t="s">
        <v>2561</v>
      </c>
      <c r="C1410" t="s">
        <v>2471</v>
      </c>
      <c r="E1410" t="s">
        <v>18</v>
      </c>
      <c r="F1410" t="s">
        <v>19</v>
      </c>
    </row>
    <row r="1411" spans="1:6">
      <c r="A1411" t="s">
        <v>2647</v>
      </c>
      <c r="B1411" t="s">
        <v>2561</v>
      </c>
      <c r="C1411" t="s">
        <v>2431</v>
      </c>
      <c r="E1411" t="s">
        <v>18</v>
      </c>
      <c r="F1411" t="s">
        <v>19</v>
      </c>
    </row>
    <row r="1412" spans="1:6">
      <c r="A1412" t="s">
        <v>2648</v>
      </c>
      <c r="B1412" t="s">
        <v>2561</v>
      </c>
      <c r="C1412" t="s">
        <v>2409</v>
      </c>
      <c r="E1412" t="s">
        <v>18</v>
      </c>
      <c r="F1412" t="s">
        <v>19</v>
      </c>
    </row>
    <row r="1413" spans="1:6">
      <c r="A1413" t="s">
        <v>2649</v>
      </c>
      <c r="B1413" t="s">
        <v>2561</v>
      </c>
      <c r="C1413" t="s">
        <v>2279</v>
      </c>
      <c r="E1413" t="s">
        <v>18</v>
      </c>
      <c r="F1413" t="s">
        <v>19</v>
      </c>
    </row>
    <row r="1414" spans="1:6">
      <c r="A1414" t="s">
        <v>2650</v>
      </c>
      <c r="B1414" t="s">
        <v>2561</v>
      </c>
      <c r="C1414" t="s">
        <v>2651</v>
      </c>
      <c r="E1414" t="s">
        <v>18</v>
      </c>
      <c r="F1414" t="s">
        <v>19</v>
      </c>
    </row>
    <row r="1415" spans="1:6">
      <c r="A1415" t="s">
        <v>2652</v>
      </c>
      <c r="B1415" t="s">
        <v>2561</v>
      </c>
      <c r="C1415" t="s">
        <v>2347</v>
      </c>
      <c r="E1415" t="s">
        <v>18</v>
      </c>
      <c r="F1415" t="s">
        <v>19</v>
      </c>
    </row>
    <row r="1416" spans="1:6">
      <c r="A1416" t="s">
        <v>2653</v>
      </c>
      <c r="B1416" t="s">
        <v>2561</v>
      </c>
      <c r="C1416" t="s">
        <v>2463</v>
      </c>
      <c r="E1416" t="s">
        <v>18</v>
      </c>
      <c r="F1416" t="s">
        <v>19</v>
      </c>
    </row>
    <row r="1417" spans="1:6">
      <c r="A1417" t="s">
        <v>2654</v>
      </c>
      <c r="B1417" t="s">
        <v>2655</v>
      </c>
      <c r="C1417" t="s">
        <v>2223</v>
      </c>
    </row>
    <row r="1418" spans="1:6">
      <c r="A1418" t="s">
        <v>2656</v>
      </c>
      <c r="B1418" t="s">
        <v>2657</v>
      </c>
      <c r="C1418" t="s">
        <v>2236</v>
      </c>
    </row>
    <row r="1419" spans="1:6">
      <c r="A1419" t="s">
        <v>2658</v>
      </c>
      <c r="B1419" t="s">
        <v>2657</v>
      </c>
      <c r="C1419" t="s">
        <v>2238</v>
      </c>
    </row>
    <row r="1420" spans="1:6">
      <c r="A1420" t="s">
        <v>2659</v>
      </c>
      <c r="B1420" t="s">
        <v>2657</v>
      </c>
      <c r="C1420" t="s">
        <v>2660</v>
      </c>
    </row>
    <row r="1421" spans="1:6">
      <c r="A1421" t="s">
        <v>2661</v>
      </c>
      <c r="B1421" t="s">
        <v>2657</v>
      </c>
      <c r="C1421" t="s">
        <v>2662</v>
      </c>
    </row>
    <row r="1422" spans="1:6">
      <c r="A1422" t="s">
        <v>2663</v>
      </c>
      <c r="B1422" t="s">
        <v>2657</v>
      </c>
      <c r="C1422" t="s">
        <v>2664</v>
      </c>
    </row>
    <row r="1423" spans="1:6">
      <c r="A1423" t="s">
        <v>2665</v>
      </c>
      <c r="B1423" t="s">
        <v>2657</v>
      </c>
      <c r="C1423" t="s">
        <v>2240</v>
      </c>
    </row>
    <row r="1424" spans="1:6">
      <c r="A1424" t="s">
        <v>2666</v>
      </c>
      <c r="B1424" t="s">
        <v>2657</v>
      </c>
      <c r="C1424" t="s">
        <v>2667</v>
      </c>
    </row>
    <row r="1425" spans="1:7">
      <c r="A1425" t="s">
        <v>2668</v>
      </c>
      <c r="B1425" t="s">
        <v>2657</v>
      </c>
      <c r="C1425" t="s">
        <v>2669</v>
      </c>
    </row>
    <row r="1426" spans="1:7">
      <c r="A1426" t="s">
        <v>2670</v>
      </c>
      <c r="B1426" t="s">
        <v>2657</v>
      </c>
      <c r="C1426" t="s">
        <v>2671</v>
      </c>
    </row>
    <row r="1427" spans="1:7">
      <c r="A1427" t="s">
        <v>2672</v>
      </c>
      <c r="B1427" t="s">
        <v>2657</v>
      </c>
      <c r="C1427" t="s">
        <v>2232</v>
      </c>
    </row>
    <row r="1428" spans="1:7">
      <c r="A1428" t="s">
        <v>2673</v>
      </c>
      <c r="B1428" t="s">
        <v>2657</v>
      </c>
      <c r="C1428" t="s">
        <v>2674</v>
      </c>
    </row>
    <row r="1429" spans="1:7">
      <c r="A1429" t="s">
        <v>2675</v>
      </c>
      <c r="B1429" t="s">
        <v>2657</v>
      </c>
      <c r="C1429" t="s">
        <v>2676</v>
      </c>
    </row>
    <row r="1430" spans="1:7">
      <c r="A1430" t="s">
        <v>2677</v>
      </c>
      <c r="B1430" t="s">
        <v>2657</v>
      </c>
      <c r="C1430" t="s">
        <v>2678</v>
      </c>
    </row>
    <row r="1431" spans="1:7">
      <c r="A1431" t="s">
        <v>2679</v>
      </c>
      <c r="B1431" t="s">
        <v>2657</v>
      </c>
      <c r="C1431" t="s">
        <v>2242</v>
      </c>
    </row>
    <row r="1432" spans="1:7">
      <c r="A1432" t="s">
        <v>2680</v>
      </c>
      <c r="B1432" t="s">
        <v>2681</v>
      </c>
      <c r="C1432" t="s">
        <v>2682</v>
      </c>
    </row>
    <row r="1433" spans="1:7">
      <c r="A1433" t="s">
        <v>2683</v>
      </c>
      <c r="B1433" t="s">
        <v>2681</v>
      </c>
      <c r="C1433" t="s">
        <v>2684</v>
      </c>
    </row>
    <row r="1434" spans="1:7">
      <c r="A1434" t="s">
        <v>2685</v>
      </c>
      <c r="B1434" t="s">
        <v>2681</v>
      </c>
      <c r="C1434" t="s">
        <v>2686</v>
      </c>
    </row>
    <row r="1435" spans="1:7">
      <c r="A1435" t="s">
        <v>2687</v>
      </c>
      <c r="B1435" t="s">
        <v>2681</v>
      </c>
      <c r="C1435" t="s">
        <v>2688</v>
      </c>
    </row>
    <row r="1436" spans="1:7">
      <c r="A1436" t="s">
        <v>2689</v>
      </c>
      <c r="B1436" t="s">
        <v>2681</v>
      </c>
      <c r="C1436" t="s">
        <v>2690</v>
      </c>
    </row>
    <row r="1437" spans="1:7">
      <c r="A1437" t="s">
        <v>2691</v>
      </c>
      <c r="B1437" t="s">
        <v>2692</v>
      </c>
      <c r="C1437" t="s">
        <v>1173</v>
      </c>
      <c r="D1437" t="s">
        <v>2483</v>
      </c>
      <c r="G1437">
        <v>3</v>
      </c>
    </row>
    <row r="1438" spans="1:7">
      <c r="A1438" t="s">
        <v>2693</v>
      </c>
      <c r="B1438" t="s">
        <v>2692</v>
      </c>
      <c r="C1438" t="s">
        <v>52</v>
      </c>
      <c r="D1438" t="s">
        <v>2483</v>
      </c>
      <c r="G1438">
        <v>5</v>
      </c>
    </row>
    <row r="1439" spans="1:7">
      <c r="A1439" t="s">
        <v>2694</v>
      </c>
      <c r="B1439" t="s">
        <v>2692</v>
      </c>
      <c r="C1439" t="s">
        <v>371</v>
      </c>
      <c r="D1439" t="s">
        <v>2483</v>
      </c>
      <c r="G1439">
        <v>0</v>
      </c>
    </row>
    <row r="1440" spans="1:7">
      <c r="A1440" t="s">
        <v>2695</v>
      </c>
      <c r="B1440" t="s">
        <v>2692</v>
      </c>
      <c r="C1440" t="s">
        <v>224</v>
      </c>
      <c r="D1440" t="s">
        <v>2483</v>
      </c>
      <c r="G1440">
        <v>0</v>
      </c>
    </row>
    <row r="1441" spans="1:7">
      <c r="A1441" t="s">
        <v>2696</v>
      </c>
      <c r="B1441" t="s">
        <v>2692</v>
      </c>
      <c r="C1441" t="s">
        <v>390</v>
      </c>
      <c r="D1441" t="s">
        <v>2483</v>
      </c>
      <c r="G1441">
        <v>0</v>
      </c>
    </row>
    <row r="1442" spans="1:7">
      <c r="A1442" t="s">
        <v>2697</v>
      </c>
      <c r="B1442" t="s">
        <v>2692</v>
      </c>
      <c r="C1442" t="s">
        <v>456</v>
      </c>
      <c r="D1442" t="s">
        <v>2483</v>
      </c>
      <c r="G1442">
        <v>4</v>
      </c>
    </row>
    <row r="1443" spans="1:7">
      <c r="A1443" t="s">
        <v>2698</v>
      </c>
      <c r="B1443" t="s">
        <v>2692</v>
      </c>
      <c r="C1443" t="s">
        <v>124</v>
      </c>
      <c r="D1443" t="s">
        <v>2483</v>
      </c>
      <c r="G1443">
        <v>3</v>
      </c>
    </row>
    <row r="1444" spans="1:7">
      <c r="A1444" t="s">
        <v>2699</v>
      </c>
      <c r="B1444" t="s">
        <v>2692</v>
      </c>
      <c r="C1444" t="s">
        <v>971</v>
      </c>
      <c r="D1444" t="s">
        <v>2483</v>
      </c>
      <c r="G1444">
        <v>3</v>
      </c>
    </row>
    <row r="1445" spans="1:7">
      <c r="A1445" t="s">
        <v>2700</v>
      </c>
      <c r="B1445" t="s">
        <v>2692</v>
      </c>
      <c r="C1445" t="s">
        <v>831</v>
      </c>
      <c r="D1445" t="s">
        <v>2483</v>
      </c>
      <c r="G1445">
        <v>5</v>
      </c>
    </row>
    <row r="1446" spans="1:7">
      <c r="A1446" t="s">
        <v>2701</v>
      </c>
      <c r="B1446" t="s">
        <v>2692</v>
      </c>
      <c r="C1446" t="s">
        <v>751</v>
      </c>
      <c r="D1446" t="s">
        <v>2483</v>
      </c>
      <c r="G1446">
        <v>3</v>
      </c>
    </row>
    <row r="1447" spans="1:7">
      <c r="A1447" t="s">
        <v>2702</v>
      </c>
      <c r="B1447" t="s">
        <v>2692</v>
      </c>
      <c r="C1447" t="s">
        <v>188</v>
      </c>
      <c r="D1447" t="s">
        <v>2483</v>
      </c>
      <c r="G1447">
        <v>2</v>
      </c>
    </row>
    <row r="1448" spans="1:7">
      <c r="A1448" t="s">
        <v>2703</v>
      </c>
      <c r="B1448" t="s">
        <v>2692</v>
      </c>
      <c r="C1448" t="s">
        <v>82</v>
      </c>
      <c r="D1448" t="s">
        <v>2483</v>
      </c>
      <c r="G1448">
        <v>0</v>
      </c>
    </row>
    <row r="1449" spans="1:7">
      <c r="A1449" t="s">
        <v>2704</v>
      </c>
      <c r="B1449" t="s">
        <v>2692</v>
      </c>
      <c r="C1449" t="s">
        <v>252</v>
      </c>
      <c r="D1449" t="s">
        <v>2483</v>
      </c>
      <c r="G1449">
        <v>0</v>
      </c>
    </row>
    <row r="1450" spans="1:7">
      <c r="A1450" t="s">
        <v>2705</v>
      </c>
      <c r="B1450" t="s">
        <v>2692</v>
      </c>
      <c r="C1450" t="s">
        <v>379</v>
      </c>
      <c r="D1450" t="s">
        <v>2483</v>
      </c>
      <c r="G1450">
        <v>2</v>
      </c>
    </row>
    <row r="1451" spans="1:7">
      <c r="A1451" t="s">
        <v>2706</v>
      </c>
      <c r="B1451" t="s">
        <v>2692</v>
      </c>
      <c r="C1451" t="s">
        <v>324</v>
      </c>
      <c r="D1451" t="s">
        <v>2483</v>
      </c>
      <c r="G1451">
        <v>5</v>
      </c>
    </row>
    <row r="1452" spans="1:7">
      <c r="A1452" t="s">
        <v>2707</v>
      </c>
      <c r="B1452" t="s">
        <v>2692</v>
      </c>
      <c r="C1452" t="s">
        <v>1454</v>
      </c>
      <c r="D1452" t="s">
        <v>2483</v>
      </c>
      <c r="G1452">
        <v>0</v>
      </c>
    </row>
    <row r="1453" spans="1:7">
      <c r="A1453" t="s">
        <v>2708</v>
      </c>
      <c r="B1453" t="s">
        <v>2692</v>
      </c>
      <c r="C1453" t="s">
        <v>426</v>
      </c>
      <c r="D1453" t="s">
        <v>2483</v>
      </c>
      <c r="G1453">
        <v>3</v>
      </c>
    </row>
    <row r="1454" spans="1:7">
      <c r="A1454" t="s">
        <v>2709</v>
      </c>
      <c r="B1454" t="s">
        <v>2692</v>
      </c>
      <c r="C1454" t="s">
        <v>786</v>
      </c>
      <c r="D1454" t="s">
        <v>2483</v>
      </c>
      <c r="G1454">
        <v>2</v>
      </c>
    </row>
    <row r="1455" spans="1:7">
      <c r="A1455" t="s">
        <v>2710</v>
      </c>
      <c r="B1455" t="s">
        <v>2692</v>
      </c>
      <c r="C1455" t="s">
        <v>98</v>
      </c>
      <c r="D1455" t="s">
        <v>2483</v>
      </c>
      <c r="G1455">
        <v>1</v>
      </c>
    </row>
    <row r="1456" spans="1:7">
      <c r="A1456" t="s">
        <v>2711</v>
      </c>
      <c r="B1456" t="s">
        <v>2692</v>
      </c>
      <c r="C1456" t="s">
        <v>497</v>
      </c>
      <c r="D1456" t="s">
        <v>2483</v>
      </c>
      <c r="G1456">
        <v>1</v>
      </c>
    </row>
    <row r="1457" spans="1:7">
      <c r="A1457" t="s">
        <v>2712</v>
      </c>
      <c r="B1457" t="s">
        <v>2692</v>
      </c>
      <c r="C1457" t="s">
        <v>1135</v>
      </c>
      <c r="D1457" t="s">
        <v>2483</v>
      </c>
      <c r="G1457">
        <v>3</v>
      </c>
    </row>
    <row r="1458" spans="1:7">
      <c r="A1458" t="s">
        <v>2713</v>
      </c>
      <c r="B1458" t="s">
        <v>2692</v>
      </c>
      <c r="C1458" t="s">
        <v>170</v>
      </c>
      <c r="D1458" t="s">
        <v>2483</v>
      </c>
      <c r="G1458">
        <v>7</v>
      </c>
    </row>
    <row r="1459" spans="1:7">
      <c r="A1459" t="s">
        <v>2714</v>
      </c>
      <c r="B1459" t="s">
        <v>2692</v>
      </c>
      <c r="C1459" t="s">
        <v>274</v>
      </c>
      <c r="D1459" t="s">
        <v>2483</v>
      </c>
      <c r="G1459">
        <v>0</v>
      </c>
    </row>
    <row r="1460" spans="1:7">
      <c r="A1460" t="s">
        <v>2715</v>
      </c>
      <c r="B1460" t="s">
        <v>2692</v>
      </c>
      <c r="C1460" t="s">
        <v>1448</v>
      </c>
      <c r="D1460" t="s">
        <v>2483</v>
      </c>
      <c r="G1460">
        <v>0</v>
      </c>
    </row>
    <row r="1461" spans="1:7">
      <c r="A1461" t="s">
        <v>2716</v>
      </c>
      <c r="B1461" t="s">
        <v>2692</v>
      </c>
      <c r="C1461" t="s">
        <v>1754</v>
      </c>
      <c r="D1461" t="s">
        <v>2483</v>
      </c>
      <c r="G1461">
        <v>2</v>
      </c>
    </row>
    <row r="1462" spans="1:7">
      <c r="A1462" t="s">
        <v>2717</v>
      </c>
      <c r="B1462" t="s">
        <v>2692</v>
      </c>
      <c r="C1462" t="s">
        <v>34</v>
      </c>
      <c r="D1462" t="s">
        <v>2483</v>
      </c>
      <c r="G1462">
        <v>0</v>
      </c>
    </row>
    <row r="1463" spans="1:7">
      <c r="A1463" t="s">
        <v>2718</v>
      </c>
      <c r="B1463" t="s">
        <v>2692</v>
      </c>
      <c r="C1463" t="s">
        <v>475</v>
      </c>
      <c r="D1463" t="s">
        <v>2483</v>
      </c>
      <c r="G1463">
        <v>0</v>
      </c>
    </row>
    <row r="1464" spans="1:7">
      <c r="A1464" t="s">
        <v>2719</v>
      </c>
      <c r="B1464" t="s">
        <v>2692</v>
      </c>
      <c r="C1464" t="s">
        <v>1772</v>
      </c>
      <c r="D1464" t="s">
        <v>2483</v>
      </c>
      <c r="G1464">
        <v>0</v>
      </c>
    </row>
    <row r="1465" spans="1:7">
      <c r="A1465" t="s">
        <v>2720</v>
      </c>
      <c r="B1465" t="s">
        <v>2692</v>
      </c>
      <c r="C1465" t="s">
        <v>269</v>
      </c>
      <c r="D1465" t="s">
        <v>2483</v>
      </c>
      <c r="G1465">
        <v>0</v>
      </c>
    </row>
    <row r="1466" spans="1:7">
      <c r="A1466" t="s">
        <v>2721</v>
      </c>
      <c r="B1466" t="s">
        <v>2692</v>
      </c>
      <c r="C1466" t="s">
        <v>56</v>
      </c>
      <c r="D1466" t="s">
        <v>2483</v>
      </c>
      <c r="G1466">
        <v>1</v>
      </c>
    </row>
    <row r="1467" spans="1:7">
      <c r="A1467" t="s">
        <v>2722</v>
      </c>
      <c r="B1467" t="s">
        <v>2692</v>
      </c>
      <c r="C1467" t="s">
        <v>208</v>
      </c>
      <c r="D1467" t="s">
        <v>2483</v>
      </c>
      <c r="G1467">
        <v>0</v>
      </c>
    </row>
    <row r="1468" spans="1:7">
      <c r="A1468" t="s">
        <v>2723</v>
      </c>
      <c r="B1468" t="s">
        <v>2692</v>
      </c>
      <c r="C1468" t="s">
        <v>312</v>
      </c>
      <c r="D1468" t="s">
        <v>2483</v>
      </c>
      <c r="G1468">
        <v>0</v>
      </c>
    </row>
    <row r="1469" spans="1:7">
      <c r="A1469" t="s">
        <v>2724</v>
      </c>
      <c r="B1469" t="s">
        <v>2692</v>
      </c>
      <c r="C1469" t="s">
        <v>196</v>
      </c>
      <c r="D1469" t="s">
        <v>2483</v>
      </c>
      <c r="G1469">
        <v>1</v>
      </c>
    </row>
    <row r="1470" spans="1:7">
      <c r="A1470" t="s">
        <v>2725</v>
      </c>
      <c r="B1470" t="s">
        <v>2692</v>
      </c>
      <c r="C1470" t="s">
        <v>46</v>
      </c>
      <c r="D1470" t="s">
        <v>2483</v>
      </c>
      <c r="G1470">
        <v>0</v>
      </c>
    </row>
    <row r="1471" spans="1:7">
      <c r="A1471" t="s">
        <v>2726</v>
      </c>
      <c r="B1471" t="s">
        <v>2692</v>
      </c>
      <c r="C1471" t="s">
        <v>18</v>
      </c>
      <c r="D1471" t="s">
        <v>2483</v>
      </c>
      <c r="G1471">
        <v>0</v>
      </c>
    </row>
    <row r="1472" spans="1:7">
      <c r="A1472" t="s">
        <v>2727</v>
      </c>
      <c r="B1472" t="s">
        <v>2692</v>
      </c>
      <c r="C1472" t="s">
        <v>302</v>
      </c>
      <c r="D1472" t="s">
        <v>2483</v>
      </c>
      <c r="G1472">
        <v>0</v>
      </c>
    </row>
    <row r="1473" spans="1:7">
      <c r="A1473" t="s">
        <v>2728</v>
      </c>
      <c r="B1473" t="s">
        <v>2692</v>
      </c>
      <c r="C1473" t="s">
        <v>721</v>
      </c>
      <c r="D1473" t="s">
        <v>2483</v>
      </c>
      <c r="G1473">
        <v>3</v>
      </c>
    </row>
    <row r="1474" spans="1:7">
      <c r="A1474" t="s">
        <v>2729</v>
      </c>
      <c r="B1474" t="s">
        <v>2692</v>
      </c>
      <c r="C1474" t="s">
        <v>1475</v>
      </c>
      <c r="D1474" t="s">
        <v>2483</v>
      </c>
      <c r="G1474">
        <v>2</v>
      </c>
    </row>
    <row r="1475" spans="1:7">
      <c r="A1475" t="s">
        <v>2730</v>
      </c>
      <c r="B1475" t="s">
        <v>2692</v>
      </c>
      <c r="C1475" t="s">
        <v>330</v>
      </c>
      <c r="D1475" t="s">
        <v>2483</v>
      </c>
      <c r="G1475">
        <v>0</v>
      </c>
    </row>
    <row r="1476" spans="1:7">
      <c r="A1476" t="s">
        <v>2731</v>
      </c>
      <c r="B1476" t="s">
        <v>2692</v>
      </c>
      <c r="C1476" t="s">
        <v>1061</v>
      </c>
      <c r="D1476" t="s">
        <v>2483</v>
      </c>
      <c r="G1476">
        <v>5</v>
      </c>
    </row>
    <row r="1477" spans="1:7">
      <c r="A1477" t="s">
        <v>2732</v>
      </c>
      <c r="B1477" t="s">
        <v>2692</v>
      </c>
      <c r="C1477" t="s">
        <v>1929</v>
      </c>
      <c r="D1477" t="s">
        <v>2483</v>
      </c>
      <c r="G1477">
        <v>2</v>
      </c>
    </row>
    <row r="1478" spans="1:7">
      <c r="A1478" t="s">
        <v>2733</v>
      </c>
      <c r="B1478" t="s">
        <v>2692</v>
      </c>
      <c r="C1478" t="s">
        <v>202</v>
      </c>
      <c r="D1478" t="s">
        <v>2483</v>
      </c>
      <c r="G1478">
        <v>0</v>
      </c>
    </row>
    <row r="1479" spans="1:7">
      <c r="A1479" t="s">
        <v>2734</v>
      </c>
      <c r="B1479" t="s">
        <v>2692</v>
      </c>
      <c r="C1479" t="s">
        <v>298</v>
      </c>
      <c r="D1479" t="s">
        <v>2483</v>
      </c>
      <c r="G1479">
        <v>2</v>
      </c>
    </row>
    <row r="1480" spans="1:7">
      <c r="A1480" t="s">
        <v>2735</v>
      </c>
      <c r="B1480" t="s">
        <v>2692</v>
      </c>
      <c r="C1480" t="s">
        <v>821</v>
      </c>
      <c r="D1480" t="s">
        <v>2483</v>
      </c>
      <c r="G1480">
        <v>2</v>
      </c>
    </row>
    <row r="1481" spans="1:7">
      <c r="A1481" t="s">
        <v>2736</v>
      </c>
      <c r="B1481" t="s">
        <v>2692</v>
      </c>
      <c r="C1481" t="s">
        <v>1065</v>
      </c>
      <c r="D1481" t="s">
        <v>2483</v>
      </c>
      <c r="G1481">
        <v>0</v>
      </c>
    </row>
    <row r="1482" spans="1:7">
      <c r="A1482" t="s">
        <v>2737</v>
      </c>
      <c r="B1482" t="s">
        <v>2692</v>
      </c>
      <c r="C1482" t="s">
        <v>239</v>
      </c>
      <c r="D1482" t="s">
        <v>2483</v>
      </c>
      <c r="G1482">
        <v>3</v>
      </c>
    </row>
    <row r="1483" spans="1:7">
      <c r="A1483" t="s">
        <v>2738</v>
      </c>
      <c r="B1483" t="s">
        <v>2692</v>
      </c>
      <c r="C1483" t="s">
        <v>827</v>
      </c>
      <c r="D1483" t="s">
        <v>2483</v>
      </c>
      <c r="G1483">
        <v>5</v>
      </c>
    </row>
    <row r="1484" spans="1:7">
      <c r="A1484" t="s">
        <v>2739</v>
      </c>
      <c r="B1484" t="s">
        <v>2692</v>
      </c>
      <c r="C1484" t="s">
        <v>78</v>
      </c>
      <c r="D1484" t="s">
        <v>2483</v>
      </c>
      <c r="G1484">
        <v>1</v>
      </c>
    </row>
    <row r="1485" spans="1:7">
      <c r="A1485" t="s">
        <v>2740</v>
      </c>
      <c r="B1485" t="s">
        <v>2692</v>
      </c>
      <c r="C1485" t="s">
        <v>257</v>
      </c>
      <c r="D1485" t="s">
        <v>2483</v>
      </c>
      <c r="G1485">
        <v>1</v>
      </c>
    </row>
    <row r="1486" spans="1:7">
      <c r="A1486" t="s">
        <v>2741</v>
      </c>
      <c r="B1486" t="s">
        <v>2692</v>
      </c>
      <c r="C1486" t="s">
        <v>42</v>
      </c>
      <c r="D1486" t="s">
        <v>2483</v>
      </c>
      <c r="G1486">
        <v>3</v>
      </c>
    </row>
    <row r="1487" spans="1:7">
      <c r="A1487" t="s">
        <v>2742</v>
      </c>
      <c r="B1487" t="s">
        <v>2743</v>
      </c>
      <c r="C1487" t="s">
        <v>2744</v>
      </c>
    </row>
    <row r="1488" spans="1:7">
      <c r="A1488" t="s">
        <v>2745</v>
      </c>
      <c r="B1488" t="s">
        <v>2746</v>
      </c>
      <c r="C1488" t="s">
        <v>2747</v>
      </c>
      <c r="D1488" t="s">
        <v>2483</v>
      </c>
    </row>
    <row r="1489" spans="1:6">
      <c r="A1489" t="s">
        <v>2748</v>
      </c>
      <c r="B1489" t="s">
        <v>2746</v>
      </c>
      <c r="C1489" t="s">
        <v>2749</v>
      </c>
      <c r="D1489" t="s">
        <v>2483</v>
      </c>
      <c r="E1489" t="s">
        <v>379</v>
      </c>
      <c r="F1489" t="s">
        <v>299</v>
      </c>
    </row>
    <row r="1490" spans="1:6">
      <c r="A1490" t="s">
        <v>2750</v>
      </c>
      <c r="B1490" t="s">
        <v>2746</v>
      </c>
      <c r="C1490" t="s">
        <v>2751</v>
      </c>
      <c r="D1490" t="s">
        <v>2505</v>
      </c>
    </row>
    <row r="1491" spans="1:6">
      <c r="A1491" t="s">
        <v>2752</v>
      </c>
      <c r="B1491" t="s">
        <v>2746</v>
      </c>
      <c r="C1491" t="s">
        <v>2753</v>
      </c>
      <c r="D1491" t="s">
        <v>2489</v>
      </c>
    </row>
    <row r="1492" spans="1:6">
      <c r="A1492" t="s">
        <v>2754</v>
      </c>
      <c r="B1492" t="s">
        <v>2746</v>
      </c>
      <c r="C1492" t="s">
        <v>2755</v>
      </c>
      <c r="D1492" t="s">
        <v>2483</v>
      </c>
    </row>
    <row r="1493" spans="1:6">
      <c r="A1493" t="s">
        <v>2756</v>
      </c>
      <c r="B1493" t="s">
        <v>2746</v>
      </c>
      <c r="C1493" t="s">
        <v>2757</v>
      </c>
      <c r="D1493" t="s">
        <v>2483</v>
      </c>
      <c r="E1493" t="s">
        <v>475</v>
      </c>
      <c r="F1493" t="s">
        <v>476</v>
      </c>
    </row>
    <row r="1494" spans="1:6">
      <c r="A1494" t="s">
        <v>2758</v>
      </c>
      <c r="B1494" t="s">
        <v>2746</v>
      </c>
      <c r="C1494" t="s">
        <v>2759</v>
      </c>
      <c r="D1494" t="s">
        <v>2515</v>
      </c>
    </row>
    <row r="1495" spans="1:6">
      <c r="A1495" t="s">
        <v>2760</v>
      </c>
      <c r="B1495" t="s">
        <v>2746</v>
      </c>
      <c r="C1495" t="s">
        <v>2494</v>
      </c>
      <c r="D1495" t="s">
        <v>2489</v>
      </c>
    </row>
    <row r="1496" spans="1:6">
      <c r="A1496" t="s">
        <v>2761</v>
      </c>
      <c r="B1496" t="s">
        <v>2746</v>
      </c>
      <c r="C1496" t="s">
        <v>2762</v>
      </c>
      <c r="D1496" t="s">
        <v>2483</v>
      </c>
      <c r="E1496" t="s">
        <v>274</v>
      </c>
      <c r="F1496" t="s">
        <v>275</v>
      </c>
    </row>
    <row r="1497" spans="1:6">
      <c r="A1497" t="s">
        <v>2763</v>
      </c>
      <c r="B1497" t="s">
        <v>2746</v>
      </c>
      <c r="C1497" t="s">
        <v>2764</v>
      </c>
      <c r="D1497" t="s">
        <v>2483</v>
      </c>
      <c r="E1497" t="s">
        <v>1772</v>
      </c>
      <c r="F1497" t="s">
        <v>1773</v>
      </c>
    </row>
    <row r="1498" spans="1:6">
      <c r="A1498" t="s">
        <v>2765</v>
      </c>
      <c r="B1498" t="s">
        <v>2746</v>
      </c>
      <c r="C1498" t="s">
        <v>2766</v>
      </c>
      <c r="D1498" t="s">
        <v>2767</v>
      </c>
    </row>
    <row r="1499" spans="1:6">
      <c r="A1499" t="s">
        <v>2768</v>
      </c>
      <c r="B1499" t="s">
        <v>2746</v>
      </c>
      <c r="C1499" t="s">
        <v>2769</v>
      </c>
      <c r="D1499" t="s">
        <v>2518</v>
      </c>
    </row>
    <row r="1500" spans="1:6">
      <c r="A1500" t="s">
        <v>2770</v>
      </c>
      <c r="B1500" t="s">
        <v>2746</v>
      </c>
      <c r="C1500" t="s">
        <v>2379</v>
      </c>
      <c r="D1500" t="s">
        <v>2518</v>
      </c>
    </row>
    <row r="1501" spans="1:6">
      <c r="A1501" t="s">
        <v>2771</v>
      </c>
      <c r="B1501" t="s">
        <v>2746</v>
      </c>
      <c r="C1501" t="s">
        <v>2772</v>
      </c>
      <c r="D1501" t="s">
        <v>2523</v>
      </c>
    </row>
    <row r="1502" spans="1:6">
      <c r="A1502" t="s">
        <v>2773</v>
      </c>
      <c r="B1502" t="s">
        <v>2746</v>
      </c>
      <c r="C1502" t="s">
        <v>2774</v>
      </c>
      <c r="D1502" t="s">
        <v>2518</v>
      </c>
    </row>
    <row r="1503" spans="1:6">
      <c r="A1503" t="s">
        <v>2775</v>
      </c>
      <c r="B1503" t="s">
        <v>2746</v>
      </c>
      <c r="C1503" t="s">
        <v>2776</v>
      </c>
      <c r="D1503" t="s">
        <v>2483</v>
      </c>
      <c r="E1503" t="s">
        <v>390</v>
      </c>
      <c r="F1503" t="s">
        <v>391</v>
      </c>
    </row>
    <row r="1504" spans="1:6">
      <c r="A1504" t="s">
        <v>2777</v>
      </c>
      <c r="B1504" t="s">
        <v>2746</v>
      </c>
      <c r="C1504" t="s">
        <v>2778</v>
      </c>
      <c r="D1504" t="s">
        <v>2483</v>
      </c>
    </row>
    <row r="1505" spans="1:6">
      <c r="A1505" t="s">
        <v>2779</v>
      </c>
      <c r="B1505" t="s">
        <v>2746</v>
      </c>
      <c r="C1505" t="s">
        <v>2780</v>
      </c>
      <c r="D1505" t="s">
        <v>2483</v>
      </c>
      <c r="E1505" t="s">
        <v>257</v>
      </c>
      <c r="F1505" t="s">
        <v>258</v>
      </c>
    </row>
    <row r="1506" spans="1:6">
      <c r="A1506" t="s">
        <v>2781</v>
      </c>
      <c r="B1506" t="s">
        <v>2746</v>
      </c>
      <c r="C1506" t="s">
        <v>2782</v>
      </c>
      <c r="D1506" t="s">
        <v>2505</v>
      </c>
    </row>
    <row r="1507" spans="1:6">
      <c r="A1507" t="s">
        <v>2783</v>
      </c>
      <c r="B1507" t="s">
        <v>2746</v>
      </c>
      <c r="C1507" t="s">
        <v>2784</v>
      </c>
      <c r="D1507" t="s">
        <v>2483</v>
      </c>
      <c r="E1507" t="s">
        <v>1454</v>
      </c>
      <c r="F1507" t="s">
        <v>1455</v>
      </c>
    </row>
    <row r="1508" spans="1:6">
      <c r="A1508" t="s">
        <v>2785</v>
      </c>
      <c r="B1508" t="s">
        <v>2746</v>
      </c>
      <c r="C1508" t="s">
        <v>2786</v>
      </c>
      <c r="D1508" t="s">
        <v>2483</v>
      </c>
      <c r="E1508" t="s">
        <v>971</v>
      </c>
      <c r="F1508" t="s">
        <v>972</v>
      </c>
    </row>
    <row r="1509" spans="1:6">
      <c r="A1509" t="s">
        <v>2787</v>
      </c>
      <c r="B1509" t="s">
        <v>2746</v>
      </c>
      <c r="C1509" t="s">
        <v>2788</v>
      </c>
      <c r="D1509" t="s">
        <v>2518</v>
      </c>
    </row>
    <row r="1510" spans="1:6">
      <c r="A1510" t="s">
        <v>2789</v>
      </c>
      <c r="B1510" t="s">
        <v>2746</v>
      </c>
      <c r="C1510" t="s">
        <v>2790</v>
      </c>
      <c r="D1510" t="s">
        <v>2483</v>
      </c>
    </row>
    <row r="1511" spans="1:6">
      <c r="A1511" t="s">
        <v>2791</v>
      </c>
      <c r="B1511" t="s">
        <v>2746</v>
      </c>
      <c r="C1511" t="s">
        <v>2792</v>
      </c>
      <c r="D1511" t="s">
        <v>2483</v>
      </c>
    </row>
    <row r="1512" spans="1:6">
      <c r="A1512" t="s">
        <v>2793</v>
      </c>
      <c r="B1512" t="s">
        <v>2746</v>
      </c>
      <c r="C1512" t="s">
        <v>2794</v>
      </c>
      <c r="D1512" t="s">
        <v>2518</v>
      </c>
    </row>
    <row r="1513" spans="1:6">
      <c r="A1513" t="s">
        <v>2795</v>
      </c>
      <c r="B1513" t="s">
        <v>2746</v>
      </c>
      <c r="C1513" t="s">
        <v>2796</v>
      </c>
      <c r="D1513" t="s">
        <v>2515</v>
      </c>
    </row>
    <row r="1514" spans="1:6">
      <c r="A1514" t="s">
        <v>2797</v>
      </c>
      <c r="B1514" t="s">
        <v>2746</v>
      </c>
      <c r="C1514" t="s">
        <v>2798</v>
      </c>
      <c r="D1514" t="s">
        <v>2483</v>
      </c>
    </row>
    <row r="1515" spans="1:6">
      <c r="A1515" t="s">
        <v>2799</v>
      </c>
      <c r="B1515" t="s">
        <v>2746</v>
      </c>
      <c r="C1515" t="s">
        <v>2747</v>
      </c>
      <c r="D1515" t="s">
        <v>2483</v>
      </c>
    </row>
    <row r="1516" spans="1:6">
      <c r="A1516" t="s">
        <v>2800</v>
      </c>
      <c r="B1516" t="s">
        <v>2746</v>
      </c>
      <c r="C1516" t="s">
        <v>42</v>
      </c>
      <c r="D1516" t="s">
        <v>2483</v>
      </c>
      <c r="E1516" t="s">
        <v>42</v>
      </c>
      <c r="F1516" t="s">
        <v>43</v>
      </c>
    </row>
    <row r="1517" spans="1:6">
      <c r="A1517" t="s">
        <v>2801</v>
      </c>
      <c r="B1517" t="s">
        <v>2746</v>
      </c>
      <c r="C1517" t="s">
        <v>2802</v>
      </c>
      <c r="D1517" t="s">
        <v>2505</v>
      </c>
    </row>
    <row r="1518" spans="1:6">
      <c r="A1518" t="s">
        <v>2803</v>
      </c>
      <c r="B1518" t="s">
        <v>2746</v>
      </c>
      <c r="C1518" t="s">
        <v>2804</v>
      </c>
      <c r="D1518" t="s">
        <v>2523</v>
      </c>
    </row>
    <row r="1519" spans="1:6">
      <c r="A1519" t="s">
        <v>2805</v>
      </c>
      <c r="B1519" t="s">
        <v>2746</v>
      </c>
      <c r="C1519" t="s">
        <v>2806</v>
      </c>
      <c r="D1519" t="s">
        <v>2523</v>
      </c>
    </row>
    <row r="1520" spans="1:6">
      <c r="A1520" t="s">
        <v>2807</v>
      </c>
      <c r="B1520" t="s">
        <v>2746</v>
      </c>
      <c r="C1520" t="s">
        <v>2808</v>
      </c>
      <c r="D1520" t="s">
        <v>2489</v>
      </c>
    </row>
    <row r="1521" spans="1:6">
      <c r="A1521" t="s">
        <v>2809</v>
      </c>
      <c r="B1521" t="s">
        <v>2746</v>
      </c>
      <c r="C1521" t="s">
        <v>2810</v>
      </c>
      <c r="D1521" t="s">
        <v>2505</v>
      </c>
    </row>
    <row r="1522" spans="1:6">
      <c r="A1522" t="s">
        <v>2811</v>
      </c>
      <c r="B1522" t="s">
        <v>2746</v>
      </c>
      <c r="C1522" t="s">
        <v>196</v>
      </c>
      <c r="D1522" t="s">
        <v>2483</v>
      </c>
      <c r="E1522" t="s">
        <v>196</v>
      </c>
      <c r="F1522" t="s">
        <v>197</v>
      </c>
    </row>
    <row r="1523" spans="1:6">
      <c r="A1523" t="s">
        <v>2812</v>
      </c>
      <c r="B1523" t="s">
        <v>2746</v>
      </c>
      <c r="C1523" t="s">
        <v>1754</v>
      </c>
      <c r="D1523" t="s">
        <v>2483</v>
      </c>
      <c r="E1523" t="s">
        <v>1754</v>
      </c>
      <c r="F1523" t="s">
        <v>1755</v>
      </c>
    </row>
    <row r="1524" spans="1:6">
      <c r="A1524" t="s">
        <v>2813</v>
      </c>
      <c r="B1524" t="s">
        <v>2746</v>
      </c>
      <c r="C1524" t="s">
        <v>751</v>
      </c>
      <c r="D1524" t="s">
        <v>2483</v>
      </c>
      <c r="E1524" t="s">
        <v>751</v>
      </c>
      <c r="F1524" t="s">
        <v>752</v>
      </c>
    </row>
    <row r="1525" spans="1:6">
      <c r="A1525" t="s">
        <v>2814</v>
      </c>
      <c r="B1525" t="s">
        <v>2746</v>
      </c>
      <c r="C1525" t="s">
        <v>2815</v>
      </c>
      <c r="D1525" t="s">
        <v>2483</v>
      </c>
      <c r="E1525" t="s">
        <v>371</v>
      </c>
      <c r="F1525" t="s">
        <v>372</v>
      </c>
    </row>
    <row r="1526" spans="1:6">
      <c r="A1526" t="s">
        <v>2816</v>
      </c>
      <c r="B1526" t="s">
        <v>2746</v>
      </c>
      <c r="C1526" t="s">
        <v>2817</v>
      </c>
      <c r="D1526" t="s">
        <v>2505</v>
      </c>
    </row>
    <row r="1527" spans="1:6">
      <c r="A1527" t="s">
        <v>2818</v>
      </c>
      <c r="B1527" t="s">
        <v>2746</v>
      </c>
      <c r="C1527" t="s">
        <v>2819</v>
      </c>
      <c r="D1527" t="s">
        <v>2518</v>
      </c>
    </row>
    <row r="1528" spans="1:6">
      <c r="A1528" t="s">
        <v>2820</v>
      </c>
      <c r="B1528" t="s">
        <v>2746</v>
      </c>
      <c r="C1528" t="s">
        <v>2821</v>
      </c>
      <c r="D1528" t="s">
        <v>2489</v>
      </c>
    </row>
    <row r="1529" spans="1:6">
      <c r="A1529" t="s">
        <v>2822</v>
      </c>
      <c r="B1529" t="s">
        <v>2746</v>
      </c>
      <c r="C1529" t="s">
        <v>2823</v>
      </c>
      <c r="D1529" t="s">
        <v>2483</v>
      </c>
      <c r="E1529" t="s">
        <v>1065</v>
      </c>
      <c r="F1529" t="s">
        <v>1066</v>
      </c>
    </row>
    <row r="1530" spans="1:6">
      <c r="A1530" t="s">
        <v>2824</v>
      </c>
      <c r="B1530" t="s">
        <v>2746</v>
      </c>
      <c r="C1530" t="s">
        <v>2825</v>
      </c>
      <c r="D1530" t="s">
        <v>2489</v>
      </c>
    </row>
    <row r="1531" spans="1:6">
      <c r="A1531" t="s">
        <v>2826</v>
      </c>
      <c r="B1531" t="s">
        <v>2746</v>
      </c>
      <c r="C1531" t="s">
        <v>2827</v>
      </c>
      <c r="D1531" t="s">
        <v>2505</v>
      </c>
    </row>
    <row r="1532" spans="1:6">
      <c r="A1532" t="s">
        <v>2828</v>
      </c>
      <c r="B1532" t="s">
        <v>2746</v>
      </c>
      <c r="C1532" t="s">
        <v>2829</v>
      </c>
      <c r="D1532" t="s">
        <v>2830</v>
      </c>
    </row>
    <row r="1533" spans="1:6">
      <c r="A1533" t="s">
        <v>2831</v>
      </c>
      <c r="B1533" t="s">
        <v>2746</v>
      </c>
      <c r="C1533" t="s">
        <v>2832</v>
      </c>
      <c r="D1533" t="s">
        <v>2483</v>
      </c>
      <c r="E1533" t="s">
        <v>124</v>
      </c>
      <c r="F1533" t="s">
        <v>125</v>
      </c>
    </row>
    <row r="1534" spans="1:6">
      <c r="A1534" t="s">
        <v>2833</v>
      </c>
      <c r="B1534" t="s">
        <v>2746</v>
      </c>
      <c r="C1534" t="s">
        <v>2834</v>
      </c>
      <c r="D1534" t="s">
        <v>2505</v>
      </c>
    </row>
    <row r="1535" spans="1:6">
      <c r="A1535" t="s">
        <v>2835</v>
      </c>
      <c r="B1535" t="s">
        <v>2746</v>
      </c>
      <c r="C1535" t="s">
        <v>2836</v>
      </c>
      <c r="D1535" t="s">
        <v>2518</v>
      </c>
    </row>
    <row r="1536" spans="1:6">
      <c r="A1536" t="s">
        <v>2837</v>
      </c>
      <c r="B1536" t="s">
        <v>2746</v>
      </c>
      <c r="C1536" t="s">
        <v>2838</v>
      </c>
      <c r="D1536" t="s">
        <v>2483</v>
      </c>
      <c r="E1536" t="s">
        <v>1475</v>
      </c>
      <c r="F1536" t="s">
        <v>1476</v>
      </c>
    </row>
    <row r="1537" spans="1:6">
      <c r="A1537" t="s">
        <v>2839</v>
      </c>
      <c r="B1537" t="s">
        <v>2746</v>
      </c>
      <c r="C1537" t="s">
        <v>2840</v>
      </c>
      <c r="D1537" t="s">
        <v>2483</v>
      </c>
      <c r="E1537" t="s">
        <v>202</v>
      </c>
      <c r="F1537" t="s">
        <v>203</v>
      </c>
    </row>
    <row r="1538" spans="1:6">
      <c r="A1538" t="s">
        <v>2841</v>
      </c>
      <c r="B1538" t="s">
        <v>2746</v>
      </c>
      <c r="C1538" t="s">
        <v>2842</v>
      </c>
      <c r="D1538" t="s">
        <v>2483</v>
      </c>
      <c r="E1538" t="s">
        <v>426</v>
      </c>
      <c r="F1538" t="s">
        <v>427</v>
      </c>
    </row>
    <row r="1539" spans="1:6">
      <c r="A1539" t="s">
        <v>2843</v>
      </c>
      <c r="B1539" t="s">
        <v>2746</v>
      </c>
      <c r="C1539" t="s">
        <v>2844</v>
      </c>
      <c r="D1539" t="s">
        <v>2483</v>
      </c>
      <c r="E1539" t="s">
        <v>98</v>
      </c>
      <c r="F1539" t="s">
        <v>99</v>
      </c>
    </row>
    <row r="1540" spans="1:6">
      <c r="A1540" t="s">
        <v>2845</v>
      </c>
      <c r="B1540" t="s">
        <v>2746</v>
      </c>
      <c r="C1540" t="s">
        <v>2846</v>
      </c>
      <c r="D1540" t="s">
        <v>2483</v>
      </c>
      <c r="E1540" t="s">
        <v>497</v>
      </c>
      <c r="F1540" t="s">
        <v>498</v>
      </c>
    </row>
    <row r="1541" spans="1:6">
      <c r="A1541" t="s">
        <v>2847</v>
      </c>
      <c r="B1541" t="s">
        <v>2746</v>
      </c>
      <c r="C1541" t="s">
        <v>2848</v>
      </c>
      <c r="D1541" t="s">
        <v>2489</v>
      </c>
    </row>
    <row r="1542" spans="1:6">
      <c r="A1542" t="s">
        <v>2849</v>
      </c>
      <c r="B1542" t="s">
        <v>2746</v>
      </c>
      <c r="C1542" t="s">
        <v>2850</v>
      </c>
      <c r="D1542" t="s">
        <v>2483</v>
      </c>
      <c r="E1542" t="s">
        <v>52</v>
      </c>
      <c r="F1542" t="s">
        <v>53</v>
      </c>
    </row>
    <row r="1543" spans="1:6">
      <c r="A1543" t="s">
        <v>2851</v>
      </c>
      <c r="B1543" t="s">
        <v>2746</v>
      </c>
      <c r="C1543" t="s">
        <v>2852</v>
      </c>
      <c r="D1543" t="s">
        <v>2483</v>
      </c>
    </row>
    <row r="1544" spans="1:6">
      <c r="A1544" t="s">
        <v>2853</v>
      </c>
      <c r="B1544" t="s">
        <v>2746</v>
      </c>
      <c r="C1544" t="s">
        <v>2854</v>
      </c>
      <c r="D1544" t="s">
        <v>2515</v>
      </c>
    </row>
    <row r="1545" spans="1:6">
      <c r="A1545" t="s">
        <v>2855</v>
      </c>
      <c r="B1545" t="s">
        <v>2746</v>
      </c>
      <c r="C1545" t="s">
        <v>2856</v>
      </c>
      <c r="D1545" t="s">
        <v>2518</v>
      </c>
    </row>
    <row r="1546" spans="1:6">
      <c r="A1546" t="s">
        <v>2857</v>
      </c>
      <c r="B1546" t="s">
        <v>2746</v>
      </c>
      <c r="C1546" t="s">
        <v>2858</v>
      </c>
      <c r="D1546" t="s">
        <v>2483</v>
      </c>
      <c r="E1546" t="s">
        <v>1135</v>
      </c>
      <c r="F1546" t="s">
        <v>1136</v>
      </c>
    </row>
    <row r="1547" spans="1:6">
      <c r="A1547" t="s">
        <v>2859</v>
      </c>
      <c r="B1547" t="s">
        <v>2746</v>
      </c>
      <c r="C1547" t="s">
        <v>2860</v>
      </c>
      <c r="D1547" t="s">
        <v>2518</v>
      </c>
    </row>
    <row r="1548" spans="1:6">
      <c r="A1548" t="s">
        <v>2861</v>
      </c>
      <c r="B1548" t="s">
        <v>2746</v>
      </c>
      <c r="C1548" t="s">
        <v>2862</v>
      </c>
      <c r="D1548" t="s">
        <v>2505</v>
      </c>
    </row>
    <row r="1549" spans="1:6">
      <c r="A1549" t="s">
        <v>2863</v>
      </c>
      <c r="B1549" t="s">
        <v>2746</v>
      </c>
      <c r="C1549" t="s">
        <v>2864</v>
      </c>
      <c r="D1549" t="s">
        <v>2523</v>
      </c>
    </row>
    <row r="1550" spans="1:6">
      <c r="A1550" t="s">
        <v>2865</v>
      </c>
      <c r="B1550" t="s">
        <v>2746</v>
      </c>
      <c r="C1550" t="s">
        <v>2866</v>
      </c>
      <c r="D1550" t="s">
        <v>2830</v>
      </c>
    </row>
    <row r="1551" spans="1:6">
      <c r="A1551" t="s">
        <v>2867</v>
      </c>
      <c r="B1551" t="s">
        <v>2746</v>
      </c>
      <c r="C1551" t="s">
        <v>1144</v>
      </c>
      <c r="D1551" t="s">
        <v>2483</v>
      </c>
    </row>
    <row r="1552" spans="1:6">
      <c r="A1552" t="s">
        <v>2868</v>
      </c>
      <c r="B1552" t="s">
        <v>2746</v>
      </c>
      <c r="C1552" t="s">
        <v>2869</v>
      </c>
      <c r="D1552" t="s">
        <v>2483</v>
      </c>
    </row>
    <row r="1553" spans="1:6">
      <c r="A1553" t="s">
        <v>2870</v>
      </c>
      <c r="B1553" t="s">
        <v>2746</v>
      </c>
      <c r="C1553" t="s">
        <v>2786</v>
      </c>
      <c r="D1553" t="s">
        <v>2483</v>
      </c>
    </row>
    <row r="1554" spans="1:6">
      <c r="A1554" t="s">
        <v>2871</v>
      </c>
      <c r="B1554" t="s">
        <v>2746</v>
      </c>
      <c r="C1554" t="s">
        <v>2872</v>
      </c>
      <c r="D1554" t="s">
        <v>2830</v>
      </c>
    </row>
    <row r="1555" spans="1:6">
      <c r="A1555" t="s">
        <v>2873</v>
      </c>
      <c r="B1555" t="s">
        <v>2746</v>
      </c>
      <c r="C1555" t="s">
        <v>2874</v>
      </c>
      <c r="D1555" t="s">
        <v>2505</v>
      </c>
    </row>
    <row r="1556" spans="1:6">
      <c r="A1556" t="s">
        <v>2875</v>
      </c>
      <c r="B1556" t="s">
        <v>2746</v>
      </c>
      <c r="C1556" t="s">
        <v>2876</v>
      </c>
      <c r="D1556" t="s">
        <v>2518</v>
      </c>
    </row>
    <row r="1557" spans="1:6">
      <c r="A1557" t="s">
        <v>2877</v>
      </c>
      <c r="B1557" t="s">
        <v>2746</v>
      </c>
      <c r="C1557" t="s">
        <v>2878</v>
      </c>
      <c r="D1557" t="s">
        <v>2515</v>
      </c>
    </row>
    <row r="1558" spans="1:6">
      <c r="A1558" t="s">
        <v>2879</v>
      </c>
      <c r="B1558" t="s">
        <v>2746</v>
      </c>
      <c r="C1558" t="s">
        <v>1173</v>
      </c>
      <c r="D1558" t="s">
        <v>2483</v>
      </c>
      <c r="E1558" t="s">
        <v>1173</v>
      </c>
      <c r="F1558" t="s">
        <v>43</v>
      </c>
    </row>
    <row r="1559" spans="1:6">
      <c r="A1559" t="s">
        <v>2880</v>
      </c>
      <c r="B1559" t="s">
        <v>2746</v>
      </c>
      <c r="C1559" t="s">
        <v>2881</v>
      </c>
      <c r="D1559" t="s">
        <v>2483</v>
      </c>
      <c r="E1559" t="s">
        <v>827</v>
      </c>
      <c r="F1559" t="s">
        <v>828</v>
      </c>
    </row>
    <row r="1560" spans="1:6">
      <c r="A1560" t="s">
        <v>2882</v>
      </c>
      <c r="B1560" t="s">
        <v>2746</v>
      </c>
      <c r="C1560" t="s">
        <v>2883</v>
      </c>
      <c r="D1560" t="s">
        <v>2518</v>
      </c>
    </row>
    <row r="1561" spans="1:6">
      <c r="A1561" t="s">
        <v>2884</v>
      </c>
      <c r="B1561" t="s">
        <v>2746</v>
      </c>
      <c r="C1561" t="s">
        <v>2885</v>
      </c>
      <c r="D1561" t="s">
        <v>2483</v>
      </c>
      <c r="E1561" t="s">
        <v>821</v>
      </c>
      <c r="F1561" t="s">
        <v>822</v>
      </c>
    </row>
    <row r="1562" spans="1:6">
      <c r="A1562" t="s">
        <v>2886</v>
      </c>
      <c r="B1562" t="s">
        <v>2746</v>
      </c>
      <c r="C1562" t="s">
        <v>2265</v>
      </c>
      <c r="D1562" t="s">
        <v>2483</v>
      </c>
      <c r="E1562" t="s">
        <v>1065</v>
      </c>
      <c r="F1562" t="s">
        <v>1066</v>
      </c>
    </row>
    <row r="1563" spans="1:6">
      <c r="A1563" t="s">
        <v>2887</v>
      </c>
      <c r="B1563" t="s">
        <v>2746</v>
      </c>
      <c r="C1563" t="s">
        <v>2888</v>
      </c>
      <c r="D1563" t="s">
        <v>2518</v>
      </c>
    </row>
    <row r="1564" spans="1:6">
      <c r="A1564" t="s">
        <v>2889</v>
      </c>
      <c r="B1564" t="s">
        <v>2746</v>
      </c>
      <c r="C1564" t="s">
        <v>2890</v>
      </c>
      <c r="D1564" t="s">
        <v>2518</v>
      </c>
    </row>
    <row r="1565" spans="1:6">
      <c r="A1565" t="s">
        <v>2891</v>
      </c>
      <c r="B1565" t="s">
        <v>2746</v>
      </c>
      <c r="C1565" t="s">
        <v>2892</v>
      </c>
      <c r="D1565" t="s">
        <v>2483</v>
      </c>
      <c r="E1565" t="s">
        <v>831</v>
      </c>
      <c r="F1565" t="s">
        <v>832</v>
      </c>
    </row>
    <row r="1566" spans="1:6">
      <c r="A1566" t="s">
        <v>2893</v>
      </c>
      <c r="B1566" t="s">
        <v>2746</v>
      </c>
      <c r="C1566" t="s">
        <v>2894</v>
      </c>
      <c r="D1566" t="s">
        <v>2505</v>
      </c>
    </row>
    <row r="1567" spans="1:6">
      <c r="A1567" t="s">
        <v>2895</v>
      </c>
      <c r="B1567" t="s">
        <v>2746</v>
      </c>
      <c r="C1567" t="s">
        <v>2896</v>
      </c>
      <c r="D1567" t="s">
        <v>2897</v>
      </c>
    </row>
    <row r="1568" spans="1:6">
      <c r="A1568" t="s">
        <v>2898</v>
      </c>
      <c r="B1568" t="s">
        <v>2746</v>
      </c>
      <c r="C1568" t="s">
        <v>2899</v>
      </c>
      <c r="D1568" t="s">
        <v>2483</v>
      </c>
      <c r="E1568" t="s">
        <v>269</v>
      </c>
      <c r="F1568" t="s">
        <v>270</v>
      </c>
    </row>
    <row r="1569" spans="1:6">
      <c r="A1569" t="s">
        <v>2900</v>
      </c>
      <c r="B1569" t="s">
        <v>2746</v>
      </c>
      <c r="C1569" t="s">
        <v>2901</v>
      </c>
      <c r="D1569" t="s">
        <v>2505</v>
      </c>
    </row>
    <row r="1570" spans="1:6">
      <c r="A1570" t="s">
        <v>2902</v>
      </c>
      <c r="B1570" t="s">
        <v>2746</v>
      </c>
      <c r="C1570" t="s">
        <v>2903</v>
      </c>
      <c r="D1570" t="s">
        <v>2483</v>
      </c>
    </row>
    <row r="1571" spans="1:6">
      <c r="A1571" t="s">
        <v>2904</v>
      </c>
      <c r="B1571" t="s">
        <v>2746</v>
      </c>
      <c r="C1571" t="s">
        <v>2905</v>
      </c>
      <c r="D1571" t="s">
        <v>2483</v>
      </c>
      <c r="E1571" t="s">
        <v>1135</v>
      </c>
      <c r="F1571" t="s">
        <v>1136</v>
      </c>
    </row>
    <row r="1572" spans="1:6">
      <c r="A1572" t="s">
        <v>2906</v>
      </c>
      <c r="B1572" t="s">
        <v>2746</v>
      </c>
      <c r="C1572" t="s">
        <v>2907</v>
      </c>
      <c r="D1572" t="s">
        <v>2483</v>
      </c>
      <c r="E1572" t="s">
        <v>208</v>
      </c>
      <c r="F1572" t="s">
        <v>209</v>
      </c>
    </row>
    <row r="1573" spans="1:6">
      <c r="A1573" t="s">
        <v>2908</v>
      </c>
      <c r="B1573" t="s">
        <v>2746</v>
      </c>
      <c r="C1573" t="s">
        <v>2909</v>
      </c>
      <c r="D1573" t="s">
        <v>2483</v>
      </c>
    </row>
    <row r="1574" spans="1:6">
      <c r="A1574" t="s">
        <v>2910</v>
      </c>
      <c r="B1574" t="s">
        <v>2746</v>
      </c>
      <c r="C1574" t="s">
        <v>239</v>
      </c>
      <c r="D1574" t="s">
        <v>2483</v>
      </c>
      <c r="E1574" t="s">
        <v>239</v>
      </c>
      <c r="F1574" t="s">
        <v>43</v>
      </c>
    </row>
    <row r="1575" spans="1:6">
      <c r="A1575" t="s">
        <v>2911</v>
      </c>
      <c r="B1575" t="s">
        <v>2746</v>
      </c>
      <c r="C1575" t="s">
        <v>2912</v>
      </c>
      <c r="D1575" t="s">
        <v>2483</v>
      </c>
      <c r="E1575" t="s">
        <v>456</v>
      </c>
      <c r="F1575" t="s">
        <v>457</v>
      </c>
    </row>
    <row r="1576" spans="1:6">
      <c r="A1576" t="s">
        <v>2913</v>
      </c>
      <c r="B1576" t="s">
        <v>2746</v>
      </c>
      <c r="C1576" t="s">
        <v>2914</v>
      </c>
      <c r="D1576" t="s">
        <v>2505</v>
      </c>
    </row>
    <row r="1577" spans="1:6">
      <c r="A1577" t="s">
        <v>2915</v>
      </c>
      <c r="B1577" t="s">
        <v>2746</v>
      </c>
      <c r="C1577" t="s">
        <v>2916</v>
      </c>
      <c r="D1577" t="s">
        <v>2518</v>
      </c>
    </row>
    <row r="1578" spans="1:6">
      <c r="A1578" t="s">
        <v>2917</v>
      </c>
      <c r="B1578" t="s">
        <v>2746</v>
      </c>
      <c r="C1578" t="s">
        <v>2918</v>
      </c>
      <c r="D1578" t="s">
        <v>2830</v>
      </c>
    </row>
    <row r="1579" spans="1:6">
      <c r="A1579" t="s">
        <v>2919</v>
      </c>
      <c r="B1579" t="s">
        <v>2746</v>
      </c>
      <c r="C1579" t="s">
        <v>2920</v>
      </c>
      <c r="D1579" t="s">
        <v>2483</v>
      </c>
      <c r="E1579" t="s">
        <v>170</v>
      </c>
      <c r="F1579" t="s">
        <v>171</v>
      </c>
    </row>
    <row r="1580" spans="1:6">
      <c r="A1580" t="s">
        <v>2921</v>
      </c>
      <c r="B1580" t="s">
        <v>2746</v>
      </c>
      <c r="C1580" t="s">
        <v>2922</v>
      </c>
      <c r="D1580" t="s">
        <v>2483</v>
      </c>
      <c r="E1580" t="s">
        <v>224</v>
      </c>
      <c r="F1580" t="s">
        <v>225</v>
      </c>
    </row>
    <row r="1581" spans="1:6">
      <c r="A1581" t="s">
        <v>2923</v>
      </c>
      <c r="B1581" t="s">
        <v>2746</v>
      </c>
      <c r="C1581" t="s">
        <v>2924</v>
      </c>
      <c r="D1581" t="s">
        <v>2483</v>
      </c>
      <c r="E1581" t="s">
        <v>252</v>
      </c>
      <c r="F1581" t="s">
        <v>253</v>
      </c>
    </row>
    <row r="1582" spans="1:6">
      <c r="A1582" t="s">
        <v>2925</v>
      </c>
      <c r="B1582" t="s">
        <v>2746</v>
      </c>
      <c r="C1582" t="s">
        <v>2926</v>
      </c>
      <c r="D1582" t="s">
        <v>2505</v>
      </c>
    </row>
    <row r="1583" spans="1:6">
      <c r="A1583" t="s">
        <v>2927</v>
      </c>
      <c r="B1583" t="s">
        <v>2746</v>
      </c>
      <c r="C1583" t="s">
        <v>2928</v>
      </c>
      <c r="D1583" t="s">
        <v>2518</v>
      </c>
    </row>
    <row r="1584" spans="1:6">
      <c r="A1584" t="s">
        <v>2929</v>
      </c>
      <c r="B1584" t="s">
        <v>2746</v>
      </c>
      <c r="C1584" t="s">
        <v>2930</v>
      </c>
      <c r="D1584" t="s">
        <v>2505</v>
      </c>
    </row>
    <row r="1585" spans="1:6">
      <c r="A1585" t="s">
        <v>2931</v>
      </c>
      <c r="B1585" t="s">
        <v>2746</v>
      </c>
      <c r="C1585" t="s">
        <v>2932</v>
      </c>
      <c r="D1585" t="s">
        <v>2483</v>
      </c>
      <c r="E1585" t="s">
        <v>78</v>
      </c>
      <c r="F1585" t="s">
        <v>79</v>
      </c>
    </row>
    <row r="1586" spans="1:6">
      <c r="A1586" t="s">
        <v>2933</v>
      </c>
      <c r="B1586" t="s">
        <v>2746</v>
      </c>
      <c r="C1586" t="s">
        <v>2934</v>
      </c>
      <c r="D1586" t="s">
        <v>2518</v>
      </c>
    </row>
    <row r="1587" spans="1:6">
      <c r="A1587" t="s">
        <v>2935</v>
      </c>
      <c r="B1587" t="s">
        <v>2746</v>
      </c>
      <c r="C1587" t="s">
        <v>2936</v>
      </c>
      <c r="D1587" t="s">
        <v>2483</v>
      </c>
      <c r="E1587" t="s">
        <v>208</v>
      </c>
      <c r="F1587" t="s">
        <v>209</v>
      </c>
    </row>
    <row r="1588" spans="1:6">
      <c r="A1588" t="s">
        <v>2937</v>
      </c>
      <c r="B1588" t="s">
        <v>2746</v>
      </c>
      <c r="C1588" t="s">
        <v>2938</v>
      </c>
      <c r="D1588" t="s">
        <v>2483</v>
      </c>
    </row>
    <row r="1589" spans="1:6">
      <c r="A1589" t="s">
        <v>2939</v>
      </c>
      <c r="B1589" t="s">
        <v>2746</v>
      </c>
      <c r="C1589" t="s">
        <v>2940</v>
      </c>
      <c r="D1589" t="s">
        <v>2941</v>
      </c>
    </row>
    <row r="1590" spans="1:6">
      <c r="A1590" t="s">
        <v>2942</v>
      </c>
      <c r="B1590" t="s">
        <v>2746</v>
      </c>
      <c r="C1590" t="s">
        <v>2762</v>
      </c>
      <c r="D1590" t="s">
        <v>2483</v>
      </c>
      <c r="E1590" t="s">
        <v>56</v>
      </c>
      <c r="F1590" t="s">
        <v>57</v>
      </c>
    </row>
    <row r="1591" spans="1:6">
      <c r="A1591" t="s">
        <v>2943</v>
      </c>
      <c r="B1591" t="s">
        <v>2746</v>
      </c>
      <c r="C1591" t="s">
        <v>2944</v>
      </c>
      <c r="D1591" t="s">
        <v>2483</v>
      </c>
      <c r="E1591" t="s">
        <v>188</v>
      </c>
      <c r="F1591" t="s">
        <v>189</v>
      </c>
    </row>
    <row r="1592" spans="1:6">
      <c r="A1592" t="s">
        <v>2945</v>
      </c>
      <c r="B1592" t="s">
        <v>2746</v>
      </c>
      <c r="C1592" t="s">
        <v>2946</v>
      </c>
      <c r="D1592" t="s">
        <v>2483</v>
      </c>
      <c r="E1592" t="s">
        <v>1065</v>
      </c>
      <c r="F1592" t="s">
        <v>1066</v>
      </c>
    </row>
    <row r="1593" spans="1:6">
      <c r="A1593" t="s">
        <v>2947</v>
      </c>
      <c r="B1593" t="s">
        <v>2746</v>
      </c>
      <c r="C1593" t="s">
        <v>2948</v>
      </c>
      <c r="D1593" t="s">
        <v>2515</v>
      </c>
    </row>
    <row r="1594" spans="1:6">
      <c r="A1594" t="s">
        <v>2949</v>
      </c>
      <c r="B1594" t="s">
        <v>2746</v>
      </c>
      <c r="C1594" t="s">
        <v>2950</v>
      </c>
      <c r="D1594" t="s">
        <v>2489</v>
      </c>
    </row>
    <row r="1595" spans="1:6">
      <c r="A1595" t="s">
        <v>2951</v>
      </c>
      <c r="B1595" t="s">
        <v>2746</v>
      </c>
      <c r="C1595" t="s">
        <v>2952</v>
      </c>
      <c r="D1595" t="s">
        <v>2483</v>
      </c>
    </row>
    <row r="1596" spans="1:6">
      <c r="A1596" t="s">
        <v>2953</v>
      </c>
      <c r="B1596" t="s">
        <v>2746</v>
      </c>
      <c r="C1596" t="s">
        <v>2954</v>
      </c>
      <c r="D1596" t="s">
        <v>2483</v>
      </c>
    </row>
    <row r="1597" spans="1:6">
      <c r="A1597" t="s">
        <v>2955</v>
      </c>
      <c r="B1597" t="s">
        <v>2746</v>
      </c>
      <c r="C1597" t="s">
        <v>2786</v>
      </c>
      <c r="D1597" t="s">
        <v>2483</v>
      </c>
      <c r="E1597" t="s">
        <v>46</v>
      </c>
      <c r="F1597" t="s">
        <v>47</v>
      </c>
    </row>
    <row r="1598" spans="1:6">
      <c r="A1598" t="s">
        <v>2956</v>
      </c>
      <c r="B1598" t="s">
        <v>2746</v>
      </c>
      <c r="C1598" t="s">
        <v>2957</v>
      </c>
      <c r="D1598" t="s">
        <v>2483</v>
      </c>
      <c r="E1598" t="s">
        <v>1061</v>
      </c>
      <c r="F1598" t="s">
        <v>1062</v>
      </c>
    </row>
    <row r="1599" spans="1:6">
      <c r="A1599" t="s">
        <v>2958</v>
      </c>
      <c r="B1599" t="s">
        <v>2746</v>
      </c>
      <c r="C1599" t="s">
        <v>2959</v>
      </c>
      <c r="D1599" t="s">
        <v>2483</v>
      </c>
    </row>
    <row r="1600" spans="1:6">
      <c r="A1600" t="s">
        <v>2960</v>
      </c>
      <c r="B1600" t="s">
        <v>2746</v>
      </c>
      <c r="C1600" t="s">
        <v>2961</v>
      </c>
      <c r="D1600" t="s">
        <v>2483</v>
      </c>
    </row>
    <row r="1601" spans="1:6">
      <c r="A1601" t="s">
        <v>2962</v>
      </c>
      <c r="B1601" t="s">
        <v>2746</v>
      </c>
      <c r="C1601" t="s">
        <v>2963</v>
      </c>
      <c r="D1601" t="s">
        <v>2518</v>
      </c>
    </row>
    <row r="1602" spans="1:6">
      <c r="A1602" t="s">
        <v>2964</v>
      </c>
      <c r="B1602" t="s">
        <v>2746</v>
      </c>
      <c r="C1602" t="s">
        <v>2965</v>
      </c>
      <c r="D1602" t="s">
        <v>2518</v>
      </c>
    </row>
    <row r="1603" spans="1:6">
      <c r="A1603" t="s">
        <v>2966</v>
      </c>
      <c r="B1603" t="s">
        <v>2746</v>
      </c>
      <c r="C1603" t="s">
        <v>2967</v>
      </c>
      <c r="D1603" t="s">
        <v>2505</v>
      </c>
    </row>
    <row r="1604" spans="1:6">
      <c r="A1604" t="s">
        <v>2968</v>
      </c>
      <c r="B1604" t="s">
        <v>2746</v>
      </c>
      <c r="C1604" t="s">
        <v>1929</v>
      </c>
      <c r="D1604" t="s">
        <v>2483</v>
      </c>
      <c r="E1604" t="s">
        <v>1929</v>
      </c>
      <c r="F1604" t="s">
        <v>1755</v>
      </c>
    </row>
    <row r="1605" spans="1:6">
      <c r="A1605" t="s">
        <v>2969</v>
      </c>
      <c r="B1605" t="s">
        <v>2746</v>
      </c>
      <c r="C1605" t="s">
        <v>2970</v>
      </c>
      <c r="D1605" t="s">
        <v>2483</v>
      </c>
      <c r="E1605" t="s">
        <v>1135</v>
      </c>
      <c r="F1605" t="s">
        <v>1136</v>
      </c>
    </row>
    <row r="1606" spans="1:6">
      <c r="A1606" t="s">
        <v>2971</v>
      </c>
      <c r="B1606" t="s">
        <v>2746</v>
      </c>
      <c r="C1606" t="s">
        <v>2305</v>
      </c>
      <c r="D1606" t="s">
        <v>2483</v>
      </c>
      <c r="E1606" t="s">
        <v>1065</v>
      </c>
      <c r="F1606" t="s">
        <v>1066</v>
      </c>
    </row>
    <row r="1607" spans="1:6">
      <c r="A1607" t="s">
        <v>2972</v>
      </c>
      <c r="B1607" t="s">
        <v>2746</v>
      </c>
      <c r="C1607" t="s">
        <v>2973</v>
      </c>
      <c r="D1607" t="s">
        <v>2515</v>
      </c>
    </row>
    <row r="1608" spans="1:6">
      <c r="A1608" t="s">
        <v>2974</v>
      </c>
      <c r="B1608" t="s">
        <v>2746</v>
      </c>
      <c r="C1608" t="s">
        <v>2975</v>
      </c>
      <c r="D1608" t="s">
        <v>2483</v>
      </c>
      <c r="E1608" t="s">
        <v>786</v>
      </c>
      <c r="F1608" t="s">
        <v>787</v>
      </c>
    </row>
    <row r="1609" spans="1:6">
      <c r="A1609" t="s">
        <v>2976</v>
      </c>
      <c r="B1609" t="s">
        <v>2746</v>
      </c>
      <c r="C1609" t="s">
        <v>2977</v>
      </c>
      <c r="D1609" t="s">
        <v>2515</v>
      </c>
    </row>
    <row r="1610" spans="1:6">
      <c r="A1610" t="s">
        <v>2978</v>
      </c>
      <c r="B1610" t="s">
        <v>2746</v>
      </c>
      <c r="C1610" t="s">
        <v>1448</v>
      </c>
      <c r="D1610" t="s">
        <v>2483</v>
      </c>
      <c r="E1610" t="s">
        <v>1448</v>
      </c>
      <c r="F1610" t="s">
        <v>1449</v>
      </c>
    </row>
    <row r="1611" spans="1:6">
      <c r="A1611" t="s">
        <v>2979</v>
      </c>
      <c r="B1611" t="s">
        <v>2746</v>
      </c>
      <c r="C1611" t="s">
        <v>2980</v>
      </c>
      <c r="D1611" t="s">
        <v>2518</v>
      </c>
    </row>
    <row r="1612" spans="1:6">
      <c r="A1612" t="s">
        <v>2981</v>
      </c>
      <c r="B1612" t="s">
        <v>2746</v>
      </c>
      <c r="C1612" t="s">
        <v>2982</v>
      </c>
      <c r="D1612" t="s">
        <v>2505</v>
      </c>
    </row>
    <row r="1613" spans="1:6">
      <c r="A1613" t="s">
        <v>2983</v>
      </c>
      <c r="B1613" t="s">
        <v>2746</v>
      </c>
      <c r="C1613" t="s">
        <v>2984</v>
      </c>
      <c r="D1613" t="s">
        <v>2515</v>
      </c>
    </row>
    <row r="1614" spans="1:6">
      <c r="A1614" t="s">
        <v>2985</v>
      </c>
      <c r="B1614" t="s">
        <v>2746</v>
      </c>
      <c r="C1614" t="s">
        <v>2986</v>
      </c>
      <c r="D1614" t="s">
        <v>2518</v>
      </c>
    </row>
    <row r="1615" spans="1:6">
      <c r="A1615" t="s">
        <v>2987</v>
      </c>
      <c r="B1615" t="s">
        <v>2746</v>
      </c>
      <c r="C1615" t="s">
        <v>2988</v>
      </c>
      <c r="D1615" t="s">
        <v>2515</v>
      </c>
    </row>
    <row r="1616" spans="1:6">
      <c r="A1616" t="s">
        <v>2989</v>
      </c>
      <c r="B1616" t="s">
        <v>2746</v>
      </c>
      <c r="C1616" t="s">
        <v>2990</v>
      </c>
      <c r="D1616" t="s">
        <v>2505</v>
      </c>
    </row>
    <row r="1617" spans="1:6">
      <c r="A1617" t="s">
        <v>2991</v>
      </c>
      <c r="B1617" t="s">
        <v>2746</v>
      </c>
      <c r="C1617" t="s">
        <v>2992</v>
      </c>
      <c r="D1617" t="s">
        <v>2483</v>
      </c>
      <c r="E1617" t="s">
        <v>312</v>
      </c>
      <c r="F1617" t="s">
        <v>313</v>
      </c>
    </row>
    <row r="1618" spans="1:6">
      <c r="A1618" t="s">
        <v>2993</v>
      </c>
      <c r="B1618" t="s">
        <v>2746</v>
      </c>
      <c r="C1618" t="s">
        <v>2994</v>
      </c>
      <c r="D1618" t="s">
        <v>2515</v>
      </c>
    </row>
    <row r="1619" spans="1:6">
      <c r="A1619" t="s">
        <v>2995</v>
      </c>
      <c r="B1619" t="s">
        <v>2746</v>
      </c>
      <c r="C1619" t="s">
        <v>2996</v>
      </c>
      <c r="D1619" t="s">
        <v>2483</v>
      </c>
      <c r="E1619" t="s">
        <v>324</v>
      </c>
      <c r="F1619" t="s">
        <v>325</v>
      </c>
    </row>
    <row r="1620" spans="1:6">
      <c r="A1620" t="s">
        <v>2997</v>
      </c>
      <c r="B1620" t="s">
        <v>2746</v>
      </c>
      <c r="C1620" t="s">
        <v>2778</v>
      </c>
      <c r="D1620" t="s">
        <v>2483</v>
      </c>
      <c r="E1620" t="s">
        <v>971</v>
      </c>
      <c r="F1620" t="s">
        <v>972</v>
      </c>
    </row>
    <row r="1621" spans="1:6">
      <c r="A1621" t="s">
        <v>2998</v>
      </c>
      <c r="B1621" t="s">
        <v>2746</v>
      </c>
      <c r="C1621" t="s">
        <v>2999</v>
      </c>
      <c r="D1621" t="s">
        <v>2483</v>
      </c>
      <c r="E1621" t="s">
        <v>721</v>
      </c>
      <c r="F1621" t="s">
        <v>171</v>
      </c>
    </row>
    <row r="1622" spans="1:6">
      <c r="A1622" t="s">
        <v>3000</v>
      </c>
      <c r="B1622" t="s">
        <v>2746</v>
      </c>
      <c r="C1622" t="s">
        <v>2975</v>
      </c>
      <c r="D1622" t="s">
        <v>2483</v>
      </c>
      <c r="E1622" t="s">
        <v>786</v>
      </c>
      <c r="F1622" t="s">
        <v>787</v>
      </c>
    </row>
    <row r="1623" spans="1:6">
      <c r="A1623" t="s">
        <v>3001</v>
      </c>
      <c r="B1623" t="s">
        <v>2746</v>
      </c>
      <c r="C1623" t="s">
        <v>3002</v>
      </c>
      <c r="D1623" t="s">
        <v>2515</v>
      </c>
    </row>
    <row r="1624" spans="1:6">
      <c r="A1624" t="s">
        <v>3003</v>
      </c>
      <c r="B1624" t="s">
        <v>2746</v>
      </c>
      <c r="C1624" t="s">
        <v>2952</v>
      </c>
      <c r="D1624" t="s">
        <v>2483</v>
      </c>
    </row>
    <row r="1625" spans="1:6">
      <c r="A1625" t="s">
        <v>3004</v>
      </c>
      <c r="B1625" t="s">
        <v>3005</v>
      </c>
      <c r="C1625" t="s">
        <v>3006</v>
      </c>
      <c r="D1625" t="s">
        <v>2483</v>
      </c>
    </row>
    <row r="1626" spans="1:6">
      <c r="A1626" t="s">
        <v>3007</v>
      </c>
      <c r="B1626" t="s">
        <v>3005</v>
      </c>
      <c r="C1626" t="s">
        <v>3008</v>
      </c>
      <c r="D1626" t="s">
        <v>2483</v>
      </c>
    </row>
    <row r="1627" spans="1:6">
      <c r="A1627" t="s">
        <v>3009</v>
      </c>
      <c r="B1627" t="s">
        <v>3005</v>
      </c>
      <c r="C1627" t="s">
        <v>3010</v>
      </c>
      <c r="D1627" t="s">
        <v>2483</v>
      </c>
    </row>
    <row r="1628" spans="1:6">
      <c r="A1628" t="s">
        <v>3011</v>
      </c>
      <c r="B1628" t="s">
        <v>3005</v>
      </c>
      <c r="C1628" t="s">
        <v>3012</v>
      </c>
      <c r="D1628" t="s">
        <v>2489</v>
      </c>
    </row>
    <row r="1629" spans="1:6">
      <c r="A1629" t="s">
        <v>3013</v>
      </c>
      <c r="B1629" t="s">
        <v>3005</v>
      </c>
      <c r="C1629" t="s">
        <v>3014</v>
      </c>
      <c r="D1629" t="s">
        <v>2489</v>
      </c>
    </row>
    <row r="1630" spans="1:6">
      <c r="A1630" t="s">
        <v>3015</v>
      </c>
      <c r="B1630" t="s">
        <v>3005</v>
      </c>
      <c r="C1630" t="s">
        <v>3016</v>
      </c>
      <c r="D1630" t="s">
        <v>2505</v>
      </c>
    </row>
    <row r="1631" spans="1:6">
      <c r="A1631" t="s">
        <v>3017</v>
      </c>
      <c r="B1631" t="s">
        <v>3005</v>
      </c>
      <c r="C1631" t="s">
        <v>3018</v>
      </c>
      <c r="D1631" t="s">
        <v>2483</v>
      </c>
    </row>
    <row r="1632" spans="1:6">
      <c r="A1632" t="s">
        <v>3019</v>
      </c>
      <c r="B1632" t="s">
        <v>3005</v>
      </c>
      <c r="C1632" t="s">
        <v>2291</v>
      </c>
      <c r="D1632" t="s">
        <v>2483</v>
      </c>
    </row>
    <row r="1633" spans="1:4">
      <c r="A1633" t="s">
        <v>3020</v>
      </c>
      <c r="B1633" t="s">
        <v>3005</v>
      </c>
      <c r="C1633" t="s">
        <v>3021</v>
      </c>
      <c r="D1633" t="s">
        <v>2483</v>
      </c>
    </row>
    <row r="1634" spans="1:4">
      <c r="A1634" t="s">
        <v>3022</v>
      </c>
      <c r="B1634" t="s">
        <v>3005</v>
      </c>
      <c r="C1634" t="s">
        <v>3023</v>
      </c>
      <c r="D1634" t="s">
        <v>2483</v>
      </c>
    </row>
    <row r="1635" spans="1:4">
      <c r="A1635" t="s">
        <v>3024</v>
      </c>
      <c r="B1635" t="s">
        <v>3005</v>
      </c>
      <c r="C1635" t="s">
        <v>3025</v>
      </c>
      <c r="D1635" t="s">
        <v>2483</v>
      </c>
    </row>
    <row r="1636" spans="1:4">
      <c r="A1636" t="s">
        <v>3026</v>
      </c>
      <c r="B1636" t="s">
        <v>3005</v>
      </c>
      <c r="C1636" t="s">
        <v>3027</v>
      </c>
      <c r="D1636" t="s">
        <v>2483</v>
      </c>
    </row>
    <row r="1637" spans="1:4">
      <c r="A1637" t="s">
        <v>3028</v>
      </c>
      <c r="B1637" t="s">
        <v>3005</v>
      </c>
      <c r="C1637" t="s">
        <v>3029</v>
      </c>
      <c r="D1637" t="s">
        <v>2483</v>
      </c>
    </row>
    <row r="1638" spans="1:4">
      <c r="A1638" t="s">
        <v>3030</v>
      </c>
      <c r="B1638" t="s">
        <v>3005</v>
      </c>
      <c r="C1638" t="s">
        <v>3031</v>
      </c>
      <c r="D1638" t="s">
        <v>2483</v>
      </c>
    </row>
    <row r="1639" spans="1:4">
      <c r="A1639" t="s">
        <v>3032</v>
      </c>
      <c r="B1639" t="s">
        <v>3005</v>
      </c>
      <c r="C1639" t="s">
        <v>3033</v>
      </c>
      <c r="D1639" t="s">
        <v>2489</v>
      </c>
    </row>
    <row r="1640" spans="1:4">
      <c r="A1640" t="s">
        <v>3034</v>
      </c>
      <c r="B1640" t="s">
        <v>3005</v>
      </c>
      <c r="C1640" t="s">
        <v>3035</v>
      </c>
      <c r="D1640" t="s">
        <v>2483</v>
      </c>
    </row>
    <row r="1641" spans="1:4">
      <c r="A1641" t="s">
        <v>3036</v>
      </c>
      <c r="B1641" t="s">
        <v>3005</v>
      </c>
      <c r="C1641" t="s">
        <v>3037</v>
      </c>
      <c r="D1641" t="s">
        <v>2483</v>
      </c>
    </row>
    <row r="1642" spans="1:4">
      <c r="A1642" t="s">
        <v>3038</v>
      </c>
      <c r="B1642" t="s">
        <v>3005</v>
      </c>
      <c r="C1642" t="s">
        <v>3039</v>
      </c>
      <c r="D1642" t="s">
        <v>2518</v>
      </c>
    </row>
    <row r="1643" spans="1:4">
      <c r="A1643" t="s">
        <v>3040</v>
      </c>
      <c r="B1643" t="s">
        <v>3005</v>
      </c>
      <c r="C1643" t="s">
        <v>3041</v>
      </c>
      <c r="D1643" t="s">
        <v>2483</v>
      </c>
    </row>
    <row r="1644" spans="1:4">
      <c r="A1644" t="s">
        <v>3042</v>
      </c>
      <c r="B1644" t="s">
        <v>3005</v>
      </c>
      <c r="C1644" t="s">
        <v>3043</v>
      </c>
      <c r="D1644" t="s">
        <v>2483</v>
      </c>
    </row>
    <row r="1645" spans="1:4">
      <c r="A1645" t="s">
        <v>3044</v>
      </c>
      <c r="B1645" t="s">
        <v>3005</v>
      </c>
      <c r="C1645" t="s">
        <v>3045</v>
      </c>
      <c r="D1645" t="s">
        <v>2483</v>
      </c>
    </row>
    <row r="1646" spans="1:4">
      <c r="A1646" t="s">
        <v>3046</v>
      </c>
      <c r="B1646" t="s">
        <v>3005</v>
      </c>
      <c r="C1646" t="s">
        <v>3047</v>
      </c>
      <c r="D1646" t="s">
        <v>2483</v>
      </c>
    </row>
    <row r="1647" spans="1:4">
      <c r="A1647" t="s">
        <v>3048</v>
      </c>
      <c r="B1647" t="s">
        <v>3005</v>
      </c>
      <c r="C1647" t="s">
        <v>3049</v>
      </c>
      <c r="D1647" t="s">
        <v>2505</v>
      </c>
    </row>
    <row r="1648" spans="1:4">
      <c r="A1648" t="s">
        <v>3050</v>
      </c>
      <c r="B1648" t="s">
        <v>3005</v>
      </c>
      <c r="C1648" t="s">
        <v>3051</v>
      </c>
      <c r="D1648" t="s">
        <v>2483</v>
      </c>
    </row>
    <row r="1649" spans="1:4">
      <c r="A1649" t="s">
        <v>3052</v>
      </c>
      <c r="B1649" t="s">
        <v>3005</v>
      </c>
      <c r="C1649" t="s">
        <v>3053</v>
      </c>
      <c r="D1649" t="s">
        <v>2483</v>
      </c>
    </row>
    <row r="1650" spans="1:4">
      <c r="A1650" t="s">
        <v>3054</v>
      </c>
      <c r="B1650" t="s">
        <v>3005</v>
      </c>
      <c r="C1650" t="s">
        <v>3055</v>
      </c>
      <c r="D1650" t="s">
        <v>2489</v>
      </c>
    </row>
    <row r="1651" spans="1:4">
      <c r="A1651" t="s">
        <v>3056</v>
      </c>
      <c r="B1651" t="s">
        <v>3005</v>
      </c>
      <c r="C1651" t="s">
        <v>3057</v>
      </c>
      <c r="D1651" t="s">
        <v>2515</v>
      </c>
    </row>
    <row r="1652" spans="1:4">
      <c r="A1652" t="s">
        <v>3058</v>
      </c>
      <c r="B1652" t="s">
        <v>3005</v>
      </c>
      <c r="C1652" t="s">
        <v>2273</v>
      </c>
      <c r="D1652" t="s">
        <v>2483</v>
      </c>
    </row>
    <row r="1653" spans="1:4">
      <c r="A1653" t="s">
        <v>3059</v>
      </c>
      <c r="B1653" t="s">
        <v>3005</v>
      </c>
      <c r="C1653" t="s">
        <v>3060</v>
      </c>
      <c r="D1653" t="s">
        <v>2483</v>
      </c>
    </row>
    <row r="1654" spans="1:4">
      <c r="A1654" t="s">
        <v>3061</v>
      </c>
      <c r="B1654" t="s">
        <v>3062</v>
      </c>
    </row>
    <row r="1655" spans="1:4">
      <c r="A1655" t="s">
        <v>3063</v>
      </c>
      <c r="B1655" t="s">
        <v>3062</v>
      </c>
    </row>
    <row r="1656" spans="1:4">
      <c r="A1656" t="s">
        <v>3064</v>
      </c>
      <c r="B1656" t="s">
        <v>3062</v>
      </c>
    </row>
    <row r="1657" spans="1:4">
      <c r="A1657" t="s">
        <v>3065</v>
      </c>
      <c r="B1657" t="s">
        <v>3062</v>
      </c>
    </row>
    <row r="1658" spans="1:4">
      <c r="A1658" t="s">
        <v>3066</v>
      </c>
      <c r="B1658" t="s">
        <v>3062</v>
      </c>
    </row>
    <row r="1659" spans="1:4">
      <c r="A1659" t="s">
        <v>3067</v>
      </c>
      <c r="B1659" t="s">
        <v>3062</v>
      </c>
    </row>
    <row r="1660" spans="1:4">
      <c r="A1660" t="s">
        <v>3068</v>
      </c>
      <c r="B1660" t="s">
        <v>3062</v>
      </c>
    </row>
    <row r="1661" spans="1:4">
      <c r="A1661" t="s">
        <v>3069</v>
      </c>
      <c r="B1661" t="s">
        <v>3062</v>
      </c>
    </row>
    <row r="1662" spans="1:4">
      <c r="A1662" t="s">
        <v>3070</v>
      </c>
      <c r="B1662" t="s">
        <v>3062</v>
      </c>
    </row>
    <row r="1663" spans="1:4">
      <c r="A1663" t="s">
        <v>3071</v>
      </c>
      <c r="B1663" t="s">
        <v>3062</v>
      </c>
    </row>
    <row r="1664" spans="1:4">
      <c r="A1664" t="s">
        <v>3072</v>
      </c>
      <c r="B1664" t="s">
        <v>3062</v>
      </c>
    </row>
    <row r="1665" spans="1:2">
      <c r="A1665" t="s">
        <v>3073</v>
      </c>
      <c r="B1665" t="s">
        <v>3062</v>
      </c>
    </row>
    <row r="1666" spans="1:2">
      <c r="A1666" t="s">
        <v>3074</v>
      </c>
      <c r="B1666" t="s">
        <v>3062</v>
      </c>
    </row>
    <row r="1667" spans="1:2">
      <c r="A1667" t="s">
        <v>3075</v>
      </c>
      <c r="B1667" t="s">
        <v>3062</v>
      </c>
    </row>
    <row r="1668" spans="1:2">
      <c r="A1668" t="s">
        <v>3076</v>
      </c>
      <c r="B1668" t="s">
        <v>3062</v>
      </c>
    </row>
    <row r="1669" spans="1:2">
      <c r="A1669" t="s">
        <v>3077</v>
      </c>
      <c r="B1669" t="s">
        <v>3062</v>
      </c>
    </row>
    <row r="1670" spans="1:2">
      <c r="A1670" t="s">
        <v>3078</v>
      </c>
      <c r="B1670" t="s">
        <v>3062</v>
      </c>
    </row>
    <row r="1671" spans="1:2">
      <c r="A1671" t="s">
        <v>3079</v>
      </c>
      <c r="B1671" t="s">
        <v>3062</v>
      </c>
    </row>
    <row r="1672" spans="1:2">
      <c r="A1672" t="s">
        <v>3080</v>
      </c>
      <c r="B1672" t="s">
        <v>3062</v>
      </c>
    </row>
    <row r="1673" spans="1:2">
      <c r="A1673" t="s">
        <v>3081</v>
      </c>
      <c r="B1673" t="s">
        <v>3062</v>
      </c>
    </row>
    <row r="1674" spans="1:2">
      <c r="A1674" t="s">
        <v>3082</v>
      </c>
      <c r="B1674" t="s">
        <v>3062</v>
      </c>
    </row>
    <row r="1675" spans="1:2">
      <c r="A1675" t="s">
        <v>3083</v>
      </c>
      <c r="B1675" t="s">
        <v>3062</v>
      </c>
    </row>
    <row r="1676" spans="1:2">
      <c r="A1676" t="s">
        <v>3084</v>
      </c>
      <c r="B1676" t="s">
        <v>3062</v>
      </c>
    </row>
    <row r="1677" spans="1:2">
      <c r="A1677" t="s">
        <v>3085</v>
      </c>
      <c r="B1677" t="s">
        <v>3062</v>
      </c>
    </row>
    <row r="1678" spans="1:2">
      <c r="A1678" t="s">
        <v>3086</v>
      </c>
      <c r="B1678" t="s">
        <v>3062</v>
      </c>
    </row>
    <row r="1679" spans="1:2">
      <c r="A1679" t="s">
        <v>3087</v>
      </c>
      <c r="B1679" t="s">
        <v>3062</v>
      </c>
    </row>
    <row r="1680" spans="1:2">
      <c r="A1680" t="s">
        <v>3088</v>
      </c>
      <c r="B1680" t="s">
        <v>3062</v>
      </c>
    </row>
    <row r="1681" spans="1:2">
      <c r="A1681" t="s">
        <v>3089</v>
      </c>
      <c r="B1681" t="s">
        <v>3062</v>
      </c>
    </row>
    <row r="1682" spans="1:2">
      <c r="A1682" t="s">
        <v>3090</v>
      </c>
      <c r="B1682" t="s">
        <v>3062</v>
      </c>
    </row>
    <row r="1683" spans="1:2">
      <c r="A1683" t="s">
        <v>3091</v>
      </c>
      <c r="B1683" t="s">
        <v>3062</v>
      </c>
    </row>
    <row r="1684" spans="1:2">
      <c r="A1684" t="s">
        <v>3092</v>
      </c>
      <c r="B1684" t="s">
        <v>3062</v>
      </c>
    </row>
    <row r="1685" spans="1:2">
      <c r="A1685" t="s">
        <v>3093</v>
      </c>
      <c r="B1685" t="s">
        <v>3062</v>
      </c>
    </row>
    <row r="1686" spans="1:2">
      <c r="A1686" t="s">
        <v>3094</v>
      </c>
      <c r="B1686" t="s">
        <v>3062</v>
      </c>
    </row>
    <row r="1687" spans="1:2">
      <c r="A1687" t="s">
        <v>3095</v>
      </c>
      <c r="B1687" t="s">
        <v>3062</v>
      </c>
    </row>
    <row r="1688" spans="1:2">
      <c r="A1688" t="s">
        <v>3096</v>
      </c>
      <c r="B1688" t="s">
        <v>3062</v>
      </c>
    </row>
    <row r="1689" spans="1:2">
      <c r="A1689" t="s">
        <v>3097</v>
      </c>
      <c r="B1689" t="s">
        <v>3062</v>
      </c>
    </row>
    <row r="1690" spans="1:2">
      <c r="A1690" t="s">
        <v>3098</v>
      </c>
      <c r="B1690" t="s">
        <v>3062</v>
      </c>
    </row>
    <row r="1691" spans="1:2">
      <c r="A1691" t="s">
        <v>3099</v>
      </c>
      <c r="B1691" t="s">
        <v>3062</v>
      </c>
    </row>
    <row r="1692" spans="1:2">
      <c r="A1692" t="s">
        <v>3100</v>
      </c>
      <c r="B1692" t="s">
        <v>3062</v>
      </c>
    </row>
    <row r="1693" spans="1:2">
      <c r="A1693" t="s">
        <v>3101</v>
      </c>
      <c r="B1693" t="s">
        <v>3062</v>
      </c>
    </row>
    <row r="1694" spans="1:2">
      <c r="A1694" t="s">
        <v>3102</v>
      </c>
      <c r="B1694" t="s">
        <v>3062</v>
      </c>
    </row>
    <row r="1695" spans="1:2">
      <c r="A1695" t="s">
        <v>3103</v>
      </c>
      <c r="B1695" t="s">
        <v>3062</v>
      </c>
    </row>
    <row r="1696" spans="1:2">
      <c r="A1696" t="s">
        <v>3104</v>
      </c>
      <c r="B1696" t="s">
        <v>3062</v>
      </c>
    </row>
    <row r="1697" spans="1:2">
      <c r="A1697" t="s">
        <v>3105</v>
      </c>
      <c r="B1697" t="s">
        <v>3062</v>
      </c>
    </row>
    <row r="1698" spans="1:2">
      <c r="A1698" t="s">
        <v>3106</v>
      </c>
      <c r="B1698" t="s">
        <v>3062</v>
      </c>
    </row>
    <row r="1699" spans="1:2">
      <c r="A1699" t="s">
        <v>3107</v>
      </c>
      <c r="B1699" t="s">
        <v>3062</v>
      </c>
    </row>
    <row r="1700" spans="1:2">
      <c r="A1700" t="s">
        <v>3108</v>
      </c>
      <c r="B1700" t="s">
        <v>3062</v>
      </c>
    </row>
    <row r="1701" spans="1:2">
      <c r="A1701" t="s">
        <v>3109</v>
      </c>
      <c r="B1701" t="s">
        <v>3062</v>
      </c>
    </row>
    <row r="1702" spans="1:2">
      <c r="A1702" t="s">
        <v>3110</v>
      </c>
      <c r="B1702" t="s">
        <v>3062</v>
      </c>
    </row>
    <row r="1703" spans="1:2">
      <c r="A1703" t="s">
        <v>3111</v>
      </c>
      <c r="B1703" t="s">
        <v>3062</v>
      </c>
    </row>
    <row r="1704" spans="1:2">
      <c r="A1704" t="s">
        <v>3112</v>
      </c>
      <c r="B1704" t="s">
        <v>3062</v>
      </c>
    </row>
    <row r="1705" spans="1:2">
      <c r="A1705" t="s">
        <v>3113</v>
      </c>
      <c r="B1705" t="s">
        <v>3062</v>
      </c>
    </row>
    <row r="1706" spans="1:2">
      <c r="A1706" t="s">
        <v>3114</v>
      </c>
      <c r="B1706" t="s">
        <v>3062</v>
      </c>
    </row>
    <row r="1707" spans="1:2">
      <c r="A1707" t="s">
        <v>3115</v>
      </c>
      <c r="B1707" t="s">
        <v>3062</v>
      </c>
    </row>
    <row r="1708" spans="1:2">
      <c r="A1708" t="s">
        <v>3116</v>
      </c>
      <c r="B1708" t="s">
        <v>3062</v>
      </c>
    </row>
    <row r="1709" spans="1:2">
      <c r="A1709" t="s">
        <v>3117</v>
      </c>
      <c r="B1709" t="s">
        <v>3062</v>
      </c>
    </row>
    <row r="1710" spans="1:2">
      <c r="A1710" t="s">
        <v>3118</v>
      </c>
      <c r="B1710" t="s">
        <v>3062</v>
      </c>
    </row>
    <row r="1711" spans="1:2">
      <c r="A1711" t="s">
        <v>3119</v>
      </c>
      <c r="B1711" t="s">
        <v>3062</v>
      </c>
    </row>
    <row r="1712" spans="1:2">
      <c r="A1712" t="s">
        <v>3120</v>
      </c>
      <c r="B1712" t="s">
        <v>3062</v>
      </c>
    </row>
    <row r="1713" spans="1:2">
      <c r="A1713" t="s">
        <v>3121</v>
      </c>
      <c r="B1713" t="s">
        <v>3062</v>
      </c>
    </row>
    <row r="1714" spans="1:2">
      <c r="A1714" t="s">
        <v>3122</v>
      </c>
      <c r="B1714" t="s">
        <v>3062</v>
      </c>
    </row>
    <row r="1715" spans="1:2">
      <c r="A1715" t="s">
        <v>3123</v>
      </c>
      <c r="B1715" t="s">
        <v>3062</v>
      </c>
    </row>
    <row r="1716" spans="1:2">
      <c r="A1716" t="s">
        <v>3124</v>
      </c>
      <c r="B1716" t="s">
        <v>3062</v>
      </c>
    </row>
    <row r="1717" spans="1:2">
      <c r="A1717" t="s">
        <v>3125</v>
      </c>
      <c r="B1717" t="s">
        <v>3062</v>
      </c>
    </row>
    <row r="1718" spans="1:2">
      <c r="A1718" t="s">
        <v>3126</v>
      </c>
      <c r="B1718" t="s">
        <v>3062</v>
      </c>
    </row>
    <row r="1719" spans="1:2">
      <c r="A1719" t="s">
        <v>3127</v>
      </c>
      <c r="B1719" t="s">
        <v>3062</v>
      </c>
    </row>
    <row r="1720" spans="1:2">
      <c r="A1720" t="s">
        <v>3128</v>
      </c>
      <c r="B1720" t="s">
        <v>3062</v>
      </c>
    </row>
    <row r="1721" spans="1:2">
      <c r="A1721" t="s">
        <v>3129</v>
      </c>
      <c r="B1721" t="s">
        <v>3062</v>
      </c>
    </row>
    <row r="1722" spans="1:2">
      <c r="A1722" t="s">
        <v>3130</v>
      </c>
      <c r="B1722" t="s">
        <v>3062</v>
      </c>
    </row>
    <row r="1723" spans="1:2">
      <c r="A1723" t="s">
        <v>3131</v>
      </c>
      <c r="B1723" t="s">
        <v>3062</v>
      </c>
    </row>
    <row r="1724" spans="1:2">
      <c r="A1724" t="s">
        <v>3132</v>
      </c>
      <c r="B1724" t="s">
        <v>3062</v>
      </c>
    </row>
    <row r="1725" spans="1:2">
      <c r="A1725" t="s">
        <v>3133</v>
      </c>
      <c r="B1725" t="s">
        <v>3062</v>
      </c>
    </row>
    <row r="1726" spans="1:2">
      <c r="A1726" t="s">
        <v>3134</v>
      </c>
      <c r="B1726" t="s">
        <v>3062</v>
      </c>
    </row>
    <row r="1727" spans="1:2">
      <c r="A1727" t="s">
        <v>3135</v>
      </c>
      <c r="B1727" t="s">
        <v>3062</v>
      </c>
    </row>
    <row r="1728" spans="1:2">
      <c r="A1728" t="s">
        <v>3136</v>
      </c>
      <c r="B1728" t="s">
        <v>3062</v>
      </c>
    </row>
    <row r="1729" spans="1:2">
      <c r="A1729" t="s">
        <v>3137</v>
      </c>
      <c r="B1729" t="s">
        <v>3062</v>
      </c>
    </row>
    <row r="1730" spans="1:2">
      <c r="A1730" t="s">
        <v>3138</v>
      </c>
      <c r="B1730" t="s">
        <v>3062</v>
      </c>
    </row>
    <row r="1731" spans="1:2">
      <c r="A1731" t="s">
        <v>3139</v>
      </c>
      <c r="B1731" t="s">
        <v>3062</v>
      </c>
    </row>
    <row r="1732" spans="1:2">
      <c r="A1732" t="s">
        <v>3140</v>
      </c>
      <c r="B1732" t="s">
        <v>3062</v>
      </c>
    </row>
    <row r="1733" spans="1:2">
      <c r="A1733" t="s">
        <v>3141</v>
      </c>
      <c r="B1733" t="s">
        <v>3062</v>
      </c>
    </row>
    <row r="1734" spans="1:2">
      <c r="A1734" t="s">
        <v>3142</v>
      </c>
      <c r="B1734" t="s">
        <v>3062</v>
      </c>
    </row>
    <row r="1735" spans="1:2">
      <c r="A1735" t="s">
        <v>3143</v>
      </c>
      <c r="B1735" t="s">
        <v>3062</v>
      </c>
    </row>
    <row r="1736" spans="1:2">
      <c r="A1736" t="s">
        <v>3144</v>
      </c>
      <c r="B1736" t="s">
        <v>3062</v>
      </c>
    </row>
    <row r="1737" spans="1:2">
      <c r="A1737" t="s">
        <v>3145</v>
      </c>
      <c r="B1737" t="s">
        <v>3062</v>
      </c>
    </row>
    <row r="1738" spans="1:2">
      <c r="A1738" t="s">
        <v>3146</v>
      </c>
      <c r="B1738" t="s">
        <v>3062</v>
      </c>
    </row>
    <row r="1739" spans="1:2">
      <c r="A1739" t="s">
        <v>3147</v>
      </c>
      <c r="B1739" t="s">
        <v>3062</v>
      </c>
    </row>
    <row r="1740" spans="1:2">
      <c r="A1740" t="s">
        <v>3148</v>
      </c>
      <c r="B1740" t="s">
        <v>3062</v>
      </c>
    </row>
    <row r="1741" spans="1:2">
      <c r="A1741" t="s">
        <v>3149</v>
      </c>
      <c r="B1741" t="s">
        <v>3062</v>
      </c>
    </row>
    <row r="1742" spans="1:2">
      <c r="A1742" t="s">
        <v>3150</v>
      </c>
      <c r="B1742" t="s">
        <v>3062</v>
      </c>
    </row>
    <row r="1743" spans="1:2">
      <c r="A1743" t="s">
        <v>3151</v>
      </c>
      <c r="B1743" t="s">
        <v>3062</v>
      </c>
    </row>
    <row r="1744" spans="1:2">
      <c r="A1744" t="s">
        <v>3152</v>
      </c>
      <c r="B1744" t="s">
        <v>3062</v>
      </c>
    </row>
    <row r="1745" spans="1:2">
      <c r="A1745" t="s">
        <v>3153</v>
      </c>
      <c r="B1745" t="s">
        <v>3062</v>
      </c>
    </row>
    <row r="1746" spans="1:2">
      <c r="A1746" t="s">
        <v>3154</v>
      </c>
      <c r="B1746" t="s">
        <v>3062</v>
      </c>
    </row>
    <row r="1747" spans="1:2">
      <c r="A1747" t="s">
        <v>3155</v>
      </c>
      <c r="B1747" t="s">
        <v>3062</v>
      </c>
    </row>
    <row r="1748" spans="1:2">
      <c r="A1748" t="s">
        <v>3156</v>
      </c>
      <c r="B1748" t="s">
        <v>3062</v>
      </c>
    </row>
    <row r="1749" spans="1:2">
      <c r="A1749" t="s">
        <v>3157</v>
      </c>
      <c r="B1749" t="s">
        <v>3062</v>
      </c>
    </row>
    <row r="1750" spans="1:2">
      <c r="A1750" t="s">
        <v>3158</v>
      </c>
      <c r="B1750" t="s">
        <v>3062</v>
      </c>
    </row>
    <row r="1751" spans="1:2">
      <c r="A1751" t="s">
        <v>3159</v>
      </c>
      <c r="B1751" t="s">
        <v>3062</v>
      </c>
    </row>
    <row r="1752" spans="1:2">
      <c r="A1752" t="s">
        <v>3160</v>
      </c>
      <c r="B1752" t="s">
        <v>3062</v>
      </c>
    </row>
    <row r="1753" spans="1:2">
      <c r="A1753" t="s">
        <v>3161</v>
      </c>
      <c r="B1753" t="s">
        <v>3062</v>
      </c>
    </row>
    <row r="1754" spans="1:2">
      <c r="A1754" t="s">
        <v>3162</v>
      </c>
      <c r="B1754" t="s">
        <v>3062</v>
      </c>
    </row>
    <row r="1755" spans="1:2">
      <c r="A1755" t="s">
        <v>3163</v>
      </c>
      <c r="B1755" t="s">
        <v>3062</v>
      </c>
    </row>
    <row r="1756" spans="1:2">
      <c r="A1756" t="s">
        <v>3164</v>
      </c>
      <c r="B1756" t="s">
        <v>3062</v>
      </c>
    </row>
    <row r="1757" spans="1:2">
      <c r="A1757" t="s">
        <v>3165</v>
      </c>
      <c r="B1757" t="s">
        <v>3062</v>
      </c>
    </row>
    <row r="1758" spans="1:2">
      <c r="A1758" t="s">
        <v>3166</v>
      </c>
      <c r="B1758" t="s">
        <v>3062</v>
      </c>
    </row>
    <row r="1759" spans="1:2">
      <c r="A1759" t="s">
        <v>3167</v>
      </c>
      <c r="B1759" t="s">
        <v>3062</v>
      </c>
    </row>
    <row r="1760" spans="1:2">
      <c r="A1760" t="s">
        <v>3168</v>
      </c>
      <c r="B1760" t="s">
        <v>3062</v>
      </c>
    </row>
    <row r="1761" spans="1:2">
      <c r="A1761" t="s">
        <v>3169</v>
      </c>
      <c r="B1761" t="s">
        <v>3062</v>
      </c>
    </row>
    <row r="1762" spans="1:2">
      <c r="A1762" t="s">
        <v>3170</v>
      </c>
      <c r="B1762" t="s">
        <v>3062</v>
      </c>
    </row>
    <row r="1763" spans="1:2">
      <c r="A1763" t="s">
        <v>3171</v>
      </c>
      <c r="B1763" t="s">
        <v>3062</v>
      </c>
    </row>
    <row r="1764" spans="1:2">
      <c r="A1764" t="s">
        <v>3172</v>
      </c>
      <c r="B1764" t="s">
        <v>3062</v>
      </c>
    </row>
    <row r="1765" spans="1:2">
      <c r="A1765" t="s">
        <v>3173</v>
      </c>
      <c r="B1765" t="s">
        <v>3062</v>
      </c>
    </row>
    <row r="1766" spans="1:2">
      <c r="A1766" t="s">
        <v>3174</v>
      </c>
      <c r="B1766" t="s">
        <v>3062</v>
      </c>
    </row>
    <row r="1767" spans="1:2">
      <c r="A1767" t="s">
        <v>3175</v>
      </c>
      <c r="B1767" t="s">
        <v>3062</v>
      </c>
    </row>
    <row r="1768" spans="1:2">
      <c r="A1768" t="s">
        <v>3176</v>
      </c>
      <c r="B1768" t="s">
        <v>3062</v>
      </c>
    </row>
    <row r="1769" spans="1:2">
      <c r="A1769" t="s">
        <v>3177</v>
      </c>
      <c r="B1769" t="s">
        <v>3062</v>
      </c>
    </row>
    <row r="1770" spans="1:2">
      <c r="A1770" t="s">
        <v>3178</v>
      </c>
      <c r="B1770" t="s">
        <v>3062</v>
      </c>
    </row>
    <row r="1771" spans="1:2">
      <c r="A1771" t="s">
        <v>3179</v>
      </c>
      <c r="B1771" t="s">
        <v>3062</v>
      </c>
    </row>
    <row r="1772" spans="1:2">
      <c r="A1772" t="s">
        <v>3180</v>
      </c>
      <c r="B1772" t="s">
        <v>3062</v>
      </c>
    </row>
    <row r="1773" spans="1:2">
      <c r="A1773" t="s">
        <v>3181</v>
      </c>
      <c r="B1773" t="s">
        <v>3062</v>
      </c>
    </row>
    <row r="1774" spans="1:2">
      <c r="A1774" t="s">
        <v>3182</v>
      </c>
      <c r="B1774" t="s">
        <v>3062</v>
      </c>
    </row>
    <row r="1775" spans="1:2">
      <c r="A1775" t="s">
        <v>3183</v>
      </c>
      <c r="B1775" t="s">
        <v>3062</v>
      </c>
    </row>
    <row r="1776" spans="1:2">
      <c r="A1776" t="s">
        <v>3184</v>
      </c>
      <c r="B1776" t="s">
        <v>3062</v>
      </c>
    </row>
    <row r="1777" spans="1:3">
      <c r="A1777" t="s">
        <v>3185</v>
      </c>
      <c r="B1777" t="s">
        <v>3062</v>
      </c>
    </row>
    <row r="1778" spans="1:3">
      <c r="A1778" t="s">
        <v>3186</v>
      </c>
      <c r="B1778" t="s">
        <v>3062</v>
      </c>
    </row>
    <row r="1779" spans="1:3">
      <c r="A1779" t="s">
        <v>3187</v>
      </c>
      <c r="B1779" t="s">
        <v>3062</v>
      </c>
    </row>
    <row r="1780" spans="1:3">
      <c r="A1780" t="s">
        <v>3188</v>
      </c>
      <c r="B1780" t="s">
        <v>3062</v>
      </c>
    </row>
    <row r="1781" spans="1:3">
      <c r="A1781" t="s">
        <v>3189</v>
      </c>
      <c r="B1781" t="s">
        <v>3062</v>
      </c>
    </row>
    <row r="1782" spans="1:3">
      <c r="A1782" t="s">
        <v>3190</v>
      </c>
      <c r="B1782" t="s">
        <v>3062</v>
      </c>
    </row>
    <row r="1783" spans="1:3">
      <c r="A1783" t="s">
        <v>3191</v>
      </c>
      <c r="B1783" t="s">
        <v>3062</v>
      </c>
    </row>
    <row r="1784" spans="1:3">
      <c r="A1784" t="s">
        <v>3192</v>
      </c>
      <c r="B1784" t="s">
        <v>3062</v>
      </c>
    </row>
    <row r="1785" spans="1:3">
      <c r="A1785" t="s">
        <v>3193</v>
      </c>
      <c r="B1785" t="s">
        <v>3062</v>
      </c>
    </row>
    <row r="1786" spans="1:3">
      <c r="A1786" t="s">
        <v>3194</v>
      </c>
      <c r="B1786" t="s">
        <v>3062</v>
      </c>
    </row>
    <row r="1787" spans="1:3">
      <c r="A1787" t="s">
        <v>3195</v>
      </c>
      <c r="B1787" t="s">
        <v>3062</v>
      </c>
    </row>
    <row r="1788" spans="1:3">
      <c r="A1788" t="s">
        <v>3196</v>
      </c>
      <c r="B1788" t="s">
        <v>3062</v>
      </c>
    </row>
    <row r="1789" spans="1:3">
      <c r="A1789" t="s">
        <v>3197</v>
      </c>
      <c r="B1789" t="s">
        <v>3198</v>
      </c>
      <c r="C1789" t="s">
        <v>3199</v>
      </c>
    </row>
    <row r="1790" spans="1:3">
      <c r="A1790" t="s">
        <v>3200</v>
      </c>
      <c r="B1790" t="s">
        <v>3201</v>
      </c>
      <c r="C1790" t="s">
        <v>1064</v>
      </c>
    </row>
    <row r="1791" spans="1:3">
      <c r="A1791" t="s">
        <v>3202</v>
      </c>
      <c r="B1791" t="s">
        <v>3201</v>
      </c>
      <c r="C1791" t="s">
        <v>3203</v>
      </c>
    </row>
  </sheetData>
  <sheetProtection password="9FC9" sheet="1" objects="1" scenarios="1" formatCells="0" formatColumns="0" formatRows="0"/>
  <mergeCells count="7">
    <mergeCell ref="F1:F2"/>
    <mergeCell ref="G1:G2"/>
    <mergeCell ref="A1:A2"/>
    <mergeCell ref="B1:B2"/>
    <mergeCell ref="C1:C2"/>
    <mergeCell ref="D1:D2"/>
    <mergeCell ref="E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2"/>
  <sheetViews>
    <sheetView zoomScaleNormal="100" workbookViewId="0">
      <pane ySplit="2" topLeftCell="A3" activePane="bottomLeft" state="frozen"/>
      <selection pane="bottomLeft"/>
    </sheetView>
  </sheetViews>
  <sheetFormatPr defaultColWidth="11" defaultRowHeight="15.75"/>
  <cols>
    <col min="1" max="4" width="20" customWidth="1"/>
    <col min="5" max="5" width="14.375" customWidth="1"/>
    <col min="6" max="6" width="14.875" customWidth="1"/>
    <col min="7" max="7" width="14" customWidth="1"/>
    <col min="8" max="8" width="11.125" customWidth="1"/>
    <col min="9" max="9" width="12" customWidth="1"/>
    <col min="10" max="10" width="14" customWidth="1"/>
    <col min="11" max="11" width="17.625" customWidth="1"/>
    <col min="12" max="12" width="16" customWidth="1"/>
  </cols>
  <sheetData>
    <row r="1" spans="1:12" ht="30" customHeight="1">
      <c r="A1" s="1" t="str">
        <f>_JsYUmRVyxDw</f>
        <v>अघिल्ला गर्भहरुको विवरण</v>
      </c>
      <c r="E1" s="13" t="str">
        <f>_QI1RsMI60TJ</f>
        <v>Previous Deliveries</v>
      </c>
      <c r="F1" s="13"/>
      <c r="G1" s="13"/>
      <c r="H1" s="13"/>
      <c r="I1" s="13"/>
      <c r="J1" s="13"/>
      <c r="K1" s="13"/>
      <c r="L1" s="13"/>
    </row>
    <row r="2" spans="1:12" ht="50.1" customHeight="1">
      <c r="A2" s="1" t="s">
        <v>3224</v>
      </c>
      <c r="B2" s="1" t="s">
        <v>3225</v>
      </c>
      <c r="C2" s="1" t="s">
        <v>2</v>
      </c>
      <c r="D2" s="1" t="s">
        <v>3226</v>
      </c>
      <c r="E2" s="3" t="str">
        <f>_Tp9uk4iKxbz</f>
        <v>गर्भ परिणाम</v>
      </c>
      <c r="F2" s="3" t="str">
        <f>_sUQkjVxT73J</f>
        <v>अवधी नपुगेको</v>
      </c>
      <c r="G2" s="3" t="str">
        <f>_MSoDpzLGJHD</f>
        <v>जन्म किसिम</v>
      </c>
      <c r="H2" s="3" t="str">
        <f>_yzkaduI5RwE</f>
        <v>तौल</v>
      </c>
      <c r="I2" s="3" t="str">
        <f>_VyedfnGilJq</f>
        <v>लिङ्ग</v>
      </c>
      <c r="J2" s="3" t="str">
        <f>_s3CQBiE9Xgc</f>
        <v>हालको उमेर</v>
      </c>
      <c r="K2" s="3" t="str">
        <f>_wO19d5V6ENc</f>
        <v>गर्भावस्थाका जटिलता</v>
      </c>
      <c r="L2" s="3" t="str">
        <f>_lTq1LZUw2Pl</f>
        <v>प्रसुतिको किसिम</v>
      </c>
    </row>
  </sheetData>
  <mergeCells count="1">
    <mergeCell ref="E1:L1"/>
  </mergeCells>
  <dataValidations count="12">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Report date *
(YYYY-MM-DD)"</formula1>
    </dataValidation>
    <dataValidation type="custom" showErrorMessage="1" error="This cell cannot be changed" sqref="E2">
      <formula1>"E2 &lt;&gt; _Tp9uk4iKxbz"</formula1>
    </dataValidation>
    <dataValidation type="custom" showErrorMessage="1" error="This cell cannot be changed" sqref="F2">
      <formula1>"F2 &lt;&gt; _sUQkjVxT73J"</formula1>
    </dataValidation>
    <dataValidation type="custom" showErrorMessage="1" error="This cell cannot be changed" sqref="G2">
      <formula1>"G2 &lt;&gt; _MSoDpzLGJHD"</formula1>
    </dataValidation>
    <dataValidation type="custom" showErrorMessage="1" error="This cell cannot be changed" sqref="H2">
      <formula1>"H2 &lt;&gt; _yzkaduI5RwE"</formula1>
    </dataValidation>
    <dataValidation type="custom" showErrorMessage="1" error="This cell cannot be changed" sqref="I2">
      <formula1>"I2 &lt;&gt; _VyedfnGilJq"</formula1>
    </dataValidation>
    <dataValidation type="custom" showErrorMessage="1" error="This cell cannot be changed" sqref="J2">
      <formula1>"J2 &lt;&gt; _s3CQBiE9Xgc"</formula1>
    </dataValidation>
    <dataValidation type="custom" showErrorMessage="1" error="This cell cannot be changed" sqref="K2">
      <formula1>"K2 &lt;&gt; _wO19d5V6ENc"</formula1>
    </dataValidation>
    <dataValidation type="custom" showErrorMessage="1" error="This cell cannot be changed" sqref="L2">
      <formula1>"L2 &lt;&gt; _lTq1LZUw2Pl"</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1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1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100-000003000000}">
            <xm:f>ISERROR(MATCH(E3,Validation!$N$3:$N$10,0))</xm:f>
            <x14:dxf>
              <font>
                <b/>
                <sz val="12"/>
                <color rgb="FFFF0000"/>
                <name val="Calibri"/>
                <family val="1"/>
              </font>
            </x14:dxf>
          </x14:cfRule>
          <xm:sqref>E3:E1048576</xm:sqref>
        </x14:conditionalFormatting>
        <x14:conditionalFormatting xmlns:xm="http://schemas.microsoft.com/office/excel/2006/main">
          <x14:cfRule type="expression" priority="4" id="{00000000-000E-0000-0100-000004000000}">
            <xm:f>ISERROR(MATCH(F3,Validation!$BH$3:$BH$5,0))</xm:f>
            <x14:dxf>
              <font>
                <b/>
                <sz val="12"/>
                <color rgb="FFFF0000"/>
                <name val="Calibri"/>
                <family val="1"/>
              </font>
            </x14:dxf>
          </x14:cfRule>
          <xm:sqref>F3:F1048576</xm:sqref>
        </x14:conditionalFormatting>
        <x14:conditionalFormatting xmlns:xm="http://schemas.microsoft.com/office/excel/2006/main">
          <x14:cfRule type="expression" priority="5" id="{00000000-000E-0000-0100-000005000000}">
            <xm:f>ISERROR(MATCH(G3,Validation!$BF$3:$BF$8,0))</xm:f>
            <x14:dxf>
              <font>
                <b/>
                <sz val="12"/>
                <color rgb="FFFF0000"/>
                <name val="Calibri"/>
                <family val="1"/>
              </font>
            </x14:dxf>
          </x14:cfRule>
          <xm:sqref>G3:G1048576</xm:sqref>
        </x14:conditionalFormatting>
        <x14:conditionalFormatting xmlns:xm="http://schemas.microsoft.com/office/excel/2006/main">
          <x14:cfRule type="expression" priority="6" id="{00000000-000E-0000-0100-000006000000}">
            <xm:f>ISERROR(MATCH(I3,Validation!$AA$3:$AA$5,0))</xm:f>
            <x14:dxf>
              <font>
                <b/>
                <sz val="12"/>
                <color rgb="FFFF0000"/>
                <name val="Calibri"/>
                <family val="1"/>
              </font>
            </x14:dxf>
          </x14:cfRule>
          <xm:sqref>I3:I1048576</xm:sqref>
        </x14:conditionalFormatting>
        <x14:conditionalFormatting xmlns:xm="http://schemas.microsoft.com/office/excel/2006/main">
          <x14:cfRule type="expression" priority="7" id="{00000000-000E-0000-0100-000007000000}">
            <xm:f>ISERROR(MATCH(K3,Validation!$AM$3:$AM$17,0))</xm:f>
            <x14:dxf>
              <font>
                <b/>
                <sz val="12"/>
                <color rgb="FFFF0000"/>
                <name val="Calibri"/>
                <family val="1"/>
              </font>
            </x14:dxf>
          </x14:cfRule>
          <xm:sqref>K3:K1048576</xm:sqref>
        </x14:conditionalFormatting>
        <x14:conditionalFormatting xmlns:xm="http://schemas.microsoft.com/office/excel/2006/main">
          <x14:cfRule type="expression" priority="8" id="{00000000-000E-0000-0100-000008000000}">
            <xm:f>ISERROR(MATCH(L3,Validation!$V$3:$V$8,0))</xm:f>
            <x14:dxf>
              <font>
                <b/>
                <sz val="12"/>
                <color rgb="FFFF0000"/>
                <name val="Calibri"/>
                <family val="1"/>
              </font>
            </x14:dxf>
          </x14:cfRule>
          <xm:sqref>L3:L1048576</xm:sqref>
        </x14:conditionalFormatting>
      </x14:conditionalFormattings>
    </ext>
    <ext xmlns:x14="http://schemas.microsoft.com/office/spreadsheetml/2009/9/main" uri="{CCE6A557-97BC-4b89-ADB6-D9C93CAAB3DF}">
      <x14:dataValidations xmlns:xm="http://schemas.microsoft.com/office/excel/2006/main" count="8">
        <x14:dataValidation type="list" errorStyle="warning" allowBlank="1" showErrorMessage="1" error="Invalid choice was chosen" xr:uid="{00000000-0002-0000-0100-000002000000}">
          <x14:formula1>
            <xm:f>'TEI Instances'!$A$6:$A$1024</xm:f>
          </x14:formula1>
          <xm:sqref>B3:B1048576</xm:sqref>
        </x14:dataValidation>
        <x14:dataValidation type="list" errorStyle="warning" allowBlank="1" showErrorMessage="1" error="Invalid choice was chosen" xr:uid="{00000000-0002-0000-0100-000004000000}">
          <x14:formula1>
            <xm:f>Validation!$C$3:$C$4</xm:f>
          </x14:formula1>
          <xm:sqref>C3:C1048576</xm:sqref>
        </x14:dataValidation>
        <x14:dataValidation type="list" errorStyle="warning" allowBlank="1" showErrorMessage="1" error="Invalid choice was chosen" xr:uid="{00000000-0002-0000-0100-000007000000}">
          <x14:formula1>
            <xm:f>Validation!$N$3:$N$10</xm:f>
          </x14:formula1>
          <xm:sqref>E3:E1048576</xm:sqref>
        </x14:dataValidation>
        <x14:dataValidation type="list" errorStyle="warning" allowBlank="1" showErrorMessage="1" error="Invalid choice was chosen" xr:uid="{00000000-0002-0000-0100-000009000000}">
          <x14:formula1>
            <xm:f>Validation!$BH$3:$BH$5</xm:f>
          </x14:formula1>
          <xm:sqref>F3:F1048576</xm:sqref>
        </x14:dataValidation>
        <x14:dataValidation type="list" errorStyle="warning" allowBlank="1" showErrorMessage="1" error="Invalid choice was chosen" xr:uid="{00000000-0002-0000-0100-00000B000000}">
          <x14:formula1>
            <xm:f>Validation!$BF$3:$BF$8</xm:f>
          </x14:formula1>
          <xm:sqref>G3:G1048576</xm:sqref>
        </x14:dataValidation>
        <x14:dataValidation type="list" errorStyle="warning" allowBlank="1" showErrorMessage="1" error="Invalid choice was chosen" xr:uid="{00000000-0002-0000-0100-00000E000000}">
          <x14:formula1>
            <xm:f>Validation!$AA$3:$AA$5</xm:f>
          </x14:formula1>
          <xm:sqref>I3:I1048576</xm:sqref>
        </x14:dataValidation>
        <x14:dataValidation type="list" errorStyle="warning" allowBlank="1" showErrorMessage="1" error="Invalid choice was chosen" xr:uid="{00000000-0002-0000-0100-000011000000}">
          <x14:formula1>
            <xm:f>Validation!$AM$3:$AM$17</xm:f>
          </x14:formula1>
          <xm:sqref>K3:K1048576</xm:sqref>
        </x14:dataValidation>
        <x14:dataValidation type="list" errorStyle="warning" allowBlank="1" showErrorMessage="1" error="Invalid choice was chosen" xr:uid="{00000000-0002-0000-0100-000013000000}">
          <x14:formula1>
            <xm:f>Validation!$V$3:$V$8</xm:f>
          </x14:formula1>
          <xm:sqref>L3:L1048576</xm:sqref>
        </x14:dataValidation>
      </x14:dataValidations>
    </ext>
  </extLst>
</worksheet>
</file>

<file path=xl/worksheets/sheet3.xml><?xml version="1.0" encoding="utf-8"?>
<worksheet xmlns="http://schemas.openxmlformats.org/spreadsheetml/2006/main" xmlns:r="http://schemas.openxmlformats.org/officeDocument/2006/relationships">
  <dimension ref="A1:BO115"/>
  <sheetViews>
    <sheetView zoomScaleNormal="100" workbookViewId="0">
      <pane ySplit="2" topLeftCell="A3" activePane="bottomLeft" state="frozen"/>
      <selection pane="bottomLeft" activeCell="N1" sqref="N1:AB1"/>
    </sheetView>
  </sheetViews>
  <sheetFormatPr defaultColWidth="11" defaultRowHeight="15.75"/>
  <cols>
    <col min="1" max="4" width="20" customWidth="1"/>
    <col min="5" max="5" width="21.125" customWidth="1"/>
    <col min="6" max="6" width="23.625" customWidth="1"/>
    <col min="7" max="7" width="24" customWidth="1"/>
    <col min="8" max="8" width="23.125" customWidth="1"/>
    <col min="9" max="9" width="21.125" customWidth="1"/>
    <col min="10" max="10" width="22" customWidth="1"/>
    <col min="11" max="12" width="21.625" customWidth="1"/>
    <col min="13" max="13" width="23.125" customWidth="1"/>
    <col min="14" max="14" width="20" customWidth="1"/>
    <col min="15" max="15" width="15.125" customWidth="1"/>
    <col min="16" max="16" width="15.625" customWidth="1"/>
    <col min="17" max="17" width="14" customWidth="1"/>
    <col min="18" max="18" width="18" customWidth="1"/>
    <col min="19" max="19" width="13.625" customWidth="1"/>
    <col min="20" max="20" width="16.375" customWidth="1"/>
    <col min="21" max="21" width="16.875" customWidth="1"/>
    <col min="22" max="22" width="18.875" customWidth="1"/>
    <col min="23" max="23" width="18" customWidth="1"/>
    <col min="24" max="24" width="17.625" customWidth="1"/>
    <col min="25" max="25" width="16" customWidth="1"/>
    <col min="26" max="26" width="17.625" customWidth="1"/>
    <col min="27" max="27" width="19.125" customWidth="1"/>
    <col min="28" max="28" width="14.375" customWidth="1"/>
    <col min="29" max="29" width="20" customWidth="1"/>
    <col min="30" max="30" width="13.125" customWidth="1"/>
    <col min="31" max="31" width="18" customWidth="1"/>
    <col min="32" max="32" width="17.125" customWidth="1"/>
    <col min="33" max="33" width="14.875" customWidth="1"/>
    <col min="34" max="34" width="15.125" customWidth="1"/>
    <col min="35" max="35" width="19.125" customWidth="1"/>
    <col min="36" max="36" width="24.875" customWidth="1"/>
    <col min="37" max="37" width="31.125" customWidth="1"/>
    <col min="38" max="38" width="17.125" customWidth="1"/>
    <col min="39" max="39" width="23.625" customWidth="1"/>
    <col min="40" max="40" width="18.875" customWidth="1"/>
    <col min="41" max="41" width="22.875" customWidth="1"/>
    <col min="42" max="42" width="18" customWidth="1"/>
    <col min="43" max="43" width="22" customWidth="1"/>
    <col min="44" max="44" width="16.875" customWidth="1"/>
    <col min="45" max="45" width="34.875" customWidth="1"/>
    <col min="46" max="46" width="30.875" customWidth="1"/>
    <col min="47" max="47" width="19.625" customWidth="1"/>
    <col min="48" max="48" width="19.125" customWidth="1"/>
    <col min="49" max="49" width="34" customWidth="1"/>
    <col min="50" max="50" width="25.625" customWidth="1"/>
    <col min="51" max="51" width="21.125" customWidth="1"/>
    <col min="52" max="52" width="35.625" customWidth="1"/>
    <col min="53" max="53" width="16" customWidth="1"/>
    <col min="54" max="54" width="26" customWidth="1"/>
    <col min="55" max="55" width="21.625" customWidth="1"/>
    <col min="56" max="56" width="24" customWidth="1"/>
    <col min="57" max="57" width="21.125" customWidth="1"/>
    <col min="58" max="58" width="25.125" customWidth="1"/>
    <col min="59" max="59" width="27.625" customWidth="1"/>
    <col min="60" max="60" width="22.875" customWidth="1"/>
    <col min="61" max="61" width="32" customWidth="1"/>
    <col min="62" max="62" width="19.625" customWidth="1"/>
    <col min="63" max="63" width="30" customWidth="1"/>
    <col min="64" max="65" width="16" customWidth="1"/>
    <col min="66" max="66" width="15.625" customWidth="1"/>
    <col min="67" max="67" width="19.125" customWidth="1"/>
  </cols>
  <sheetData>
    <row r="1" spans="1:67" ht="30" customHeight="1">
      <c r="A1" s="1" t="str">
        <f>_vsmAhG18JSl</f>
        <v>गर्भवती जाँच</v>
      </c>
      <c r="E1" s="13" t="str">
        <f>_KsWOcIlolq5</f>
        <v>प्रोटोकल अनुसार गर्भवती जाँच</v>
      </c>
      <c r="F1" s="13"/>
      <c r="G1" s="13"/>
      <c r="H1" s="13"/>
      <c r="I1" s="13"/>
      <c r="J1" s="13"/>
      <c r="K1" s="13"/>
      <c r="L1" s="13"/>
      <c r="M1" s="13"/>
      <c r="N1" s="14" t="str">
        <f>_gcv2f7OZTCA</f>
        <v>Current Pregnancy</v>
      </c>
      <c r="O1" s="14"/>
      <c r="P1" s="14"/>
      <c r="Q1" s="14"/>
      <c r="R1" s="14"/>
      <c r="S1" s="14"/>
      <c r="T1" s="14"/>
      <c r="U1" s="14"/>
      <c r="V1" s="14"/>
      <c r="W1" s="14"/>
      <c r="X1" s="14"/>
      <c r="Y1" s="14"/>
      <c r="Z1" s="14"/>
      <c r="AA1" s="14"/>
      <c r="AB1" s="14"/>
      <c r="AC1" s="15" t="str">
        <f>_ulToVXMAPkh</f>
        <v>WHOMCH</v>
      </c>
      <c r="AD1" s="15"/>
      <c r="AE1" s="15"/>
      <c r="AF1" s="15"/>
      <c r="AG1" s="15"/>
      <c r="AH1" s="15"/>
      <c r="AI1" s="15"/>
      <c r="AJ1" s="15"/>
      <c r="AK1" s="15"/>
      <c r="AL1" s="15"/>
      <c r="AM1" s="15"/>
      <c r="AN1" s="15"/>
      <c r="AO1" s="15"/>
      <c r="AP1" s="15"/>
      <c r="AQ1" s="15"/>
      <c r="AR1" s="15"/>
      <c r="AS1" s="16" t="str">
        <f>_vidrpwXVlZO</f>
        <v>Management</v>
      </c>
      <c r="AT1" s="16"/>
      <c r="AU1" s="16"/>
      <c r="AV1" s="16"/>
      <c r="AW1" s="16"/>
      <c r="AX1" s="16"/>
      <c r="AY1" s="16"/>
      <c r="AZ1" s="16"/>
      <c r="BA1" s="16"/>
      <c r="BB1" s="16"/>
      <c r="BC1" s="16"/>
      <c r="BD1" s="16"/>
      <c r="BE1" s="16"/>
      <c r="BF1" s="16"/>
      <c r="BG1" s="16"/>
      <c r="BH1" s="16"/>
      <c r="BI1" s="16"/>
      <c r="BJ1" s="16"/>
      <c r="BK1" s="16"/>
      <c r="BL1" s="16"/>
      <c r="BM1" s="16"/>
      <c r="BN1" s="16"/>
      <c r="BO1" s="16"/>
    </row>
    <row r="2" spans="1:67" ht="50.1" customHeight="1">
      <c r="A2" s="1" t="s">
        <v>3224</v>
      </c>
      <c r="B2" s="1" t="s">
        <v>3225</v>
      </c>
      <c r="C2" s="1" t="s">
        <v>2</v>
      </c>
      <c r="D2" s="1" t="s">
        <v>3227</v>
      </c>
      <c r="E2" s="3" t="str">
        <f>_KTjz8yB6iCs</f>
        <v>गर्भवती जाँच (जुनसुकै समयको)</v>
      </c>
      <c r="F2" s="3" t="str">
        <f>_XFZH0oeDiWB</f>
        <v>पहिलो गर्भवती जाँच (१२ हप्ता सम्म)</v>
      </c>
      <c r="G2" s="3" t="str">
        <f>_LB2H6ULuzIf</f>
        <v>दोस्रो गर्भवती जाँच (१६ हप्ता सम्म)</v>
      </c>
      <c r="H2" s="3" t="str">
        <f>_ypHQ5dUyrGQ</f>
        <v>तेस्रो गर्भवती जाँच (२०-२४ हप्ता)</v>
      </c>
      <c r="I2" s="3" t="str">
        <f>_dX55nQ55KOY</f>
        <v>चौथो गर्भवती जाँच (२८ हप्ता)</v>
      </c>
      <c r="J2" s="3" t="str">
        <f>_dI5VkJYUigs</f>
        <v>पाँचौं गर्भवती जाँच (३२ हप्ता)</v>
      </c>
      <c r="K2" s="3" t="str">
        <f>_WnZfjglQd09</f>
        <v>छैटौं गर्भवती जाँच (३४ हप्ता)</v>
      </c>
      <c r="L2" s="3" t="str">
        <f>_k9kaaFapmsE</f>
        <v>सातौं गर्भवती जाँच (३६ हप्ता)</v>
      </c>
      <c r="M2" s="3" t="str">
        <f>_NqVLX9YPHXT</f>
        <v>आठौं गर्भवती जाँच (३८ - ४० हप्ता)</v>
      </c>
      <c r="N2" s="2" t="str">
        <f>_TQcBYg90B5p</f>
        <v>Gestational Week at Visit</v>
      </c>
      <c r="O2" s="2" t="str">
        <f>_v87DEGAEwzy</f>
        <v>उचाइ (से.मि.)</v>
      </c>
      <c r="P2" s="2" t="str">
        <f>_AlwvcHwtPwo</f>
        <v>तौल (कि.ग्रा.)</v>
      </c>
      <c r="Q2" s="2" t="str">
        <f>_ZCb7w2cdxAy</f>
        <v>रक्तअल्पता</v>
      </c>
      <c r="R2" s="2" t="str">
        <f>_dirvsPhXe5z</f>
        <v>सुन्निएको छ कि छैन ?</v>
      </c>
      <c r="S2" s="2" t="str">
        <f>_KqPSQdJ0tuD</f>
        <v>सुन्निएको</v>
      </c>
      <c r="T2" s="2" t="str">
        <f>_PiZ8k9zjGKh</f>
        <v>Systolic रक्तचाप</v>
      </c>
      <c r="U2" s="2" t="str">
        <f>_u4cA95rPeEx</f>
        <v>Diastolic रक्तचाप</v>
      </c>
      <c r="V2" s="2" t="str">
        <f>_aQwjqvZ1vfl</f>
        <v>पाठेघरको उचाई (से.मी.)</v>
      </c>
      <c r="W2" s="2" t="str">
        <f>_Kos9VTAyCXA</f>
        <v>स्थिति चयन गर्नुहोस्</v>
      </c>
      <c r="X2" s="2" t="str">
        <f>_X99ZT19n2uT</f>
        <v>शिशुको प्रीजेन्टेसन</v>
      </c>
      <c r="Y2" s="2" t="str">
        <f>_zSrT9mIXfxh</f>
        <v>शिशुको हृदय गती</v>
      </c>
      <c r="Z2" s="2" t="str">
        <f>_OzcwQtG30fR</f>
        <v>गर्भावस्थाका जटिलता</v>
      </c>
      <c r="AA2" s="2" t="str">
        <f>_xMiEfx1zaGk</f>
        <v>आइरन चक्कि वितरण संख्या</v>
      </c>
      <c r="AB2" s="2" t="str">
        <f>_QbT2Lv8iQOH</f>
        <v>जुकाको औषधि</v>
      </c>
      <c r="AC2" s="4" t="str">
        <f>_nnkcvb8EndS</f>
        <v>WHOMCH Chronic Conditions</v>
      </c>
      <c r="AD2" s="4" t="str">
        <f>_yYh8zi7ddRL</f>
        <v>Diabetes</v>
      </c>
      <c r="AE2" s="4" t="str">
        <f>_HPehddIHYeW</f>
        <v>Chronic hypertension</v>
      </c>
      <c r="AF2" s="4" t="str">
        <f>_dpVaz6PWHf7</f>
        <v>Autoimmune disease</v>
      </c>
      <c r="AG2" s="4" t="str">
        <f>_GNZll8tgucT</f>
        <v>HIV Positive</v>
      </c>
      <c r="AH2" s="4" t="str">
        <f>_rLdRHWLOw4A</f>
        <v>Renal disease</v>
      </c>
      <c r="AI2" s="4" t="str">
        <f>_MRzH8bNJLvB</f>
        <v>Other chronic condition</v>
      </c>
      <c r="AJ2" s="4" t="str">
        <f>_bFGavBJA5kp</f>
        <v>CC: Other chronic condition specified</v>
      </c>
      <c r="AK2" s="4" t="str">
        <f>_B0KwoAXqEG4</f>
        <v>WHOMCH Allergies (drugs and/or severe food allergies)</v>
      </c>
      <c r="AL2" s="4" t="str">
        <f>_lzZpHHfcSAk</f>
        <v>Penicillin allergy</v>
      </c>
      <c r="AM2" s="4" t="str">
        <f>_imlTNQ1osjZ</f>
        <v>Other penicillin allergy specified</v>
      </c>
      <c r="AN2" s="4" t="str">
        <f>_KxiXPnihIVd</f>
        <v>Other medicine allergy</v>
      </c>
      <c r="AO2" s="4" t="str">
        <f>_vC042fTkXvB</f>
        <v>Other medicine allergy specified</v>
      </c>
      <c r="AP2" s="4" t="str">
        <f>_ighVnyMkQCp</f>
        <v>Other severe allergy</v>
      </c>
      <c r="AQ2" s="4" t="str">
        <f>_Yf4l1RhqDvf</f>
        <v>Other severe allergy specified</v>
      </c>
      <c r="AR2" s="4" t="str">
        <f>_X72yjg8V5e3</f>
        <v>WHOMCH Medication</v>
      </c>
      <c r="AS2" s="5" t="str">
        <f>_k2h3cIa0E1Y</f>
        <v>ECV offered by skilled birth attendant ≥ 37 weeks of gestation</v>
      </c>
      <c r="AT2" s="5" t="str">
        <f>_wWFDLHvOV0n</f>
        <v>Erythromycin given for 10 days attributable to pPROM</v>
      </c>
      <c r="AU2" s="5" t="str">
        <f>_KFzZR8gWLlv</f>
        <v>WHOMCH Haematocrit value</v>
      </c>
      <c r="AV2" s="5" t="str">
        <f>_irr53G5M2pb</f>
        <v>WHOMCH Hemoglobin value</v>
      </c>
      <c r="AW2" s="5" t="str">
        <f>_q5NtxpazyK8</f>
        <v>Antihypertensive drug given according to national guidelines</v>
      </c>
      <c r="AX2" s="5" t="str">
        <f>_UXS01j5Uraz</f>
        <v>WHOMCH Ongoing or initiated ARV regimen</v>
      </c>
      <c r="AY2" s="5" t="str">
        <f>_queCXHrt9AM</f>
        <v>WHOMCH Eclamptic convulsions</v>
      </c>
      <c r="AZ2" s="5" t="str">
        <f>_nmZlYXYHW3y</f>
        <v>ECV performed by skilled birth attendant ≥ 37 weeks of gestation</v>
      </c>
      <c r="BA2" s="5" t="str">
        <f>_v6PUlS8qRrd</f>
        <v>PROM Management</v>
      </c>
      <c r="BB2" s="5" t="str">
        <f>_c1AV61Pw8JE</f>
        <v>WHOMCH Proteinuria (concentration mg/dL)</v>
      </c>
      <c r="BC2" s="5" t="str">
        <f>_p3L95pPVLx8</f>
        <v>WHOMCH Proteinuria (urinstix)</v>
      </c>
      <c r="BD2" s="5" t="str">
        <f>_RAzspHzaC8g</f>
        <v>WHOMCH Recurrent eclamptic seizures</v>
      </c>
      <c r="BE2" s="5" t="str">
        <f>_udEidWNnhYF</f>
        <v>WHOMCH MgSO4 injection given</v>
      </c>
      <c r="BF2" s="5" t="str">
        <f>_y1Fm3WnjKWg</f>
        <v>WHOMCH Ultrasound estimate of due date</v>
      </c>
      <c r="BG2" s="5" t="str">
        <f>_goy1682gIWf</f>
        <v>Slept under ITN (insecticide treated bednet)</v>
      </c>
      <c r="BH2" s="5" t="str">
        <f>_DGWkDlms5cA</f>
        <v>Clinical signs of extreme pallor</v>
      </c>
      <c r="BI2" s="5" t="str">
        <f>_P6IXn7vJDgo</f>
        <v>ECV conversion remaining 1 week after ECV was performed</v>
      </c>
      <c r="BJ2" s="5" t="str">
        <f>_jIKPasfocB9</f>
        <v>Date of first day of LMP</v>
      </c>
      <c r="BK2" s="5" t="str">
        <f>_GoZEL0hIsZw</f>
        <v>Use of insecticide treate bednet (ITN) is promoted</v>
      </c>
      <c r="BL2" s="5" t="str">
        <f>_kIKxY6qHJpU</f>
        <v>HIV test result</v>
      </c>
      <c r="BM2" s="5" t="str">
        <f>_UHJ3EvOTnhA</f>
        <v>WHOMCH RPR test</v>
      </c>
      <c r="BN2" s="5" t="str">
        <f>_T0oHQ2PX0vI</f>
        <v>WHOMCH Smoking</v>
      </c>
      <c r="BO2" s="5" t="str">
        <f>_Jxf5IRCXtXO</f>
        <v>WHOMCH Penicillin given</v>
      </c>
    </row>
    <row r="3" spans="1:67">
      <c r="B3" s="10" t="s">
        <v>3231</v>
      </c>
      <c r="D3" s="7">
        <v>43622</v>
      </c>
      <c r="O3" s="6"/>
      <c r="P3" s="6">
        <v>44</v>
      </c>
      <c r="Q3" s="12" t="s">
        <v>1994</v>
      </c>
      <c r="R3" t="s">
        <v>297</v>
      </c>
      <c r="T3" s="9">
        <v>110</v>
      </c>
      <c r="U3" s="6">
        <v>110</v>
      </c>
      <c r="V3" s="6">
        <v>18</v>
      </c>
      <c r="X3" s="9" t="s">
        <v>51</v>
      </c>
      <c r="Y3" s="6">
        <v>140</v>
      </c>
      <c r="AA3">
        <v>240</v>
      </c>
      <c r="AB3" t="s">
        <v>1994</v>
      </c>
    </row>
    <row r="4" spans="1:67">
      <c r="B4" s="10" t="s">
        <v>3504</v>
      </c>
      <c r="D4" s="7">
        <v>43675</v>
      </c>
      <c r="O4" s="6"/>
      <c r="P4" s="6">
        <v>74</v>
      </c>
      <c r="Q4" s="9" t="s">
        <v>207</v>
      </c>
      <c r="R4" t="s">
        <v>297</v>
      </c>
      <c r="T4" s="9">
        <v>110</v>
      </c>
      <c r="U4" s="6">
        <v>110</v>
      </c>
      <c r="V4" s="6">
        <v>40</v>
      </c>
      <c r="X4" s="9" t="s">
        <v>51</v>
      </c>
      <c r="Y4" s="6">
        <v>134</v>
      </c>
      <c r="AA4">
        <v>60</v>
      </c>
      <c r="AB4" t="s">
        <v>1994</v>
      </c>
    </row>
    <row r="5" spans="1:67">
      <c r="B5" s="10" t="s">
        <v>3508</v>
      </c>
      <c r="D5" s="7">
        <v>43675</v>
      </c>
      <c r="O5" s="6"/>
      <c r="P5" s="6">
        <v>50</v>
      </c>
      <c r="Q5" s="9" t="s">
        <v>207</v>
      </c>
      <c r="R5" t="s">
        <v>297</v>
      </c>
      <c r="T5" s="9">
        <v>110</v>
      </c>
      <c r="U5" s="6">
        <v>110</v>
      </c>
      <c r="V5" s="6">
        <v>16</v>
      </c>
      <c r="X5" s="12" t="s">
        <v>41</v>
      </c>
      <c r="Y5" s="6">
        <v>140</v>
      </c>
      <c r="AA5">
        <v>60</v>
      </c>
      <c r="AB5" t="s">
        <v>1994</v>
      </c>
    </row>
    <row r="6" spans="1:67">
      <c r="B6" s="10" t="s">
        <v>3512</v>
      </c>
      <c r="D6" s="7">
        <v>43675</v>
      </c>
      <c r="O6" s="6"/>
      <c r="P6" s="6">
        <v>60</v>
      </c>
      <c r="Q6" s="9" t="s">
        <v>1994</v>
      </c>
      <c r="R6" t="s">
        <v>297</v>
      </c>
      <c r="T6" s="9">
        <v>90</v>
      </c>
      <c r="U6" s="6">
        <v>90</v>
      </c>
      <c r="V6" s="6">
        <v>12</v>
      </c>
      <c r="X6" s="9" t="s">
        <v>41</v>
      </c>
      <c r="Y6" s="6">
        <v>140</v>
      </c>
      <c r="AA6">
        <v>60</v>
      </c>
      <c r="AB6" t="s">
        <v>1994</v>
      </c>
    </row>
    <row r="7" spans="1:67">
      <c r="B7" s="10" t="s">
        <v>3515</v>
      </c>
      <c r="D7" s="7">
        <v>43675</v>
      </c>
      <c r="O7" s="6"/>
      <c r="P7" s="6">
        <v>44</v>
      </c>
      <c r="Q7" s="9" t="s">
        <v>207</v>
      </c>
      <c r="R7" t="s">
        <v>297</v>
      </c>
      <c r="T7" s="9">
        <v>90</v>
      </c>
      <c r="U7" s="6">
        <v>90</v>
      </c>
      <c r="V7" s="6">
        <v>16</v>
      </c>
      <c r="X7" s="9" t="s">
        <v>41</v>
      </c>
      <c r="Y7" s="6"/>
      <c r="AA7">
        <v>120</v>
      </c>
      <c r="AB7" t="s">
        <v>1994</v>
      </c>
    </row>
    <row r="8" spans="1:67">
      <c r="B8" s="10" t="s">
        <v>3515</v>
      </c>
      <c r="D8" s="7">
        <v>43605</v>
      </c>
      <c r="O8" s="6"/>
      <c r="P8" s="6">
        <v>47</v>
      </c>
      <c r="Q8" s="9" t="s">
        <v>1994</v>
      </c>
      <c r="R8" t="s">
        <v>297</v>
      </c>
      <c r="T8" s="9">
        <v>100</v>
      </c>
      <c r="U8" s="6">
        <v>100</v>
      </c>
      <c r="V8" s="6">
        <v>26</v>
      </c>
      <c r="X8" s="9" t="s">
        <v>51</v>
      </c>
      <c r="Y8" s="6">
        <v>140</v>
      </c>
      <c r="AA8">
        <v>120</v>
      </c>
      <c r="AB8" t="s">
        <v>1994</v>
      </c>
    </row>
    <row r="9" spans="1:67">
      <c r="B9" s="10" t="s">
        <v>3518</v>
      </c>
      <c r="D9" s="7">
        <v>43675</v>
      </c>
      <c r="O9" s="6"/>
      <c r="P9" s="6">
        <v>54</v>
      </c>
      <c r="Q9" s="9" t="s">
        <v>207</v>
      </c>
      <c r="R9" t="s">
        <v>297</v>
      </c>
      <c r="T9" s="9">
        <v>120</v>
      </c>
      <c r="U9" s="6">
        <v>120</v>
      </c>
      <c r="V9" s="6">
        <v>32</v>
      </c>
      <c r="X9" s="9" t="s">
        <v>51</v>
      </c>
      <c r="Y9" s="6">
        <v>140</v>
      </c>
      <c r="AA9">
        <v>158</v>
      </c>
      <c r="AB9" t="s">
        <v>1994</v>
      </c>
    </row>
    <row r="10" spans="1:67">
      <c r="B10" s="10" t="s">
        <v>3521</v>
      </c>
      <c r="D10" s="7">
        <v>43675</v>
      </c>
      <c r="O10" s="6"/>
      <c r="P10" s="6">
        <v>51</v>
      </c>
      <c r="Q10" s="9" t="s">
        <v>207</v>
      </c>
      <c r="R10" t="s">
        <v>297</v>
      </c>
      <c r="T10" s="9">
        <v>100</v>
      </c>
      <c r="U10" s="6">
        <v>100</v>
      </c>
      <c r="V10" s="6">
        <v>15</v>
      </c>
      <c r="X10" s="9" t="s">
        <v>41</v>
      </c>
      <c r="Y10" s="6">
        <v>122</v>
      </c>
      <c r="AA10">
        <v>240</v>
      </c>
      <c r="AB10" t="s">
        <v>1994</v>
      </c>
    </row>
    <row r="11" spans="1:67">
      <c r="B11" s="10" t="s">
        <v>3521</v>
      </c>
      <c r="D11" s="7">
        <v>43675</v>
      </c>
      <c r="O11" s="6"/>
      <c r="P11" s="6">
        <v>56</v>
      </c>
      <c r="Q11" s="9" t="s">
        <v>207</v>
      </c>
      <c r="R11" t="s">
        <v>297</v>
      </c>
      <c r="T11" s="9">
        <v>110</v>
      </c>
      <c r="U11" s="6">
        <v>110</v>
      </c>
      <c r="V11" s="6">
        <v>26</v>
      </c>
      <c r="X11" s="9" t="s">
        <v>41</v>
      </c>
      <c r="Y11" s="6">
        <v>140</v>
      </c>
      <c r="AA11">
        <v>390</v>
      </c>
      <c r="AB11" t="s">
        <v>1994</v>
      </c>
    </row>
    <row r="12" spans="1:67">
      <c r="B12" s="10" t="s">
        <v>3525</v>
      </c>
      <c r="D12" s="7">
        <v>43675</v>
      </c>
      <c r="O12" s="6"/>
      <c r="P12" s="6">
        <v>58</v>
      </c>
      <c r="Q12" s="9" t="s">
        <v>207</v>
      </c>
      <c r="R12" t="s">
        <v>297</v>
      </c>
      <c r="T12" s="9">
        <v>120</v>
      </c>
      <c r="U12" s="6">
        <v>120</v>
      </c>
      <c r="V12" s="6">
        <v>16</v>
      </c>
      <c r="X12" s="9" t="s">
        <v>41</v>
      </c>
      <c r="Y12" s="6">
        <v>140</v>
      </c>
      <c r="AB12" t="s">
        <v>1994</v>
      </c>
    </row>
    <row r="13" spans="1:67">
      <c r="B13" s="10" t="s">
        <v>3525</v>
      </c>
      <c r="D13" s="7">
        <v>43675</v>
      </c>
      <c r="O13" s="6"/>
      <c r="P13" s="6">
        <v>55</v>
      </c>
      <c r="Q13" s="9" t="s">
        <v>1994</v>
      </c>
      <c r="R13" t="s">
        <v>297</v>
      </c>
      <c r="T13" s="9">
        <v>110</v>
      </c>
      <c r="U13" s="6">
        <v>110</v>
      </c>
      <c r="V13" s="6">
        <v>22</v>
      </c>
      <c r="X13" s="9" t="s">
        <v>51</v>
      </c>
      <c r="Y13" s="6">
        <v>140</v>
      </c>
      <c r="AB13" t="s">
        <v>1994</v>
      </c>
    </row>
    <row r="14" spans="1:67">
      <c r="B14" s="10" t="s">
        <v>3525</v>
      </c>
      <c r="D14" s="7">
        <v>43675</v>
      </c>
      <c r="O14" s="6"/>
      <c r="P14" s="6">
        <v>60</v>
      </c>
      <c r="Q14" s="9" t="s">
        <v>207</v>
      </c>
      <c r="R14" t="s">
        <v>297</v>
      </c>
      <c r="T14" s="9">
        <v>110</v>
      </c>
      <c r="U14" s="6">
        <v>110</v>
      </c>
      <c r="V14" s="6">
        <v>32</v>
      </c>
      <c r="X14" s="9" t="s">
        <v>51</v>
      </c>
      <c r="Y14" s="6">
        <v>140</v>
      </c>
      <c r="AB14" t="s">
        <v>1994</v>
      </c>
    </row>
    <row r="15" spans="1:67">
      <c r="B15" s="10" t="s">
        <v>3528</v>
      </c>
      <c r="D15" s="7">
        <v>43675</v>
      </c>
      <c r="O15" s="6"/>
      <c r="P15" s="6">
        <v>65</v>
      </c>
      <c r="Q15" s="9" t="s">
        <v>1994</v>
      </c>
      <c r="R15" t="s">
        <v>297</v>
      </c>
      <c r="T15" s="9">
        <v>110</v>
      </c>
      <c r="U15" s="6">
        <v>110</v>
      </c>
      <c r="V15" s="6"/>
      <c r="X15" s="9" t="s">
        <v>41</v>
      </c>
      <c r="Y15" s="6"/>
      <c r="AB15" t="s">
        <v>1994</v>
      </c>
    </row>
    <row r="16" spans="1:67">
      <c r="B16" s="10" t="s">
        <v>3528</v>
      </c>
      <c r="D16" s="7">
        <v>43612</v>
      </c>
      <c r="O16" s="6"/>
      <c r="P16" s="6">
        <v>65</v>
      </c>
      <c r="Q16" s="9" t="s">
        <v>1994</v>
      </c>
      <c r="R16" t="s">
        <v>297</v>
      </c>
      <c r="T16" s="9">
        <v>120</v>
      </c>
      <c r="U16" s="6">
        <v>120</v>
      </c>
      <c r="V16" s="6"/>
      <c r="X16" s="9" t="s">
        <v>41</v>
      </c>
      <c r="Y16" s="6">
        <v>140</v>
      </c>
      <c r="AB16" t="s">
        <v>1994</v>
      </c>
    </row>
    <row r="17" spans="2:28">
      <c r="B17" s="10" t="s">
        <v>3533</v>
      </c>
      <c r="D17" s="7">
        <v>43675</v>
      </c>
      <c r="O17" s="6"/>
      <c r="P17" s="6">
        <v>43</v>
      </c>
      <c r="Q17" s="9" t="s">
        <v>207</v>
      </c>
      <c r="R17" t="s">
        <v>297</v>
      </c>
      <c r="T17" s="9">
        <v>140</v>
      </c>
      <c r="U17" s="6">
        <v>140</v>
      </c>
      <c r="V17" s="6">
        <v>12</v>
      </c>
      <c r="X17" s="9" t="s">
        <v>41</v>
      </c>
      <c r="Y17" s="6">
        <v>140</v>
      </c>
      <c r="AA17">
        <v>60</v>
      </c>
      <c r="AB17" t="s">
        <v>1994</v>
      </c>
    </row>
    <row r="18" spans="2:28">
      <c r="B18" s="10" t="s">
        <v>3536</v>
      </c>
      <c r="D18" s="7">
        <v>43675</v>
      </c>
      <c r="O18" s="6"/>
      <c r="P18" s="6">
        <v>43</v>
      </c>
      <c r="Q18" s="9" t="s">
        <v>207</v>
      </c>
      <c r="R18" t="s">
        <v>297</v>
      </c>
      <c r="T18" s="9">
        <v>140</v>
      </c>
      <c r="U18" s="6">
        <v>140</v>
      </c>
      <c r="V18" s="6"/>
      <c r="X18" s="9" t="s">
        <v>41</v>
      </c>
      <c r="Y18" s="6"/>
      <c r="AB18" t="s">
        <v>1994</v>
      </c>
    </row>
    <row r="19" spans="2:28">
      <c r="B19" s="10" t="s">
        <v>3544</v>
      </c>
      <c r="D19" s="7">
        <v>43675</v>
      </c>
      <c r="O19" s="6"/>
      <c r="P19" s="6">
        <v>35</v>
      </c>
      <c r="Q19" s="9" t="s">
        <v>207</v>
      </c>
      <c r="R19" t="s">
        <v>297</v>
      </c>
      <c r="T19" s="9">
        <v>90</v>
      </c>
      <c r="U19" s="6">
        <v>90</v>
      </c>
      <c r="V19" s="6">
        <v>16</v>
      </c>
      <c r="X19" s="9" t="s">
        <v>41</v>
      </c>
      <c r="Y19" s="6"/>
      <c r="AB19" t="s">
        <v>1994</v>
      </c>
    </row>
    <row r="20" spans="2:28">
      <c r="B20" s="10" t="s">
        <v>3544</v>
      </c>
      <c r="D20" s="7">
        <v>43675</v>
      </c>
      <c r="O20" s="6"/>
      <c r="P20" s="6">
        <v>42</v>
      </c>
      <c r="Q20" s="9" t="s">
        <v>207</v>
      </c>
      <c r="R20" t="s">
        <v>297</v>
      </c>
      <c r="T20" s="9">
        <v>100</v>
      </c>
      <c r="U20" s="6">
        <v>100</v>
      </c>
      <c r="V20" s="6">
        <v>26</v>
      </c>
      <c r="X20" s="9" t="s">
        <v>51</v>
      </c>
      <c r="Y20" s="6">
        <v>138</v>
      </c>
      <c r="AA20">
        <v>120</v>
      </c>
      <c r="AB20" t="s">
        <v>1994</v>
      </c>
    </row>
    <row r="21" spans="2:28">
      <c r="B21" s="10" t="s">
        <v>3541</v>
      </c>
      <c r="D21" s="7">
        <v>43675</v>
      </c>
      <c r="O21" s="6"/>
      <c r="P21" s="6">
        <v>52</v>
      </c>
      <c r="Q21" s="9" t="s">
        <v>207</v>
      </c>
      <c r="R21" t="s">
        <v>297</v>
      </c>
      <c r="T21" s="9">
        <v>110</v>
      </c>
      <c r="U21" s="6">
        <v>110</v>
      </c>
      <c r="V21" s="6">
        <v>16</v>
      </c>
      <c r="X21" s="9" t="s">
        <v>41</v>
      </c>
      <c r="Y21" s="6"/>
      <c r="AA21">
        <v>60</v>
      </c>
      <c r="AB21" t="s">
        <v>1994</v>
      </c>
    </row>
    <row r="22" spans="2:28">
      <c r="B22" s="10" t="s">
        <v>3231</v>
      </c>
      <c r="D22" s="7">
        <v>43675</v>
      </c>
      <c r="O22" s="6"/>
      <c r="P22" s="6">
        <v>50</v>
      </c>
      <c r="Q22" s="9" t="s">
        <v>207</v>
      </c>
      <c r="R22" t="s">
        <v>297</v>
      </c>
      <c r="T22" s="9">
        <v>100</v>
      </c>
      <c r="U22" s="6">
        <v>100</v>
      </c>
      <c r="V22" s="6">
        <v>26</v>
      </c>
      <c r="X22" s="9" t="s">
        <v>51</v>
      </c>
      <c r="Y22" s="6">
        <v>140</v>
      </c>
      <c r="AB22" t="s">
        <v>1994</v>
      </c>
    </row>
    <row r="23" spans="2:28">
      <c r="B23" s="10" t="s">
        <v>3231</v>
      </c>
      <c r="D23" s="7">
        <v>43675</v>
      </c>
      <c r="O23" s="6"/>
      <c r="P23" s="6">
        <v>65</v>
      </c>
      <c r="Q23" s="9" t="s">
        <v>207</v>
      </c>
      <c r="R23" t="s">
        <v>297</v>
      </c>
      <c r="T23" s="9">
        <v>100</v>
      </c>
      <c r="U23" s="6">
        <v>100</v>
      </c>
      <c r="V23" s="6">
        <v>26</v>
      </c>
      <c r="X23" s="9" t="s">
        <v>51</v>
      </c>
      <c r="Y23" s="6">
        <v>140</v>
      </c>
      <c r="AB23" t="s">
        <v>1994</v>
      </c>
    </row>
    <row r="24" spans="2:28">
      <c r="B24" s="10" t="s">
        <v>3231</v>
      </c>
      <c r="D24" s="7">
        <v>43675</v>
      </c>
      <c r="O24" s="6"/>
      <c r="P24" s="6">
        <v>65</v>
      </c>
      <c r="Q24" s="9" t="s">
        <v>207</v>
      </c>
      <c r="R24" t="s">
        <v>297</v>
      </c>
      <c r="T24" s="9">
        <v>100</v>
      </c>
      <c r="U24" s="6">
        <v>100</v>
      </c>
      <c r="V24" s="6">
        <v>26</v>
      </c>
      <c r="X24" s="9" t="s">
        <v>51</v>
      </c>
      <c r="Y24" s="6">
        <v>136</v>
      </c>
      <c r="AB24" t="s">
        <v>1994</v>
      </c>
    </row>
    <row r="25" spans="2:28">
      <c r="B25" s="10" t="s">
        <v>3547</v>
      </c>
      <c r="D25" s="7">
        <v>43675</v>
      </c>
      <c r="O25" s="6"/>
      <c r="P25" s="6">
        <v>45</v>
      </c>
      <c r="Q25" s="9" t="s">
        <v>207</v>
      </c>
      <c r="R25" t="s">
        <v>297</v>
      </c>
      <c r="T25" s="9">
        <v>120</v>
      </c>
      <c r="U25" s="6">
        <v>120</v>
      </c>
      <c r="V25" s="6">
        <v>24</v>
      </c>
      <c r="X25" s="9" t="s">
        <v>41</v>
      </c>
      <c r="Y25" s="6">
        <v>140</v>
      </c>
      <c r="AB25" t="s">
        <v>1994</v>
      </c>
    </row>
    <row r="26" spans="2:28">
      <c r="B26" s="10" t="s">
        <v>3565</v>
      </c>
      <c r="D26" s="7">
        <v>43675</v>
      </c>
      <c r="O26" s="6"/>
      <c r="P26" s="6">
        <v>70</v>
      </c>
      <c r="Q26" s="9" t="s">
        <v>207</v>
      </c>
      <c r="R26" t="s">
        <v>297</v>
      </c>
      <c r="T26" s="9">
        <v>100</v>
      </c>
      <c r="U26" s="6">
        <v>100</v>
      </c>
      <c r="V26" s="6">
        <v>12</v>
      </c>
      <c r="X26" s="9" t="s">
        <v>41</v>
      </c>
      <c r="Y26" s="6"/>
      <c r="AB26" t="s">
        <v>1994</v>
      </c>
    </row>
    <row r="27" spans="2:28">
      <c r="B27" s="10" t="s">
        <v>3565</v>
      </c>
      <c r="D27" s="7">
        <v>43675</v>
      </c>
      <c r="O27" s="6"/>
      <c r="P27" s="6">
        <v>60</v>
      </c>
      <c r="Q27" s="9" t="s">
        <v>207</v>
      </c>
      <c r="R27" t="s">
        <v>297</v>
      </c>
      <c r="T27" s="9">
        <v>120</v>
      </c>
      <c r="U27" s="6">
        <v>120</v>
      </c>
      <c r="V27" s="6">
        <v>24</v>
      </c>
      <c r="X27" s="9" t="s">
        <v>455</v>
      </c>
      <c r="Y27" s="6">
        <v>140</v>
      </c>
      <c r="AB27" t="s">
        <v>1994</v>
      </c>
    </row>
    <row r="28" spans="2:28">
      <c r="B28" s="10" t="s">
        <v>3565</v>
      </c>
      <c r="D28" s="7">
        <v>43675</v>
      </c>
      <c r="O28" s="6"/>
      <c r="P28" s="6">
        <v>63</v>
      </c>
      <c r="Q28" s="9" t="s">
        <v>207</v>
      </c>
      <c r="R28" t="s">
        <v>297</v>
      </c>
      <c r="T28" s="9">
        <v>130</v>
      </c>
      <c r="U28" s="6">
        <v>130</v>
      </c>
      <c r="V28" s="6">
        <v>26</v>
      </c>
      <c r="X28" s="9" t="s">
        <v>41</v>
      </c>
      <c r="Y28" s="6">
        <v>140</v>
      </c>
      <c r="AB28" t="s">
        <v>1994</v>
      </c>
    </row>
    <row r="29" spans="2:28">
      <c r="B29" s="10" t="s">
        <v>3565</v>
      </c>
      <c r="D29" s="7">
        <v>43668</v>
      </c>
      <c r="O29" s="6"/>
      <c r="P29" s="6">
        <v>68</v>
      </c>
      <c r="Q29" s="9" t="s">
        <v>1994</v>
      </c>
      <c r="R29" t="s">
        <v>297</v>
      </c>
      <c r="T29" s="9">
        <v>120</v>
      </c>
      <c r="U29" s="6">
        <v>120</v>
      </c>
      <c r="V29" s="6">
        <v>36</v>
      </c>
      <c r="X29" s="9" t="s">
        <v>41</v>
      </c>
      <c r="Y29" s="6">
        <v>140</v>
      </c>
      <c r="AB29" t="s">
        <v>1994</v>
      </c>
    </row>
    <row r="30" spans="2:28">
      <c r="B30" s="10" t="s">
        <v>3569</v>
      </c>
      <c r="D30" s="7">
        <v>43685</v>
      </c>
      <c r="O30" s="10">
        <v>160</v>
      </c>
      <c r="P30" s="6">
        <v>48</v>
      </c>
      <c r="Q30" s="9" t="s">
        <v>207</v>
      </c>
      <c r="R30" t="s">
        <v>297</v>
      </c>
      <c r="T30" s="9">
        <v>100</v>
      </c>
      <c r="U30" s="6">
        <v>100</v>
      </c>
      <c r="V30" s="6">
        <v>9</v>
      </c>
      <c r="X30" s="9" t="s">
        <v>41</v>
      </c>
      <c r="Y30" s="6"/>
      <c r="AB30" t="s">
        <v>1994</v>
      </c>
    </row>
    <row r="31" spans="2:28">
      <c r="B31" s="10" t="s">
        <v>3569</v>
      </c>
      <c r="D31" s="7">
        <v>43741</v>
      </c>
      <c r="O31" s="10">
        <v>160</v>
      </c>
      <c r="P31" s="6">
        <v>50</v>
      </c>
      <c r="Q31" s="9" t="s">
        <v>207</v>
      </c>
      <c r="R31" t="s">
        <v>297</v>
      </c>
      <c r="T31" s="9">
        <v>120</v>
      </c>
      <c r="U31" s="6">
        <v>120</v>
      </c>
      <c r="V31" s="6">
        <v>12</v>
      </c>
      <c r="X31" s="9" t="s">
        <v>41</v>
      </c>
      <c r="Y31" s="6"/>
      <c r="AB31" t="s">
        <v>1994</v>
      </c>
    </row>
    <row r="32" spans="2:28">
      <c r="B32" s="10" t="s">
        <v>3569</v>
      </c>
      <c r="D32" s="7">
        <v>43815</v>
      </c>
      <c r="O32" s="10">
        <v>160</v>
      </c>
      <c r="P32" s="6">
        <v>52</v>
      </c>
      <c r="Q32" s="9" t="s">
        <v>207</v>
      </c>
      <c r="R32" t="s">
        <v>297</v>
      </c>
      <c r="T32" s="9">
        <v>120</v>
      </c>
      <c r="U32" s="6">
        <v>120</v>
      </c>
      <c r="V32" s="6">
        <v>17</v>
      </c>
      <c r="X32" s="9" t="s">
        <v>41</v>
      </c>
      <c r="Y32" s="6"/>
      <c r="AB32" t="s">
        <v>1994</v>
      </c>
    </row>
    <row r="33" spans="2:28">
      <c r="B33" s="10" t="s">
        <v>3569</v>
      </c>
      <c r="D33" s="7">
        <v>43846</v>
      </c>
      <c r="O33" s="10">
        <v>160</v>
      </c>
      <c r="P33" s="6">
        <v>54</v>
      </c>
      <c r="Q33" s="9" t="s">
        <v>207</v>
      </c>
      <c r="R33" t="s">
        <v>297</v>
      </c>
      <c r="T33" s="9">
        <v>100</v>
      </c>
      <c r="U33" s="6">
        <v>100</v>
      </c>
      <c r="V33" s="6">
        <v>20</v>
      </c>
      <c r="X33" s="9" t="s">
        <v>41</v>
      </c>
      <c r="Y33" s="6">
        <v>140</v>
      </c>
      <c r="AB33" t="s">
        <v>1994</v>
      </c>
    </row>
    <row r="34" spans="2:28">
      <c r="B34" s="10" t="s">
        <v>3569</v>
      </c>
      <c r="D34" s="7">
        <v>43776</v>
      </c>
      <c r="O34" s="10">
        <v>160</v>
      </c>
      <c r="P34" s="6">
        <v>58</v>
      </c>
      <c r="Q34" s="9" t="s">
        <v>207</v>
      </c>
      <c r="R34" t="s">
        <v>297</v>
      </c>
      <c r="T34" s="9">
        <v>110</v>
      </c>
      <c r="U34" s="6">
        <v>110</v>
      </c>
      <c r="V34" s="6">
        <v>33</v>
      </c>
      <c r="X34" s="9" t="s">
        <v>41</v>
      </c>
      <c r="Y34" s="6">
        <v>140</v>
      </c>
      <c r="AB34" t="s">
        <v>1994</v>
      </c>
    </row>
    <row r="35" spans="2:28">
      <c r="B35" s="10" t="s">
        <v>3569</v>
      </c>
      <c r="D35" s="7">
        <v>43808</v>
      </c>
      <c r="O35" s="10">
        <v>160</v>
      </c>
      <c r="P35" s="6">
        <v>60</v>
      </c>
      <c r="Q35" s="9" t="s">
        <v>1994</v>
      </c>
      <c r="R35" t="s">
        <v>297</v>
      </c>
      <c r="T35" s="9">
        <v>100</v>
      </c>
      <c r="U35" s="6">
        <v>100</v>
      </c>
      <c r="V35" s="6">
        <v>38</v>
      </c>
      <c r="X35" s="9" t="s">
        <v>41</v>
      </c>
      <c r="Y35" s="6">
        <v>140</v>
      </c>
      <c r="AB35" t="s">
        <v>1994</v>
      </c>
    </row>
    <row r="36" spans="2:28">
      <c r="B36" s="10" t="s">
        <v>3572</v>
      </c>
      <c r="D36" s="7">
        <v>43846</v>
      </c>
      <c r="O36" s="10">
        <v>160</v>
      </c>
      <c r="P36" s="6">
        <v>40</v>
      </c>
      <c r="Q36" s="9" t="s">
        <v>207</v>
      </c>
      <c r="R36" t="s">
        <v>297</v>
      </c>
      <c r="T36" s="9">
        <v>100</v>
      </c>
      <c r="U36" s="6">
        <v>100</v>
      </c>
      <c r="V36" s="6">
        <v>13</v>
      </c>
      <c r="X36" s="9" t="s">
        <v>41</v>
      </c>
      <c r="Y36" s="6"/>
      <c r="AB36" t="s">
        <v>1994</v>
      </c>
    </row>
    <row r="37" spans="2:28">
      <c r="B37" s="10" t="s">
        <v>3572</v>
      </c>
      <c r="D37" s="7">
        <v>43689</v>
      </c>
      <c r="O37" s="10">
        <v>160</v>
      </c>
      <c r="P37" s="6">
        <v>45</v>
      </c>
      <c r="Q37" s="9" t="s">
        <v>207</v>
      </c>
      <c r="R37" t="s">
        <v>297</v>
      </c>
      <c r="T37" s="9">
        <v>120</v>
      </c>
      <c r="U37" s="6">
        <v>120</v>
      </c>
      <c r="V37" s="6">
        <v>22</v>
      </c>
      <c r="X37" s="9" t="s">
        <v>41</v>
      </c>
      <c r="Y37" s="6">
        <v>140</v>
      </c>
      <c r="AB37" t="s">
        <v>1994</v>
      </c>
    </row>
    <row r="38" spans="2:28">
      <c r="B38" s="10" t="s">
        <v>3575</v>
      </c>
      <c r="D38" s="7">
        <v>43773</v>
      </c>
      <c r="O38" s="10">
        <v>164</v>
      </c>
      <c r="P38" s="6">
        <v>50</v>
      </c>
      <c r="Q38" s="9" t="s">
        <v>207</v>
      </c>
      <c r="R38" t="s">
        <v>297</v>
      </c>
      <c r="T38" s="9">
        <v>120</v>
      </c>
      <c r="U38" s="6">
        <v>120</v>
      </c>
      <c r="V38" s="6">
        <v>20</v>
      </c>
      <c r="X38" s="9" t="s">
        <v>41</v>
      </c>
      <c r="Y38" s="6"/>
      <c r="AB38" t="s">
        <v>1994</v>
      </c>
    </row>
    <row r="39" spans="2:28">
      <c r="B39" s="10" t="s">
        <v>3575</v>
      </c>
      <c r="D39" s="7">
        <v>43830</v>
      </c>
      <c r="O39" s="10">
        <v>164</v>
      </c>
      <c r="P39" s="6">
        <v>52</v>
      </c>
      <c r="Q39" s="9" t="s">
        <v>207</v>
      </c>
      <c r="R39" t="s">
        <v>297</v>
      </c>
      <c r="T39" s="9">
        <v>120</v>
      </c>
      <c r="U39" s="6">
        <v>120</v>
      </c>
      <c r="V39" s="6">
        <v>17</v>
      </c>
      <c r="X39" s="9" t="s">
        <v>41</v>
      </c>
      <c r="Y39" s="6">
        <v>140</v>
      </c>
      <c r="AB39" t="s">
        <v>1994</v>
      </c>
    </row>
    <row r="40" spans="2:28">
      <c r="B40" s="10" t="s">
        <v>3575</v>
      </c>
      <c r="D40" s="7">
        <v>43846</v>
      </c>
      <c r="O40" s="10">
        <v>164</v>
      </c>
      <c r="P40" s="6">
        <v>54</v>
      </c>
      <c r="Q40" s="9" t="s">
        <v>207</v>
      </c>
      <c r="R40" t="s">
        <v>297</v>
      </c>
      <c r="T40" s="9">
        <v>100</v>
      </c>
      <c r="U40" s="6">
        <v>100</v>
      </c>
      <c r="V40" s="6">
        <v>23</v>
      </c>
      <c r="X40" s="9" t="s">
        <v>41</v>
      </c>
      <c r="Y40" s="6">
        <v>140</v>
      </c>
      <c r="AB40" t="s">
        <v>1994</v>
      </c>
    </row>
    <row r="41" spans="2:28">
      <c r="B41" s="10" t="s">
        <v>3575</v>
      </c>
      <c r="D41" s="7">
        <v>43640</v>
      </c>
      <c r="O41" s="10">
        <v>164</v>
      </c>
      <c r="P41" s="6">
        <v>58</v>
      </c>
      <c r="Q41" s="9" t="s">
        <v>207</v>
      </c>
      <c r="R41" t="s">
        <v>297</v>
      </c>
      <c r="T41" s="9">
        <v>120</v>
      </c>
      <c r="U41" s="6">
        <v>120</v>
      </c>
      <c r="V41" s="6">
        <v>34</v>
      </c>
      <c r="X41" s="9" t="s">
        <v>41</v>
      </c>
      <c r="Y41" s="6">
        <v>140</v>
      </c>
      <c r="AB41" t="s">
        <v>1994</v>
      </c>
    </row>
    <row r="42" spans="2:28">
      <c r="B42" s="10" t="s">
        <v>3580</v>
      </c>
      <c r="D42" s="7">
        <v>43670</v>
      </c>
      <c r="O42" s="10">
        <v>156</v>
      </c>
      <c r="P42" s="6">
        <v>59</v>
      </c>
      <c r="Q42" s="9" t="s">
        <v>207</v>
      </c>
      <c r="R42" t="s">
        <v>297</v>
      </c>
      <c r="T42" s="9">
        <v>90</v>
      </c>
      <c r="U42" s="6">
        <v>90</v>
      </c>
      <c r="V42" s="6">
        <v>14</v>
      </c>
      <c r="X42" s="9" t="s">
        <v>41</v>
      </c>
      <c r="Y42" s="6"/>
      <c r="AB42" t="s">
        <v>1994</v>
      </c>
    </row>
    <row r="43" spans="2:28">
      <c r="B43" s="10" t="s">
        <v>3580</v>
      </c>
      <c r="D43" s="7">
        <v>43706</v>
      </c>
      <c r="O43" s="10">
        <v>156</v>
      </c>
      <c r="P43" s="6">
        <v>60</v>
      </c>
      <c r="Q43" s="9" t="s">
        <v>207</v>
      </c>
      <c r="R43" t="s">
        <v>297</v>
      </c>
      <c r="T43" s="9">
        <v>100</v>
      </c>
      <c r="U43" s="6">
        <v>100</v>
      </c>
      <c r="V43" s="6">
        <v>30</v>
      </c>
      <c r="X43" s="9" t="s">
        <v>41</v>
      </c>
      <c r="Y43" s="6">
        <v>140</v>
      </c>
      <c r="AB43" t="s">
        <v>1994</v>
      </c>
    </row>
    <row r="44" spans="2:28">
      <c r="B44" s="10" t="s">
        <v>3583</v>
      </c>
      <c r="D44" s="7">
        <v>43752</v>
      </c>
      <c r="O44" s="10">
        <v>160</v>
      </c>
      <c r="P44" s="6">
        <v>60</v>
      </c>
      <c r="Q44" s="9" t="s">
        <v>207</v>
      </c>
      <c r="R44" t="s">
        <v>297</v>
      </c>
      <c r="T44" s="9">
        <v>100</v>
      </c>
      <c r="U44" s="6">
        <v>100</v>
      </c>
      <c r="V44" s="6">
        <v>14</v>
      </c>
      <c r="X44" s="9" t="s">
        <v>41</v>
      </c>
      <c r="Y44" s="6"/>
      <c r="AB44" t="s">
        <v>1994</v>
      </c>
    </row>
    <row r="45" spans="2:28">
      <c r="B45" s="10" t="s">
        <v>3583</v>
      </c>
      <c r="D45" s="7">
        <v>43811</v>
      </c>
      <c r="O45" s="10">
        <v>160</v>
      </c>
      <c r="P45" s="6">
        <v>65</v>
      </c>
      <c r="Q45" s="9" t="s">
        <v>207</v>
      </c>
      <c r="R45" t="s">
        <v>297</v>
      </c>
      <c r="T45" s="9">
        <v>110</v>
      </c>
      <c r="U45" s="6">
        <v>110</v>
      </c>
      <c r="V45" s="6">
        <v>26</v>
      </c>
      <c r="X45" s="9" t="s">
        <v>41</v>
      </c>
      <c r="Y45" s="6">
        <v>140</v>
      </c>
      <c r="AB45" t="s">
        <v>1994</v>
      </c>
    </row>
    <row r="46" spans="2:28">
      <c r="B46" s="10" t="s">
        <v>3583</v>
      </c>
      <c r="D46" s="7">
        <v>43846</v>
      </c>
      <c r="O46" s="10">
        <v>160</v>
      </c>
      <c r="P46" s="6">
        <v>70</v>
      </c>
      <c r="Q46" s="9" t="s">
        <v>207</v>
      </c>
      <c r="R46" t="s">
        <v>297</v>
      </c>
      <c r="T46" s="9">
        <v>90</v>
      </c>
      <c r="U46" s="6">
        <v>90</v>
      </c>
      <c r="V46" s="6">
        <v>32</v>
      </c>
      <c r="X46" s="9" t="s">
        <v>41</v>
      </c>
      <c r="Y46" s="6">
        <v>140</v>
      </c>
      <c r="AB46" t="s">
        <v>1994</v>
      </c>
    </row>
    <row r="47" spans="2:28">
      <c r="B47" s="10" t="s">
        <v>3583</v>
      </c>
      <c r="D47" s="7">
        <v>43780</v>
      </c>
      <c r="O47" s="10">
        <v>160</v>
      </c>
      <c r="P47" s="6">
        <v>72</v>
      </c>
      <c r="Q47" s="9" t="s">
        <v>207</v>
      </c>
      <c r="R47" t="s">
        <v>297</v>
      </c>
      <c r="T47" s="9">
        <v>100</v>
      </c>
      <c r="U47" s="6">
        <v>100</v>
      </c>
      <c r="V47" s="6">
        <v>36</v>
      </c>
      <c r="X47" s="9" t="s">
        <v>41</v>
      </c>
      <c r="Y47" s="6">
        <v>140</v>
      </c>
      <c r="AB47" t="s">
        <v>1994</v>
      </c>
    </row>
    <row r="48" spans="2:28">
      <c r="B48" s="10" t="s">
        <v>3590</v>
      </c>
      <c r="D48" s="7">
        <v>43846</v>
      </c>
      <c r="O48" s="10">
        <v>160</v>
      </c>
      <c r="P48" s="6">
        <v>65</v>
      </c>
      <c r="Q48" s="9" t="s">
        <v>207</v>
      </c>
      <c r="R48" t="s">
        <v>297</v>
      </c>
      <c r="T48" s="9">
        <v>120</v>
      </c>
      <c r="U48" s="6">
        <v>120</v>
      </c>
      <c r="V48" s="6">
        <v>13</v>
      </c>
      <c r="X48" s="9" t="s">
        <v>41</v>
      </c>
      <c r="Y48" s="6"/>
      <c r="AB48" t="s">
        <v>1994</v>
      </c>
    </row>
    <row r="49" spans="2:28">
      <c r="B49" s="10" t="s">
        <v>3587</v>
      </c>
      <c r="D49" s="7">
        <v>43724</v>
      </c>
      <c r="O49" s="10">
        <v>162</v>
      </c>
      <c r="P49" s="6">
        <v>48</v>
      </c>
      <c r="Q49" s="9" t="s">
        <v>207</v>
      </c>
      <c r="R49" t="s">
        <v>297</v>
      </c>
      <c r="T49" s="9">
        <v>100</v>
      </c>
      <c r="U49" s="6">
        <v>100</v>
      </c>
      <c r="V49" s="6">
        <v>12</v>
      </c>
      <c r="X49" s="9" t="s">
        <v>41</v>
      </c>
      <c r="Y49" s="6"/>
      <c r="AB49" t="s">
        <v>1994</v>
      </c>
    </row>
    <row r="50" spans="2:28">
      <c r="B50" s="10" t="s">
        <v>3587</v>
      </c>
      <c r="D50" s="7">
        <v>43731</v>
      </c>
      <c r="O50" s="10">
        <v>162</v>
      </c>
      <c r="P50" s="6">
        <v>51</v>
      </c>
      <c r="Q50" s="9" t="s">
        <v>207</v>
      </c>
      <c r="R50" t="s">
        <v>297</v>
      </c>
      <c r="T50" s="9">
        <v>100</v>
      </c>
      <c r="U50" s="6">
        <v>100</v>
      </c>
      <c r="V50" s="6">
        <v>21</v>
      </c>
      <c r="X50" s="9" t="s">
        <v>41</v>
      </c>
      <c r="Y50" s="6">
        <v>140</v>
      </c>
      <c r="AB50" t="s">
        <v>1994</v>
      </c>
    </row>
    <row r="51" spans="2:28">
      <c r="B51" s="10" t="s">
        <v>3587</v>
      </c>
      <c r="D51" s="7">
        <v>43787</v>
      </c>
      <c r="O51" s="10">
        <v>162</v>
      </c>
      <c r="P51" s="6">
        <v>54</v>
      </c>
      <c r="Q51" s="9" t="s">
        <v>207</v>
      </c>
      <c r="R51" t="s">
        <v>297</v>
      </c>
      <c r="T51" s="9">
        <v>110</v>
      </c>
      <c r="U51" s="6">
        <v>110</v>
      </c>
      <c r="V51" s="6">
        <v>25</v>
      </c>
      <c r="X51" s="9" t="s">
        <v>41</v>
      </c>
      <c r="Y51" s="6">
        <v>140</v>
      </c>
      <c r="AB51" t="s">
        <v>1994</v>
      </c>
    </row>
    <row r="52" spans="2:28">
      <c r="B52" s="10" t="s">
        <v>3594</v>
      </c>
      <c r="D52" s="7">
        <v>43846</v>
      </c>
      <c r="O52" s="10">
        <v>160</v>
      </c>
      <c r="P52" s="6">
        <v>50</v>
      </c>
      <c r="Q52" s="9" t="s">
        <v>207</v>
      </c>
      <c r="R52" t="s">
        <v>297</v>
      </c>
      <c r="T52" s="9">
        <v>120</v>
      </c>
      <c r="U52" s="6">
        <v>120</v>
      </c>
      <c r="V52" s="6">
        <v>13</v>
      </c>
      <c r="X52" s="9" t="s">
        <v>41</v>
      </c>
      <c r="Y52" s="6"/>
      <c r="AB52" t="s">
        <v>1994</v>
      </c>
    </row>
    <row r="53" spans="2:28">
      <c r="B53" s="10" t="s">
        <v>3594</v>
      </c>
      <c r="D53" s="7">
        <v>43776</v>
      </c>
      <c r="O53" s="10">
        <v>160</v>
      </c>
      <c r="P53" s="6">
        <v>52</v>
      </c>
      <c r="Q53" s="9" t="s">
        <v>207</v>
      </c>
      <c r="R53" t="s">
        <v>297</v>
      </c>
      <c r="T53" s="9">
        <v>120</v>
      </c>
      <c r="U53" s="6">
        <v>120</v>
      </c>
      <c r="V53" s="6">
        <v>18</v>
      </c>
      <c r="X53" s="9" t="s">
        <v>41</v>
      </c>
      <c r="Y53" s="6"/>
      <c r="AB53" t="s">
        <v>1994</v>
      </c>
    </row>
    <row r="54" spans="2:28">
      <c r="B54" s="10" t="s">
        <v>3594</v>
      </c>
      <c r="D54" s="7">
        <v>43846</v>
      </c>
      <c r="O54" s="10">
        <v>160</v>
      </c>
      <c r="P54" s="6">
        <v>61</v>
      </c>
      <c r="Q54" s="9" t="s">
        <v>207</v>
      </c>
      <c r="R54" t="s">
        <v>297</v>
      </c>
      <c r="T54" s="9">
        <v>110</v>
      </c>
      <c r="U54" s="6">
        <v>110</v>
      </c>
      <c r="V54" s="6">
        <v>26</v>
      </c>
      <c r="X54" s="9" t="s">
        <v>41</v>
      </c>
      <c r="Y54" s="6">
        <v>140</v>
      </c>
      <c r="AB54" t="s">
        <v>1994</v>
      </c>
    </row>
    <row r="55" spans="2:28">
      <c r="B55" s="10" t="s">
        <v>3594</v>
      </c>
      <c r="D55" s="7">
        <v>43661</v>
      </c>
      <c r="O55" s="10">
        <v>160</v>
      </c>
      <c r="P55" s="6">
        <v>65</v>
      </c>
      <c r="Q55" s="9" t="s">
        <v>207</v>
      </c>
      <c r="R55" t="s">
        <v>297</v>
      </c>
      <c r="T55" s="9">
        <v>110</v>
      </c>
      <c r="U55" s="6">
        <v>110</v>
      </c>
      <c r="V55" s="6">
        <v>32</v>
      </c>
      <c r="X55" s="9" t="s">
        <v>41</v>
      </c>
      <c r="Y55" s="6">
        <v>140</v>
      </c>
      <c r="AB55" t="s">
        <v>1994</v>
      </c>
    </row>
    <row r="56" spans="2:28">
      <c r="B56" s="10" t="s">
        <v>3597</v>
      </c>
      <c r="D56" s="7">
        <v>43738</v>
      </c>
      <c r="O56" s="6"/>
      <c r="P56" s="6">
        <v>60</v>
      </c>
      <c r="Q56" s="9" t="s">
        <v>207</v>
      </c>
      <c r="R56" t="s">
        <v>297</v>
      </c>
      <c r="T56" s="9">
        <v>100</v>
      </c>
      <c r="U56" s="6">
        <v>100</v>
      </c>
      <c r="V56" s="6">
        <v>20</v>
      </c>
      <c r="X56" s="9" t="s">
        <v>41</v>
      </c>
      <c r="Y56" s="6">
        <v>140</v>
      </c>
      <c r="AA56">
        <v>360</v>
      </c>
      <c r="AB56" t="s">
        <v>1994</v>
      </c>
    </row>
    <row r="57" spans="2:28">
      <c r="B57" s="10" t="s">
        <v>3559</v>
      </c>
      <c r="D57" s="7">
        <v>43794</v>
      </c>
      <c r="O57" s="6"/>
      <c r="P57" s="6">
        <v>47</v>
      </c>
      <c r="Q57" s="9" t="s">
        <v>207</v>
      </c>
      <c r="R57" t="s">
        <v>297</v>
      </c>
      <c r="T57" s="9">
        <v>100</v>
      </c>
      <c r="U57" s="6">
        <v>100</v>
      </c>
      <c r="V57" s="6">
        <v>12</v>
      </c>
      <c r="X57" s="9" t="s">
        <v>41</v>
      </c>
      <c r="Y57" s="6">
        <v>140</v>
      </c>
      <c r="AB57" t="s">
        <v>1994</v>
      </c>
    </row>
    <row r="58" spans="2:28">
      <c r="B58" s="10" t="s">
        <v>3559</v>
      </c>
      <c r="D58" s="7">
        <v>43832</v>
      </c>
      <c r="O58" s="6"/>
      <c r="P58" s="6">
        <v>50</v>
      </c>
      <c r="Q58" s="9" t="s">
        <v>207</v>
      </c>
      <c r="R58" t="s">
        <v>297</v>
      </c>
      <c r="T58" s="9">
        <v>100</v>
      </c>
      <c r="U58" s="6">
        <v>100</v>
      </c>
      <c r="V58" s="6">
        <v>21</v>
      </c>
      <c r="X58" s="9" t="s">
        <v>41</v>
      </c>
      <c r="Y58" s="6">
        <v>140</v>
      </c>
      <c r="AB58" t="s">
        <v>1994</v>
      </c>
    </row>
    <row r="59" spans="2:28">
      <c r="B59" s="10" t="s">
        <v>3559</v>
      </c>
      <c r="D59" s="7">
        <v>43846</v>
      </c>
      <c r="O59" s="6"/>
      <c r="P59" s="6">
        <v>59</v>
      </c>
      <c r="Q59" s="9" t="s">
        <v>1994</v>
      </c>
      <c r="R59" t="s">
        <v>297</v>
      </c>
      <c r="T59" s="9">
        <v>120</v>
      </c>
      <c r="U59" s="6">
        <v>120</v>
      </c>
      <c r="V59" s="6">
        <v>28</v>
      </c>
      <c r="X59" s="9" t="s">
        <v>41</v>
      </c>
      <c r="Y59" s="6">
        <v>140</v>
      </c>
      <c r="AB59" t="s">
        <v>1994</v>
      </c>
    </row>
    <row r="60" spans="2:28">
      <c r="B60" s="10" t="s">
        <v>3559</v>
      </c>
      <c r="D60" s="7">
        <v>43780</v>
      </c>
      <c r="O60" s="6"/>
      <c r="P60" s="6">
        <v>61</v>
      </c>
      <c r="Q60" s="9" t="s">
        <v>207</v>
      </c>
      <c r="R60" t="s">
        <v>297</v>
      </c>
      <c r="T60" s="9">
        <v>100</v>
      </c>
      <c r="U60" s="6">
        <v>100</v>
      </c>
      <c r="V60" s="6">
        <v>32</v>
      </c>
      <c r="X60" s="9" t="s">
        <v>41</v>
      </c>
      <c r="Y60" s="6">
        <v>140</v>
      </c>
      <c r="AB60" t="s">
        <v>1994</v>
      </c>
    </row>
    <row r="61" spans="2:28">
      <c r="B61" s="10" t="s">
        <v>3559</v>
      </c>
      <c r="D61" s="7">
        <v>43818</v>
      </c>
      <c r="O61" s="6"/>
      <c r="P61" s="6">
        <v>63</v>
      </c>
      <c r="Q61" s="9" t="s">
        <v>207</v>
      </c>
      <c r="R61" t="s">
        <v>297</v>
      </c>
      <c r="T61" s="9">
        <v>110</v>
      </c>
      <c r="U61" s="6">
        <v>110</v>
      </c>
      <c r="V61" s="6">
        <v>40</v>
      </c>
      <c r="X61" s="9" t="s">
        <v>41</v>
      </c>
      <c r="Y61" s="6">
        <v>140</v>
      </c>
      <c r="AB61" t="s">
        <v>1994</v>
      </c>
    </row>
    <row r="62" spans="2:28">
      <c r="B62" s="10" t="s">
        <v>3600</v>
      </c>
      <c r="D62" s="7">
        <v>43846</v>
      </c>
      <c r="O62" s="10">
        <v>165</v>
      </c>
      <c r="P62" s="6">
        <v>53</v>
      </c>
      <c r="Q62" s="9" t="s">
        <v>207</v>
      </c>
      <c r="R62" t="s">
        <v>297</v>
      </c>
      <c r="T62" s="9">
        <v>120</v>
      </c>
      <c r="U62" s="6">
        <v>120</v>
      </c>
      <c r="V62" s="6">
        <v>13</v>
      </c>
      <c r="X62" s="9" t="s">
        <v>41</v>
      </c>
      <c r="Y62" s="6"/>
      <c r="AB62" t="s">
        <v>1994</v>
      </c>
    </row>
    <row r="63" spans="2:28">
      <c r="B63" s="10" t="s">
        <v>3600</v>
      </c>
      <c r="D63" s="7">
        <v>43717</v>
      </c>
      <c r="O63" s="10">
        <v>165</v>
      </c>
      <c r="P63" s="6">
        <v>54</v>
      </c>
      <c r="Q63" s="9" t="s">
        <v>207</v>
      </c>
      <c r="R63" t="s">
        <v>297</v>
      </c>
      <c r="T63" s="9">
        <v>110</v>
      </c>
      <c r="U63" s="6">
        <v>110</v>
      </c>
      <c r="V63" s="6">
        <v>28</v>
      </c>
      <c r="X63" s="9" t="s">
        <v>41</v>
      </c>
      <c r="Y63" s="6"/>
      <c r="AB63" t="s">
        <v>1994</v>
      </c>
    </row>
    <row r="64" spans="2:28">
      <c r="B64" s="10" t="s">
        <v>3600</v>
      </c>
      <c r="D64" s="7">
        <v>43748</v>
      </c>
      <c r="O64" s="10">
        <v>165</v>
      </c>
      <c r="P64" s="6">
        <v>70</v>
      </c>
      <c r="Q64" s="9" t="s">
        <v>207</v>
      </c>
      <c r="R64" t="s">
        <v>297</v>
      </c>
      <c r="T64" s="9">
        <v>110</v>
      </c>
      <c r="U64" s="6">
        <v>110</v>
      </c>
      <c r="V64" s="6">
        <v>36</v>
      </c>
      <c r="X64" s="9" t="s">
        <v>41</v>
      </c>
      <c r="Y64" s="6">
        <v>140</v>
      </c>
      <c r="AB64" t="s">
        <v>1994</v>
      </c>
    </row>
    <row r="65" spans="2:28">
      <c r="B65" s="10" t="s">
        <v>3600</v>
      </c>
      <c r="D65" s="7">
        <v>43787</v>
      </c>
      <c r="O65" s="10">
        <v>165</v>
      </c>
      <c r="P65" s="6">
        <v>72</v>
      </c>
      <c r="Q65" s="9" t="s">
        <v>207</v>
      </c>
      <c r="R65" t="s">
        <v>297</v>
      </c>
      <c r="T65" s="9">
        <v>110</v>
      </c>
      <c r="U65" s="6">
        <v>110</v>
      </c>
      <c r="V65" s="6">
        <v>34</v>
      </c>
      <c r="X65" s="9" t="s">
        <v>41</v>
      </c>
      <c r="Y65" s="6">
        <v>140</v>
      </c>
      <c r="AB65" t="s">
        <v>1994</v>
      </c>
    </row>
    <row r="66" spans="2:28">
      <c r="B66" s="10" t="s">
        <v>3604</v>
      </c>
      <c r="D66" s="7">
        <v>43846</v>
      </c>
      <c r="O66" s="10">
        <v>160</v>
      </c>
      <c r="P66" s="6">
        <v>55</v>
      </c>
      <c r="Q66" s="9" t="s">
        <v>207</v>
      </c>
      <c r="R66" t="s">
        <v>297</v>
      </c>
      <c r="T66" s="9">
        <v>110</v>
      </c>
      <c r="U66" s="6">
        <v>110</v>
      </c>
      <c r="V66" s="6">
        <v>18</v>
      </c>
      <c r="X66" s="9" t="s">
        <v>41</v>
      </c>
      <c r="Y66" s="6">
        <v>140</v>
      </c>
      <c r="AB66" t="s">
        <v>1994</v>
      </c>
    </row>
    <row r="67" spans="2:28">
      <c r="B67" s="10" t="s">
        <v>3604</v>
      </c>
      <c r="D67" s="7">
        <v>43846</v>
      </c>
      <c r="O67" s="10">
        <v>160</v>
      </c>
      <c r="P67" s="6">
        <v>60</v>
      </c>
      <c r="Q67" s="9" t="s">
        <v>207</v>
      </c>
      <c r="R67" t="s">
        <v>297</v>
      </c>
      <c r="T67" s="9">
        <v>110</v>
      </c>
      <c r="U67" s="6">
        <v>110</v>
      </c>
      <c r="V67" s="6">
        <v>22</v>
      </c>
      <c r="X67" s="9" t="s">
        <v>41</v>
      </c>
      <c r="Y67" s="6">
        <v>140</v>
      </c>
      <c r="AB67" t="s">
        <v>1994</v>
      </c>
    </row>
    <row r="68" spans="2:28">
      <c r="B68" s="10" t="s">
        <v>3604</v>
      </c>
      <c r="D68" s="7">
        <v>43822</v>
      </c>
      <c r="O68" s="10">
        <v>160</v>
      </c>
      <c r="P68" s="6">
        <v>61</v>
      </c>
      <c r="Q68" s="9" t="s">
        <v>207</v>
      </c>
      <c r="R68" t="s">
        <v>297</v>
      </c>
      <c r="T68" s="9">
        <v>120</v>
      </c>
      <c r="U68" s="6">
        <v>120</v>
      </c>
      <c r="V68" s="6">
        <v>30</v>
      </c>
      <c r="X68" s="9" t="s">
        <v>41</v>
      </c>
      <c r="Y68" s="6">
        <v>140</v>
      </c>
      <c r="AB68" t="s">
        <v>1994</v>
      </c>
    </row>
    <row r="69" spans="2:28">
      <c r="B69" s="10" t="s">
        <v>3609</v>
      </c>
      <c r="D69" s="7">
        <v>43850</v>
      </c>
      <c r="O69" s="10">
        <v>166</v>
      </c>
      <c r="P69" s="6">
        <v>54</v>
      </c>
      <c r="Q69" s="9" t="s">
        <v>207</v>
      </c>
      <c r="R69" t="s">
        <v>297</v>
      </c>
      <c r="T69" s="9">
        <v>90</v>
      </c>
      <c r="U69" s="6">
        <v>90</v>
      </c>
      <c r="V69" s="6">
        <v>14</v>
      </c>
      <c r="X69" s="9" t="s">
        <v>41</v>
      </c>
      <c r="Y69" s="6"/>
      <c r="AB69" t="s">
        <v>1994</v>
      </c>
    </row>
    <row r="70" spans="2:28">
      <c r="B70" s="10" t="s">
        <v>3613</v>
      </c>
      <c r="D70" s="7">
        <v>43850</v>
      </c>
      <c r="O70" s="10">
        <v>160</v>
      </c>
      <c r="P70" s="6">
        <v>60</v>
      </c>
      <c r="Q70" s="9" t="s">
        <v>207</v>
      </c>
      <c r="R70" t="s">
        <v>297</v>
      </c>
      <c r="T70" s="9">
        <v>120</v>
      </c>
      <c r="U70" s="6">
        <v>120</v>
      </c>
      <c r="V70" s="6">
        <v>16</v>
      </c>
      <c r="X70" s="9" t="s">
        <v>41</v>
      </c>
      <c r="Y70" s="6">
        <v>140</v>
      </c>
      <c r="AB70" t="s">
        <v>1994</v>
      </c>
    </row>
    <row r="71" spans="2:28">
      <c r="B71" s="10" t="s">
        <v>3613</v>
      </c>
      <c r="D71" s="7">
        <v>43850</v>
      </c>
      <c r="O71" s="10">
        <v>160</v>
      </c>
      <c r="P71" s="6">
        <v>60</v>
      </c>
      <c r="Q71" s="9" t="s">
        <v>207</v>
      </c>
      <c r="R71" t="s">
        <v>297</v>
      </c>
      <c r="T71" s="9">
        <v>130</v>
      </c>
      <c r="U71" s="6">
        <v>130</v>
      </c>
      <c r="V71" s="6">
        <v>20</v>
      </c>
      <c r="X71" s="9" t="s">
        <v>41</v>
      </c>
      <c r="Y71" s="6"/>
      <c r="AB71" t="s">
        <v>1994</v>
      </c>
    </row>
    <row r="72" spans="2:28">
      <c r="B72" s="10" t="s">
        <v>3619</v>
      </c>
      <c r="D72" s="7">
        <v>43850</v>
      </c>
      <c r="O72" s="10">
        <v>150</v>
      </c>
      <c r="P72" s="6">
        <v>44</v>
      </c>
      <c r="Q72" s="9" t="s">
        <v>207</v>
      </c>
      <c r="R72" t="s">
        <v>297</v>
      </c>
      <c r="T72" s="9">
        <v>100</v>
      </c>
      <c r="U72" s="6">
        <v>100</v>
      </c>
      <c r="V72" s="6">
        <v>32</v>
      </c>
      <c r="X72" s="9" t="s">
        <v>41</v>
      </c>
      <c r="Y72" s="6"/>
      <c r="AB72" t="s">
        <v>1994</v>
      </c>
    </row>
    <row r="73" spans="2:28">
      <c r="B73" s="10" t="s">
        <v>3623</v>
      </c>
      <c r="D73" s="7">
        <v>43850</v>
      </c>
      <c r="O73" s="10">
        <v>155</v>
      </c>
      <c r="P73" s="6">
        <v>62</v>
      </c>
      <c r="Q73" s="9" t="s">
        <v>207</v>
      </c>
      <c r="R73" t="s">
        <v>297</v>
      </c>
      <c r="T73" s="9">
        <v>100</v>
      </c>
      <c r="U73" s="6">
        <v>100</v>
      </c>
      <c r="V73" s="6">
        <v>14</v>
      </c>
      <c r="X73" s="9" t="s">
        <v>41</v>
      </c>
      <c r="Y73" s="6"/>
      <c r="AB73" t="s">
        <v>1994</v>
      </c>
    </row>
    <row r="74" spans="2:28">
      <c r="B74" s="10" t="s">
        <v>3626</v>
      </c>
      <c r="D74" s="7">
        <v>43850</v>
      </c>
      <c r="O74" s="10">
        <v>155</v>
      </c>
      <c r="P74" s="6">
        <v>55</v>
      </c>
      <c r="Q74" s="9" t="s">
        <v>207</v>
      </c>
      <c r="R74" t="s">
        <v>297</v>
      </c>
      <c r="T74" s="9">
        <v>110</v>
      </c>
      <c r="U74" s="6">
        <v>110</v>
      </c>
      <c r="V74" s="6">
        <v>14</v>
      </c>
      <c r="X74" s="9" t="s">
        <v>41</v>
      </c>
      <c r="Y74" s="6"/>
      <c r="AB74" t="s">
        <v>1994</v>
      </c>
    </row>
    <row r="75" spans="2:28">
      <c r="B75" s="10" t="s">
        <v>3626</v>
      </c>
      <c r="D75" s="7">
        <v>43773</v>
      </c>
      <c r="O75" s="10">
        <v>155</v>
      </c>
      <c r="P75" s="6">
        <v>60</v>
      </c>
      <c r="Q75" s="9" t="s">
        <v>207</v>
      </c>
      <c r="R75" t="s">
        <v>297</v>
      </c>
      <c r="T75" s="9">
        <v>120</v>
      </c>
      <c r="U75" s="6">
        <v>120</v>
      </c>
      <c r="V75" s="6">
        <v>32</v>
      </c>
      <c r="X75" s="9" t="s">
        <v>41</v>
      </c>
      <c r="Y75" s="6"/>
      <c r="AB75" t="s">
        <v>1994</v>
      </c>
    </row>
    <row r="76" spans="2:28">
      <c r="B76" s="10" t="s">
        <v>3629</v>
      </c>
      <c r="D76" s="7">
        <v>43850</v>
      </c>
      <c r="O76" s="10">
        <v>160</v>
      </c>
      <c r="P76" s="6">
        <v>40</v>
      </c>
      <c r="Q76" s="9" t="s">
        <v>207</v>
      </c>
      <c r="R76" t="s">
        <v>297</v>
      </c>
      <c r="T76" s="9">
        <v>110</v>
      </c>
      <c r="U76" s="6">
        <v>110</v>
      </c>
      <c r="V76" s="6">
        <v>14</v>
      </c>
      <c r="X76" s="9" t="s">
        <v>41</v>
      </c>
      <c r="Y76" s="6"/>
      <c r="AB76" t="s">
        <v>1994</v>
      </c>
    </row>
    <row r="77" spans="2:28">
      <c r="B77" s="10" t="s">
        <v>3629</v>
      </c>
      <c r="D77" s="7">
        <v>43850</v>
      </c>
      <c r="O77" s="10">
        <v>160</v>
      </c>
      <c r="P77" s="6">
        <v>45</v>
      </c>
      <c r="Q77" s="9" t="s">
        <v>207</v>
      </c>
      <c r="R77" t="s">
        <v>297</v>
      </c>
      <c r="T77" s="9">
        <v>110</v>
      </c>
      <c r="U77" s="6">
        <v>110</v>
      </c>
      <c r="V77" s="6">
        <v>18</v>
      </c>
      <c r="X77" s="9" t="s">
        <v>41</v>
      </c>
      <c r="Y77" s="6"/>
      <c r="AB77" t="s">
        <v>1994</v>
      </c>
    </row>
    <row r="78" spans="2:28">
      <c r="B78" s="10" t="s">
        <v>3629</v>
      </c>
      <c r="D78" s="7">
        <v>43790</v>
      </c>
      <c r="O78" s="10">
        <v>160</v>
      </c>
      <c r="P78" s="6">
        <v>47</v>
      </c>
      <c r="Q78" s="9" t="s">
        <v>207</v>
      </c>
      <c r="R78" t="s">
        <v>297</v>
      </c>
      <c r="T78" s="9">
        <v>100</v>
      </c>
      <c r="U78" s="6">
        <v>100</v>
      </c>
      <c r="V78" s="6">
        <v>25</v>
      </c>
      <c r="X78" s="9" t="s">
        <v>41</v>
      </c>
      <c r="Y78" s="6">
        <v>140</v>
      </c>
      <c r="AB78" t="s">
        <v>1994</v>
      </c>
    </row>
    <row r="79" spans="2:28">
      <c r="B79" s="10" t="s">
        <v>3629</v>
      </c>
      <c r="D79" s="7">
        <v>43850</v>
      </c>
      <c r="O79" s="10">
        <v>160</v>
      </c>
      <c r="P79" s="6">
        <v>53</v>
      </c>
      <c r="Q79" s="9" t="s">
        <v>207</v>
      </c>
      <c r="R79" t="s">
        <v>297</v>
      </c>
      <c r="T79" s="9">
        <v>100</v>
      </c>
      <c r="U79" s="6">
        <v>100</v>
      </c>
      <c r="V79" s="6">
        <v>28</v>
      </c>
      <c r="X79" s="9" t="s">
        <v>41</v>
      </c>
      <c r="Y79" s="6">
        <v>140</v>
      </c>
      <c r="AB79" t="s">
        <v>1994</v>
      </c>
    </row>
    <row r="80" spans="2:28">
      <c r="B80" s="10" t="s">
        <v>3629</v>
      </c>
      <c r="D80" s="7">
        <v>43850</v>
      </c>
      <c r="O80" s="10">
        <v>160</v>
      </c>
      <c r="P80" s="6">
        <v>55</v>
      </c>
      <c r="Q80" s="9" t="s">
        <v>207</v>
      </c>
      <c r="R80" t="s">
        <v>297</v>
      </c>
      <c r="T80" s="9">
        <v>100</v>
      </c>
      <c r="U80" s="6">
        <v>100</v>
      </c>
      <c r="V80" s="6">
        <v>37</v>
      </c>
      <c r="X80" s="9" t="s">
        <v>41</v>
      </c>
      <c r="Y80" s="6">
        <v>140</v>
      </c>
      <c r="AB80" t="s">
        <v>1994</v>
      </c>
    </row>
    <row r="81" spans="2:28">
      <c r="B81" s="10" t="s">
        <v>3632</v>
      </c>
      <c r="D81" s="7">
        <v>43713</v>
      </c>
      <c r="O81" s="10">
        <v>152</v>
      </c>
      <c r="P81" s="6">
        <v>41</v>
      </c>
      <c r="Q81" s="9" t="s">
        <v>207</v>
      </c>
      <c r="R81" t="s">
        <v>297</v>
      </c>
      <c r="T81" s="9">
        <v>110</v>
      </c>
      <c r="U81" s="6">
        <v>110</v>
      </c>
      <c r="V81" s="6">
        <v>18</v>
      </c>
      <c r="X81" s="9" t="s">
        <v>41</v>
      </c>
      <c r="Y81" s="6"/>
      <c r="AB81" t="s">
        <v>1994</v>
      </c>
    </row>
    <row r="82" spans="2:28">
      <c r="B82" s="10" t="s">
        <v>3636</v>
      </c>
      <c r="D82" s="7">
        <v>43762</v>
      </c>
      <c r="O82" s="10">
        <v>155</v>
      </c>
      <c r="P82" s="6">
        <v>60</v>
      </c>
      <c r="Q82" s="9" t="s">
        <v>207</v>
      </c>
      <c r="R82" t="s">
        <v>297</v>
      </c>
      <c r="T82" s="9">
        <v>110</v>
      </c>
      <c r="U82" s="6">
        <v>110</v>
      </c>
      <c r="V82" s="6">
        <v>20</v>
      </c>
      <c r="X82" s="9" t="s">
        <v>41</v>
      </c>
      <c r="Y82" s="6"/>
      <c r="AB82" t="s">
        <v>1994</v>
      </c>
    </row>
    <row r="83" spans="2:28">
      <c r="B83" s="10" t="s">
        <v>3640</v>
      </c>
      <c r="D83" s="7">
        <v>43825</v>
      </c>
      <c r="O83" s="10">
        <v>150</v>
      </c>
      <c r="P83" s="6">
        <v>50</v>
      </c>
      <c r="Q83" s="9" t="s">
        <v>207</v>
      </c>
      <c r="R83" t="s">
        <v>297</v>
      </c>
      <c r="T83" s="9">
        <v>120</v>
      </c>
      <c r="U83" s="6">
        <v>120</v>
      </c>
      <c r="V83" s="6">
        <v>12</v>
      </c>
      <c r="X83" s="9" t="s">
        <v>41</v>
      </c>
      <c r="Y83" s="6"/>
      <c r="AB83" t="s">
        <v>1994</v>
      </c>
    </row>
    <row r="84" spans="2:28">
      <c r="B84" s="10" t="s">
        <v>3640</v>
      </c>
      <c r="D84" s="7">
        <v>43850</v>
      </c>
      <c r="O84" s="10">
        <v>150</v>
      </c>
      <c r="P84" s="6">
        <v>52</v>
      </c>
      <c r="Q84" s="9" t="s">
        <v>207</v>
      </c>
      <c r="R84" t="s">
        <v>297</v>
      </c>
      <c r="T84" s="9">
        <v>120</v>
      </c>
      <c r="U84" s="6">
        <v>120</v>
      </c>
      <c r="V84" s="6">
        <v>18</v>
      </c>
      <c r="X84" s="9" t="s">
        <v>41</v>
      </c>
      <c r="Y84" s="6"/>
      <c r="AB84" t="s">
        <v>1994</v>
      </c>
    </row>
    <row r="85" spans="2:28">
      <c r="B85" s="10" t="s">
        <v>3643</v>
      </c>
      <c r="D85" s="7">
        <v>43671</v>
      </c>
      <c r="O85" s="10">
        <v>145</v>
      </c>
      <c r="P85" s="6">
        <v>50</v>
      </c>
      <c r="Q85" s="9" t="s">
        <v>207</v>
      </c>
      <c r="R85" t="s">
        <v>297</v>
      </c>
      <c r="T85" s="9">
        <v>120</v>
      </c>
      <c r="U85" s="6">
        <v>120</v>
      </c>
      <c r="V85" s="6">
        <v>22</v>
      </c>
      <c r="X85" s="9" t="s">
        <v>41</v>
      </c>
      <c r="Y85" s="6"/>
      <c r="AB85" t="s">
        <v>1994</v>
      </c>
    </row>
    <row r="86" spans="2:28">
      <c r="B86" s="10" t="s">
        <v>3643</v>
      </c>
      <c r="D86" s="7">
        <v>43763</v>
      </c>
      <c r="O86" s="10">
        <v>145</v>
      </c>
      <c r="P86" s="6">
        <v>57</v>
      </c>
      <c r="Q86" s="9" t="s">
        <v>207</v>
      </c>
      <c r="R86" t="s">
        <v>297</v>
      </c>
      <c r="T86" s="9">
        <v>110</v>
      </c>
      <c r="U86" s="6">
        <v>110</v>
      </c>
      <c r="V86" s="6">
        <v>32</v>
      </c>
      <c r="X86" s="9" t="s">
        <v>41</v>
      </c>
      <c r="Y86" s="6">
        <v>140</v>
      </c>
      <c r="AB86" t="s">
        <v>1994</v>
      </c>
    </row>
    <row r="87" spans="2:28">
      <c r="B87" s="10" t="s">
        <v>3643</v>
      </c>
      <c r="D87" s="7">
        <v>43818</v>
      </c>
      <c r="O87" s="10">
        <v>145</v>
      </c>
      <c r="P87" s="6">
        <v>55</v>
      </c>
      <c r="Q87" s="9" t="s">
        <v>207</v>
      </c>
      <c r="R87" t="s">
        <v>297</v>
      </c>
      <c r="T87" s="9">
        <v>120</v>
      </c>
      <c r="U87" s="6">
        <v>120</v>
      </c>
      <c r="V87" s="6">
        <v>31</v>
      </c>
      <c r="X87" s="9" t="s">
        <v>41</v>
      </c>
      <c r="Y87" s="6">
        <v>140</v>
      </c>
      <c r="AB87" t="s">
        <v>1994</v>
      </c>
    </row>
    <row r="88" spans="2:28">
      <c r="B88" s="10" t="s">
        <v>3643</v>
      </c>
      <c r="D88" s="7">
        <v>43850</v>
      </c>
      <c r="O88" s="10">
        <v>145</v>
      </c>
      <c r="P88" s="6">
        <v>60</v>
      </c>
      <c r="Q88" s="9" t="s">
        <v>207</v>
      </c>
      <c r="R88" t="s">
        <v>297</v>
      </c>
      <c r="T88" s="9">
        <v>120</v>
      </c>
      <c r="U88" s="6">
        <v>120</v>
      </c>
      <c r="V88" s="6">
        <v>34</v>
      </c>
      <c r="X88" s="9" t="s">
        <v>41</v>
      </c>
      <c r="Y88" s="6">
        <v>140</v>
      </c>
      <c r="AB88" t="s">
        <v>1994</v>
      </c>
    </row>
    <row r="89" spans="2:28">
      <c r="B89" s="10" t="s">
        <v>3648</v>
      </c>
      <c r="D89" s="7">
        <v>43717</v>
      </c>
      <c r="O89" s="10">
        <v>160</v>
      </c>
      <c r="P89" s="6">
        <v>55</v>
      </c>
      <c r="Q89" s="9" t="s">
        <v>207</v>
      </c>
      <c r="R89" t="s">
        <v>297</v>
      </c>
      <c r="T89" s="9">
        <v>100</v>
      </c>
      <c r="U89" s="6">
        <v>100</v>
      </c>
      <c r="V89" s="6">
        <v>13</v>
      </c>
      <c r="X89" s="9" t="s">
        <v>41</v>
      </c>
      <c r="Y89" s="6"/>
      <c r="AB89" t="s">
        <v>1994</v>
      </c>
    </row>
    <row r="90" spans="2:28">
      <c r="B90" s="10" t="s">
        <v>3651</v>
      </c>
      <c r="D90" s="7">
        <v>43752</v>
      </c>
      <c r="O90" s="10">
        <v>160</v>
      </c>
      <c r="P90" s="6">
        <v>73</v>
      </c>
      <c r="Q90" s="9" t="s">
        <v>207</v>
      </c>
      <c r="R90" t="s">
        <v>297</v>
      </c>
      <c r="T90" s="9">
        <v>140</v>
      </c>
      <c r="U90" s="6">
        <v>140</v>
      </c>
      <c r="V90" s="6">
        <v>14</v>
      </c>
      <c r="X90" s="9" t="s">
        <v>41</v>
      </c>
      <c r="Y90" s="6"/>
      <c r="AB90" t="s">
        <v>1994</v>
      </c>
    </row>
    <row r="91" spans="2:28">
      <c r="B91" s="10" t="s">
        <v>3654</v>
      </c>
      <c r="D91" s="7">
        <v>43850</v>
      </c>
      <c r="O91" s="10">
        <v>150</v>
      </c>
      <c r="P91" s="6">
        <v>49</v>
      </c>
      <c r="Q91" s="9" t="s">
        <v>207</v>
      </c>
      <c r="R91" t="s">
        <v>297</v>
      </c>
      <c r="T91" s="9">
        <v>110</v>
      </c>
      <c r="U91" s="6">
        <v>110</v>
      </c>
      <c r="V91" s="6">
        <v>14</v>
      </c>
      <c r="X91" s="9" t="s">
        <v>41</v>
      </c>
      <c r="Y91" s="6"/>
      <c r="AB91" t="s">
        <v>1994</v>
      </c>
    </row>
    <row r="92" spans="2:28">
      <c r="B92" s="10" t="s">
        <v>3654</v>
      </c>
      <c r="D92" s="7">
        <v>43850</v>
      </c>
      <c r="O92" s="10">
        <v>150</v>
      </c>
      <c r="P92" s="6">
        <v>50</v>
      </c>
      <c r="Q92" s="9" t="s">
        <v>207</v>
      </c>
      <c r="R92" t="s">
        <v>297</v>
      </c>
      <c r="T92" s="9">
        <v>100</v>
      </c>
      <c r="U92" s="6">
        <v>100</v>
      </c>
      <c r="V92" s="6">
        <v>20</v>
      </c>
      <c r="X92" s="9" t="s">
        <v>41</v>
      </c>
      <c r="Y92" s="6"/>
      <c r="AB92" t="s">
        <v>1994</v>
      </c>
    </row>
    <row r="93" spans="2:28">
      <c r="B93" s="10" t="s">
        <v>3657</v>
      </c>
      <c r="D93" s="7">
        <v>43818</v>
      </c>
      <c r="O93" s="10">
        <v>150</v>
      </c>
      <c r="P93" s="6">
        <v>40</v>
      </c>
      <c r="Q93" s="9" t="s">
        <v>207</v>
      </c>
      <c r="R93" t="s">
        <v>297</v>
      </c>
      <c r="T93" s="9">
        <v>120</v>
      </c>
      <c r="U93" s="6">
        <v>120</v>
      </c>
      <c r="V93" s="6">
        <v>12</v>
      </c>
      <c r="X93" s="9" t="s">
        <v>41</v>
      </c>
      <c r="Y93" s="6"/>
      <c r="AB93" t="s">
        <v>1994</v>
      </c>
    </row>
    <row r="94" spans="2:28">
      <c r="B94" s="10" t="s">
        <v>3657</v>
      </c>
      <c r="D94" s="7">
        <v>43850</v>
      </c>
      <c r="O94" s="10">
        <v>150</v>
      </c>
      <c r="P94" s="6">
        <v>40</v>
      </c>
      <c r="Q94" s="9" t="s">
        <v>207</v>
      </c>
      <c r="R94" t="s">
        <v>297</v>
      </c>
      <c r="T94" s="9">
        <v>100</v>
      </c>
      <c r="U94" s="6">
        <v>100</v>
      </c>
      <c r="V94" s="6">
        <v>34</v>
      </c>
      <c r="X94" s="9" t="s">
        <v>41</v>
      </c>
      <c r="Y94" s="6"/>
      <c r="AB94" t="s">
        <v>1994</v>
      </c>
    </row>
    <row r="95" spans="2:28">
      <c r="B95" s="10" t="s">
        <v>3657</v>
      </c>
      <c r="D95" s="7">
        <v>43850</v>
      </c>
      <c r="O95" s="10">
        <v>150</v>
      </c>
      <c r="P95" s="6">
        <v>42</v>
      </c>
      <c r="Q95" s="9" t="s">
        <v>207</v>
      </c>
      <c r="R95" t="s">
        <v>297</v>
      </c>
      <c r="T95" s="9">
        <v>100</v>
      </c>
      <c r="U95" s="6">
        <v>100</v>
      </c>
      <c r="V95" s="6">
        <v>34</v>
      </c>
      <c r="X95" s="9" t="s">
        <v>41</v>
      </c>
      <c r="Y95" s="6">
        <v>140</v>
      </c>
      <c r="AB95" t="s">
        <v>1994</v>
      </c>
    </row>
    <row r="96" spans="2:28">
      <c r="B96" s="10" t="s">
        <v>3657</v>
      </c>
      <c r="D96" s="7">
        <v>43850</v>
      </c>
      <c r="O96" s="10">
        <v>150</v>
      </c>
      <c r="P96" s="6">
        <v>45</v>
      </c>
      <c r="Q96" s="9" t="s">
        <v>207</v>
      </c>
      <c r="R96" t="s">
        <v>297</v>
      </c>
      <c r="T96" s="9">
        <v>120</v>
      </c>
      <c r="U96" s="6">
        <v>120</v>
      </c>
      <c r="V96" s="6">
        <v>36</v>
      </c>
      <c r="X96" s="9" t="s">
        <v>41</v>
      </c>
      <c r="Y96" s="6">
        <v>140</v>
      </c>
      <c r="AB96" t="s">
        <v>1994</v>
      </c>
    </row>
    <row r="97" spans="2:28">
      <c r="B97" s="10" t="s">
        <v>3660</v>
      </c>
      <c r="D97" s="7">
        <v>43780</v>
      </c>
      <c r="O97" s="10">
        <v>160</v>
      </c>
      <c r="P97" s="6">
        <v>74</v>
      </c>
      <c r="Q97" s="9" t="s">
        <v>207</v>
      </c>
      <c r="R97" t="s">
        <v>297</v>
      </c>
      <c r="T97" s="9">
        <v>120</v>
      </c>
      <c r="U97" s="6">
        <v>120</v>
      </c>
      <c r="V97" s="6">
        <v>12</v>
      </c>
      <c r="X97" s="9" t="s">
        <v>41</v>
      </c>
      <c r="Y97" s="6"/>
      <c r="AB97" t="s">
        <v>1994</v>
      </c>
    </row>
    <row r="98" spans="2:28">
      <c r="B98" s="10" t="s">
        <v>3660</v>
      </c>
      <c r="D98" s="7">
        <v>43850</v>
      </c>
      <c r="O98" s="10">
        <v>160</v>
      </c>
      <c r="P98" s="6">
        <v>74</v>
      </c>
      <c r="Q98" s="9" t="s">
        <v>207</v>
      </c>
      <c r="R98" t="s">
        <v>297</v>
      </c>
      <c r="T98" s="9">
        <v>120</v>
      </c>
      <c r="U98" s="6">
        <v>120</v>
      </c>
      <c r="V98" s="6">
        <v>14</v>
      </c>
      <c r="X98" s="9" t="s">
        <v>41</v>
      </c>
      <c r="Y98" s="6">
        <v>140</v>
      </c>
      <c r="AB98" t="s">
        <v>1994</v>
      </c>
    </row>
    <row r="99" spans="2:28">
      <c r="B99" s="10" t="s">
        <v>3660</v>
      </c>
      <c r="D99" s="7">
        <v>43685</v>
      </c>
      <c r="O99" s="10">
        <v>160</v>
      </c>
      <c r="P99" s="6">
        <v>67</v>
      </c>
      <c r="Q99" s="9" t="s">
        <v>207</v>
      </c>
      <c r="R99" t="s">
        <v>297</v>
      </c>
      <c r="T99" s="9">
        <v>110</v>
      </c>
      <c r="U99" s="6">
        <v>110</v>
      </c>
      <c r="V99" s="6">
        <v>24</v>
      </c>
      <c r="X99" s="9" t="s">
        <v>41</v>
      </c>
      <c r="Y99" s="6">
        <v>140</v>
      </c>
      <c r="AB99" t="s">
        <v>1994</v>
      </c>
    </row>
    <row r="100" spans="2:28">
      <c r="B100" s="10" t="s">
        <v>3660</v>
      </c>
      <c r="D100" s="7">
        <v>43717</v>
      </c>
      <c r="O100" s="10">
        <v>160</v>
      </c>
      <c r="P100" s="6">
        <v>76</v>
      </c>
      <c r="Q100" s="9" t="s">
        <v>207</v>
      </c>
      <c r="R100" t="s">
        <v>297</v>
      </c>
      <c r="T100" s="9">
        <v>100</v>
      </c>
      <c r="U100" s="6">
        <v>100</v>
      </c>
      <c r="V100" s="6">
        <v>36</v>
      </c>
      <c r="X100" s="9" t="s">
        <v>41</v>
      </c>
      <c r="Y100" s="6">
        <v>140</v>
      </c>
      <c r="AB100" t="s">
        <v>1994</v>
      </c>
    </row>
    <row r="101" spans="2:28">
      <c r="B101" s="10" t="s">
        <v>3665</v>
      </c>
      <c r="D101" s="7">
        <v>43769</v>
      </c>
      <c r="O101" s="10">
        <v>165</v>
      </c>
      <c r="P101" s="6">
        <v>65</v>
      </c>
      <c r="Q101" s="9" t="s">
        <v>207</v>
      </c>
      <c r="R101" t="s">
        <v>297</v>
      </c>
      <c r="T101" s="9">
        <v>100</v>
      </c>
      <c r="U101" s="6">
        <v>100</v>
      </c>
      <c r="V101" s="6">
        <v>32</v>
      </c>
      <c r="X101" s="9" t="s">
        <v>41</v>
      </c>
      <c r="Y101" s="6">
        <v>140</v>
      </c>
      <c r="AB101" t="s">
        <v>1994</v>
      </c>
    </row>
    <row r="102" spans="2:28">
      <c r="B102" s="10" t="s">
        <v>3665</v>
      </c>
      <c r="D102" s="7">
        <v>43822</v>
      </c>
      <c r="O102" s="10">
        <v>165</v>
      </c>
      <c r="P102" s="6">
        <v>69</v>
      </c>
      <c r="Q102" s="9" t="s">
        <v>207</v>
      </c>
      <c r="R102" t="s">
        <v>297</v>
      </c>
      <c r="T102" s="9">
        <v>100</v>
      </c>
      <c r="U102" s="6">
        <v>100</v>
      </c>
      <c r="V102" s="6">
        <v>40</v>
      </c>
      <c r="X102" s="9" t="s">
        <v>41</v>
      </c>
      <c r="Y102" s="6">
        <v>140</v>
      </c>
      <c r="AB102" t="s">
        <v>1994</v>
      </c>
    </row>
    <row r="103" spans="2:28">
      <c r="B103" s="10" t="s">
        <v>3665</v>
      </c>
      <c r="D103" s="7">
        <v>43850</v>
      </c>
      <c r="O103" s="10">
        <v>165</v>
      </c>
      <c r="P103" s="6">
        <v>73</v>
      </c>
      <c r="Q103" s="9" t="s">
        <v>207</v>
      </c>
      <c r="R103" t="s">
        <v>297</v>
      </c>
      <c r="T103" s="9">
        <v>90</v>
      </c>
      <c r="U103" s="6">
        <v>90</v>
      </c>
      <c r="V103" s="6">
        <v>36</v>
      </c>
      <c r="X103" s="9" t="s">
        <v>41</v>
      </c>
      <c r="Y103" s="6">
        <v>140</v>
      </c>
      <c r="AB103" t="s">
        <v>1994</v>
      </c>
    </row>
    <row r="104" spans="2:28">
      <c r="B104" s="10" t="s">
        <v>3669</v>
      </c>
      <c r="D104" s="7">
        <v>43850</v>
      </c>
      <c r="O104" s="10">
        <v>155</v>
      </c>
      <c r="P104" s="6">
        <v>58</v>
      </c>
      <c r="Q104" s="9" t="s">
        <v>207</v>
      </c>
      <c r="R104" t="s">
        <v>297</v>
      </c>
      <c r="T104" s="9">
        <v>100</v>
      </c>
      <c r="U104" s="6">
        <v>100</v>
      </c>
      <c r="V104" s="6">
        <v>14</v>
      </c>
      <c r="X104" s="9" t="s">
        <v>41</v>
      </c>
      <c r="Y104" s="6"/>
      <c r="AB104" t="s">
        <v>1994</v>
      </c>
    </row>
    <row r="105" spans="2:28">
      <c r="B105" s="10" t="s">
        <v>3669</v>
      </c>
      <c r="D105" s="7">
        <v>43850</v>
      </c>
      <c r="O105" s="10">
        <v>155</v>
      </c>
      <c r="P105" s="6">
        <v>65</v>
      </c>
      <c r="Q105" s="9" t="s">
        <v>207</v>
      </c>
      <c r="R105" t="s">
        <v>297</v>
      </c>
      <c r="T105" s="9">
        <v>100</v>
      </c>
      <c r="U105" s="6">
        <v>100</v>
      </c>
      <c r="V105" s="6">
        <v>26</v>
      </c>
      <c r="X105" s="9" t="s">
        <v>41</v>
      </c>
      <c r="Y105" s="6">
        <v>140</v>
      </c>
      <c r="AB105" t="s">
        <v>1994</v>
      </c>
    </row>
    <row r="106" spans="2:28">
      <c r="B106" s="10" t="s">
        <v>3672</v>
      </c>
      <c r="D106" s="7">
        <v>43815</v>
      </c>
      <c r="O106" s="10">
        <v>155</v>
      </c>
      <c r="P106" s="6">
        <v>42</v>
      </c>
      <c r="Q106" s="9" t="s">
        <v>207</v>
      </c>
      <c r="R106" t="s">
        <v>297</v>
      </c>
      <c r="T106" s="9">
        <v>100</v>
      </c>
      <c r="U106" s="6">
        <v>100</v>
      </c>
      <c r="V106" s="6">
        <v>14</v>
      </c>
      <c r="X106" s="9" t="s">
        <v>41</v>
      </c>
      <c r="Y106" s="6"/>
      <c r="AB106" t="s">
        <v>1994</v>
      </c>
    </row>
    <row r="107" spans="2:28">
      <c r="B107" s="10" t="s">
        <v>3680</v>
      </c>
      <c r="D107" s="7">
        <v>43850</v>
      </c>
      <c r="O107" s="10">
        <v>150</v>
      </c>
      <c r="P107" s="6">
        <v>44</v>
      </c>
      <c r="Q107" s="9" t="s">
        <v>207</v>
      </c>
      <c r="R107" t="s">
        <v>297</v>
      </c>
      <c r="T107" s="9">
        <v>120</v>
      </c>
      <c r="U107" s="6">
        <v>120</v>
      </c>
      <c r="V107" s="6">
        <v>14</v>
      </c>
      <c r="X107" s="9" t="s">
        <v>41</v>
      </c>
      <c r="Y107" s="6"/>
      <c r="AB107" t="s">
        <v>1994</v>
      </c>
    </row>
    <row r="108" spans="2:28">
      <c r="B108" s="10" t="s">
        <v>3680</v>
      </c>
      <c r="D108" s="7">
        <v>43752</v>
      </c>
      <c r="O108" s="10">
        <v>150</v>
      </c>
      <c r="P108" s="6">
        <v>46</v>
      </c>
      <c r="Q108" s="9" t="s">
        <v>207</v>
      </c>
      <c r="R108" t="s">
        <v>297</v>
      </c>
      <c r="T108" s="9">
        <v>90</v>
      </c>
      <c r="U108" s="6">
        <v>90</v>
      </c>
      <c r="V108" s="6">
        <v>18</v>
      </c>
      <c r="X108" s="9" t="s">
        <v>41</v>
      </c>
      <c r="Y108" s="6"/>
      <c r="AB108" t="s">
        <v>1994</v>
      </c>
    </row>
    <row r="109" spans="2:28">
      <c r="B109" s="10" t="s">
        <v>3680</v>
      </c>
      <c r="D109" s="7">
        <v>43787</v>
      </c>
      <c r="O109" s="10">
        <v>150</v>
      </c>
      <c r="P109" s="6">
        <v>50</v>
      </c>
      <c r="Q109" s="9" t="s">
        <v>207</v>
      </c>
      <c r="R109" t="s">
        <v>297</v>
      </c>
      <c r="T109" s="9">
        <v>100</v>
      </c>
      <c r="U109" s="6">
        <v>100</v>
      </c>
      <c r="V109" s="6">
        <v>20</v>
      </c>
      <c r="X109" s="9" t="s">
        <v>41</v>
      </c>
      <c r="Y109" s="6">
        <v>140</v>
      </c>
      <c r="AB109" t="s">
        <v>1994</v>
      </c>
    </row>
    <row r="110" spans="2:28">
      <c r="B110" s="10" t="s">
        <v>3680</v>
      </c>
      <c r="D110" s="7">
        <v>43818</v>
      </c>
      <c r="O110" s="10">
        <v>150</v>
      </c>
      <c r="P110" s="6">
        <v>60</v>
      </c>
      <c r="Q110" s="9" t="s">
        <v>207</v>
      </c>
      <c r="R110" t="s">
        <v>297</v>
      </c>
      <c r="T110" s="9">
        <v>120</v>
      </c>
      <c r="U110" s="6">
        <v>120</v>
      </c>
      <c r="V110" s="6">
        <v>32</v>
      </c>
      <c r="X110" s="9" t="s">
        <v>41</v>
      </c>
      <c r="Y110" s="6">
        <v>140</v>
      </c>
      <c r="AB110" t="s">
        <v>1994</v>
      </c>
    </row>
    <row r="111" spans="2:28">
      <c r="B111" s="10" t="s">
        <v>3681</v>
      </c>
      <c r="D111" s="7">
        <v>43850</v>
      </c>
      <c r="O111" s="10">
        <v>160</v>
      </c>
      <c r="P111" s="6">
        <v>45</v>
      </c>
      <c r="Q111" s="9" t="s">
        <v>207</v>
      </c>
      <c r="R111" t="s">
        <v>297</v>
      </c>
      <c r="T111" s="9">
        <v>100</v>
      </c>
      <c r="U111" s="6">
        <v>100</v>
      </c>
      <c r="V111" s="6">
        <v>14</v>
      </c>
      <c r="X111" s="9" t="s">
        <v>41</v>
      </c>
      <c r="Y111" s="6"/>
      <c r="AB111" t="s">
        <v>1994</v>
      </c>
    </row>
    <row r="112" spans="2:28">
      <c r="B112" s="10" t="s">
        <v>3681</v>
      </c>
      <c r="D112" s="7">
        <v>43850</v>
      </c>
      <c r="O112" s="10">
        <v>160</v>
      </c>
      <c r="P112" s="6">
        <v>47</v>
      </c>
      <c r="Q112" s="9" t="s">
        <v>1994</v>
      </c>
      <c r="R112" t="s">
        <v>297</v>
      </c>
      <c r="T112" s="9">
        <v>100</v>
      </c>
      <c r="U112" s="6">
        <v>100</v>
      </c>
      <c r="V112" s="6">
        <v>14</v>
      </c>
      <c r="X112" s="9" t="s">
        <v>41</v>
      </c>
      <c r="Y112" s="6"/>
      <c r="AB112" t="s">
        <v>1994</v>
      </c>
    </row>
    <row r="113" spans="2:28">
      <c r="B113" s="10" t="s">
        <v>3681</v>
      </c>
      <c r="D113" s="7">
        <v>43850</v>
      </c>
      <c r="O113" s="10">
        <v>160</v>
      </c>
      <c r="P113" s="6">
        <v>50</v>
      </c>
      <c r="Q113" s="9" t="s">
        <v>207</v>
      </c>
      <c r="R113" t="s">
        <v>297</v>
      </c>
      <c r="T113" s="9">
        <v>100</v>
      </c>
      <c r="U113" s="6">
        <v>100</v>
      </c>
      <c r="V113" s="6">
        <v>20</v>
      </c>
      <c r="X113" s="9" t="s">
        <v>41</v>
      </c>
      <c r="Y113" s="6">
        <v>140</v>
      </c>
      <c r="AB113" t="s">
        <v>1994</v>
      </c>
    </row>
    <row r="114" spans="2:28">
      <c r="B114" s="10" t="s">
        <v>3681</v>
      </c>
      <c r="D114" s="7">
        <v>43818</v>
      </c>
      <c r="O114" s="10">
        <v>160</v>
      </c>
      <c r="P114" s="6">
        <v>56</v>
      </c>
      <c r="Q114" s="9" t="s">
        <v>207</v>
      </c>
      <c r="R114" t="s">
        <v>297</v>
      </c>
      <c r="T114" s="9">
        <v>110</v>
      </c>
      <c r="U114" s="6">
        <v>110</v>
      </c>
      <c r="V114" s="6">
        <v>26</v>
      </c>
      <c r="X114" s="9" t="s">
        <v>41</v>
      </c>
      <c r="Y114" s="6">
        <v>140</v>
      </c>
      <c r="AB114" t="s">
        <v>1994</v>
      </c>
    </row>
    <row r="115" spans="2:28">
      <c r="B115" s="10" t="s">
        <v>3681</v>
      </c>
      <c r="D115" s="7">
        <v>43850</v>
      </c>
      <c r="O115" s="10">
        <v>160</v>
      </c>
      <c r="P115" s="6">
        <v>60</v>
      </c>
      <c r="Q115" s="9" t="s">
        <v>207</v>
      </c>
      <c r="R115" t="s">
        <v>297</v>
      </c>
      <c r="T115" s="9">
        <v>100</v>
      </c>
      <c r="U115" s="6">
        <v>100</v>
      </c>
      <c r="V115" s="6">
        <v>36</v>
      </c>
      <c r="X115" s="9" t="s">
        <v>41</v>
      </c>
      <c r="Y115" s="6">
        <v>140</v>
      </c>
      <c r="AB115" t="s">
        <v>1994</v>
      </c>
    </row>
  </sheetData>
  <mergeCells count="4">
    <mergeCell ref="E1:M1"/>
    <mergeCell ref="N1:AB1"/>
    <mergeCell ref="AC1:AR1"/>
    <mergeCell ref="AS1:BO1"/>
  </mergeCells>
  <dataValidations count="67">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_KTjz8yB6iCs"</formula1>
    </dataValidation>
    <dataValidation type="custom" showErrorMessage="1" error="This cell cannot be changed" sqref="F2">
      <formula1>"F2 &lt;&gt; _XFZH0oeDiWB"</formula1>
    </dataValidation>
    <dataValidation type="custom" showErrorMessage="1" error="This cell cannot be changed" sqref="G2">
      <formula1>"G2 &lt;&gt; _LB2H6ULuzIf"</formula1>
    </dataValidation>
    <dataValidation type="custom" showErrorMessage="1" error="This cell cannot be changed" sqref="H2">
      <formula1>"H2 &lt;&gt; _ypHQ5dUyrGQ"</formula1>
    </dataValidation>
    <dataValidation type="custom" showErrorMessage="1" error="This cell cannot be changed" sqref="I2">
      <formula1>"I2 &lt;&gt; _dX55nQ55KOY"</formula1>
    </dataValidation>
    <dataValidation type="custom" showErrorMessage="1" error="This cell cannot be changed" sqref="J2">
      <formula1>"J2 &lt;&gt; _dI5VkJYUigs"</formula1>
    </dataValidation>
    <dataValidation type="custom" showErrorMessage="1" error="This cell cannot be changed" sqref="K2">
      <formula1>"K2 &lt;&gt; _WnZfjglQd09"</formula1>
    </dataValidation>
    <dataValidation type="custom" showErrorMessage="1" error="This cell cannot be changed" sqref="L2">
      <formula1>"L2 &lt;&gt; _k9kaaFapmsE"</formula1>
    </dataValidation>
    <dataValidation type="custom" showErrorMessage="1" error="This cell cannot be changed" sqref="M2">
      <formula1>"M2 &lt;&gt; _NqVLX9YPHXT"</formula1>
    </dataValidation>
    <dataValidation type="custom" showErrorMessage="1" error="This cell cannot be changed" sqref="N2">
      <formula1>"N2 &lt;&gt; _TQcBYg90B5p"</formula1>
    </dataValidation>
    <dataValidation type="custom" showErrorMessage="1" error="This cell cannot be changed" sqref="O2">
      <formula1>"O2 &lt;&gt; _v87DEGAEwzy"</formula1>
    </dataValidation>
    <dataValidation type="custom" showErrorMessage="1" error="This cell cannot be changed" sqref="P2">
      <formula1>"P2 &lt;&gt; _AlwvcHwtPwo"</formula1>
    </dataValidation>
    <dataValidation type="custom" showErrorMessage="1" error="This cell cannot be changed" sqref="Q2">
      <formula1>"Q2 &lt;&gt; _ZCb7w2cdxAy"</formula1>
    </dataValidation>
    <dataValidation type="custom" showErrorMessage="1" error="This cell cannot be changed" sqref="R2">
      <formula1>"R2 &lt;&gt; _dirvsPhXe5z"</formula1>
    </dataValidation>
    <dataValidation type="custom" showErrorMessage="1" error="This cell cannot be changed" sqref="S2">
      <formula1>"S2 &lt;&gt; _KqPSQdJ0tuD"</formula1>
    </dataValidation>
    <dataValidation type="custom" showErrorMessage="1" error="This cell cannot be changed" sqref="T2">
      <formula1>"T2 &lt;&gt; _PiZ8k9zjGKh"</formula1>
    </dataValidation>
    <dataValidation type="custom" showErrorMessage="1" error="This cell cannot be changed" sqref="U2">
      <formula1>"U2 &lt;&gt; _u4cA95rPeEx"</formula1>
    </dataValidation>
    <dataValidation type="custom" showErrorMessage="1" error="This cell cannot be changed" sqref="V2">
      <formula1>"V2 &lt;&gt; _aQwjqvZ1vfl"</formula1>
    </dataValidation>
    <dataValidation type="custom" showErrorMessage="1" error="This cell cannot be changed" sqref="W2">
      <formula1>"W2 &lt;&gt; _Kos9VTAyCXA"</formula1>
    </dataValidation>
    <dataValidation type="custom" showErrorMessage="1" error="This cell cannot be changed" sqref="X2">
      <formula1>"X2 &lt;&gt; _X99ZT19n2uT"</formula1>
    </dataValidation>
    <dataValidation type="custom" showErrorMessage="1" error="This cell cannot be changed" sqref="Y2">
      <formula1>"Y2 &lt;&gt; _zSrT9mIXfxh"</formula1>
    </dataValidation>
    <dataValidation type="custom" showErrorMessage="1" error="This cell cannot be changed" sqref="Z2">
      <formula1>"Z2 &lt;&gt; _OzcwQtG30fR"</formula1>
    </dataValidation>
    <dataValidation type="custom" showErrorMessage="1" error="This cell cannot be changed" sqref="AA2">
      <formula1>"AA2 &lt;&gt; _xMiEfx1zaGk"</formula1>
    </dataValidation>
    <dataValidation type="custom" showErrorMessage="1" error="This cell cannot be changed" sqref="AB2">
      <formula1>"AB2 &lt;&gt; _QbT2Lv8iQOH"</formula1>
    </dataValidation>
    <dataValidation type="custom" showErrorMessage="1" error="This cell cannot be changed" sqref="AC2">
      <formula1>"AC2 &lt;&gt; _nnkcvb8EndS"</formula1>
    </dataValidation>
    <dataValidation type="custom" showErrorMessage="1" error="This cell cannot be changed" sqref="AD2">
      <formula1>"AD2 &lt;&gt; _yYh8zi7ddRL"</formula1>
    </dataValidation>
    <dataValidation type="custom" showErrorMessage="1" error="This cell cannot be changed" sqref="AE2">
      <formula1>"AE2 &lt;&gt; _HPehddIHYeW"</formula1>
    </dataValidation>
    <dataValidation type="custom" showErrorMessage="1" error="This cell cannot be changed" sqref="AF2">
      <formula1>"AF2 &lt;&gt; _dpVaz6PWHf7"</formula1>
    </dataValidation>
    <dataValidation type="custom" showErrorMessage="1" error="This cell cannot be changed" sqref="AG2">
      <formula1>"AG2 &lt;&gt; _GNZll8tgucT"</formula1>
    </dataValidation>
    <dataValidation type="custom" showErrorMessage="1" error="This cell cannot be changed" sqref="AH2">
      <formula1>"AH2 &lt;&gt; _rLdRHWLOw4A"</formula1>
    </dataValidation>
    <dataValidation type="custom" showErrorMessage="1" error="This cell cannot be changed" sqref="AI2">
      <formula1>"AI2 &lt;&gt; _MRzH8bNJLvB"</formula1>
    </dataValidation>
    <dataValidation type="custom" showErrorMessage="1" error="This cell cannot be changed" sqref="AJ2">
      <formula1>"AJ2 &lt;&gt; _bFGavBJA5kp"</formula1>
    </dataValidation>
    <dataValidation type="custom" showErrorMessage="1" error="This cell cannot be changed" sqref="AK2">
      <formula1>"AK2 &lt;&gt; _B0KwoAXqEG4"</formula1>
    </dataValidation>
    <dataValidation type="custom" showErrorMessage="1" error="This cell cannot be changed" sqref="AL2">
      <formula1>"AL2 &lt;&gt; _lzZpHHfcSAk"</formula1>
    </dataValidation>
    <dataValidation type="custom" showErrorMessage="1" error="This cell cannot be changed" sqref="AM2">
      <formula1>"AM2 &lt;&gt; _imlTNQ1osjZ"</formula1>
    </dataValidation>
    <dataValidation type="custom" showErrorMessage="1" error="This cell cannot be changed" sqref="AN2">
      <formula1>"AN2 &lt;&gt; _KxiXPnihIVd"</formula1>
    </dataValidation>
    <dataValidation type="custom" showErrorMessage="1" error="This cell cannot be changed" sqref="AO2">
      <formula1>"AO2 &lt;&gt; _vC042fTkXvB"</formula1>
    </dataValidation>
    <dataValidation type="custom" showErrorMessage="1" error="This cell cannot be changed" sqref="AP2">
      <formula1>"AP2 &lt;&gt; _ighVnyMkQCp"</formula1>
    </dataValidation>
    <dataValidation type="custom" showErrorMessage="1" error="This cell cannot be changed" sqref="AQ2">
      <formula1>"AQ2 &lt;&gt; _Yf4l1RhqDvf"</formula1>
    </dataValidation>
    <dataValidation type="custom" showErrorMessage="1" error="This cell cannot be changed" sqref="AR2">
      <formula1>"AR2 &lt;&gt; _X72yjg8V5e3"</formula1>
    </dataValidation>
    <dataValidation type="custom" showErrorMessage="1" error="This cell cannot be changed" sqref="AS2">
      <formula1>"AS2 &lt;&gt; _k2h3cIa0E1Y"</formula1>
    </dataValidation>
    <dataValidation type="custom" showErrorMessage="1" error="This cell cannot be changed" sqref="AT2">
      <formula1>"AT2 &lt;&gt; _wWFDLHvOV0n"</formula1>
    </dataValidation>
    <dataValidation type="custom" showErrorMessage="1" error="This cell cannot be changed" sqref="AU2">
      <formula1>"AU2 &lt;&gt; _KFzZR8gWLlv"</formula1>
    </dataValidation>
    <dataValidation type="custom" showErrorMessage="1" error="This cell cannot be changed" sqref="AV2">
      <formula1>"AV2 &lt;&gt; _irr53G5M2pb"</formula1>
    </dataValidation>
    <dataValidation type="custom" showErrorMessage="1" error="This cell cannot be changed" sqref="AW2">
      <formula1>"AW2 &lt;&gt; _q5NtxpazyK8"</formula1>
    </dataValidation>
    <dataValidation type="custom" showErrorMessage="1" error="This cell cannot be changed" sqref="AX2">
      <formula1>"AX2 &lt;&gt; _UXS01j5Uraz"</formula1>
    </dataValidation>
    <dataValidation type="custom" showErrorMessage="1" error="This cell cannot be changed" sqref="AY2">
      <formula1>"AY2 &lt;&gt; _queCXHrt9AM"</formula1>
    </dataValidation>
    <dataValidation type="custom" showErrorMessage="1" error="This cell cannot be changed" sqref="AZ2">
      <formula1>"AZ2 &lt;&gt; _nmZlYXYHW3y"</formula1>
    </dataValidation>
    <dataValidation type="custom" showErrorMessage="1" error="This cell cannot be changed" sqref="BA2">
      <formula1>"BA2 &lt;&gt; _v6PUlS8qRrd"</formula1>
    </dataValidation>
    <dataValidation type="custom" showErrorMessage="1" error="This cell cannot be changed" sqref="BB2">
      <formula1>"BB2 &lt;&gt; _c1AV61Pw8JE"</formula1>
    </dataValidation>
    <dataValidation type="custom" showErrorMessage="1" error="This cell cannot be changed" sqref="BC2">
      <formula1>"BC2 &lt;&gt; _p3L95pPVLx8"</formula1>
    </dataValidation>
    <dataValidation type="custom" showErrorMessage="1" error="This cell cannot be changed" sqref="BD2">
      <formula1>"BD2 &lt;&gt; _RAzspHzaC8g"</formula1>
    </dataValidation>
    <dataValidation type="custom" showErrorMessage="1" error="This cell cannot be changed" sqref="BE2">
      <formula1>"BE2 &lt;&gt; _udEidWNnhYF"</formula1>
    </dataValidation>
    <dataValidation type="custom" showErrorMessage="1" error="This cell cannot be changed" sqref="BF2">
      <formula1>"BF2 &lt;&gt; _y1Fm3WnjKWg"</formula1>
    </dataValidation>
    <dataValidation type="custom" showErrorMessage="1" error="This cell cannot be changed" sqref="BG2">
      <formula1>"BG2 &lt;&gt; _goy1682gIWf"</formula1>
    </dataValidation>
    <dataValidation type="custom" showErrorMessage="1" error="This cell cannot be changed" sqref="BH2">
      <formula1>"BH2 &lt;&gt; _DGWkDlms5cA"</formula1>
    </dataValidation>
    <dataValidation type="custom" showErrorMessage="1" error="This cell cannot be changed" sqref="BI2">
      <formula1>"BI2 &lt;&gt; _P6IXn7vJDgo"</formula1>
    </dataValidation>
    <dataValidation type="custom" showErrorMessage="1" error="This cell cannot be changed" sqref="BJ2">
      <formula1>"BJ2 &lt;&gt; _jIKPasfocB9"</formula1>
    </dataValidation>
    <dataValidation type="custom" showErrorMessage="1" error="This cell cannot be changed" sqref="BK2">
      <formula1>"BK2 &lt;&gt; _GoZEL0hIsZw"</formula1>
    </dataValidation>
    <dataValidation type="custom" showErrorMessage="1" error="This cell cannot be changed" sqref="BL2">
      <formula1>"BL2 &lt;&gt; _kIKxY6qHJpU"</formula1>
    </dataValidation>
    <dataValidation type="custom" showErrorMessage="1" error="This cell cannot be changed" sqref="BM2">
      <formula1>"BM2 &lt;&gt; _UHJ3EvOTnhA"</formula1>
    </dataValidation>
    <dataValidation type="custom" showErrorMessage="1" error="This cell cannot be changed" sqref="BN2">
      <formula1>"BN2 &lt;&gt; _T0oHQ2PX0vI"</formula1>
    </dataValidation>
    <dataValidation type="custom" showErrorMessage="1" error="This cell cannot be changed" sqref="BO2">
      <formula1>"BO2 &lt;&gt; _Jxf5IRCXtXO"</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2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2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200-000003000000}">
            <xm:f>ISERROR(MATCH(E3,Validation!$BI$3:$BI$4,0))</xm:f>
            <x14:dxf>
              <font>
                <b/>
                <sz val="12"/>
                <color rgb="FFFF0000"/>
                <name val="Calibri"/>
                <family val="1"/>
              </font>
            </x14:dxf>
          </x14:cfRule>
          <xm:sqref>E3:M1048576</xm:sqref>
        </x14:conditionalFormatting>
        <x14:conditionalFormatting xmlns:xm="http://schemas.microsoft.com/office/excel/2006/main">
          <x14:cfRule type="expression" priority="12" id="{00000000-000E-0000-0200-00000C000000}">
            <xm:f>ISERROR(MATCH(Q3,Validation!$AN$3:$AN$5,0))</xm:f>
            <x14:dxf>
              <font>
                <b/>
                <sz val="12"/>
                <color rgb="FFFF0000"/>
                <name val="Calibri"/>
                <family val="1"/>
              </font>
            </x14:dxf>
          </x14:cfRule>
          <xm:sqref>Q3:Q1048576</xm:sqref>
        </x14:conditionalFormatting>
        <x14:conditionalFormatting xmlns:xm="http://schemas.microsoft.com/office/excel/2006/main">
          <x14:cfRule type="expression" priority="13" id="{00000000-000E-0000-0200-00000D000000}">
            <xm:f>ISERROR(MATCH(R3,Validation!$W$3:$W$5,0))</xm:f>
            <x14:dxf>
              <font>
                <b/>
                <sz val="12"/>
                <color rgb="FFFF0000"/>
                <name val="Calibri"/>
                <family val="1"/>
              </font>
            </x14:dxf>
          </x14:cfRule>
          <xm:sqref>R3:R1048576</xm:sqref>
        </x14:conditionalFormatting>
        <x14:conditionalFormatting xmlns:xm="http://schemas.microsoft.com/office/excel/2006/main">
          <x14:cfRule type="expression" priority="14" id="{00000000-000E-0000-0200-00000E000000}">
            <xm:f>ISERROR(MATCH(S3,Validation!$X$3:$X$10,0))</xm:f>
            <x14:dxf>
              <font>
                <b/>
                <sz val="12"/>
                <color rgb="FFFF0000"/>
                <name val="Calibri"/>
                <family val="1"/>
              </font>
            </x14:dxf>
          </x14:cfRule>
          <xm:sqref>S3:S1048576</xm:sqref>
        </x14:conditionalFormatting>
        <x14:conditionalFormatting xmlns:xm="http://schemas.microsoft.com/office/excel/2006/main">
          <x14:cfRule type="expression" priority="15" id="{00000000-000E-0000-0200-00000F000000}">
            <xm:f>ISERROR(MATCH(W3,Validation!$BD$3:$BD$5,0))</xm:f>
            <x14:dxf>
              <font>
                <b/>
                <sz val="12"/>
                <color rgb="FFFF0000"/>
                <name val="Calibri"/>
                <family val="1"/>
              </font>
            </x14:dxf>
          </x14:cfRule>
          <xm:sqref>W3:W1048576</xm:sqref>
        </x14:conditionalFormatting>
        <x14:conditionalFormatting xmlns:xm="http://schemas.microsoft.com/office/excel/2006/main">
          <x14:cfRule type="expression" priority="16" id="{00000000-000E-0000-0200-000010000000}">
            <xm:f>ISERROR(MATCH(X3,Validation!$K$3:$K$8,0))</xm:f>
            <x14:dxf>
              <font>
                <b/>
                <sz val="12"/>
                <color rgb="FFFF0000"/>
                <name val="Calibri"/>
                <family val="1"/>
              </font>
            </x14:dxf>
          </x14:cfRule>
          <xm:sqref>X3:X1048576</xm:sqref>
        </x14:conditionalFormatting>
        <x14:conditionalFormatting xmlns:xm="http://schemas.microsoft.com/office/excel/2006/main">
          <x14:cfRule type="expression" priority="17" id="{00000000-000E-0000-0200-000011000000}">
            <xm:f>ISERROR(MATCH(Z3,Validation!$AF$3:$AF$9,0))</xm:f>
            <x14:dxf>
              <font>
                <b/>
                <sz val="12"/>
                <color rgb="FFFF0000"/>
                <name val="Calibri"/>
                <family val="1"/>
              </font>
            </x14:dxf>
          </x14:cfRule>
          <xm:sqref>Z3:Z1048576</xm:sqref>
        </x14:conditionalFormatting>
        <x14:conditionalFormatting xmlns:xm="http://schemas.microsoft.com/office/excel/2006/main">
          <x14:cfRule type="expression" priority="18" id="{00000000-000E-0000-0200-000012000000}">
            <xm:f>ISERROR(MATCH(AB3,Validation!$BA$3:$BA$5,0))</xm:f>
            <x14:dxf>
              <font>
                <b/>
                <sz val="12"/>
                <color rgb="FFFF0000"/>
                <name val="Calibri"/>
                <family val="1"/>
              </font>
            </x14:dxf>
          </x14:cfRule>
          <xm:sqref>AB3:AB1048576</xm:sqref>
        </x14:conditionalFormatting>
        <x14:conditionalFormatting xmlns:xm="http://schemas.microsoft.com/office/excel/2006/main">
          <x14:cfRule type="expression" priority="19" id="{00000000-000E-0000-0200-000013000000}">
            <xm:f>ISERROR(MATCH(AC3,Validation!$BH$3:$BH$5,0))</xm:f>
            <x14:dxf>
              <font>
                <b/>
                <sz val="12"/>
                <color rgb="FFFF0000"/>
                <name val="Calibri"/>
                <family val="1"/>
              </font>
            </x14:dxf>
          </x14:cfRule>
          <xm:sqref>AC3:AI1048576</xm:sqref>
        </x14:conditionalFormatting>
        <x14:conditionalFormatting xmlns:xm="http://schemas.microsoft.com/office/excel/2006/main">
          <x14:cfRule type="expression" priority="26" id="{00000000-000E-0000-0200-00001A000000}">
            <xm:f>ISERROR(MATCH(AK3,Validation!$BB$3:$BB$5,0))</xm:f>
            <x14:dxf>
              <font>
                <b/>
                <sz val="12"/>
                <color rgb="FFFF0000"/>
                <name val="Calibri"/>
                <family val="1"/>
              </font>
            </x14:dxf>
          </x14:cfRule>
          <xm:sqref>AK3:AL1048576</xm:sqref>
        </x14:conditionalFormatting>
        <x14:conditionalFormatting xmlns:xm="http://schemas.microsoft.com/office/excel/2006/main">
          <x14:cfRule type="expression" priority="28" id="{00000000-000E-0000-0200-00001C000000}">
            <xm:f>ISERROR(MATCH(AN3,Validation!$BB$3:$BB$5,0))</xm:f>
            <x14:dxf>
              <font>
                <b/>
                <sz val="12"/>
                <color rgb="FFFF0000"/>
                <name val="Calibri"/>
                <family val="1"/>
              </font>
            </x14:dxf>
          </x14:cfRule>
          <xm:sqref>AN3:AN1048576</xm:sqref>
        </x14:conditionalFormatting>
        <x14:conditionalFormatting xmlns:xm="http://schemas.microsoft.com/office/excel/2006/main">
          <x14:cfRule type="expression" priority="29" id="{00000000-000E-0000-0200-00001D000000}">
            <xm:f>ISERROR(MATCH(AP3,Validation!$BB$3:$BB$5,0))</xm:f>
            <x14:dxf>
              <font>
                <b/>
                <sz val="12"/>
                <color rgb="FFFF0000"/>
                <name val="Calibri"/>
                <family val="1"/>
              </font>
            </x14:dxf>
          </x14:cfRule>
          <xm:sqref>AP3:AP1048576</xm:sqref>
        </x14:conditionalFormatting>
        <x14:conditionalFormatting xmlns:xm="http://schemas.microsoft.com/office/excel/2006/main">
          <x14:cfRule type="expression" priority="30" id="{00000000-000E-0000-0200-00001E000000}">
            <xm:f>ISERROR(MATCH(AW3,Validation!$BH$3:$BH$5,0))</xm:f>
            <x14:dxf>
              <font>
                <b/>
                <sz val="12"/>
                <color rgb="FFFF0000"/>
                <name val="Calibri"/>
                <family val="1"/>
              </font>
            </x14:dxf>
          </x14:cfRule>
          <xm:sqref>AW3:AW1048576</xm:sqref>
        </x14:conditionalFormatting>
        <x14:conditionalFormatting xmlns:xm="http://schemas.microsoft.com/office/excel/2006/main">
          <x14:cfRule type="expression" priority="31" id="{00000000-000E-0000-0200-00001F000000}">
            <xm:f>ISERROR(MATCH(AY3,Validation!$BH$3:$BH$5,0))</xm:f>
            <x14:dxf>
              <font>
                <b/>
                <sz val="12"/>
                <color rgb="FFFF0000"/>
                <name val="Calibri"/>
                <family val="1"/>
              </font>
            </x14:dxf>
          </x14:cfRule>
          <xm:sqref>AY3:AZ1048576</xm:sqref>
        </x14:conditionalFormatting>
        <x14:conditionalFormatting xmlns:xm="http://schemas.microsoft.com/office/excel/2006/main">
          <x14:cfRule type="expression" priority="33" id="{00000000-000E-0000-0200-000021000000}">
            <xm:f>ISERROR(MATCH(BA3,Validation!$S$3:$S$6,0))</xm:f>
            <x14:dxf>
              <font>
                <b/>
                <sz val="12"/>
                <color rgb="FFFF0000"/>
                <name val="Calibri"/>
                <family val="1"/>
              </font>
            </x14:dxf>
          </x14:cfRule>
          <xm:sqref>BA3:BA1048576</xm:sqref>
        </x14:conditionalFormatting>
        <x14:conditionalFormatting xmlns:xm="http://schemas.microsoft.com/office/excel/2006/main">
          <x14:cfRule type="expression" priority="34" id="{00000000-000E-0000-0200-000022000000}">
            <xm:f>ISERROR(MATCH(BD3,Validation!$BH$3:$BH$5,0))</xm:f>
            <x14:dxf>
              <font>
                <b/>
                <sz val="12"/>
                <color rgb="FFFF0000"/>
                <name val="Calibri"/>
                <family val="1"/>
              </font>
            </x14:dxf>
          </x14:cfRule>
          <xm:sqref>BD3:BE1048576</xm:sqref>
        </x14:conditionalFormatting>
        <x14:conditionalFormatting xmlns:xm="http://schemas.microsoft.com/office/excel/2006/main">
          <x14:cfRule type="expression" priority="36" id="{00000000-000E-0000-0200-000024000000}">
            <xm:f>ISERROR(MATCH(BG3,Validation!$BH$3:$BH$5,0))</xm:f>
            <x14:dxf>
              <font>
                <b/>
                <sz val="12"/>
                <color rgb="FFFF0000"/>
                <name val="Calibri"/>
                <family val="1"/>
              </font>
            </x14:dxf>
          </x14:cfRule>
          <xm:sqref>BG3:BH1048576</xm:sqref>
        </x14:conditionalFormatting>
        <x14:conditionalFormatting xmlns:xm="http://schemas.microsoft.com/office/excel/2006/main">
          <x14:cfRule type="expression" priority="38" id="{00000000-000E-0000-0200-000026000000}">
            <xm:f>ISERROR(MATCH(BK3,Validation!$BH$3:$BH$5,0))</xm:f>
            <x14:dxf>
              <font>
                <b/>
                <sz val="12"/>
                <color rgb="FFFF0000"/>
                <name val="Calibri"/>
                <family val="1"/>
              </font>
            </x14:dxf>
          </x14:cfRule>
          <xm:sqref>BK3:BK1048576</xm:sqref>
        </x14:conditionalFormatting>
        <x14:conditionalFormatting xmlns:xm="http://schemas.microsoft.com/office/excel/2006/main">
          <x14:cfRule type="expression" priority="39" id="{00000000-000E-0000-0200-000027000000}">
            <xm:f>ISERROR(MATCH(BM3,Validation!$AP$3:$AP$6,0))</xm:f>
            <x14:dxf>
              <font>
                <b/>
                <sz val="12"/>
                <color rgb="FFFF0000"/>
                <name val="Calibri"/>
                <family val="1"/>
              </font>
            </x14:dxf>
          </x14:cfRule>
          <xm:sqref>BM3:BM1048576</xm:sqref>
        </x14:conditionalFormatting>
        <x14:conditionalFormatting xmlns:xm="http://schemas.microsoft.com/office/excel/2006/main">
          <x14:cfRule type="expression" priority="40" id="{00000000-000E-0000-0200-000028000000}">
            <xm:f>ISERROR(MATCH(BN3,Validation!$BH$3:$BH$5,0))</xm:f>
            <x14:dxf>
              <font>
                <b/>
                <sz val="12"/>
                <color rgb="FFFF0000"/>
                <name val="Calibri"/>
                <family val="1"/>
              </font>
            </x14:dxf>
          </x14:cfRule>
          <xm:sqref>BN3:BN1048576</xm:sqref>
        </x14:conditionalFormatting>
      </x14:conditionalFormattings>
    </ext>
    <ext xmlns:x14="http://schemas.microsoft.com/office/spreadsheetml/2009/9/main" uri="{CCE6A557-97BC-4b89-ADB6-D9C93CAAB3DF}">
      <x14:dataValidations xmlns:xm="http://schemas.microsoft.com/office/excel/2006/main" count="14">
        <x14:dataValidation type="list" errorStyle="warning" allowBlank="1" showErrorMessage="1" error="Invalid choice was chosen" xr:uid="{00000000-0002-0000-0200-000002000000}">
          <x14:formula1>
            <xm:f>'TEI Instances'!$A$6:$A$1024</xm:f>
          </x14:formula1>
          <xm:sqref>B3:B1048576</xm:sqref>
        </x14:dataValidation>
        <x14:dataValidation type="list" errorStyle="warning" allowBlank="1" showErrorMessage="1" error="Invalid choice was chosen" xr:uid="{00000000-0002-0000-0200-000004000000}">
          <x14:formula1>
            <xm:f>Validation!$C$3:$C$4</xm:f>
          </x14:formula1>
          <xm:sqref>C3:C1048576</xm:sqref>
        </x14:dataValidation>
        <x14:dataValidation type="list" errorStyle="warning" allowBlank="1" showErrorMessage="1" error="Invalid choice was chosen" xr:uid="{00000000-0002-0000-0200-000007000000}">
          <x14:formula1>
            <xm:f>Validation!$BI$3:$BI$4</xm:f>
          </x14:formula1>
          <xm:sqref>E3:M1048576</xm:sqref>
        </x14:dataValidation>
        <x14:dataValidation type="list" errorStyle="warning" allowBlank="1" showErrorMessage="1" error="Invalid choice was chosen" xr:uid="{00000000-0002-0000-0200-00001C000000}">
          <x14:formula1>
            <xm:f>Validation!$AN$3:$AN$5</xm:f>
          </x14:formula1>
          <xm:sqref>Q3:Q1048576</xm:sqref>
        </x14:dataValidation>
        <x14:dataValidation type="list" errorStyle="warning" allowBlank="1" showErrorMessage="1" error="Invalid choice was chosen" xr:uid="{00000000-0002-0000-0200-00001E000000}">
          <x14:formula1>
            <xm:f>Validation!$W$3:$W$5</xm:f>
          </x14:formula1>
          <xm:sqref>R3:R1048576</xm:sqref>
        </x14:dataValidation>
        <x14:dataValidation type="list" errorStyle="warning" allowBlank="1" showErrorMessage="1" error="Invalid choice was chosen" xr:uid="{00000000-0002-0000-0200-000020000000}">
          <x14:formula1>
            <xm:f>Validation!$X$3:$X$10</xm:f>
          </x14:formula1>
          <xm:sqref>S3:S1048576</xm:sqref>
        </x14:dataValidation>
        <x14:dataValidation type="list" errorStyle="warning" allowBlank="1" showErrorMessage="1" error="Invalid choice was chosen" xr:uid="{00000000-0002-0000-0200-000025000000}">
          <x14:formula1>
            <xm:f>Validation!$BD$3:$BD$5</xm:f>
          </x14:formula1>
          <xm:sqref>W3:W1048576</xm:sqref>
        </x14:dataValidation>
        <x14:dataValidation type="list" errorStyle="warning" allowBlank="1" showErrorMessage="1" error="Invalid choice was chosen" xr:uid="{00000000-0002-0000-0200-000027000000}">
          <x14:formula1>
            <xm:f>Validation!$K$3:$K$8</xm:f>
          </x14:formula1>
          <xm:sqref>X3:X1048576</xm:sqref>
        </x14:dataValidation>
        <x14:dataValidation type="list" errorStyle="warning" allowBlank="1" showErrorMessage="1" error="Invalid choice was chosen" xr:uid="{00000000-0002-0000-0200-00002A000000}">
          <x14:formula1>
            <xm:f>Validation!$AF$3:$AF$9</xm:f>
          </x14:formula1>
          <xm:sqref>Z3:Z1048576</xm:sqref>
        </x14:dataValidation>
        <x14:dataValidation type="list" errorStyle="warning" allowBlank="1" showErrorMessage="1" error="Invalid choice was chosen" xr:uid="{00000000-0002-0000-0200-00002D000000}">
          <x14:formula1>
            <xm:f>Validation!$BA$3:$BA$5</xm:f>
          </x14:formula1>
          <xm:sqref>AB3:AB1048576</xm:sqref>
        </x14:dataValidation>
        <x14:dataValidation type="list" errorStyle="warning" allowBlank="1" showErrorMessage="1" error="Invalid choice was chosen" xr:uid="{00000000-0002-0000-0200-00002F000000}">
          <x14:formula1>
            <xm:f>Validation!$BH$3:$BH$5</xm:f>
          </x14:formula1>
          <xm:sqref>BN3:BN1048576 BK3:BK1048576 BG3:BH1048576 BD3:BE1048576 AY3:AZ1048576 AW3:AW1048576 AC3:AI1048576</xm:sqref>
        </x14:dataValidation>
        <x14:dataValidation type="list" errorStyle="warning" allowBlank="1" showErrorMessage="1" error="Invalid choice was chosen" xr:uid="{00000000-0002-0000-0200-00003E000000}">
          <x14:formula1>
            <xm:f>Validation!$BB$3:$BB$5</xm:f>
          </x14:formula1>
          <xm:sqref>AP3:AP1048576 AN3:AN1048576 AK3:AL1048576</xm:sqref>
        </x14:dataValidation>
        <x14:dataValidation type="list" errorStyle="warning" allowBlank="1" showErrorMessage="1" error="Invalid choice was chosen" xr:uid="{00000000-0002-0000-0200-000055000000}">
          <x14:formula1>
            <xm:f>Validation!$S$3:$S$6</xm:f>
          </x14:formula1>
          <xm:sqref>BA3:BA1048576</xm:sqref>
        </x14:dataValidation>
        <x14:dataValidation type="list" errorStyle="warning" allowBlank="1" showErrorMessage="1" error="Invalid choice was chosen" xr:uid="{00000000-0002-0000-0200-000067000000}">
          <x14:formula1>
            <xm:f>Validation!$AP$3:$AP$6</xm:f>
          </x14:formula1>
          <xm:sqref>BM3:BM1048576</xm:sqref>
        </x14:dataValidation>
      </x14:dataValidations>
    </ext>
  </extLst>
</worksheet>
</file>

<file path=xl/worksheets/sheet4.xml><?xml version="1.0" encoding="utf-8"?>
<worksheet xmlns="http://schemas.openxmlformats.org/spreadsheetml/2006/main" xmlns:r="http://schemas.openxmlformats.org/officeDocument/2006/relationships">
  <dimension ref="A1:Q2"/>
  <sheetViews>
    <sheetView zoomScaleNormal="100" workbookViewId="0">
      <pane ySplit="2" topLeftCell="A3" activePane="bottomLeft" state="frozen"/>
      <selection pane="bottomLeft"/>
    </sheetView>
  </sheetViews>
  <sheetFormatPr defaultColWidth="11" defaultRowHeight="15.75"/>
  <cols>
    <col min="1" max="4" width="20" customWidth="1"/>
    <col min="5" max="5" width="36.875" customWidth="1"/>
    <col min="6" max="6" width="18.375" customWidth="1"/>
    <col min="7" max="7" width="19.125" customWidth="1"/>
    <col min="8" max="9" width="18" customWidth="1"/>
    <col min="10" max="10" width="16.375" customWidth="1"/>
    <col min="11" max="11" width="17.125" customWidth="1"/>
    <col min="12" max="12" width="16" customWidth="1"/>
    <col min="13" max="13" width="18.375" customWidth="1"/>
    <col min="14" max="14" width="24.375" customWidth="1"/>
    <col min="15" max="15" width="18.875" customWidth="1"/>
    <col min="16" max="16" width="14.875" customWidth="1"/>
    <col min="17" max="17" width="16" customWidth="1"/>
  </cols>
  <sheetData>
    <row r="1" spans="1:17" ht="30" customHeight="1">
      <c r="A1" s="1" t="str">
        <f>_Gdf45yp6r0Q</f>
        <v>प्रशुती सम्बन्धी विवरण</v>
      </c>
      <c r="E1" s="13" t="str">
        <f>_t6bijFliMSL</f>
        <v>Delivery Related Information</v>
      </c>
      <c r="F1" s="13"/>
      <c r="G1" s="13"/>
      <c r="H1" s="13"/>
      <c r="I1" s="13"/>
      <c r="J1" s="13"/>
      <c r="K1" s="13"/>
      <c r="L1" s="13"/>
      <c r="M1" s="13"/>
      <c r="N1" s="13"/>
      <c r="O1" s="13"/>
      <c r="P1" s="13"/>
      <c r="Q1" s="13"/>
    </row>
    <row r="2" spans="1:17" ht="50.1" customHeight="1">
      <c r="A2" s="1" t="s">
        <v>3224</v>
      </c>
      <c r="B2" s="1" t="s">
        <v>3225</v>
      </c>
      <c r="C2" s="1" t="s">
        <v>2</v>
      </c>
      <c r="D2" s="1" t="s">
        <v>3227</v>
      </c>
      <c r="E2" s="3" t="str">
        <f>_BEDs6ERgG0G</f>
        <v>प्रोटोकोल अनुसार चार पटक (१६, २०-२४, ३२ र ३६) गर्भ जाँच पूरा गरेको</v>
      </c>
      <c r="F2" s="3" t="str">
        <f>_X3j5grsIyw2</f>
        <v>भर्ना भएको मिति र समय
(YYYY-MM-DDTHH:mm)</v>
      </c>
      <c r="G2" s="3" t="str">
        <f>_M2qFoqoYJBt</f>
        <v>प्रसूती भएको मिति र समय
(YYYY-MM-DDTHH:mm)</v>
      </c>
      <c r="H2" s="3" t="str">
        <f>_Mnc17tzRmGW</f>
        <v>डिस्चार्ज मिति र समय
(YYYY-MM-DDTHH:mm)</v>
      </c>
      <c r="I2" s="3" t="str">
        <f>_vaKCnNpPV88</f>
        <v>प्रसव ब्यथाको अवस्था</v>
      </c>
      <c r="J2" s="3" t="str">
        <f>_ANAdEOILePM</f>
        <v>बच्चाको अवस्थिती</v>
      </c>
      <c r="K2" s="3" t="str">
        <f>_ErG5CWSzHwK</f>
        <v>प्रसूती भएको स्थान</v>
      </c>
      <c r="L2" s="3" t="str">
        <f>_t57vOuoKLOd</f>
        <v>प्रसूतिको किसिम</v>
      </c>
      <c r="M2" s="3" t="str">
        <f>_a2EQngqNhUy</f>
        <v>प्रसव अवस्थाका जटिलता</v>
      </c>
      <c r="N2" s="3" t="str">
        <f>_yE1eH64EJAj</f>
        <v>प्रसव अवस्थाका जटिलता (अन्य खुलाउने)</v>
      </c>
      <c r="O2" s="3" t="str">
        <f>_M6BiiZL6h1b</f>
        <v>डेलिभरी स्वास्थ्यकर्मी</v>
      </c>
      <c r="P2" s="3" t="str">
        <f>_Pd3PBU1ojyh</f>
        <v>आमाको अवस्था</v>
      </c>
      <c r="Q2" s="3" t="str">
        <f>_qn02OqMfOwm</f>
        <v>HIV Test Result</v>
      </c>
    </row>
  </sheetData>
  <mergeCells count="1">
    <mergeCell ref="E1:Q1"/>
  </mergeCells>
  <dataValidations count="17">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_BEDs6ERgG0G"</formula1>
    </dataValidation>
    <dataValidation type="custom" showErrorMessage="1" error="This cell cannot be changed" sqref="F2">
      <formula1>"F2 &lt;&gt; _X3j5grsIyw2"</formula1>
    </dataValidation>
    <dataValidation type="custom" showErrorMessage="1" error="This cell cannot be changed" sqref="G2">
      <formula1>"G2 &lt;&gt; _M2qFoqoYJBt"</formula1>
    </dataValidation>
    <dataValidation type="custom" showErrorMessage="1" error="This cell cannot be changed" sqref="H2">
      <formula1>"H2 &lt;&gt; _Mnc17tzRmGW"</formula1>
    </dataValidation>
    <dataValidation type="custom" showErrorMessage="1" error="This cell cannot be changed" sqref="I2">
      <formula1>"I2 &lt;&gt; _vaKCnNpPV88"</formula1>
    </dataValidation>
    <dataValidation type="custom" showErrorMessage="1" error="This cell cannot be changed" sqref="J2">
      <formula1>"J2 &lt;&gt; _ANAdEOILePM"</formula1>
    </dataValidation>
    <dataValidation type="custom" showErrorMessage="1" error="This cell cannot be changed" sqref="K2">
      <formula1>"K2 &lt;&gt; _ErG5CWSzHwK"</formula1>
    </dataValidation>
    <dataValidation type="custom" showErrorMessage="1" error="This cell cannot be changed" sqref="L2">
      <formula1>"L2 &lt;&gt; _t57vOuoKLOd"</formula1>
    </dataValidation>
    <dataValidation type="custom" showErrorMessage="1" error="This cell cannot be changed" sqref="M2">
      <formula1>"M2 &lt;&gt; _a2EQngqNhUy"</formula1>
    </dataValidation>
    <dataValidation type="custom" showErrorMessage="1" error="This cell cannot be changed" sqref="N2">
      <formula1>"N2 &lt;&gt; _yE1eH64EJAj"</formula1>
    </dataValidation>
    <dataValidation type="custom" showErrorMessage="1" error="This cell cannot be changed" sqref="O2">
      <formula1>"O2 &lt;&gt; _M6BiiZL6h1b"</formula1>
    </dataValidation>
    <dataValidation type="custom" showErrorMessage="1" error="This cell cannot be changed" sqref="P2">
      <formula1>"P2 &lt;&gt; _Pd3PBU1ojyh"</formula1>
    </dataValidation>
    <dataValidation type="custom" showErrorMessage="1" error="This cell cannot be changed" sqref="Q2">
      <formula1>"Q2 &lt;&gt; _qn02OqMfOwm"</formula1>
    </dataValidation>
  </dataValidations>
  <pageMargins left="0.7" right="0.7" top="0.75" bottom="0.75" header="0.3" footer="0.3"/>
  <legacyDrawing r:id="rId1"/>
  <extLst xmlns:xr="http://schemas.microsoft.com/office/spreadsheetml/2014/revision" xmlns:x14="http://schemas.microsoft.com/office/spreadsheetml/2009/9/main">
    <ext uri="{78C0D931-6437-407d-A8EE-F0AAD7539E65}">
      <x14:conditionalFormattings>
        <x14:conditionalFormatting xmlns:xm="http://schemas.microsoft.com/office/excel/2006/main">
          <x14:cfRule type="expression" priority="1" id="{00000000-000E-0000-03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3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300-000003000000}">
            <xm:f>ISERROR(MATCH(E3,Validation!$AN$3:$AN$5,0))</xm:f>
            <x14:dxf>
              <font>
                <b/>
                <sz val="12"/>
                <color rgb="FFFF0000"/>
                <name val="Calibri"/>
                <family val="1"/>
              </font>
            </x14:dxf>
          </x14:cfRule>
          <xm:sqref>E3:E1048576</xm:sqref>
        </x14:conditionalFormatting>
        <x14:conditionalFormatting xmlns:xm="http://schemas.microsoft.com/office/excel/2006/main">
          <x14:cfRule type="expression" priority="4" id="{00000000-000E-0000-0300-000004000000}">
            <xm:f>ISERROR(MATCH(I3,Validation!$AY$3:$AY$6,0))</xm:f>
            <x14:dxf>
              <font>
                <b/>
                <sz val="12"/>
                <color rgb="FFFF0000"/>
                <name val="Calibri"/>
                <family val="1"/>
              </font>
            </x14:dxf>
          </x14:cfRule>
          <xm:sqref>I3:I1048576</xm:sqref>
        </x14:conditionalFormatting>
        <x14:conditionalFormatting xmlns:xm="http://schemas.microsoft.com/office/excel/2006/main">
          <x14:cfRule type="expression" priority="5" id="{00000000-000E-0000-0300-000005000000}">
            <xm:f>ISERROR(MATCH(J3,Validation!$O$3:$O$7,0))</xm:f>
            <x14:dxf>
              <font>
                <b/>
                <sz val="12"/>
                <color rgb="FFFF0000"/>
                <name val="Calibri"/>
                <family val="1"/>
              </font>
            </x14:dxf>
          </x14:cfRule>
          <xm:sqref>J3:J1048576</xm:sqref>
        </x14:conditionalFormatting>
        <x14:conditionalFormatting xmlns:xm="http://schemas.microsoft.com/office/excel/2006/main">
          <x14:cfRule type="expression" priority="6" id="{00000000-000E-0000-0300-000006000000}">
            <xm:f>ISERROR(MATCH(K3,Validation!$AE$3:$AE$6,0))</xm:f>
            <x14:dxf>
              <font>
                <b/>
                <sz val="12"/>
                <color rgb="FFFF0000"/>
                <name val="Calibri"/>
                <family val="1"/>
              </font>
            </x14:dxf>
          </x14:cfRule>
          <xm:sqref>K3:K1048576</xm:sqref>
        </x14:conditionalFormatting>
        <x14:conditionalFormatting xmlns:xm="http://schemas.microsoft.com/office/excel/2006/main">
          <x14:cfRule type="expression" priority="7" id="{00000000-000E-0000-0300-000007000000}">
            <xm:f>ISERROR(MATCH(L3,Validation!$R$3:$R$8,0))</xm:f>
            <x14:dxf>
              <font>
                <b/>
                <sz val="12"/>
                <color rgb="FFFF0000"/>
                <name val="Calibri"/>
                <family val="1"/>
              </font>
            </x14:dxf>
          </x14:cfRule>
          <xm:sqref>L3:L1048576</xm:sqref>
        </x14:conditionalFormatting>
        <x14:conditionalFormatting xmlns:xm="http://schemas.microsoft.com/office/excel/2006/main">
          <x14:cfRule type="expression" priority="8" id="{00000000-000E-0000-0300-000008000000}">
            <xm:f>ISERROR(MATCH(M3,Validation!$AJ$3:$AJ$9,0))</xm:f>
            <x14:dxf>
              <font>
                <b/>
                <sz val="12"/>
                <color rgb="FFFF0000"/>
                <name val="Calibri"/>
                <family val="1"/>
              </font>
            </x14:dxf>
          </x14:cfRule>
          <xm:sqref>M3:M1048576</xm:sqref>
        </x14:conditionalFormatting>
        <x14:conditionalFormatting xmlns:xm="http://schemas.microsoft.com/office/excel/2006/main">
          <x14:cfRule type="expression" priority="9" id="{00000000-000E-0000-0300-000009000000}">
            <xm:f>ISERROR(MATCH(O3,Validation!$AO$3:$AO$10,0))</xm:f>
            <x14:dxf>
              <font>
                <b/>
                <sz val="12"/>
                <color rgb="FFFF0000"/>
                <name val="Calibri"/>
                <family val="1"/>
              </font>
            </x14:dxf>
          </x14:cfRule>
          <xm:sqref>O3:O1048576</xm:sqref>
        </x14:conditionalFormatting>
        <x14:conditionalFormatting xmlns:xm="http://schemas.microsoft.com/office/excel/2006/main">
          <x14:cfRule type="expression" priority="10" id="{00000000-000E-0000-0300-00000A000000}">
            <xm:f>ISERROR(MATCH(P3,Validation!$AQ$3:$AQ$9,0))</xm:f>
            <x14:dxf>
              <font>
                <b/>
                <sz val="12"/>
                <color rgb="FFFF0000"/>
                <name val="Calibri"/>
                <family val="1"/>
              </font>
            </x14:dxf>
          </x14:cfRule>
          <xm:sqref>P3:P1048576</xm:sqref>
        </x14:conditionalFormatting>
        <x14:conditionalFormatting xmlns:xm="http://schemas.microsoft.com/office/excel/2006/main">
          <x14:cfRule type="expression" priority="11" id="{00000000-000E-0000-0300-00000B000000}">
            <xm:f>ISERROR(MATCH(Q3,Validation!$AG$3:$AG$6,0))</xm:f>
            <x14:dxf>
              <font>
                <b/>
                <sz val="12"/>
                <color rgb="FFFF0000"/>
                <name val="Calibri"/>
                <family val="1"/>
              </font>
            </x14:dxf>
          </x14:cfRule>
          <xm:sqref>Q3:Q1048576</xm:sqref>
        </x14:conditionalFormatting>
      </x14:conditionalFormattings>
    </ext>
    <ext uri="{CCE6A557-97BC-4b89-ADB6-D9C93CAAB3DF}">
      <x14:dataValidations xmlns:xm="http://schemas.microsoft.com/office/excel/2006/main" count="11">
        <x14:dataValidation type="list" errorStyle="warning" allowBlank="1" showErrorMessage="1" error="Invalid choice was chosen" xr:uid="{00000000-0002-0000-0300-000002000000}">
          <x14:formula1>
            <xm:f>'TEI Instances'!$A$6:$A$1024</xm:f>
          </x14:formula1>
          <xm:sqref>B3:B1048576</xm:sqref>
        </x14:dataValidation>
        <x14:dataValidation type="list" errorStyle="warning" allowBlank="1" showErrorMessage="1" error="Invalid choice was chosen" xr:uid="{00000000-0002-0000-0300-000004000000}">
          <x14:formula1>
            <xm:f>Validation!$C$3:$C$4</xm:f>
          </x14:formula1>
          <xm:sqref>C3:C1048576</xm:sqref>
        </x14:dataValidation>
        <x14:dataValidation type="list" errorStyle="warning" allowBlank="1" showErrorMessage="1" error="Invalid choice was chosen" xr:uid="{00000000-0002-0000-0300-000007000000}">
          <x14:formula1>
            <xm:f>Validation!$AN$3:$AN$5</xm:f>
          </x14:formula1>
          <xm:sqref>E3:E1048576</xm:sqref>
        </x14:dataValidation>
        <x14:dataValidation type="list" errorStyle="warning" allowBlank="1" showErrorMessage="1" error="Invalid choice was chosen" xr:uid="{00000000-0002-0000-0300-00000C000000}">
          <x14:formula1>
            <xm:f>Validation!$AY$3:$AY$6</xm:f>
          </x14:formula1>
          <xm:sqref>I3:I1048576</xm:sqref>
        </x14:dataValidation>
        <x14:dataValidation type="list" errorStyle="warning" allowBlank="1" showErrorMessage="1" error="Invalid choice was chosen" xr:uid="{00000000-0002-0000-0300-00000E000000}">
          <x14:formula1>
            <xm:f>Validation!$O$3:$O$7</xm:f>
          </x14:formula1>
          <xm:sqref>J3:J1048576</xm:sqref>
        </x14:dataValidation>
        <x14:dataValidation type="list" errorStyle="warning" allowBlank="1" showErrorMessage="1" error="Invalid choice was chosen" xr:uid="{00000000-0002-0000-0300-000010000000}">
          <x14:formula1>
            <xm:f>Validation!$AE$3:$AE$6</xm:f>
          </x14:formula1>
          <xm:sqref>K3:K1048576</xm:sqref>
        </x14:dataValidation>
        <x14:dataValidation type="list" errorStyle="warning" allowBlank="1" showErrorMessage="1" error="Invalid choice was chosen" xr:uid="{00000000-0002-0000-0300-000012000000}">
          <x14:formula1>
            <xm:f>Validation!$R$3:$R$8</xm:f>
          </x14:formula1>
          <xm:sqref>L3:L1048576</xm:sqref>
        </x14:dataValidation>
        <x14:dataValidation type="list" errorStyle="warning" allowBlank="1" showErrorMessage="1" error="Invalid choice was chosen" xr:uid="{00000000-0002-0000-0300-000014000000}">
          <x14:formula1>
            <xm:f>Validation!$AJ$3:$AJ$9</xm:f>
          </x14:formula1>
          <xm:sqref>M3:M1048576</xm:sqref>
        </x14:dataValidation>
        <x14:dataValidation type="list" errorStyle="warning" allowBlank="1" showErrorMessage="1" error="Invalid choice was chosen" xr:uid="{00000000-0002-0000-0300-000017000000}">
          <x14:formula1>
            <xm:f>Validation!$AO$3:$AO$10</xm:f>
          </x14:formula1>
          <xm:sqref>O3:O1048576</xm:sqref>
        </x14:dataValidation>
        <x14:dataValidation type="list" errorStyle="warning" allowBlank="1" showErrorMessage="1" error="Invalid choice was chosen" xr:uid="{00000000-0002-0000-0300-000019000000}">
          <x14:formula1>
            <xm:f>Validation!$AQ$3:$AQ$9</xm:f>
          </x14:formula1>
          <xm:sqref>P3:P1048576</xm:sqref>
        </x14:dataValidation>
        <x14:dataValidation type="list" errorStyle="warning" allowBlank="1" showErrorMessage="1" error="Invalid choice was chosen" xr:uid="{00000000-0002-0000-0300-00001B000000}">
          <x14:formula1>
            <xm:f>Validation!$AG$3:$AG$6</xm:f>
          </x14:formula1>
          <xm:sqref>Q3:Q1048576</xm:sqref>
        </x14:dataValidation>
      </x14:dataValidations>
    </ext>
  </extLst>
</worksheet>
</file>

<file path=xl/worksheets/sheet5.xml><?xml version="1.0" encoding="utf-8"?>
<worksheet xmlns="http://schemas.openxmlformats.org/spreadsheetml/2006/main" xmlns:r="http://schemas.openxmlformats.org/officeDocument/2006/relationships">
  <dimension ref="A1:O2"/>
  <sheetViews>
    <sheetView zoomScaleNormal="100" workbookViewId="0">
      <pane ySplit="2" topLeftCell="A3" activePane="bottomLeft" state="frozen"/>
      <selection pane="bottomLeft"/>
    </sheetView>
  </sheetViews>
  <sheetFormatPr defaultColWidth="11" defaultRowHeight="15.75"/>
  <cols>
    <col min="1" max="4" width="20" customWidth="1"/>
    <col min="5" max="5" width="16" customWidth="1"/>
    <col min="6" max="6" width="12" customWidth="1"/>
    <col min="7" max="7" width="17.125" customWidth="1"/>
    <col min="8" max="8" width="24" customWidth="1"/>
    <col min="9" max="9" width="12" customWidth="1"/>
    <col min="10" max="10" width="16" customWidth="1"/>
    <col min="11" max="11" width="15.125" customWidth="1"/>
    <col min="12" max="12" width="13.125" customWidth="1"/>
    <col min="13" max="13" width="13.625" customWidth="1"/>
    <col min="14" max="14" width="13.125" customWidth="1"/>
    <col min="15" max="15" width="15.625" customWidth="1"/>
  </cols>
  <sheetData>
    <row r="1" spans="1:15" ht="30" customHeight="1">
      <c r="A1" s="1" t="str">
        <f>_dh411K5LInS</f>
        <v>नवशिशुको विवरण</v>
      </c>
      <c r="E1" s="13" t="str">
        <f>_dbbiRplGReR</f>
        <v>नवशिशुको विवरण</v>
      </c>
      <c r="F1" s="13"/>
      <c r="G1" s="13"/>
      <c r="H1" s="13"/>
      <c r="I1" s="13"/>
      <c r="J1" s="13"/>
      <c r="K1" s="13"/>
      <c r="L1" s="13"/>
      <c r="M1" s="13"/>
      <c r="N1" s="14" t="str">
        <f>_PIerd3kZApa</f>
        <v>अन्य सेवा</v>
      </c>
      <c r="O1" s="14"/>
    </row>
    <row r="2" spans="1:15" ht="50.1" customHeight="1">
      <c r="A2" s="1" t="s">
        <v>3224</v>
      </c>
      <c r="B2" s="1" t="s">
        <v>3225</v>
      </c>
      <c r="C2" s="1" t="s">
        <v>2</v>
      </c>
      <c r="D2" s="1" t="s">
        <v>3227</v>
      </c>
      <c r="E2" s="3" t="str">
        <f>_kYuaJq6eiRd</f>
        <v>नवशिशुको अवस्था</v>
      </c>
      <c r="F2" s="3" t="str">
        <f>_DcbQ74LfAHY</f>
        <v>अवधि</v>
      </c>
      <c r="G2" s="3" t="str">
        <f>_mNP4759xBLD</f>
        <v>नाभी मलमको प्रयोग</v>
      </c>
      <c r="H2" s="3" t="str">
        <f>_TbYyMOcVmdd</f>
        <v>जन्मेको १ घण्टाभित्र स्तनपान गराएको</v>
      </c>
      <c r="I2" s="3" t="str">
        <f>_F7virl8bNks</f>
        <v>लिङ्ग</v>
      </c>
      <c r="J2" s="3" t="str">
        <f>_eu66cx6RoDD</f>
        <v>जन्म तौल(ग्राम)</v>
      </c>
      <c r="K2" s="3" t="str">
        <f>_CTngjf0Fy64</f>
        <v>शिशुको अवस्था</v>
      </c>
      <c r="L2" s="3" t="str">
        <f>_rCdQCAYB9e4</f>
        <v>विकलाङ्ग</v>
      </c>
      <c r="M2" s="3" t="str">
        <f>_nIzYpjFa5Qk</f>
        <v>मृत जन्म</v>
      </c>
      <c r="N2" s="2" t="str">
        <f>_Abvqt3BHIqb</f>
        <v>Oxytocin</v>
      </c>
      <c r="O2" s="2" t="str">
        <f>_Dw8sKNFOVTH</f>
        <v>KMC सेवा दिएको</v>
      </c>
    </row>
  </sheetData>
  <mergeCells count="2">
    <mergeCell ref="E1:M1"/>
    <mergeCell ref="N1:O1"/>
  </mergeCells>
  <dataValidations count="15">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_kYuaJq6eiRd"</formula1>
    </dataValidation>
    <dataValidation type="custom" showErrorMessage="1" error="This cell cannot be changed" sqref="F2">
      <formula1>"F2 &lt;&gt; _DcbQ74LfAHY"</formula1>
    </dataValidation>
    <dataValidation type="custom" showErrorMessage="1" error="This cell cannot be changed" sqref="G2">
      <formula1>"G2 &lt;&gt; _mNP4759xBLD"</formula1>
    </dataValidation>
    <dataValidation type="custom" showErrorMessage="1" error="This cell cannot be changed" sqref="H2">
      <formula1>"H2 &lt;&gt; _TbYyMOcVmdd"</formula1>
    </dataValidation>
    <dataValidation type="custom" showErrorMessage="1" error="This cell cannot be changed" sqref="I2">
      <formula1>"I2 &lt;&gt; _F7virl8bNks"</formula1>
    </dataValidation>
    <dataValidation type="custom" showErrorMessage="1" error="This cell cannot be changed" sqref="J2">
      <formula1>"J2 &lt;&gt; _eu66cx6RoDD"</formula1>
    </dataValidation>
    <dataValidation type="custom" showErrorMessage="1" error="This cell cannot be changed" sqref="K2">
      <formula1>"K2 &lt;&gt; _CTngjf0Fy64"</formula1>
    </dataValidation>
    <dataValidation type="custom" showErrorMessage="1" error="This cell cannot be changed" sqref="L2">
      <formula1>"L2 &lt;&gt; _rCdQCAYB9e4"</formula1>
    </dataValidation>
    <dataValidation type="custom" showErrorMessage="1" error="This cell cannot be changed" sqref="M2">
      <formula1>"M2 &lt;&gt; _nIzYpjFa5Qk"</formula1>
    </dataValidation>
    <dataValidation type="custom" showErrorMessage="1" error="This cell cannot be changed" sqref="N2">
      <formula1>"N2 &lt;&gt; _Abvqt3BHIqb"</formula1>
    </dataValidation>
    <dataValidation type="custom" showErrorMessage="1" error="This cell cannot be changed" sqref="O2">
      <formula1>"O2 &lt;&gt; _Dw8sKNFOVTH"</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4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4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400-000003000000}">
            <xm:f>ISERROR(MATCH(E3,Validation!$Y$3:$Y$5,0))</xm:f>
            <x14:dxf>
              <font>
                <b/>
                <sz val="12"/>
                <color rgb="FFFF0000"/>
                <name val="Calibri"/>
                <family val="1"/>
              </font>
            </x14:dxf>
          </x14:cfRule>
          <xm:sqref>E3:E1048576</xm:sqref>
        </x14:conditionalFormatting>
        <x14:conditionalFormatting xmlns:xm="http://schemas.microsoft.com/office/excel/2006/main">
          <x14:cfRule type="expression" priority="4" id="{00000000-000E-0000-0400-000004000000}">
            <xm:f>ISERROR(MATCH(F3,Validation!$AC$3:$AC$5,0))</xm:f>
            <x14:dxf>
              <font>
                <b/>
                <sz val="12"/>
                <color rgb="FFFF0000"/>
                <name val="Calibri"/>
                <family val="1"/>
              </font>
            </x14:dxf>
          </x14:cfRule>
          <xm:sqref>F3:F1048576</xm:sqref>
        </x14:conditionalFormatting>
        <x14:conditionalFormatting xmlns:xm="http://schemas.microsoft.com/office/excel/2006/main">
          <x14:cfRule type="expression" priority="5" id="{00000000-000E-0000-0400-000005000000}">
            <xm:f>ISERROR(MATCH(G3,Validation!$AK$3:$AK$5,0))</xm:f>
            <x14:dxf>
              <font>
                <b/>
                <sz val="12"/>
                <color rgb="FFFF0000"/>
                <name val="Calibri"/>
                <family val="1"/>
              </font>
            </x14:dxf>
          </x14:cfRule>
          <xm:sqref>G3:G1048576</xm:sqref>
        </x14:conditionalFormatting>
        <x14:conditionalFormatting xmlns:xm="http://schemas.microsoft.com/office/excel/2006/main">
          <x14:cfRule type="expression" priority="6" id="{00000000-000E-0000-0400-000006000000}">
            <xm:f>ISERROR(MATCH(H3,Validation!$BH$3:$BH$5,0))</xm:f>
            <x14:dxf>
              <font>
                <b/>
                <sz val="12"/>
                <color rgb="FFFF0000"/>
                <name val="Calibri"/>
                <family val="1"/>
              </font>
            </x14:dxf>
          </x14:cfRule>
          <xm:sqref>H3:H1048576</xm:sqref>
        </x14:conditionalFormatting>
        <x14:conditionalFormatting xmlns:xm="http://schemas.microsoft.com/office/excel/2006/main">
          <x14:cfRule type="expression" priority="7" id="{00000000-000E-0000-0400-000007000000}">
            <xm:f>ISERROR(MATCH(I3,Validation!$AA$3:$AA$5,0))</xm:f>
            <x14:dxf>
              <font>
                <b/>
                <sz val="12"/>
                <color rgb="FFFF0000"/>
                <name val="Calibri"/>
                <family val="1"/>
              </font>
            </x14:dxf>
          </x14:cfRule>
          <xm:sqref>I3:I1048576</xm:sqref>
        </x14:conditionalFormatting>
        <x14:conditionalFormatting xmlns:xm="http://schemas.microsoft.com/office/excel/2006/main">
          <x14:cfRule type="expression" priority="8" id="{00000000-000E-0000-0400-000008000000}">
            <xm:f>ISERROR(MATCH(K3,Validation!$T$3:$T$10,0))</xm:f>
            <x14:dxf>
              <font>
                <b/>
                <sz val="12"/>
                <color rgb="FFFF0000"/>
                <name val="Calibri"/>
                <family val="1"/>
              </font>
            </x14:dxf>
          </x14:cfRule>
          <xm:sqref>K3:K1048576</xm:sqref>
        </x14:conditionalFormatting>
        <x14:conditionalFormatting xmlns:xm="http://schemas.microsoft.com/office/excel/2006/main">
          <x14:cfRule type="expression" priority="9" id="{00000000-000E-0000-0400-000009000000}">
            <xm:f>ISERROR(MATCH(L3,Validation!$P$3:$P$6,0))</xm:f>
            <x14:dxf>
              <font>
                <b/>
                <sz val="12"/>
                <color rgb="FFFF0000"/>
                <name val="Calibri"/>
                <family val="1"/>
              </font>
            </x14:dxf>
          </x14:cfRule>
          <xm:sqref>L3:L1048576</xm:sqref>
        </x14:conditionalFormatting>
        <x14:conditionalFormatting xmlns:xm="http://schemas.microsoft.com/office/excel/2006/main">
          <x14:cfRule type="expression" priority="10" id="{00000000-000E-0000-0400-00000A000000}">
            <xm:f>ISERROR(MATCH(M3,Validation!$AB$3:$AB$6,0))</xm:f>
            <x14:dxf>
              <font>
                <b/>
                <sz val="12"/>
                <color rgb="FFFF0000"/>
                <name val="Calibri"/>
                <family val="1"/>
              </font>
            </x14:dxf>
          </x14:cfRule>
          <xm:sqref>M3:M1048576</xm:sqref>
        </x14:conditionalFormatting>
        <x14:conditionalFormatting xmlns:xm="http://schemas.microsoft.com/office/excel/2006/main">
          <x14:cfRule type="expression" priority="11" id="{00000000-000E-0000-0400-00000B000000}">
            <xm:f>ISERROR(MATCH(N3,Validation!$BH$3:$BH$5,0))</xm:f>
            <x14:dxf>
              <font>
                <b/>
                <sz val="12"/>
                <color rgb="FFFF0000"/>
                <name val="Calibri"/>
                <family val="1"/>
              </font>
            </x14:dxf>
          </x14:cfRule>
          <xm:sqref>N3:O1048576</xm:sqref>
        </x14:conditionalFormatting>
      </x14:conditionalFormattings>
    </ext>
    <ext xmlns:x14="http://schemas.microsoft.com/office/spreadsheetml/2009/9/main" uri="{CCE6A557-97BC-4b89-ADB6-D9C93CAAB3DF}">
      <x14:dataValidations xmlns:xm="http://schemas.microsoft.com/office/excel/2006/main" count="10">
        <x14:dataValidation type="list" errorStyle="warning" allowBlank="1" showErrorMessage="1" error="Invalid choice was chosen" xr:uid="{00000000-0002-0000-0400-000002000000}">
          <x14:formula1>
            <xm:f>'TEI Instances'!$A$6:$A$1024</xm:f>
          </x14:formula1>
          <xm:sqref>B3:B1048576</xm:sqref>
        </x14:dataValidation>
        <x14:dataValidation type="list" errorStyle="warning" allowBlank="1" showErrorMessage="1" error="Invalid choice was chosen" xr:uid="{00000000-0002-0000-0400-000004000000}">
          <x14:formula1>
            <xm:f>Validation!$C$3:$C$4</xm:f>
          </x14:formula1>
          <xm:sqref>C3:C1048576</xm:sqref>
        </x14:dataValidation>
        <x14:dataValidation type="list" errorStyle="warning" allowBlank="1" showErrorMessage="1" error="Invalid choice was chosen" xr:uid="{00000000-0002-0000-0400-000007000000}">
          <x14:formula1>
            <xm:f>Validation!$Y$3:$Y$5</xm:f>
          </x14:formula1>
          <xm:sqref>E3:E1048576</xm:sqref>
        </x14:dataValidation>
        <x14:dataValidation type="list" errorStyle="warning" allowBlank="1" showErrorMessage="1" error="Invalid choice was chosen" xr:uid="{00000000-0002-0000-0400-000009000000}">
          <x14:formula1>
            <xm:f>Validation!$AC$3:$AC$5</xm:f>
          </x14:formula1>
          <xm:sqref>F3:F1048576</xm:sqref>
        </x14:dataValidation>
        <x14:dataValidation type="list" errorStyle="warning" allowBlank="1" showErrorMessage="1" error="Invalid choice was chosen" xr:uid="{00000000-0002-0000-0400-00000B000000}">
          <x14:formula1>
            <xm:f>Validation!$AK$3:$AK$5</xm:f>
          </x14:formula1>
          <xm:sqref>G3:G1048576</xm:sqref>
        </x14:dataValidation>
        <x14:dataValidation type="list" errorStyle="warning" allowBlank="1" showErrorMessage="1" error="Invalid choice was chosen" xr:uid="{00000000-0002-0000-0400-00000D000000}">
          <x14:formula1>
            <xm:f>Validation!$BH$3:$BH$5</xm:f>
          </x14:formula1>
          <xm:sqref>H3:H1048576 N3:O1048576</xm:sqref>
        </x14:dataValidation>
        <x14:dataValidation type="list" errorStyle="warning" allowBlank="1" showErrorMessage="1" error="Invalid choice was chosen" xr:uid="{00000000-0002-0000-0400-00000F000000}">
          <x14:formula1>
            <xm:f>Validation!$AA$3:$AA$5</xm:f>
          </x14:formula1>
          <xm:sqref>I3:I1048576</xm:sqref>
        </x14:dataValidation>
        <x14:dataValidation type="list" errorStyle="warning" allowBlank="1" showErrorMessage="1" error="Invalid choice was chosen" xr:uid="{00000000-0002-0000-0400-000012000000}">
          <x14:formula1>
            <xm:f>Validation!$T$3:$T$10</xm:f>
          </x14:formula1>
          <xm:sqref>K3:K1048576</xm:sqref>
        </x14:dataValidation>
        <x14:dataValidation type="list" errorStyle="warning" allowBlank="1" showErrorMessage="1" error="Invalid choice was chosen" xr:uid="{00000000-0002-0000-0400-000014000000}">
          <x14:formula1>
            <xm:f>Validation!$P$3:$P$6</xm:f>
          </x14:formula1>
          <xm:sqref>L3:L1048576</xm:sqref>
        </x14:dataValidation>
        <x14:dataValidation type="list" errorStyle="warning" allowBlank="1" showErrorMessage="1" error="Invalid choice was chosen" xr:uid="{00000000-0002-0000-0400-000016000000}">
          <x14:formula1>
            <xm:f>Validation!$AB$3:$AB$6</xm:f>
          </x14:formula1>
          <xm:sqref>M3:M1048576</xm:sqref>
        </x14:dataValidation>
      </x14:dataValidations>
    </ext>
  </extLst>
</worksheet>
</file>

<file path=xl/worksheets/sheet6.xml><?xml version="1.0" encoding="utf-8"?>
<worksheet xmlns="http://schemas.openxmlformats.org/spreadsheetml/2006/main" xmlns:r="http://schemas.openxmlformats.org/officeDocument/2006/relationships">
  <dimension ref="A1:K2"/>
  <sheetViews>
    <sheetView zoomScaleNormal="100" workbookViewId="0">
      <pane ySplit="2" topLeftCell="A3" activePane="bottomLeft" state="frozen"/>
      <selection pane="bottomLeft"/>
    </sheetView>
  </sheetViews>
  <sheetFormatPr defaultColWidth="11" defaultRowHeight="15.75"/>
  <cols>
    <col min="1" max="4" width="20" customWidth="1"/>
    <col min="5" max="5" width="11.625" customWidth="1"/>
    <col min="6" max="6" width="19.625" customWidth="1"/>
    <col min="7" max="7" width="14.875" customWidth="1"/>
    <col min="8" max="8" width="15.625" customWidth="1"/>
    <col min="9" max="9" width="18.375" customWidth="1"/>
    <col min="10" max="10" width="22" customWidth="1"/>
    <col min="11" max="11" width="17.625" customWidth="1"/>
  </cols>
  <sheetData>
    <row r="1" spans="1:11" ht="30" customHeight="1">
      <c r="A1" s="1" t="str">
        <f>_RQeCTBrhh3Q</f>
        <v>सुत्केरी पछिको सेवा</v>
      </c>
      <c r="E1" s="13" t="str">
        <f>_Dh3k9hBVIxH</f>
        <v>सुत्केरी पछिको सेवा</v>
      </c>
      <c r="F1" s="13"/>
      <c r="G1" s="13"/>
      <c r="H1" s="13"/>
      <c r="I1" s="13"/>
      <c r="J1" s="13"/>
      <c r="K1" s="13"/>
    </row>
    <row r="2" spans="1:11" ht="50.1" customHeight="1">
      <c r="A2" s="1" t="s">
        <v>3224</v>
      </c>
      <c r="B2" s="1" t="s">
        <v>3225</v>
      </c>
      <c r="C2" s="1" t="s">
        <v>2</v>
      </c>
      <c r="D2" s="1" t="s">
        <v>3227</v>
      </c>
      <c r="E2" s="3" t="str">
        <f>_CmHpnkFAqf1</f>
        <v>समय
(HH:mm)</v>
      </c>
      <c r="F2" s="3" t="str">
        <f>_fG7XmwaofuQ</f>
        <v>सुत्केरी जाँच सेवा लिएको</v>
      </c>
      <c r="G2" s="3" t="str">
        <f>_Ri6qfsIIbLg</f>
        <v>आमाको अवस्था</v>
      </c>
      <c r="H2" s="3" t="str">
        <f>_viWbv3Wxbw7</f>
        <v>बच्चाको अवस्था</v>
      </c>
      <c r="I2" s="3" t="str">
        <f>_ypQzG57oNij</f>
        <v>गर्भनिरोध साधन प्रयोग</v>
      </c>
      <c r="J2" s="3" t="str">
        <f>_o8jEmmodLLl</f>
        <v>सुत्केरी जाँच सेवा लिएको स्थान</v>
      </c>
      <c r="K2" s="3" t="str">
        <f>_JwOn7Js769e</f>
        <v>गर्भावस्थाको जटिलता</v>
      </c>
    </row>
  </sheetData>
  <mergeCells count="1">
    <mergeCell ref="E1:K1"/>
  </mergeCells>
  <dataValidations count="11">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_CmHpnkFAqf1"</formula1>
    </dataValidation>
    <dataValidation type="custom" showErrorMessage="1" error="This cell cannot be changed" sqref="F2">
      <formula1>"F2 &lt;&gt; _fG7XmwaofuQ"</formula1>
    </dataValidation>
    <dataValidation type="custom" showErrorMessage="1" error="This cell cannot be changed" sqref="G2">
      <formula1>"G2 &lt;&gt; _Ri6qfsIIbLg"</formula1>
    </dataValidation>
    <dataValidation type="custom" showErrorMessage="1" error="This cell cannot be changed" sqref="H2">
      <formula1>"H2 &lt;&gt; _viWbv3Wxbw7"</formula1>
    </dataValidation>
    <dataValidation type="custom" showErrorMessage="1" error="This cell cannot be changed" sqref="I2">
      <formula1>"I2 &lt;&gt; _ypQzG57oNij"</formula1>
    </dataValidation>
    <dataValidation type="custom" showErrorMessage="1" error="This cell cannot be changed" sqref="J2">
      <formula1>"J2 &lt;&gt; _o8jEmmodLLl"</formula1>
    </dataValidation>
    <dataValidation type="custom" showErrorMessage="1" error="This cell cannot be changed" sqref="K2">
      <formula1>"K2 &lt;&gt; _JwOn7Js769e"</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5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5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500-000003000000}">
            <xm:f>ISERROR(MATCH(F3,Validation!$BE$3:$BE$6,0))</xm:f>
            <x14:dxf>
              <font>
                <b/>
                <sz val="12"/>
                <color rgb="FFFF0000"/>
                <name val="Calibri"/>
                <family val="1"/>
              </font>
            </x14:dxf>
          </x14:cfRule>
          <xm:sqref>F3:F1048576</xm:sqref>
        </x14:conditionalFormatting>
        <x14:conditionalFormatting xmlns:xm="http://schemas.microsoft.com/office/excel/2006/main">
          <x14:cfRule type="expression" priority="4" id="{00000000-000E-0000-0500-000004000000}">
            <xm:f>ISERROR(MATCH(I3,Validation!$L$3:$L$9,0))</xm:f>
            <x14:dxf>
              <font>
                <b/>
                <sz val="12"/>
                <color rgb="FFFF0000"/>
                <name val="Calibri"/>
                <family val="1"/>
              </font>
            </x14:dxf>
          </x14:cfRule>
          <xm:sqref>I3:I1048576</xm:sqref>
        </x14:conditionalFormatting>
        <x14:conditionalFormatting xmlns:xm="http://schemas.microsoft.com/office/excel/2006/main">
          <x14:cfRule type="expression" priority="5" id="{00000000-000E-0000-0500-000005000000}">
            <xm:f>ISERROR(MATCH(J3,Validation!$AU$3:$AU$5,0))</xm:f>
            <x14:dxf>
              <font>
                <b/>
                <sz val="12"/>
                <color rgb="FFFF0000"/>
                <name val="Calibri"/>
                <family val="1"/>
              </font>
            </x14:dxf>
          </x14:cfRule>
          <xm:sqref>J3:J1048576</xm:sqref>
        </x14:conditionalFormatting>
        <x14:conditionalFormatting xmlns:xm="http://schemas.microsoft.com/office/excel/2006/main">
          <x14:cfRule type="expression" priority="6" id="{00000000-000E-0000-0500-000006000000}">
            <xm:f>ISERROR(MATCH(K3,Validation!$M$3:$M$9,0))</xm:f>
            <x14:dxf>
              <font>
                <b/>
                <sz val="12"/>
                <color rgb="FFFF0000"/>
                <name val="Calibri"/>
                <family val="1"/>
              </font>
            </x14:dxf>
          </x14:cfRule>
          <xm:sqref>K3:K1048576</xm:sqref>
        </x14:conditionalFormatting>
      </x14:conditionalFormattings>
    </ext>
    <ext xmlns:x14="http://schemas.microsoft.com/office/spreadsheetml/2009/9/main" uri="{CCE6A557-97BC-4b89-ADB6-D9C93CAAB3DF}">
      <x14:dataValidations xmlns:xm="http://schemas.microsoft.com/office/excel/2006/main" count="6">
        <x14:dataValidation type="list" errorStyle="warning" allowBlank="1" showErrorMessage="1" error="Invalid choice was chosen" xr:uid="{00000000-0002-0000-0500-000002000000}">
          <x14:formula1>
            <xm:f>'TEI Instances'!$A$6:$A$1024</xm:f>
          </x14:formula1>
          <xm:sqref>B3:B1048576</xm:sqref>
        </x14:dataValidation>
        <x14:dataValidation type="list" errorStyle="warning" allowBlank="1" showErrorMessage="1" error="Invalid choice was chosen" xr:uid="{00000000-0002-0000-0500-000004000000}">
          <x14:formula1>
            <xm:f>Validation!$C$3:$C$4</xm:f>
          </x14:formula1>
          <xm:sqref>C3:C1048576</xm:sqref>
        </x14:dataValidation>
        <x14:dataValidation type="list" errorStyle="warning" allowBlank="1" showErrorMessage="1" error="Invalid choice was chosen" xr:uid="{00000000-0002-0000-0500-000008000000}">
          <x14:formula1>
            <xm:f>Validation!$BE$3:$BE$6</xm:f>
          </x14:formula1>
          <xm:sqref>F3:F1048576</xm:sqref>
        </x14:dataValidation>
        <x14:dataValidation type="list" errorStyle="warning" allowBlank="1" showErrorMessage="1" error="Invalid choice was chosen" xr:uid="{00000000-0002-0000-0500-00000C000000}">
          <x14:formula1>
            <xm:f>Validation!$L$3:$L$9</xm:f>
          </x14:formula1>
          <xm:sqref>I3:I1048576</xm:sqref>
        </x14:dataValidation>
        <x14:dataValidation type="list" errorStyle="warning" allowBlank="1" showErrorMessage="1" error="Invalid choice was chosen" xr:uid="{00000000-0002-0000-0500-00000E000000}">
          <x14:formula1>
            <xm:f>Validation!$AU$3:$AU$5</xm:f>
          </x14:formula1>
          <xm:sqref>J3:J1048576</xm:sqref>
        </x14:dataValidation>
        <x14:dataValidation type="list" errorStyle="warning" allowBlank="1" showErrorMessage="1" error="Invalid choice was chosen" xr:uid="{00000000-0002-0000-0500-000010000000}">
          <x14:formula1>
            <xm:f>Validation!$M$3:$M$9</xm:f>
          </x14:formula1>
          <xm:sqref>K3:K1048576</xm:sqref>
        </x14:dataValidation>
      </x14:dataValidations>
    </ext>
  </extLst>
</worksheet>
</file>

<file path=xl/worksheets/sheet7.xml><?xml version="1.0" encoding="utf-8"?>
<worksheet xmlns="http://schemas.openxmlformats.org/spreadsheetml/2006/main" xmlns:r="http://schemas.openxmlformats.org/officeDocument/2006/relationships">
  <dimension ref="A1:E2"/>
  <sheetViews>
    <sheetView zoomScaleNormal="100" workbookViewId="0">
      <pane ySplit="2" topLeftCell="A3" activePane="bottomLeft" state="frozen"/>
      <selection pane="bottomLeft"/>
    </sheetView>
  </sheetViews>
  <sheetFormatPr defaultColWidth="11" defaultRowHeight="15.75"/>
  <cols>
    <col min="1" max="4" width="20" customWidth="1"/>
    <col min="5" max="5" width="27.125" customWidth="1"/>
  </cols>
  <sheetData>
    <row r="1" spans="1:5" ht="30" customHeight="1">
      <c r="A1" s="1" t="str">
        <f>_n3AJQDDLDbZ</f>
        <v>टी .डी. खोप लगाएको विवरण</v>
      </c>
      <c r="E1" s="13" t="str">
        <f>_iPLstSfs7KB</f>
        <v>टी .डी. खोपको विवरण</v>
      </c>
    </row>
    <row r="2" spans="1:5" ht="50.1" customHeight="1">
      <c r="A2" s="1" t="s">
        <v>3224</v>
      </c>
      <c r="B2" s="1" t="s">
        <v>3225</v>
      </c>
      <c r="C2" s="1" t="s">
        <v>2</v>
      </c>
      <c r="D2" s="1" t="s">
        <v>3227</v>
      </c>
      <c r="E2" s="3" t="str">
        <f>_eOuQS4ubUea</f>
        <v>टी.डी. खोप लगाएको  भए यहाँ ( ✔ ) गर्नुहोस्</v>
      </c>
    </row>
  </sheetData>
  <mergeCells count="1">
    <mergeCell ref="E1"/>
  </mergeCells>
  <dataValidations count="5">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_eOuQS4ubUea"</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6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6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600-000003000000}">
            <xm:f>ISERROR(MATCH(E3,Validation!$BI$3:$BI$4,0))</xm:f>
            <x14:dxf>
              <font>
                <b/>
                <sz val="12"/>
                <color rgb="FFFF0000"/>
                <name val="Calibri"/>
                <family val="1"/>
              </font>
            </x14:dxf>
          </x14:cfRule>
          <xm:sqref>E3:E1048576</xm:sqref>
        </x14:conditionalFormatting>
      </x14:conditionalFormattings>
    </ext>
    <ext xmlns:x14="http://schemas.microsoft.com/office/spreadsheetml/2009/9/main" uri="{CCE6A557-97BC-4b89-ADB6-D9C93CAAB3DF}">
      <x14:dataValidations xmlns:xm="http://schemas.microsoft.com/office/excel/2006/main" count="3">
        <x14:dataValidation type="list" errorStyle="warning" allowBlank="1" showErrorMessage="1" error="Invalid choice was chosen" xr:uid="{00000000-0002-0000-0600-000002000000}">
          <x14:formula1>
            <xm:f>'TEI Instances'!$A$6:$A$1024</xm:f>
          </x14:formula1>
          <xm:sqref>B3:B1048576</xm:sqref>
        </x14:dataValidation>
        <x14:dataValidation type="list" errorStyle="warning" allowBlank="1" showErrorMessage="1" error="Invalid choice was chosen" xr:uid="{00000000-0002-0000-0600-000004000000}">
          <x14:formula1>
            <xm:f>Validation!$C$3:$C$4</xm:f>
          </x14:formula1>
          <xm:sqref>C3:C1048576</xm:sqref>
        </x14:dataValidation>
        <x14:dataValidation type="list" errorStyle="warning" allowBlank="1" showErrorMessage="1" error="Invalid choice was chosen" xr:uid="{00000000-0002-0000-0600-000007000000}">
          <x14:formula1>
            <xm:f>Validation!$BI$3:$BI$4</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dimension ref="A1:E2"/>
  <sheetViews>
    <sheetView zoomScaleNormal="100" workbookViewId="0">
      <pane ySplit="2" topLeftCell="A3" activePane="bottomLeft" state="frozen"/>
      <selection pane="bottomLeft"/>
    </sheetView>
  </sheetViews>
  <sheetFormatPr defaultColWidth="11" defaultRowHeight="15.75"/>
  <cols>
    <col min="1" max="4" width="20" customWidth="1"/>
    <col min="5" max="5" width="17.125" customWidth="1"/>
  </cols>
  <sheetData>
    <row r="1" spans="1:5" ht="30" customHeight="1">
      <c r="A1" s="1" t="str">
        <f>_Lm53iIq7zMr</f>
        <v>रगत दिएको विवरण</v>
      </c>
      <c r="E1" s="13" t="str">
        <f>_Fyn20bdx8Wc</f>
        <v>रगत दिइएको विवरण</v>
      </c>
    </row>
    <row r="2" spans="1:5" ht="50.1" customHeight="1">
      <c r="A2" s="1" t="s">
        <v>3224</v>
      </c>
      <c r="B2" s="1" t="s">
        <v>3225</v>
      </c>
      <c r="C2" s="1" t="s">
        <v>2</v>
      </c>
      <c r="D2" s="1" t="s">
        <v>3227</v>
      </c>
      <c r="E2" s="3" t="str">
        <f>_PJb5Hym9A3D</f>
        <v>रगत दिइएको मात्रा</v>
      </c>
    </row>
  </sheetData>
  <mergeCells count="1">
    <mergeCell ref="E1"/>
  </mergeCells>
  <dataValidations count="5">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_PJb5Hym9A3D"</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7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700-000002000000}">
            <xm:f>ISERROR(MATCH(C3,Validation!$C$3:$C$4,0))</xm:f>
            <x14:dxf>
              <font>
                <b/>
                <sz val="12"/>
                <color rgb="FFFF0000"/>
                <name val="Calibri"/>
                <family val="1"/>
              </font>
            </x14:dxf>
          </x14:cfRule>
          <xm:sqref>C3:C1048576</xm:sqref>
        </x14:conditionalFormatting>
      </x14:conditionalFormattings>
    </ext>
    <ext xmlns:x14="http://schemas.microsoft.com/office/spreadsheetml/2009/9/main" uri="{CCE6A557-97BC-4b89-ADB6-D9C93CAAB3DF}">
      <x14:dataValidations xmlns:xm="http://schemas.microsoft.com/office/excel/2006/main" count="2">
        <x14:dataValidation type="list" errorStyle="warning" allowBlank="1" showErrorMessage="1" error="Invalid choice was chosen" xr:uid="{00000000-0002-0000-0700-000002000000}">
          <x14:formula1>
            <xm:f>'TEI Instances'!$A$6:$A$1024</xm:f>
          </x14:formula1>
          <xm:sqref>B3:B1048576</xm:sqref>
        </x14:dataValidation>
        <x14:dataValidation type="list" errorStyle="warning" allowBlank="1" showErrorMessage="1" error="Invalid choice was chosen" xr:uid="{00000000-0002-0000-0700-000004000000}">
          <x14:formula1>
            <xm:f>Validation!$C$3:$C$4</xm:f>
          </x14:formula1>
          <xm:sqref>C3:C1048576</xm:sqref>
        </x14:dataValidation>
      </x14:dataValidations>
    </ext>
  </extLst>
</worksheet>
</file>

<file path=xl/worksheets/sheet9.xml><?xml version="1.0" encoding="utf-8"?>
<worksheet xmlns="http://schemas.openxmlformats.org/spreadsheetml/2006/main" xmlns:r="http://schemas.openxmlformats.org/officeDocument/2006/relationships">
  <dimension ref="A1:M2"/>
  <sheetViews>
    <sheetView zoomScaleNormal="100" workbookViewId="0">
      <pane ySplit="2" topLeftCell="A3" activePane="bottomLeft" state="frozen"/>
      <selection pane="bottomLeft"/>
    </sheetView>
  </sheetViews>
  <sheetFormatPr defaultColWidth="11" defaultRowHeight="15.75"/>
  <cols>
    <col min="1" max="4" width="20" customWidth="1"/>
    <col min="5" max="5" width="12.875" customWidth="1"/>
    <col min="6" max="7" width="14.375" customWidth="1"/>
    <col min="8" max="8" width="15.125" customWidth="1"/>
    <col min="9" max="9" width="12" customWidth="1"/>
    <col min="10" max="11" width="14.375" customWidth="1"/>
    <col min="12" max="12" width="11.625" customWidth="1"/>
    <col min="13" max="13" width="12.375" customWidth="1"/>
  </cols>
  <sheetData>
    <row r="1" spans="1:13" ht="30" customHeight="1">
      <c r="A1" s="1" t="str">
        <f>_JgAcRGoxNQn</f>
        <v>प्रयोगशाला परिक्षण</v>
      </c>
      <c r="E1" s="13" t="str">
        <f>_sZHeIBdupem</f>
        <v>प्रयोगशाला परिक्षण</v>
      </c>
      <c r="F1" s="13"/>
      <c r="G1" s="13"/>
      <c r="H1" s="13"/>
      <c r="I1" s="13"/>
      <c r="J1" s="13"/>
      <c r="K1" s="13"/>
      <c r="L1" s="13"/>
      <c r="M1" s="13"/>
    </row>
    <row r="2" spans="1:13" ht="50.1" customHeight="1">
      <c r="A2" s="1" t="s">
        <v>3224</v>
      </c>
      <c r="B2" s="1" t="s">
        <v>3225</v>
      </c>
      <c r="C2" s="1" t="s">
        <v>2</v>
      </c>
      <c r="D2" s="1" t="s">
        <v>3227</v>
      </c>
      <c r="E2" s="3" t="str">
        <f>_q7dIAgOxfhU</f>
        <v>Albumin</v>
      </c>
      <c r="F2" s="3" t="str">
        <f>_oVYqq6yXjBS</f>
        <v>Haemoglobin</v>
      </c>
      <c r="G2" s="3" t="str">
        <f>_MOnvtNmCVvM</f>
        <v>Urine Sugar</v>
      </c>
      <c r="H2" s="3" t="str">
        <f>_UOR00LDGLWY</f>
        <v>Urine Protein</v>
      </c>
      <c r="I2" s="3" t="str">
        <f>_LNQjHwqIQev</f>
        <v>HBsAg</v>
      </c>
      <c r="J2" s="3" t="str">
        <f>_m67vmO9EfzK</f>
        <v>Blood Sugar</v>
      </c>
      <c r="K2" s="3" t="str">
        <f>_szAMcOwLGvE</f>
        <v>Retro Virus</v>
      </c>
      <c r="L2" s="3" t="str">
        <f>_XYesPsdB5Cr</f>
        <v>VDRL</v>
      </c>
      <c r="M2" s="3" t="str">
        <f>_W6RvHOBuTHl</f>
        <v>Others</v>
      </c>
    </row>
  </sheetData>
  <mergeCells count="1">
    <mergeCell ref="E1:M1"/>
  </mergeCells>
  <dataValidations count="13">
    <dataValidation type="custom" showErrorMessage="1" error="This cell cannot be changed" sqref="A2">
      <formula1>"A2 &lt;&gt; Event id"</formula1>
    </dataValidation>
    <dataValidation type="custom" showErrorMessage="1" error="This cell cannot be changed" sqref="B2">
      <formula1>"B2 &lt;&gt; TEI Id"</formula1>
    </dataValidation>
    <dataValidation type="custom" showErrorMessage="1" error="This cell cannot be changed" sqref="C2">
      <formula1>"C2 &lt;&gt; Options"</formula1>
    </dataValidation>
    <dataValidation type="custom" showErrorMessage="1" error="This cell cannot be changed" sqref="D2">
      <formula1>"D2 &lt;&gt; Visit date *
(YYYY-MM-DD)"</formula1>
    </dataValidation>
    <dataValidation type="custom" showErrorMessage="1" error="This cell cannot be changed" sqref="E2">
      <formula1>"E2 &lt;&gt; _q7dIAgOxfhU"</formula1>
    </dataValidation>
    <dataValidation type="custom" showErrorMessage="1" error="This cell cannot be changed" sqref="F2">
      <formula1>"F2 &lt;&gt; _oVYqq6yXjBS"</formula1>
    </dataValidation>
    <dataValidation type="custom" showErrorMessage="1" error="This cell cannot be changed" sqref="G2">
      <formula1>"G2 &lt;&gt; _MOnvtNmCVvM"</formula1>
    </dataValidation>
    <dataValidation type="custom" showErrorMessage="1" error="This cell cannot be changed" sqref="H2">
      <formula1>"H2 &lt;&gt; _UOR00LDGLWY"</formula1>
    </dataValidation>
    <dataValidation type="custom" showErrorMessage="1" error="This cell cannot be changed" sqref="I2">
      <formula1>"I2 &lt;&gt; _LNQjHwqIQev"</formula1>
    </dataValidation>
    <dataValidation type="custom" showErrorMessage="1" error="This cell cannot be changed" sqref="J2">
      <formula1>"J2 &lt;&gt; _m67vmO9EfzK"</formula1>
    </dataValidation>
    <dataValidation type="custom" showErrorMessage="1" error="This cell cannot be changed" sqref="K2">
      <formula1>"K2 &lt;&gt; _szAMcOwLGvE"</formula1>
    </dataValidation>
    <dataValidation type="custom" showErrorMessage="1" error="This cell cannot be changed" sqref="L2">
      <formula1>"L2 &lt;&gt; _XYesPsdB5Cr"</formula1>
    </dataValidation>
    <dataValidation type="custom" showErrorMessage="1" error="This cell cannot be changed" sqref="M2">
      <formula1>"M2 &lt;&gt; _W6RvHOBuTHl"</formula1>
    </dataValidation>
  </dataValidations>
  <pageMargins left="0.7" right="0.7" top="0.75" bottom="0.75" header="0.3" footer="0.3"/>
  <extLst xmlns:xr="http://schemas.microsoft.com/office/spreadsheetml/2014/revision">
    <ext xmlns:x14="http://schemas.microsoft.com/office/spreadsheetml/2009/9/main" uri="{78C0D931-6437-407d-A8EE-F0AAD7539E65}">
      <x14:conditionalFormattings>
        <x14:conditionalFormatting xmlns:xm="http://schemas.microsoft.com/office/excel/2006/main">
          <x14:cfRule type="expression" priority="1" id="{00000000-000E-0000-0800-000001000000}">
            <xm:f>ISERROR(MATCH(B3,'TEI Instances'!$A$6:$A$1024,0))</xm:f>
            <x14:dxf>
              <font>
                <b/>
                <sz val="12"/>
                <color rgb="FFFF0000"/>
                <name val="Calibri"/>
                <family val="1"/>
              </font>
            </x14:dxf>
          </x14:cfRule>
          <xm:sqref>B3:B1048576</xm:sqref>
        </x14:conditionalFormatting>
        <x14:conditionalFormatting xmlns:xm="http://schemas.microsoft.com/office/excel/2006/main">
          <x14:cfRule type="expression" priority="2" id="{00000000-000E-0000-0800-000002000000}">
            <xm:f>ISERROR(MATCH(C3,Validation!$C$3:$C$4,0))</xm:f>
            <x14:dxf>
              <font>
                <b/>
                <sz val="12"/>
                <color rgb="FFFF0000"/>
                <name val="Calibri"/>
                <family val="1"/>
              </font>
            </x14:dxf>
          </x14:cfRule>
          <xm:sqref>C3:C1048576</xm:sqref>
        </x14:conditionalFormatting>
        <x14:conditionalFormatting xmlns:xm="http://schemas.microsoft.com/office/excel/2006/main">
          <x14:cfRule type="expression" priority="3" id="{00000000-000E-0000-0800-000003000000}">
            <xm:f>ISERROR(MATCH(G3,Validation!$AH$3:$AH$5,0))</xm:f>
            <x14:dxf>
              <font>
                <b/>
                <sz val="12"/>
                <color rgb="FFFF0000"/>
                <name val="Calibri"/>
                <family val="1"/>
              </font>
            </x14:dxf>
          </x14:cfRule>
          <xm:sqref>G3:G1048576</xm:sqref>
        </x14:conditionalFormatting>
        <x14:conditionalFormatting xmlns:xm="http://schemas.microsoft.com/office/excel/2006/main">
          <x14:cfRule type="expression" priority="4" id="{00000000-000E-0000-0800-000004000000}">
            <xm:f>ISERROR(MATCH(H3,Validation!$AX$3:$AX$5,0))</xm:f>
            <x14:dxf>
              <font>
                <b/>
                <sz val="12"/>
                <color rgb="FFFF0000"/>
                <name val="Calibri"/>
                <family val="1"/>
              </font>
            </x14:dxf>
          </x14:cfRule>
          <xm:sqref>H3:H1048576</xm:sqref>
        </x14:conditionalFormatting>
        <x14:conditionalFormatting xmlns:xm="http://schemas.microsoft.com/office/excel/2006/main">
          <x14:cfRule type="expression" priority="5" id="{00000000-000E-0000-0800-000005000000}">
            <xm:f>ISERROR(MATCH(I3,Validation!$BG$3:$BG$6,0))</xm:f>
            <x14:dxf>
              <font>
                <b/>
                <sz val="12"/>
                <color rgb="FFFF0000"/>
                <name val="Calibri"/>
                <family val="1"/>
              </font>
            </x14:dxf>
          </x14:cfRule>
          <xm:sqref>I3:I1048576</xm:sqref>
        </x14:conditionalFormatting>
        <x14:conditionalFormatting xmlns:xm="http://schemas.microsoft.com/office/excel/2006/main">
          <x14:cfRule type="expression" priority="6" id="{00000000-000E-0000-0800-000006000000}">
            <xm:f>ISERROR(MATCH(K3,Validation!$J$3:$J$6,0))</xm:f>
            <x14:dxf>
              <font>
                <b/>
                <sz val="12"/>
                <color rgb="FFFF0000"/>
                <name val="Calibri"/>
                <family val="1"/>
              </font>
            </x14:dxf>
          </x14:cfRule>
          <xm:sqref>K3:K1048576</xm:sqref>
        </x14:conditionalFormatting>
        <x14:conditionalFormatting xmlns:xm="http://schemas.microsoft.com/office/excel/2006/main">
          <x14:cfRule type="expression" priority="7" id="{00000000-000E-0000-0800-000007000000}">
            <xm:f>ISERROR(MATCH(L3,Validation!$BC$3:$BC$6,0))</xm:f>
            <x14:dxf>
              <font>
                <b/>
                <sz val="12"/>
                <color rgb="FFFF0000"/>
                <name val="Calibri"/>
                <family val="1"/>
              </font>
            </x14:dxf>
          </x14:cfRule>
          <xm:sqref>L3:L1048576</xm:sqref>
        </x14:conditionalFormatting>
      </x14:conditionalFormattings>
    </ext>
    <ext xmlns:x14="http://schemas.microsoft.com/office/spreadsheetml/2009/9/main" uri="{CCE6A557-97BC-4b89-ADB6-D9C93CAAB3DF}">
      <x14:dataValidations xmlns:xm="http://schemas.microsoft.com/office/excel/2006/main" count="7">
        <x14:dataValidation type="list" errorStyle="warning" allowBlank="1" showErrorMessage="1" error="Invalid choice was chosen" xr:uid="{00000000-0002-0000-0800-000002000000}">
          <x14:formula1>
            <xm:f>'TEI Instances'!$A$6:$A$1024</xm:f>
          </x14:formula1>
          <xm:sqref>B3:B1048576</xm:sqref>
        </x14:dataValidation>
        <x14:dataValidation type="list" errorStyle="warning" allowBlank="1" showErrorMessage="1" error="Invalid choice was chosen" xr:uid="{00000000-0002-0000-0800-000004000000}">
          <x14:formula1>
            <xm:f>Validation!$C$3:$C$4</xm:f>
          </x14:formula1>
          <xm:sqref>C3:C1048576</xm:sqref>
        </x14:dataValidation>
        <x14:dataValidation type="list" errorStyle="warning" allowBlank="1" showErrorMessage="1" error="Invalid choice was chosen" xr:uid="{00000000-0002-0000-0800-000009000000}">
          <x14:formula1>
            <xm:f>Validation!$AH$3:$AH$5</xm:f>
          </x14:formula1>
          <xm:sqref>G3:G1048576</xm:sqref>
        </x14:dataValidation>
        <x14:dataValidation type="list" errorStyle="warning" allowBlank="1" showErrorMessage="1" error="Invalid choice was chosen" xr:uid="{00000000-0002-0000-0800-00000B000000}">
          <x14:formula1>
            <xm:f>Validation!$AX$3:$AX$5</xm:f>
          </x14:formula1>
          <xm:sqref>H3:H1048576</xm:sqref>
        </x14:dataValidation>
        <x14:dataValidation type="list" errorStyle="warning" allowBlank="1" showErrorMessage="1" error="Invalid choice was chosen" xr:uid="{00000000-0002-0000-0800-00000D000000}">
          <x14:formula1>
            <xm:f>Validation!$BG$3:$BG$6</xm:f>
          </x14:formula1>
          <xm:sqref>I3:I1048576</xm:sqref>
        </x14:dataValidation>
        <x14:dataValidation type="list" errorStyle="warning" allowBlank="1" showErrorMessage="1" error="Invalid choice was chosen" xr:uid="{00000000-0002-0000-0800-000010000000}">
          <x14:formula1>
            <xm:f>Validation!$J$3:$J$6</xm:f>
          </x14:formula1>
          <xm:sqref>K3:K1048576</xm:sqref>
        </x14:dataValidation>
        <x14:dataValidation type="list" errorStyle="warning" allowBlank="1" showErrorMessage="1" error="Invalid choice was chosen" xr:uid="{00000000-0002-0000-0800-000012000000}">
          <x14:formula1>
            <xm:f>Validation!$BC$3:$BC$6</xm:f>
          </x14:formula1>
          <xm:sqref>L3:L1048576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1498</vt:i4>
      </vt:variant>
    </vt:vector>
  </HeadingPairs>
  <TitlesOfParts>
    <vt:vector size="1512" baseType="lpstr">
      <vt:lpstr>TEI Instances</vt:lpstr>
      <vt:lpstr>(1) अघिल्ला गर्भहरुको विवरण</vt:lpstr>
      <vt:lpstr>(2) गर्भवती जाँच</vt:lpstr>
      <vt:lpstr>(3) प्रशुती सम्बन्धी विवरण</vt:lpstr>
      <vt:lpstr>(4) नवशिशुको विवरण</vt:lpstr>
      <vt:lpstr>(5) सुत्केरी पछिको सेवा</vt:lpstr>
      <vt:lpstr>(6) टी .डी. खोप लगाएको विवरण</vt:lpstr>
      <vt:lpstr>(7) रगत दिएको विवरण</vt:lpstr>
      <vt:lpstr>(8) प्रयोगशाला परिक्षण</vt:lpstr>
      <vt:lpstr>(9) यातायात, उत्प्रेरणा तथा न्य</vt:lpstr>
      <vt:lpstr>(10) परिणामहरू</vt:lpstr>
      <vt:lpstr>Legend</vt:lpstr>
      <vt:lpstr>Validation</vt:lpstr>
      <vt:lpstr>Metadata</vt:lpstr>
      <vt:lpstr>_A16SOb3fau5</vt:lpstr>
      <vt:lpstr>_a2EQngqNhUy</vt:lpstr>
      <vt:lpstr>_a2LkZvqcTyR</vt:lpstr>
      <vt:lpstr>_a2MOelDzJS9</vt:lpstr>
      <vt:lpstr>_A2Wzsls1TW1</vt:lpstr>
      <vt:lpstr>_A9FRZGN0CZR</vt:lpstr>
      <vt:lpstr>_A9N1sbkG8UH</vt:lpstr>
      <vt:lpstr>_AA33oXfJmSA</vt:lpstr>
      <vt:lpstr>_aBdFQh3NIuw</vt:lpstr>
      <vt:lpstr>_Abvqt3BHIqb</vt:lpstr>
      <vt:lpstr>_abXy9q4afMI</vt:lpstr>
      <vt:lpstr>_ACpJnG9sBG5</vt:lpstr>
      <vt:lpstr>_Ad058lDJcEN</vt:lpstr>
      <vt:lpstr>_AFbJAotfqLB</vt:lpstr>
      <vt:lpstr>_AfdYKKMqtMF</vt:lpstr>
      <vt:lpstr>_AFeaoZjUsXc</vt:lpstr>
      <vt:lpstr>_agEZa9QqeFs</vt:lpstr>
      <vt:lpstr>_AGLA63Kgt23</vt:lpstr>
      <vt:lpstr>_aH3mBKPqytB</vt:lpstr>
      <vt:lpstr>_Ah7wooQDBr5</vt:lpstr>
      <vt:lpstr>_AhdA3Lx65fB</vt:lpstr>
      <vt:lpstr>_aiC5OOqkGo5</vt:lpstr>
      <vt:lpstr>_AisWo7zl5J4</vt:lpstr>
      <vt:lpstr>_aiY3tqum3Ef</vt:lpstr>
      <vt:lpstr>_AJ9Gn9nHpvW</vt:lpstr>
      <vt:lpstr>_AjBU4zDPn43</vt:lpstr>
      <vt:lpstr>_ajCrTaA6Dki</vt:lpstr>
      <vt:lpstr>_AL3vprrDbCy</vt:lpstr>
      <vt:lpstr>_AlwvcHwtPwo</vt:lpstr>
      <vt:lpstr>_ANAdEOILePM</vt:lpstr>
      <vt:lpstr>_anbeBY0SQH8</vt:lpstr>
      <vt:lpstr>_ANmSlQlGZpK</vt:lpstr>
      <vt:lpstr>_aOTBLULFFU9</vt:lpstr>
      <vt:lpstr>_aQwjqvZ1vfl</vt:lpstr>
      <vt:lpstr>_arcQqDIpyVu</vt:lpstr>
      <vt:lpstr>_aT1C1NNkVEY</vt:lpstr>
      <vt:lpstr>_aUu1WR7nEAo</vt:lpstr>
      <vt:lpstr>_AVdFHNSEFlJ</vt:lpstr>
      <vt:lpstr>_avEMfy4MKQA</vt:lpstr>
      <vt:lpstr>_avqY3bStVXe</vt:lpstr>
      <vt:lpstr>_avXwdss1sq1</vt:lpstr>
      <vt:lpstr>_aw2FLLAkA4v</vt:lpstr>
      <vt:lpstr>_AWDanrLkh6L</vt:lpstr>
      <vt:lpstr>_aZ5Opl6oYMa</vt:lpstr>
      <vt:lpstr>_AZcogwTHaNJ</vt:lpstr>
      <vt:lpstr>_B0KwoAXqEG4</vt:lpstr>
      <vt:lpstr>_B4f5W5I05Xl</vt:lpstr>
      <vt:lpstr>_B4kxqi2BxXF</vt:lpstr>
      <vt:lpstr>_B59tLsWZkHC</vt:lpstr>
      <vt:lpstr>_b70KIOqldV3</vt:lpstr>
      <vt:lpstr>_b7rB4DonEzB</vt:lpstr>
      <vt:lpstr>_B86m4uCHWgU</vt:lpstr>
      <vt:lpstr>_B9jF6b6jw0s</vt:lpstr>
      <vt:lpstr>_B9tZrhbfq9n</vt:lpstr>
      <vt:lpstr>_BaCs6x5jTLo</vt:lpstr>
      <vt:lpstr>_baOS7lB4E6R</vt:lpstr>
      <vt:lpstr>_bB62j4JgpM4</vt:lpstr>
      <vt:lpstr>_BB9bAVTvvLA</vt:lpstr>
      <vt:lpstr>_bCCD5qLqeGp</vt:lpstr>
      <vt:lpstr>_BcZ2yHtzSqy</vt:lpstr>
      <vt:lpstr>_Bd31B4WEpjb</vt:lpstr>
      <vt:lpstr>_BdtExiPrJCa</vt:lpstr>
      <vt:lpstr>_beavLVMOsOK</vt:lpstr>
      <vt:lpstr>_BEDs6ERgG0G</vt:lpstr>
      <vt:lpstr>_bf0dMaiaf6p</vt:lpstr>
      <vt:lpstr>_bffH5LCX5WJ</vt:lpstr>
      <vt:lpstr>_bFGavBJA5kp</vt:lpstr>
      <vt:lpstr>_bfMhkIAGWMh</vt:lpstr>
      <vt:lpstr>_BFXIVv1gKAU</vt:lpstr>
      <vt:lpstr>_BgJkE8Z3tME</vt:lpstr>
      <vt:lpstr>_bi9FN2il4hD</vt:lpstr>
      <vt:lpstr>_bjDvmb4bfuf</vt:lpstr>
      <vt:lpstr>_BJFyMMWdt1S</vt:lpstr>
      <vt:lpstr>_bJJF34jsnVe</vt:lpstr>
      <vt:lpstr>_BkO8zUrY7zo</vt:lpstr>
      <vt:lpstr>_BlMxCPzLVKE</vt:lpstr>
      <vt:lpstr>_BN6KeZPtfim</vt:lpstr>
      <vt:lpstr>_BNcupjySWTY</vt:lpstr>
      <vt:lpstr>_bNDaGC81g9j</vt:lpstr>
      <vt:lpstr>_BnLwORfhADK</vt:lpstr>
      <vt:lpstr>_bnTduc3MrXo</vt:lpstr>
      <vt:lpstr>_BnUgUaefXDw</vt:lpstr>
      <vt:lpstr>_BoyKZH0P4r3</vt:lpstr>
      <vt:lpstr>_bpBrKWcorkE</vt:lpstr>
      <vt:lpstr>_bPdok64c99F</vt:lpstr>
      <vt:lpstr>_BPocTr5SxFu</vt:lpstr>
      <vt:lpstr>_bsZnG2ZVT7x</vt:lpstr>
      <vt:lpstr>_bte9g1BGR27</vt:lpstr>
      <vt:lpstr>_bTzJyMjjhev</vt:lpstr>
      <vt:lpstr>_BUTnbz63wQi</vt:lpstr>
      <vt:lpstr>_buUTBk8XKxr</vt:lpstr>
      <vt:lpstr>_bVg6HU7h80C</vt:lpstr>
      <vt:lpstr>_bYWkWoB2JcS</vt:lpstr>
      <vt:lpstr>_BZKaKzu2OMB</vt:lpstr>
      <vt:lpstr>_BzpYKLNIQi7</vt:lpstr>
      <vt:lpstr>_C03grs7b6ia</vt:lpstr>
      <vt:lpstr>_c1AV61Pw8JE</vt:lpstr>
      <vt:lpstr>_c1Ujw75dAUk</vt:lpstr>
      <vt:lpstr>_c5bHzNOH9ge</vt:lpstr>
      <vt:lpstr>_c5p7RIRVhEq</vt:lpstr>
      <vt:lpstr>_C6VdaInio3i</vt:lpstr>
      <vt:lpstr>_C89WH84DPU1</vt:lpstr>
      <vt:lpstr>_c9dmVK0aoLe</vt:lpstr>
      <vt:lpstr>_CB2Cw9PwiS8</vt:lpstr>
      <vt:lpstr>_cbFzUVaCXtK</vt:lpstr>
      <vt:lpstr>_Cbjy7cYGPNy</vt:lpstr>
      <vt:lpstr>_cbrawb3sItt</vt:lpstr>
      <vt:lpstr>_CD1SmRwWvto</vt:lpstr>
      <vt:lpstr>_CDrNusk1oST</vt:lpstr>
      <vt:lpstr>_CDTcSO8IoVh</vt:lpstr>
      <vt:lpstr>_cDW2ERZxTUY</vt:lpstr>
      <vt:lpstr>_CDxFiEyvP21</vt:lpstr>
      <vt:lpstr>_ce1N6seTTZb</vt:lpstr>
      <vt:lpstr>_ce8vJYIayAY</vt:lpstr>
      <vt:lpstr>_ceBlLzzQayY</vt:lpstr>
      <vt:lpstr>_ceswe1AhlMv</vt:lpstr>
      <vt:lpstr>_Cf4730FzUcC</vt:lpstr>
      <vt:lpstr>_cfCXBvn7JmV</vt:lpstr>
      <vt:lpstr>_cgB3PsX45wj</vt:lpstr>
      <vt:lpstr>_cgfevO6qPNb</vt:lpstr>
      <vt:lpstr>_CGQ7gCUAhra</vt:lpstr>
      <vt:lpstr>_cgYCKFH2MVe</vt:lpstr>
      <vt:lpstr>_ChGszfoNc2E</vt:lpstr>
      <vt:lpstr>_cHNIkKJMT7i</vt:lpstr>
      <vt:lpstr>_CIPT3L1e27c</vt:lpstr>
      <vt:lpstr>_CJhFZl6mBM9</vt:lpstr>
      <vt:lpstr>_ck21XgpZ926</vt:lpstr>
      <vt:lpstr>_cklFH9flwyR</vt:lpstr>
      <vt:lpstr>_ClnBTsAtRGo</vt:lpstr>
      <vt:lpstr>_CLqI0gq6l4q</vt:lpstr>
      <vt:lpstr>_CLyOZPVChsj</vt:lpstr>
      <vt:lpstr>_CM7alJLzVU6</vt:lpstr>
      <vt:lpstr>_CmHpnkFAqf1</vt:lpstr>
      <vt:lpstr>_cmrhhXHnQJH</vt:lpstr>
      <vt:lpstr>_cn3XotMwkGY</vt:lpstr>
      <vt:lpstr>_CPOaqrVXxYy</vt:lpstr>
      <vt:lpstr>_CPSY9ea64GO</vt:lpstr>
      <vt:lpstr>_CQXGrPzbdD8</vt:lpstr>
      <vt:lpstr>_CR3ZyNoL1wG</vt:lpstr>
      <vt:lpstr>_cSBE15iCImc</vt:lpstr>
      <vt:lpstr>_cSH5MTvPeKh</vt:lpstr>
      <vt:lpstr>_cSlTxeCChkR</vt:lpstr>
      <vt:lpstr>_CSUrN9sHxwS</vt:lpstr>
      <vt:lpstr>_CTKBGChDlMf</vt:lpstr>
      <vt:lpstr>_ctmZ0XMfq6q</vt:lpstr>
      <vt:lpstr>_CTngjf0Fy64</vt:lpstr>
      <vt:lpstr>_cTwddHDIkjo</vt:lpstr>
      <vt:lpstr>_cUBtlCwEimO</vt:lpstr>
      <vt:lpstr>_CvfXamPOSXo</vt:lpstr>
      <vt:lpstr>_cvoTrf51FSH</vt:lpstr>
      <vt:lpstr>_CwJGwfCxNKL</vt:lpstr>
      <vt:lpstr>_cXdGOxKHbru</vt:lpstr>
      <vt:lpstr>_cYFbMAiC24i</vt:lpstr>
      <vt:lpstr>_Cyg2LIFPaxX</vt:lpstr>
      <vt:lpstr>_cyUFlb08WMt</vt:lpstr>
      <vt:lpstr>_cZcg8ieuuAE</vt:lpstr>
      <vt:lpstr>_d1JI7XiR09V</vt:lpstr>
      <vt:lpstr>_d2pWANWy2uY</vt:lpstr>
      <vt:lpstr>_d4Cf9mbMyiw</vt:lpstr>
      <vt:lpstr>_d4FJ4Az1j3f</vt:lpstr>
      <vt:lpstr>_D5hljfQxMJg</vt:lpstr>
      <vt:lpstr>_D5K3HojWYij</vt:lpstr>
      <vt:lpstr>_d6DBa3gl9iD</vt:lpstr>
      <vt:lpstr>_D8EH8CPRoug</vt:lpstr>
      <vt:lpstr>_d96yGcoRjHm</vt:lpstr>
      <vt:lpstr>_D9KSCMhhqic</vt:lpstr>
      <vt:lpstr>_da1X0ObWb1q</vt:lpstr>
      <vt:lpstr>_dAoPcVZsdcH</vt:lpstr>
      <vt:lpstr>_DB1PCBxNcFQ</vt:lpstr>
      <vt:lpstr>_db5OVYUzzsI</vt:lpstr>
      <vt:lpstr>_dbbiRplGReR</vt:lpstr>
      <vt:lpstr>_dbukoc9TvKf</vt:lpstr>
      <vt:lpstr>_dC6tl9prtWA</vt:lpstr>
      <vt:lpstr>_DcbQ74LfAHY</vt:lpstr>
      <vt:lpstr>_dDAPr1L9hTw</vt:lpstr>
      <vt:lpstr>_DdbxSObRkVw</vt:lpstr>
      <vt:lpstr>_dfoVeRIW48h</vt:lpstr>
      <vt:lpstr>_dG3r3AtNHXy</vt:lpstr>
      <vt:lpstr>_DGVqx9QeXmC</vt:lpstr>
      <vt:lpstr>_DGWkDlms5cA</vt:lpstr>
      <vt:lpstr>_Dh3k9hBVIxH</vt:lpstr>
      <vt:lpstr>_dh411K5LInS</vt:lpstr>
      <vt:lpstr>_DHKIF8CCKtn</vt:lpstr>
      <vt:lpstr>_DHsHGmuz5VE</vt:lpstr>
      <vt:lpstr>_dI5VI5aPpCi</vt:lpstr>
      <vt:lpstr>_dI5VkJYUigs</vt:lpstr>
      <vt:lpstr>_dIcKJLIZB9j</vt:lpstr>
      <vt:lpstr>_DilqYkRT6h8</vt:lpstr>
      <vt:lpstr>_DirADZjTCRh</vt:lpstr>
      <vt:lpstr>_dirvsPhXe5z</vt:lpstr>
      <vt:lpstr>_dJTKm6DZq8P</vt:lpstr>
      <vt:lpstr>_DJwNAHcToJ2</vt:lpstr>
      <vt:lpstr>_dkGjet6mkW7</vt:lpstr>
      <vt:lpstr>_dkunQANBrkN</vt:lpstr>
      <vt:lpstr>_dl8V6GxWW1c</vt:lpstr>
      <vt:lpstr>_DL98EDYKUFX</vt:lpstr>
      <vt:lpstr>_dloKGDYvE6H</vt:lpstr>
      <vt:lpstr>_dlyrtkRPcDP</vt:lpstr>
      <vt:lpstr>_DM5lmA58VdW</vt:lpstr>
      <vt:lpstr>_dMaWK8kw774</vt:lpstr>
      <vt:lpstr>_DMSdapbiSXY</vt:lpstr>
      <vt:lpstr>_DMTUQoDPL0X</vt:lpstr>
      <vt:lpstr>_dNGEK47vHCA</vt:lpstr>
      <vt:lpstr>_DomxfGAQdyu</vt:lpstr>
      <vt:lpstr>_dpVaz6PWHf7</vt:lpstr>
      <vt:lpstr>_drOWOVhfoZu</vt:lpstr>
      <vt:lpstr>_drRcQapEEzd</vt:lpstr>
      <vt:lpstr>_DSecoD4xw0m</vt:lpstr>
      <vt:lpstr>_dTGC5KKUAU1</vt:lpstr>
      <vt:lpstr>_dUlY9hncbEw</vt:lpstr>
      <vt:lpstr>_dUswNRKX5Ua</vt:lpstr>
      <vt:lpstr>_DUzIaN831Ac</vt:lpstr>
      <vt:lpstr>_Dvldkcaz03T</vt:lpstr>
      <vt:lpstr>_Dw8sKNFOVTH</vt:lpstr>
      <vt:lpstr>_DX1S4FT2XDO</vt:lpstr>
      <vt:lpstr>_dX55nQ55KOY</vt:lpstr>
      <vt:lpstr>_dZaKXk7C4Aj</vt:lpstr>
      <vt:lpstr>_DZGCXGDtDxQ</vt:lpstr>
      <vt:lpstr>_e0L54G96FZV</vt:lpstr>
      <vt:lpstr>_E101W9XoGSg</vt:lpstr>
      <vt:lpstr>_E178eJZJdFs</vt:lpstr>
      <vt:lpstr>_E1WOhoEYpmV</vt:lpstr>
      <vt:lpstr>_E2GlezvQ5pr</vt:lpstr>
      <vt:lpstr>_e2MDx3rpwfX</vt:lpstr>
      <vt:lpstr>_e3SdLuFphrm</vt:lpstr>
      <vt:lpstr>_E4gAVdVz40t</vt:lpstr>
      <vt:lpstr>_E7ZimGIFJea</vt:lpstr>
      <vt:lpstr>_E853HhQ1bda</vt:lpstr>
      <vt:lpstr>_E8TR1Jk4nn1</vt:lpstr>
      <vt:lpstr>_EAdcnn8OPfm</vt:lpstr>
      <vt:lpstr>_EaiHcHYvfqF</vt:lpstr>
      <vt:lpstr>_Eb5YAiVnokC</vt:lpstr>
      <vt:lpstr>_EbgbaF1x5hp</vt:lpstr>
      <vt:lpstr>_EbMwgHGEVKE</vt:lpstr>
      <vt:lpstr>_EbRPVb37vtA</vt:lpstr>
      <vt:lpstr>_eBXREFOw0nq</vt:lpstr>
      <vt:lpstr>_eC2yVbLAfEN</vt:lpstr>
      <vt:lpstr>_EC9aYM1wyVq</vt:lpstr>
      <vt:lpstr>_ecFkOTcOdH3</vt:lpstr>
      <vt:lpstr>_Ed9wCgYOzt4</vt:lpstr>
      <vt:lpstr>_EdIqWcCUjCc</vt:lpstr>
      <vt:lpstr>_edknA2D7xkN</vt:lpstr>
      <vt:lpstr>_eeJohWg5B1D</vt:lpstr>
      <vt:lpstr>_EfCudBVM9kt</vt:lpstr>
      <vt:lpstr>_eg8Bg3qRAQM</vt:lpstr>
      <vt:lpstr>_EG9W03wvWvA</vt:lpstr>
      <vt:lpstr>_eHRumu0UWaK</vt:lpstr>
      <vt:lpstr>_eIGL9YxJk72</vt:lpstr>
      <vt:lpstr>_EIhCJitb9i6</vt:lpstr>
      <vt:lpstr>_ejhd6XlDKhm</vt:lpstr>
      <vt:lpstr>_ejnO06mvSGE</vt:lpstr>
      <vt:lpstr>_EMvc6eCNmHp</vt:lpstr>
      <vt:lpstr>_eo54yWBzEE6</vt:lpstr>
      <vt:lpstr>_eoT37lqiJgl</vt:lpstr>
      <vt:lpstr>_eOuQS4ubUea</vt:lpstr>
      <vt:lpstr>_Ep8b7OPXSYz</vt:lpstr>
      <vt:lpstr>_EpRvQ984Z73</vt:lpstr>
      <vt:lpstr>_EqHH8PSrwbW</vt:lpstr>
      <vt:lpstr>_eQNOFKd17s7</vt:lpstr>
      <vt:lpstr>_eQRTRhnf3aM</vt:lpstr>
      <vt:lpstr>_ErG5CWSzHwK</vt:lpstr>
      <vt:lpstr>_erJluauj4CB</vt:lpstr>
      <vt:lpstr>_esxCNmjUuar</vt:lpstr>
      <vt:lpstr>_et32DDJ6nyF</vt:lpstr>
      <vt:lpstr>_ETRgUeBxXL3</vt:lpstr>
      <vt:lpstr>_eTwDVwypBDP</vt:lpstr>
      <vt:lpstr>_eu66cx6RoDD</vt:lpstr>
      <vt:lpstr>_EUS64QZ6ZA6</vt:lpstr>
      <vt:lpstr>_eW0hwS68FZi</vt:lpstr>
      <vt:lpstr>_EWFhOqCrPBX</vt:lpstr>
      <vt:lpstr>_expqrmvsTnR</vt:lpstr>
      <vt:lpstr>_EXW2mIqRpTa</vt:lpstr>
      <vt:lpstr>_Ey27DTQAss8</vt:lpstr>
      <vt:lpstr>_EYcPOPnxcid</vt:lpstr>
      <vt:lpstr>_EydQRn8YGkO</vt:lpstr>
      <vt:lpstr>_EyZAxT3ygnK</vt:lpstr>
      <vt:lpstr>_f2euMB8Et0o</vt:lpstr>
      <vt:lpstr>_f2MoDGu2V3c</vt:lpstr>
      <vt:lpstr>_f38DNXwNUAX</vt:lpstr>
      <vt:lpstr>_f391XDmEuse</vt:lpstr>
      <vt:lpstr>_f3a1w98JkXe</vt:lpstr>
      <vt:lpstr>_f4c0csFW1m6</vt:lpstr>
      <vt:lpstr>_f4HwDZTupMU</vt:lpstr>
      <vt:lpstr>_F5BsT248TRP</vt:lpstr>
      <vt:lpstr>_F6OWwdthwcV</vt:lpstr>
      <vt:lpstr>_f6zr99LuJp6</vt:lpstr>
      <vt:lpstr>_f7dXEJqkA2A</vt:lpstr>
      <vt:lpstr>_f7htQr8FXmb</vt:lpstr>
      <vt:lpstr>_F7virl8bNks</vt:lpstr>
      <vt:lpstr>_F8iPAOD409z</vt:lpstr>
      <vt:lpstr>_F8yI5ggw186</vt:lpstr>
      <vt:lpstr>_f9Bkqm9NoAX</vt:lpstr>
      <vt:lpstr>_F9BRjjhu0GH</vt:lpstr>
      <vt:lpstr>_f9vHSvhqUee</vt:lpstr>
      <vt:lpstr>_FaK89JV1yhV</vt:lpstr>
      <vt:lpstr>_false</vt:lpstr>
      <vt:lpstr>_FbdWH3G7ANh</vt:lpstr>
      <vt:lpstr>_FCW0EGpn8MS</vt:lpstr>
      <vt:lpstr>_fDkrYoZxJW3</vt:lpstr>
      <vt:lpstr>_FEaCcqaomTg</vt:lpstr>
      <vt:lpstr>_FEKZzIcTELk</vt:lpstr>
      <vt:lpstr>_FfCsQfcC9MC</vt:lpstr>
      <vt:lpstr>_FfWZp2RaX5b</vt:lpstr>
      <vt:lpstr>_ffXJm0FUPqN</vt:lpstr>
      <vt:lpstr>_fG7XmwaofuQ</vt:lpstr>
      <vt:lpstr>_fGbtQYKIbwC</vt:lpstr>
      <vt:lpstr>_Fh20IQTh0Sm</vt:lpstr>
      <vt:lpstr>_fh5RXOMtEno</vt:lpstr>
      <vt:lpstr>_FI7Pow6OdoH</vt:lpstr>
      <vt:lpstr>_fjBI2Ofjae2</vt:lpstr>
      <vt:lpstr>_fLtH2DWCoup</vt:lpstr>
      <vt:lpstr>_FmHBf0hvNz6</vt:lpstr>
      <vt:lpstr>_fmoYYKAugap</vt:lpstr>
      <vt:lpstr>_FMWdOWYuezR</vt:lpstr>
      <vt:lpstr>_fpcxp5HcX2i</vt:lpstr>
      <vt:lpstr>_fpnnANaqTog</vt:lpstr>
      <vt:lpstr>_FqHxO0QBl0q</vt:lpstr>
      <vt:lpstr>_FqiODOMT20L</vt:lpstr>
      <vt:lpstr>_FQPltxBSpAw</vt:lpstr>
      <vt:lpstr>_fquVjueeNl5</vt:lpstr>
      <vt:lpstr>_frO7u0vZk6f</vt:lpstr>
      <vt:lpstr>_frWsH2twBFr</vt:lpstr>
      <vt:lpstr>_frXu3yUrvQB</vt:lpstr>
      <vt:lpstr>_FS0JydKnO6C</vt:lpstr>
      <vt:lpstr>_ftbyV2UhBec</vt:lpstr>
      <vt:lpstr>_ftQxmSaPxhM</vt:lpstr>
      <vt:lpstr>_fusnXaYTeeH</vt:lpstr>
      <vt:lpstr>_fVkgl6tkLYR</vt:lpstr>
      <vt:lpstr>_FVX1dpkn5DR</vt:lpstr>
      <vt:lpstr>_fwrOv8OugqL</vt:lpstr>
      <vt:lpstr>_fx2flt4WIyk</vt:lpstr>
      <vt:lpstr>_Fyn20bdx8Wc</vt:lpstr>
      <vt:lpstr>_FYUnWvWnpTA</vt:lpstr>
      <vt:lpstr>_FZDBURt5xG2</vt:lpstr>
      <vt:lpstr>_g0TaYo7saoF</vt:lpstr>
      <vt:lpstr>_g2ccwKGkbFC</vt:lpstr>
      <vt:lpstr>_g2kdhzLm7Bm</vt:lpstr>
      <vt:lpstr>_G2tY4U5vPKT</vt:lpstr>
      <vt:lpstr>_g2vI8N8ySsT</vt:lpstr>
      <vt:lpstr>_g3UbRpecB4i</vt:lpstr>
      <vt:lpstr>_G6RyDq5kgy7</vt:lpstr>
      <vt:lpstr>_G7HTb8TKPVV</vt:lpstr>
      <vt:lpstr>_g8iCImEmuC5</vt:lpstr>
      <vt:lpstr>_g9FCd0AOgl5</vt:lpstr>
      <vt:lpstr>_gaNIgQQhaMm</vt:lpstr>
      <vt:lpstr>_GB801JHT3Ee</vt:lpstr>
      <vt:lpstr>_GbSWYL6wkDZ</vt:lpstr>
      <vt:lpstr>_GCAYTElLWur</vt:lpstr>
      <vt:lpstr>_gCNWRCx9ZGr</vt:lpstr>
      <vt:lpstr>_GCuOB755yxf</vt:lpstr>
      <vt:lpstr>_gcv2f7OZTCA</vt:lpstr>
      <vt:lpstr>_Gdf45yp6r0Q</vt:lpstr>
      <vt:lpstr>_GdhydesErYi</vt:lpstr>
      <vt:lpstr>_GEbeStgBbe4</vt:lpstr>
      <vt:lpstr>_GELdFmHdBeq</vt:lpstr>
      <vt:lpstr>_gezZJuyEHA0</vt:lpstr>
      <vt:lpstr>_gf1Ol65lcVq</vt:lpstr>
      <vt:lpstr>_Gfd61LgnBoD</vt:lpstr>
      <vt:lpstr>_GFmd028JoPJ</vt:lpstr>
      <vt:lpstr>_GFRozr9sjPA</vt:lpstr>
      <vt:lpstr>_gGkrHcox74x</vt:lpstr>
      <vt:lpstr>_GhSydxDx1DM</vt:lpstr>
      <vt:lpstr>_Gi6xbWGpL1d</vt:lpstr>
      <vt:lpstr>_GIqAR5PwFfJ</vt:lpstr>
      <vt:lpstr>_GJjsPePqWDp</vt:lpstr>
      <vt:lpstr>_gKFNrbBVSsp</vt:lpstr>
      <vt:lpstr>_GLBEvvxdS0N</vt:lpstr>
      <vt:lpstr>_GLevLNI9wkl</vt:lpstr>
      <vt:lpstr>_gmBo7hS8NEx</vt:lpstr>
      <vt:lpstr>_GMPtY5DHJGQ</vt:lpstr>
      <vt:lpstr>_GMV1kaXy6Xb</vt:lpstr>
      <vt:lpstr>_GNxHZIvlBGN</vt:lpstr>
      <vt:lpstr>_GNZll8tgucT</vt:lpstr>
      <vt:lpstr>_goy1682gIWf</vt:lpstr>
      <vt:lpstr>_GoZEL0hIsZw</vt:lpstr>
      <vt:lpstr>_GpgxhBZVUmj</vt:lpstr>
      <vt:lpstr>_GpoukrEbVLj</vt:lpstr>
      <vt:lpstr>_GQ7S6wB7fOx</vt:lpstr>
      <vt:lpstr>_gqXG6xr5Peo</vt:lpstr>
      <vt:lpstr>_GR1LaEjKxeT</vt:lpstr>
      <vt:lpstr>_GsHQ8pkGIzo</vt:lpstr>
      <vt:lpstr>_GTkG6Anx7hq</vt:lpstr>
      <vt:lpstr>_GtobYmwQmwS</vt:lpstr>
      <vt:lpstr>_gUL6rTt7R73</vt:lpstr>
      <vt:lpstr>_gvaDiR8ZEMj</vt:lpstr>
      <vt:lpstr>_GVQmogkpxhw</vt:lpstr>
      <vt:lpstr>_GVTJpHIh0iN</vt:lpstr>
      <vt:lpstr>_GW4KBJzvFQE</vt:lpstr>
      <vt:lpstr>_gwREWWtLsvK</vt:lpstr>
      <vt:lpstr>_GxblPUKs2a6</vt:lpstr>
      <vt:lpstr>_gY4wdB3nbJr</vt:lpstr>
      <vt:lpstr>_gY6LypsDS8q</vt:lpstr>
      <vt:lpstr>_GyCdUNDZp8L</vt:lpstr>
      <vt:lpstr>_GYq6tqkBKnF</vt:lpstr>
      <vt:lpstr>_gz7PUkd9T0T</vt:lpstr>
      <vt:lpstr>_GZLkzNoTlkw</vt:lpstr>
      <vt:lpstr>_GzV9KJVPeNv</vt:lpstr>
      <vt:lpstr>_Gzx03rCkZEe</vt:lpstr>
      <vt:lpstr>_H1cdlRsXvHK</vt:lpstr>
      <vt:lpstr>_h1kKuz9kyAE</vt:lpstr>
      <vt:lpstr>_H2oJJer4UNq</vt:lpstr>
      <vt:lpstr>_H2OyVFADcnX</vt:lpstr>
      <vt:lpstr>_H77eHBeI0WG</vt:lpstr>
      <vt:lpstr>_H7cXPNUSuZm</vt:lpstr>
      <vt:lpstr>_h8QsepUQCJW</vt:lpstr>
      <vt:lpstr>_HAf5qWbBIWY</vt:lpstr>
      <vt:lpstr>_HAMp5fizumJ</vt:lpstr>
      <vt:lpstr>_HaPELKxqm7N</vt:lpstr>
      <vt:lpstr>_HBR5uyUHxEG</vt:lpstr>
      <vt:lpstr>_HCIQloicy7v</vt:lpstr>
      <vt:lpstr>_Hf9MxTaYIV0</vt:lpstr>
      <vt:lpstr>_hfSSZH7XtpC</vt:lpstr>
      <vt:lpstr>_hGG1MCB5cyk</vt:lpstr>
      <vt:lpstr>_hghfDSPUu5v</vt:lpstr>
      <vt:lpstr>_Hgqypbog7vf</vt:lpstr>
      <vt:lpstr>_hGRVZe56VxM</vt:lpstr>
      <vt:lpstr>_hHlTr9lZZgJ</vt:lpstr>
      <vt:lpstr>_hHsSeGYjmSr</vt:lpstr>
      <vt:lpstr>_hIoNZUebKaw</vt:lpstr>
      <vt:lpstr>_hkeNJSIlHNW</vt:lpstr>
      <vt:lpstr>_HkFuwcHtutO</vt:lpstr>
      <vt:lpstr>_hKjiDJngQQS</vt:lpstr>
      <vt:lpstr>_HllvX50cXC0</vt:lpstr>
      <vt:lpstr>_hLxjmfX5RgD</vt:lpstr>
      <vt:lpstr>_hM4FvGa8qUa</vt:lpstr>
      <vt:lpstr>_HojVoGC7K8p</vt:lpstr>
      <vt:lpstr>_homMHsoLe4r</vt:lpstr>
      <vt:lpstr>_HOnz51s0vSu</vt:lpstr>
      <vt:lpstr>_hOYSiF7RRa4</vt:lpstr>
      <vt:lpstr>_HOZvuqqSKDf</vt:lpstr>
      <vt:lpstr>_HPehddIHYeW</vt:lpstr>
      <vt:lpstr>_Hq9ymqYqX0A</vt:lpstr>
      <vt:lpstr>_HqMf8JLkgR1</vt:lpstr>
      <vt:lpstr>_hQZBYwJtQpm</vt:lpstr>
      <vt:lpstr>_HR1p24wHb3T</vt:lpstr>
      <vt:lpstr>_HRllJaF82m2</vt:lpstr>
      <vt:lpstr>_HSlUu6UuLEY</vt:lpstr>
      <vt:lpstr>_HtRPkdNqaez</vt:lpstr>
      <vt:lpstr>_Huy0Hxb2eAR</vt:lpstr>
      <vt:lpstr>_HVbaHdJorAW</vt:lpstr>
      <vt:lpstr>_hvVRDJwKz1G</vt:lpstr>
      <vt:lpstr>_Hw1Lkknqqto</vt:lpstr>
      <vt:lpstr>_HWcxCcPozuB</vt:lpstr>
      <vt:lpstr>_hWd5pqjp8F7</vt:lpstr>
      <vt:lpstr>_HWIdY0X1JAa</vt:lpstr>
      <vt:lpstr>_hx0oZheIg8i</vt:lpstr>
      <vt:lpstr>_HYkpSAefKJ9</vt:lpstr>
      <vt:lpstr>_HzjAGvMZw99</vt:lpstr>
      <vt:lpstr>_i02HwsTz9XY</vt:lpstr>
      <vt:lpstr>_I3I2JDt6KE4</vt:lpstr>
      <vt:lpstr>_I3qFArkqOdS</vt:lpstr>
      <vt:lpstr>_i602dYTGOJS</vt:lpstr>
      <vt:lpstr>_i607dSgfm4F</vt:lpstr>
      <vt:lpstr>_i6xjXgUUy5h</vt:lpstr>
      <vt:lpstr>_I7eRXWZ7MJj</vt:lpstr>
      <vt:lpstr>_iA6rwQV0erY</vt:lpstr>
      <vt:lpstr>_iAS9EFPLhUq</vt:lpstr>
      <vt:lpstr>_IBf0GO8DlVt</vt:lpstr>
      <vt:lpstr>_iBtiPZeuW7l</vt:lpstr>
      <vt:lpstr>_ICeehNyTiIX</vt:lpstr>
      <vt:lpstr>_Id1w4goGtY0</vt:lpstr>
      <vt:lpstr>_idlwdDUEvog</vt:lpstr>
      <vt:lpstr>_iDufSVpdcup</vt:lpstr>
      <vt:lpstr>_Ie7S7AfCOA4</vt:lpstr>
      <vt:lpstr>_iex121keUrQ</vt:lpstr>
      <vt:lpstr>_IfcHbXVQgbE</vt:lpstr>
      <vt:lpstr>_ifHvLGGGLtl</vt:lpstr>
      <vt:lpstr>_iFOz81Xrw81</vt:lpstr>
      <vt:lpstr>_ighVnyMkQCp</vt:lpstr>
      <vt:lpstr>_igl4TqDYokW</vt:lpstr>
      <vt:lpstr>_igpB9yymbMo</vt:lpstr>
      <vt:lpstr>_iHbyjmfUoT7</vt:lpstr>
      <vt:lpstr>_iHQiUfmqoq8</vt:lpstr>
      <vt:lpstr>_iiaGACEnxiI</vt:lpstr>
      <vt:lpstr>_IiK2zVUTuvv</vt:lpstr>
      <vt:lpstr>_iilRSMCmFGm</vt:lpstr>
      <vt:lpstr>_IiShm6nDSZ1</vt:lpstr>
      <vt:lpstr>_Ij5e96NP8iP</vt:lpstr>
      <vt:lpstr>_IJmlSYaPCAv</vt:lpstr>
      <vt:lpstr>_iksQN8XHdCU</vt:lpstr>
      <vt:lpstr>_iLC6aDEnSg9</vt:lpstr>
      <vt:lpstr>_imlTNQ1osjZ</vt:lpstr>
      <vt:lpstr>_iPLstSfs7KB</vt:lpstr>
      <vt:lpstr>_iPoSdjfF4kS</vt:lpstr>
      <vt:lpstr>_IpPGMPvYbKb</vt:lpstr>
      <vt:lpstr>_iQ6qRFTMd5N</vt:lpstr>
      <vt:lpstr>_iQlQehNOU5W</vt:lpstr>
      <vt:lpstr>_iQvLEtwJdOo</vt:lpstr>
      <vt:lpstr>_iqYeQ3jS0Tr</vt:lpstr>
      <vt:lpstr>_IrQNnW9V2ae</vt:lpstr>
      <vt:lpstr>_irr53G5M2pb</vt:lpstr>
      <vt:lpstr>_is0mLC9DDKF</vt:lpstr>
      <vt:lpstr>_iS60l2Ntxll</vt:lpstr>
      <vt:lpstr>_isQSxX5knkc</vt:lpstr>
      <vt:lpstr>_isRKwQl0b9z</vt:lpstr>
      <vt:lpstr>_IsUhZYprLFL</vt:lpstr>
      <vt:lpstr>_iuojVMdUl2T</vt:lpstr>
      <vt:lpstr>_IVfNwpqNPQj</vt:lpstr>
      <vt:lpstr>_IvhiCbChScI</vt:lpstr>
      <vt:lpstr>_iVldWcxyAeE</vt:lpstr>
      <vt:lpstr>_IwubPL7E7jo</vt:lpstr>
      <vt:lpstr>_iX4vTbsgedg</vt:lpstr>
      <vt:lpstr>_IxPKBH2vEhc</vt:lpstr>
      <vt:lpstr>_IyBrNmNpayi</vt:lpstr>
      <vt:lpstr>_IZHZBZFSVj5</vt:lpstr>
      <vt:lpstr>_IzvoTv1dAO3</vt:lpstr>
      <vt:lpstr>_iZwjnQ8hI51</vt:lpstr>
      <vt:lpstr>_J0h5Swe9zuC</vt:lpstr>
      <vt:lpstr>_j5tOpBzNYMO</vt:lpstr>
      <vt:lpstr>_J64UCNttNtQ</vt:lpstr>
      <vt:lpstr>_j6iC7yILsUk</vt:lpstr>
      <vt:lpstr>_J6Q1RS6z6HA</vt:lpstr>
      <vt:lpstr>_J6uBwlIEjNo</vt:lpstr>
      <vt:lpstr>_j9UDLMABvmF</vt:lpstr>
      <vt:lpstr>_ja8gJ3UWQ7w</vt:lpstr>
      <vt:lpstr>_jaNQVHQzWUQ</vt:lpstr>
      <vt:lpstr>_JaPlp3tfudO</vt:lpstr>
      <vt:lpstr>_JAQVMpsaHam</vt:lpstr>
      <vt:lpstr>_JC6ZS0hEjuK</vt:lpstr>
      <vt:lpstr>_JCQCyDVg3fS</vt:lpstr>
      <vt:lpstr>_JDGRQ3qkngt</vt:lpstr>
      <vt:lpstr>_JdUH80vCi3h</vt:lpstr>
      <vt:lpstr>_jEbmraXMr67</vt:lpstr>
      <vt:lpstr>_JEeZXCFCYha</vt:lpstr>
      <vt:lpstr>_Jfanf4ZIMje</vt:lpstr>
      <vt:lpstr>_JFEhttkoMs4</vt:lpstr>
      <vt:lpstr>_JgAcRGoxNQn</vt:lpstr>
      <vt:lpstr>_JGvehNb4uTj</vt:lpstr>
      <vt:lpstr>_Jhfp6qRsMdE</vt:lpstr>
      <vt:lpstr>_jIKPasfocB9</vt:lpstr>
      <vt:lpstr>_JioJXjxFI0B</vt:lpstr>
      <vt:lpstr>_jjwvS4nidCb</vt:lpstr>
      <vt:lpstr>_jkv3z3MSVgP</vt:lpstr>
      <vt:lpstr>_JlQneBmSWcw</vt:lpstr>
      <vt:lpstr>_JNRBnojeJD9</vt:lpstr>
      <vt:lpstr>_jNxvACSO6v7</vt:lpstr>
      <vt:lpstr>_jOj2iuJhwSF</vt:lpstr>
      <vt:lpstr>_JOklCJDlikp</vt:lpstr>
      <vt:lpstr>_JOSf7PtWj97</vt:lpstr>
      <vt:lpstr>_jp4umJFmzEV</vt:lpstr>
      <vt:lpstr>_Jp5XKDYi2Dl</vt:lpstr>
      <vt:lpstr>_JqL7ztZIayG</vt:lpstr>
      <vt:lpstr>_JQnHPKqFZ0H</vt:lpstr>
      <vt:lpstr>_JQxYfy6VSGI</vt:lpstr>
      <vt:lpstr>_JQZ0c0t6BTc</vt:lpstr>
      <vt:lpstr>_jR4pbUJMxAp</vt:lpstr>
      <vt:lpstr>_jr710ld4l2E</vt:lpstr>
      <vt:lpstr>_JrCk1rbPbzJ</vt:lpstr>
      <vt:lpstr>_JsYUmRVyxDw</vt:lpstr>
      <vt:lpstr>_JSZmxz6xJ5f</vt:lpstr>
      <vt:lpstr>_jTS0MnCGgl6</vt:lpstr>
      <vt:lpstr>_jvep0wSVDJn</vt:lpstr>
      <vt:lpstr>_jvfjz5NZpl9</vt:lpstr>
      <vt:lpstr>_JVgrCoX1Yoa</vt:lpstr>
      <vt:lpstr>_jVP84tthvFz</vt:lpstr>
      <vt:lpstr>_JwNbhSf4B4G</vt:lpstr>
      <vt:lpstr>_JwOn7Js769e</vt:lpstr>
      <vt:lpstr>_Jxf5IRCXtXO</vt:lpstr>
      <vt:lpstr>_jxpOEpqkKc8</vt:lpstr>
      <vt:lpstr>_jxQLHGKTH3U</vt:lpstr>
      <vt:lpstr>_JxTMTu7Dtj1</vt:lpstr>
      <vt:lpstr>_JxWxaPWfrVO</vt:lpstr>
      <vt:lpstr>_Jyze0H2FX62</vt:lpstr>
      <vt:lpstr>_JYZoGP4hnBe</vt:lpstr>
      <vt:lpstr>_jZqzpNiBm2Z</vt:lpstr>
      <vt:lpstr>_K11zgDjAZVd</vt:lpstr>
      <vt:lpstr>_k29O96RfLgL</vt:lpstr>
      <vt:lpstr>_K2bWL2DJBIp</vt:lpstr>
      <vt:lpstr>_k2h3cIa0E1Y</vt:lpstr>
      <vt:lpstr>_K59HMyJxUXf</vt:lpstr>
      <vt:lpstr>_k5BPtdzejZM</vt:lpstr>
      <vt:lpstr>_k6e9B3yaGQ8</vt:lpstr>
      <vt:lpstr>_K6ND4zXqbpw</vt:lpstr>
      <vt:lpstr>_K7ALnyce3ms</vt:lpstr>
      <vt:lpstr>_K7HHqak2Uov</vt:lpstr>
      <vt:lpstr>_K7sgOx8uakv</vt:lpstr>
      <vt:lpstr>_K7VaWe5ZiRP</vt:lpstr>
      <vt:lpstr>_K8kLItbEJIN</vt:lpstr>
      <vt:lpstr>_k9kaaFapmsE</vt:lpstr>
      <vt:lpstr>_K9kICd3j65T</vt:lpstr>
      <vt:lpstr>_kb3fEJ3Ck5t</vt:lpstr>
      <vt:lpstr>_kbnnHt7AaQB</vt:lpstr>
      <vt:lpstr>_kDMuBUg6Zjf</vt:lpstr>
      <vt:lpstr>_kDsFOvBPH7B</vt:lpstr>
      <vt:lpstr>_ket4E2TM6hf</vt:lpstr>
      <vt:lpstr>_KfAfMGt7U79</vt:lpstr>
      <vt:lpstr>_KfybSQzGq5L</vt:lpstr>
      <vt:lpstr>_KFzZR8gWLlv</vt:lpstr>
      <vt:lpstr>_KG13hsclCbw</vt:lpstr>
      <vt:lpstr>_KGjvHB09fOc</vt:lpstr>
      <vt:lpstr>_KI3o6ZpFihI</vt:lpstr>
      <vt:lpstr>_KiIRN6PJvZy</vt:lpstr>
      <vt:lpstr>_kIKxY6qHJpU</vt:lpstr>
      <vt:lpstr>_KiPe6G4Zmew</vt:lpstr>
      <vt:lpstr>_Kj30So1gP3H</vt:lpstr>
      <vt:lpstr>_KJQeBFcQooj</vt:lpstr>
      <vt:lpstr>_kjsU2SdLW5l</vt:lpstr>
      <vt:lpstr>_KkN1Qi8wdZo</vt:lpstr>
      <vt:lpstr>_KL9NoMU9deG</vt:lpstr>
      <vt:lpstr>_klrlqqZkPaU</vt:lpstr>
      <vt:lpstr>_km3ztMqtDAn</vt:lpstr>
      <vt:lpstr>_Kmox8hHRHGF</vt:lpstr>
      <vt:lpstr>_kmtbyca4Tl2</vt:lpstr>
      <vt:lpstr>_KNSHJyEyATY</vt:lpstr>
      <vt:lpstr>_KoPsLNXmqID</vt:lpstr>
      <vt:lpstr>_Kos9VTAyCXA</vt:lpstr>
      <vt:lpstr>_Kp0BrMJsyx7</vt:lpstr>
      <vt:lpstr>_KPuqtsRrK8P</vt:lpstr>
      <vt:lpstr>_kq1RNM2grTm</vt:lpstr>
      <vt:lpstr>_KqPSQdJ0tuD</vt:lpstr>
      <vt:lpstr>_kQyFt75935Z</vt:lpstr>
      <vt:lpstr>_Krs3KdsaX5e</vt:lpstr>
      <vt:lpstr>_ks00XY6uMLw</vt:lpstr>
      <vt:lpstr>_KsWOcIlolq5</vt:lpstr>
      <vt:lpstr>_ktCsqB9PuJK</vt:lpstr>
      <vt:lpstr>_KTjz8yB6iCs</vt:lpstr>
      <vt:lpstr>_kTLyDMFgx5I</vt:lpstr>
      <vt:lpstr>_kUDjwWiE3HL</vt:lpstr>
      <vt:lpstr>_KuP5RebljxE</vt:lpstr>
      <vt:lpstr>_kUyKyBumW6x</vt:lpstr>
      <vt:lpstr>_KVD8ZfM9wJy</vt:lpstr>
      <vt:lpstr>_KW05TFYC9bg</vt:lpstr>
      <vt:lpstr>_KWFFuBYO5t2</vt:lpstr>
      <vt:lpstr>_KX2BvkpAzwT</vt:lpstr>
      <vt:lpstr>_kXFS9VnyOc7</vt:lpstr>
      <vt:lpstr>_kXhDviVa5eD</vt:lpstr>
      <vt:lpstr>_KxiXPnihIVd</vt:lpstr>
      <vt:lpstr>_KYapkplUIim</vt:lpstr>
      <vt:lpstr>_KYsx9GT5z8s</vt:lpstr>
      <vt:lpstr>_kYuaJq6eiRd</vt:lpstr>
      <vt:lpstr>_kzB3B42PYPs</vt:lpstr>
      <vt:lpstr>_kzjscbegiG3</vt:lpstr>
      <vt:lpstr>_kZvKCZT6MLq</vt:lpstr>
      <vt:lpstr>_kzYuo3NBbjs</vt:lpstr>
      <vt:lpstr>_l1ETyWrXvxx</vt:lpstr>
      <vt:lpstr>_l2k4gR9tDBT</vt:lpstr>
      <vt:lpstr>_L37bAqWZcvr</vt:lpstr>
      <vt:lpstr>_l3S3shUMnvV</vt:lpstr>
      <vt:lpstr>_L3tX6PIjigU</vt:lpstr>
      <vt:lpstr>_l4OwH0fAv5S</vt:lpstr>
      <vt:lpstr>_l4POaEYLt97</vt:lpstr>
      <vt:lpstr>_L5nR2xOjvb1</vt:lpstr>
      <vt:lpstr>_l63ixpzUEwd</vt:lpstr>
      <vt:lpstr>_L6GKGLEVZlm</vt:lpstr>
      <vt:lpstr>_L9gyaRhaIRx</vt:lpstr>
      <vt:lpstr>_LB2H6ULuzIf</vt:lpstr>
      <vt:lpstr>_LB5MDCzfBmV</vt:lpstr>
      <vt:lpstr>_LBB6UE1v2XV</vt:lpstr>
      <vt:lpstr>_LbgLGRhEtHR</vt:lpstr>
      <vt:lpstr>_lbQHnY0XMes</vt:lpstr>
      <vt:lpstr>_lc9m5VP7vB8</vt:lpstr>
      <vt:lpstr>_lcFbdAGVYfv</vt:lpstr>
      <vt:lpstr>_lcZfrbAeuxd</vt:lpstr>
      <vt:lpstr>_LeelllbVRYW</vt:lpstr>
      <vt:lpstr>_LFtVNsm3ed8</vt:lpstr>
      <vt:lpstr>_lhTm8TyI5qi</vt:lpstr>
      <vt:lpstr>_LiAKjYTKaXI</vt:lpstr>
      <vt:lpstr>_lIUF1YUOnu5</vt:lpstr>
      <vt:lpstr>_lkLZpVyJxD2</vt:lpstr>
      <vt:lpstr>_LKSNRny6cuv</vt:lpstr>
      <vt:lpstr>_LLCBxwWCazW</vt:lpstr>
      <vt:lpstr>_lLILcBF4Ezo</vt:lpstr>
      <vt:lpstr>_llQ8zTkHA9m</vt:lpstr>
      <vt:lpstr>_Lm53iIq7zMr</vt:lpstr>
      <vt:lpstr>_lmZuPFTCo1a</vt:lpstr>
      <vt:lpstr>_LNQjHwqIQev</vt:lpstr>
      <vt:lpstr>_loiw33roQLJ</vt:lpstr>
      <vt:lpstr>_lojSOFZ3JVj</vt:lpstr>
      <vt:lpstr>_lPdae5NXAUJ</vt:lpstr>
      <vt:lpstr>_lpkSeyECyYL</vt:lpstr>
      <vt:lpstr>_lq8BuHRczVr</vt:lpstr>
      <vt:lpstr>_Lr06Efm1VEy</vt:lpstr>
      <vt:lpstr>_lRklf2GHTCX</vt:lpstr>
      <vt:lpstr>_LrOMfuS7xUL</vt:lpstr>
      <vt:lpstr>_lRSQ0xLFtaU</vt:lpstr>
      <vt:lpstr>_lTLnpFKIbYE</vt:lpstr>
      <vt:lpstr>_lTq1LZUw2Pl</vt:lpstr>
      <vt:lpstr>_lTSFdBWSNRf</vt:lpstr>
      <vt:lpstr>_lueviwKfaZu</vt:lpstr>
      <vt:lpstr>_LuimRCiKwPJ</vt:lpstr>
      <vt:lpstr>_Lup23R9hDd2</vt:lpstr>
      <vt:lpstr>_LupwSzyyrsF</vt:lpstr>
      <vt:lpstr>_LUUmkvPUe4j</vt:lpstr>
      <vt:lpstr>_lWbRPmIOCZb</vt:lpstr>
      <vt:lpstr>_lwCKPz2WyaG</vt:lpstr>
      <vt:lpstr>_lWD7KvJLkT2</vt:lpstr>
      <vt:lpstr>_lwhVM3SRqjq</vt:lpstr>
      <vt:lpstr>_LWuqWiHuOJT</vt:lpstr>
      <vt:lpstr>_LXFjfaP38O0</vt:lpstr>
      <vt:lpstr>_LxQGrLCmTGD</vt:lpstr>
      <vt:lpstr>_LY7qFxTf8Wq</vt:lpstr>
      <vt:lpstr>_lzZpHHfcSAk</vt:lpstr>
      <vt:lpstr>_m0kT9vIA9c3</vt:lpstr>
      <vt:lpstr>_M2p4AxD46nA</vt:lpstr>
      <vt:lpstr>_M2qFoqoYJBt</vt:lpstr>
      <vt:lpstr>_M4K5Zyh2Tnz</vt:lpstr>
      <vt:lpstr>_M5ed4Tr1BdM</vt:lpstr>
      <vt:lpstr>_m67vmO9EfzK</vt:lpstr>
      <vt:lpstr>_M6BiiZL6h1b</vt:lpstr>
      <vt:lpstr>_M8JH0tNliUn</vt:lpstr>
      <vt:lpstr>_m9HAY801VHY</vt:lpstr>
      <vt:lpstr>_m9T1fsGuOve</vt:lpstr>
      <vt:lpstr>_maD8dbiRm2D</vt:lpstr>
      <vt:lpstr>_MAoc83wJg5z</vt:lpstr>
      <vt:lpstr>_mBztKkq4Cbf</vt:lpstr>
      <vt:lpstr>_mCIj2EaMvqx</vt:lpstr>
      <vt:lpstr>_mCpwHhyRmuU</vt:lpstr>
      <vt:lpstr>_mCUM20ToBSP</vt:lpstr>
      <vt:lpstr>_Mdd3KGHuhLs</vt:lpstr>
      <vt:lpstr>_mDR6zfT5lEl</vt:lpstr>
      <vt:lpstr>_mDTopAClewY</vt:lpstr>
      <vt:lpstr>_MF7jOJr4XaA</vt:lpstr>
      <vt:lpstr>_mF8gwR8tFaZ</vt:lpstr>
      <vt:lpstr>_MfifStoRK7b</vt:lpstr>
      <vt:lpstr>_MGvlb3c8MWN</vt:lpstr>
      <vt:lpstr>_MHd3mUbQZzF</vt:lpstr>
      <vt:lpstr>_mhlCQKs4NfD</vt:lpstr>
      <vt:lpstr>_MHy0qEhzd7E</vt:lpstr>
      <vt:lpstr>_MilfEK4witp</vt:lpstr>
      <vt:lpstr>_MiVsFH1Ybr6</vt:lpstr>
      <vt:lpstr>_miwy17SEi6Y</vt:lpstr>
      <vt:lpstr>_mjhv9SuTiwC</vt:lpstr>
      <vt:lpstr>_mjXehSM7Pk2</vt:lpstr>
      <vt:lpstr>_mM3RxKB9PAP</vt:lpstr>
      <vt:lpstr>_mmAiLsc4dUX</vt:lpstr>
      <vt:lpstr>_MmBdbelBhkW</vt:lpstr>
      <vt:lpstr>_MmegBAowO5M</vt:lpstr>
      <vt:lpstr>_mmRVFSpcFgB</vt:lpstr>
      <vt:lpstr>_Mn391YJ5EFj</vt:lpstr>
      <vt:lpstr>_Mnc17tzRmGW</vt:lpstr>
      <vt:lpstr>_mNP4759xBLD</vt:lpstr>
      <vt:lpstr>_mnQcnfiEWdo</vt:lpstr>
      <vt:lpstr>_MNVmljrZNH2</vt:lpstr>
      <vt:lpstr>_MOnvtNmCVvM</vt:lpstr>
      <vt:lpstr>_MpeJJ6lHva1</vt:lpstr>
      <vt:lpstr>_MqBkcXtzszn</vt:lpstr>
      <vt:lpstr>_mQHUrLn4dyS</vt:lpstr>
      <vt:lpstr>_mqmJX2L5ggT</vt:lpstr>
      <vt:lpstr>_MqQZAS0vgci</vt:lpstr>
      <vt:lpstr>_mRDxHuVyq8t</vt:lpstr>
      <vt:lpstr>_mRruOI3ew04</vt:lpstr>
      <vt:lpstr>_MRzH8bNJLvB</vt:lpstr>
      <vt:lpstr>_MSoDpzLGJHD</vt:lpstr>
      <vt:lpstr>_mt6IIO4B4Vf</vt:lpstr>
      <vt:lpstr>_MtpxPIUHjfT</vt:lpstr>
      <vt:lpstr>_MTTC85wseq8</vt:lpstr>
      <vt:lpstr>_mUtMK5OSbUd</vt:lpstr>
      <vt:lpstr>_MvO1IQ8jEmW</vt:lpstr>
      <vt:lpstr>_mx12QvuhZwv</vt:lpstr>
      <vt:lpstr>_myMve24lzEN</vt:lpstr>
      <vt:lpstr>_mZ8PlwVXEhO</vt:lpstr>
      <vt:lpstr>_mZH4bBeJsZ5</vt:lpstr>
      <vt:lpstr>_n0Hc8762Mak</vt:lpstr>
      <vt:lpstr>_N0UJ0RreV2N</vt:lpstr>
      <vt:lpstr>_n3AJQDDLDbZ</vt:lpstr>
      <vt:lpstr>_N3fZiXD5uH1</vt:lpstr>
      <vt:lpstr>_N442ev4rLz6</vt:lpstr>
      <vt:lpstr>_N4wBG8T5IMa</vt:lpstr>
      <vt:lpstr>_n6gPTvziyXo</vt:lpstr>
      <vt:lpstr>_N6USN8urXXt</vt:lpstr>
      <vt:lpstr>_N8TRVTpPT5h</vt:lpstr>
      <vt:lpstr>_na4W36uWk6g</vt:lpstr>
      <vt:lpstr>_Narat0DF9sY</vt:lpstr>
      <vt:lpstr>_nb4deJCI4Vg</vt:lpstr>
      <vt:lpstr>_nCSr6Zg5qKf</vt:lpstr>
      <vt:lpstr>_NcVZF1ekKdp</vt:lpstr>
      <vt:lpstr>_ndbGVpmE75X</vt:lpstr>
      <vt:lpstr>_NdtzGdvNgUE</vt:lpstr>
      <vt:lpstr>_nduhkkIFZGS</vt:lpstr>
      <vt:lpstr>_nedqI46Ixp4</vt:lpstr>
      <vt:lpstr>_NEJoaGU9xzw</vt:lpstr>
      <vt:lpstr>_NFboNFDrlgH</vt:lpstr>
      <vt:lpstr>_Ngmch2E54rH</vt:lpstr>
      <vt:lpstr>_NgN5kSDzwJq</vt:lpstr>
      <vt:lpstr>_nH8ljXlRyYb</vt:lpstr>
      <vt:lpstr>_NHcpA7Gukhi</vt:lpstr>
      <vt:lpstr>_Nhjqa46sor1</vt:lpstr>
      <vt:lpstr>_NHlqPJsNpma</vt:lpstr>
      <vt:lpstr>_nhYjVeigNWD</vt:lpstr>
      <vt:lpstr>_niGn8YOlvoH</vt:lpstr>
      <vt:lpstr>_NiYy8i8gfOV</vt:lpstr>
      <vt:lpstr>_nIzYpjFa5Qk</vt:lpstr>
      <vt:lpstr>_Nk1PdZ8w9ri</vt:lpstr>
      <vt:lpstr>_NKs3nQ5yDee</vt:lpstr>
      <vt:lpstr>_NMelmImt6tz</vt:lpstr>
      <vt:lpstr>_NmIRjZIIOfF</vt:lpstr>
      <vt:lpstr>_nmZlYXYHW3y</vt:lpstr>
      <vt:lpstr>_nNJdfR3a52R</vt:lpstr>
      <vt:lpstr>_nnkcvb8EndS</vt:lpstr>
      <vt:lpstr>_NNRjKPO68hF</vt:lpstr>
      <vt:lpstr>_NogLGZQ1I7z</vt:lpstr>
      <vt:lpstr>_NojPDebeaHa</vt:lpstr>
      <vt:lpstr>_NolFstsNGoJ</vt:lpstr>
      <vt:lpstr>_NP5JQ9FAbvt</vt:lpstr>
      <vt:lpstr>_Np8Nkj4Dgav</vt:lpstr>
      <vt:lpstr>_npMBhMLFmvt</vt:lpstr>
      <vt:lpstr>_NPwNBpkaToZ</vt:lpstr>
      <vt:lpstr>_Nq5P8pFWjbI</vt:lpstr>
      <vt:lpstr>_NqVLX9YPHXT</vt:lpstr>
      <vt:lpstr>_nQy0IFnb0EG</vt:lpstr>
      <vt:lpstr>_nRpCA8x2eRh</vt:lpstr>
      <vt:lpstr>_nRQW9eQTpzu</vt:lpstr>
      <vt:lpstr>_NRYirPufnbn</vt:lpstr>
      <vt:lpstr>_NsW024I9gRY</vt:lpstr>
      <vt:lpstr>_Nsxl4tlTQzu</vt:lpstr>
      <vt:lpstr>_NtQT6AdgCHi</vt:lpstr>
      <vt:lpstr>_NULRGqVdgES</vt:lpstr>
      <vt:lpstr>_nVrdcUpsOnO</vt:lpstr>
      <vt:lpstr>_nyeQIdwMBkZ</vt:lpstr>
      <vt:lpstr>_nyOinVCU7vX</vt:lpstr>
      <vt:lpstr>_NzBTd4FU15D</vt:lpstr>
      <vt:lpstr>_o0gHZ2wusGN</vt:lpstr>
      <vt:lpstr>_O0sBeSCxaQl</vt:lpstr>
      <vt:lpstr>_o6RWI1d6BWP</vt:lpstr>
      <vt:lpstr>_o8jEmmodLLl</vt:lpstr>
      <vt:lpstr>_O9Bznvw8HNp</vt:lpstr>
      <vt:lpstr>_O9LpDiTdV2v</vt:lpstr>
      <vt:lpstr>_O9VI9OE4RsV</vt:lpstr>
      <vt:lpstr>_oa4uybD3pNk</vt:lpstr>
      <vt:lpstr>_oa7GbITS17N</vt:lpstr>
      <vt:lpstr>_oAC1A971vCf</vt:lpstr>
      <vt:lpstr>_obg2ynBSobZ</vt:lpstr>
      <vt:lpstr>_OcJM45gTiSX</vt:lpstr>
      <vt:lpstr>_OCK2cCr24d5</vt:lpstr>
      <vt:lpstr>_odZ8MJJPEuQ</vt:lpstr>
      <vt:lpstr>_Oe0B6O1Wco9</vt:lpstr>
      <vt:lpstr>_OE9pdRSAFbt</vt:lpstr>
      <vt:lpstr>_OEvuxRFFkKG</vt:lpstr>
      <vt:lpstr>_OeYDuYyCCgA</vt:lpstr>
      <vt:lpstr>_ofRaAWhJIsh</vt:lpstr>
      <vt:lpstr>_ofSoKmdNDfN</vt:lpstr>
      <vt:lpstr>_oFYxBfe4oUN</vt:lpstr>
      <vt:lpstr>_OgiRQ7vh0D8</vt:lpstr>
      <vt:lpstr>_ogxdWZC3mIW</vt:lpstr>
      <vt:lpstr>_oHJnB3wdwQq</vt:lpstr>
      <vt:lpstr>_OiSB4QrXw7B</vt:lpstr>
      <vt:lpstr>_ok2lFN9tdZo</vt:lpstr>
      <vt:lpstr>_OKnncu2fNT9</vt:lpstr>
      <vt:lpstr>_okqwvh8wx9Y</vt:lpstr>
      <vt:lpstr>_oKqy1ItS26X</vt:lpstr>
      <vt:lpstr>_oKtWyJa4EEx</vt:lpstr>
      <vt:lpstr>_OkWynHJ9wpB</vt:lpstr>
      <vt:lpstr>_oLjiaiyKFtm</vt:lpstr>
      <vt:lpstr>_OmZUewjYLUE</vt:lpstr>
      <vt:lpstr>_oNGfKaLNt5T</vt:lpstr>
      <vt:lpstr>_OnUimvumDHk</vt:lpstr>
      <vt:lpstr>_opXisopYqSG</vt:lpstr>
      <vt:lpstr>_oqeeYFzob8X</vt:lpstr>
      <vt:lpstr>_OQuUAuDc0Di</vt:lpstr>
      <vt:lpstr>_ORRuFxj4ZId</vt:lpstr>
      <vt:lpstr>_OruujpY5SS1</vt:lpstr>
      <vt:lpstr>_OsHO7bWeDUS</vt:lpstr>
      <vt:lpstr>_oSjk62Ahyx3</vt:lpstr>
      <vt:lpstr>_oSoyInyct24</vt:lpstr>
      <vt:lpstr>_OthT440UB56</vt:lpstr>
      <vt:lpstr>_otkQ1bJw1uX</vt:lpstr>
      <vt:lpstr>_oTXlrEIIRIv</vt:lpstr>
      <vt:lpstr>_Oubcz5Mk9ql</vt:lpstr>
      <vt:lpstr>_oUfi5AuX2no</vt:lpstr>
      <vt:lpstr>_oVYqq6yXjBS</vt:lpstr>
      <vt:lpstr>_oXdhinU3kDY</vt:lpstr>
      <vt:lpstr>_oxTxJhnE2Xr</vt:lpstr>
      <vt:lpstr>_OYse7MNk9mO</vt:lpstr>
      <vt:lpstr>_Oz6KB3Rl6FJ</vt:lpstr>
      <vt:lpstr>_OzcwQtG30fR</vt:lpstr>
      <vt:lpstr>_oZJZy358b4u</vt:lpstr>
      <vt:lpstr>_OZoQaGB4hyA</vt:lpstr>
      <vt:lpstr>_P0it2JvWHJq</vt:lpstr>
      <vt:lpstr>_p3L95pPVLx8</vt:lpstr>
      <vt:lpstr>_P3zjqfdNFNZ</vt:lpstr>
      <vt:lpstr>_p5BNYjM6O6t</vt:lpstr>
      <vt:lpstr>_P5DKfic4SCh</vt:lpstr>
      <vt:lpstr>_p5O7IRxXAsT</vt:lpstr>
      <vt:lpstr>_P6IXn7vJDgo</vt:lpstr>
      <vt:lpstr>_P7VkQ0J5n02</vt:lpstr>
      <vt:lpstr>_p9rJWevVYZU</vt:lpstr>
      <vt:lpstr>_Pbf0dewcBb9</vt:lpstr>
      <vt:lpstr>_pbFX2GTJ4Ae</vt:lpstr>
      <vt:lpstr>_pbPwC7Et4Ym</vt:lpstr>
      <vt:lpstr>_PCnhImdVxz9</vt:lpstr>
      <vt:lpstr>_Pd3PBU1ojyh</vt:lpstr>
      <vt:lpstr>_pDXCQerDOv6</vt:lpstr>
      <vt:lpstr>_PEbxU2yeYch</vt:lpstr>
      <vt:lpstr>_pEGpcdYB9Zl</vt:lpstr>
      <vt:lpstr>_PFiNgtPDWxj</vt:lpstr>
      <vt:lpstr>_pFQWrPFZVgz</vt:lpstr>
      <vt:lpstr>_PfzeK6CkVzR</vt:lpstr>
      <vt:lpstr>_pgGpBBYGKEM</vt:lpstr>
      <vt:lpstr>_pgP9oMZb94p</vt:lpstr>
      <vt:lpstr>_PIerd3kZApa</vt:lpstr>
      <vt:lpstr>_PilmOKdJCTl</vt:lpstr>
      <vt:lpstr>_PiZ8k9zjGKh</vt:lpstr>
      <vt:lpstr>_PJb5Hym9A3D</vt:lpstr>
      <vt:lpstr>_pkfcZpKsYSH</vt:lpstr>
      <vt:lpstr>_PL7zjAVdptV</vt:lpstr>
      <vt:lpstr>_pLEFHyyCLu3</vt:lpstr>
      <vt:lpstr>_PMoO1AmUDXY</vt:lpstr>
      <vt:lpstr>_pmQDnpEIEwj</vt:lpstr>
      <vt:lpstr>_pNdAhbLMqye</vt:lpstr>
      <vt:lpstr>_POqsENSxdEd</vt:lpstr>
      <vt:lpstr>_PoqspwfCKsv</vt:lpstr>
      <vt:lpstr>_Pp0wVgidLSP</vt:lpstr>
      <vt:lpstr>_pp2NOUezHtT</vt:lpstr>
      <vt:lpstr>_ppYnZ5x9vpi</vt:lpstr>
      <vt:lpstr>_PQ52Bw1wZeK</vt:lpstr>
      <vt:lpstr>_pQILb3EFAOM</vt:lpstr>
      <vt:lpstr>_PQMtG7hhPtH</vt:lpstr>
      <vt:lpstr>_PrlkwVFD7v2</vt:lpstr>
      <vt:lpstr>_prPkuTqYA3T</vt:lpstr>
      <vt:lpstr>_pswDOsNOUbK</vt:lpstr>
      <vt:lpstr>_pvj9yEbtAni</vt:lpstr>
      <vt:lpstr>_pvL7FwBjLAN</vt:lpstr>
      <vt:lpstr>_PWEX6dI1jaQ</vt:lpstr>
      <vt:lpstr>_PX1j1mssCEz</vt:lpstr>
      <vt:lpstr>_PX3WWmyY0g0</vt:lpstr>
      <vt:lpstr>_PX5BLkbeV5g</vt:lpstr>
      <vt:lpstr>_PXd3kacKBcx</vt:lpstr>
      <vt:lpstr>_PXgyNwTaXeO</vt:lpstr>
      <vt:lpstr>_PxqauO4BU8E</vt:lpstr>
      <vt:lpstr>_PXtUMGNc3lw</vt:lpstr>
      <vt:lpstr>_pYQXltxSxeC</vt:lpstr>
      <vt:lpstr>_PYxIbiD03XU</vt:lpstr>
      <vt:lpstr>_q0l2VVwo1Au</vt:lpstr>
      <vt:lpstr>_Q0ZMY0cF3OL</vt:lpstr>
      <vt:lpstr>_Q1sAlQJogGA</vt:lpstr>
      <vt:lpstr>_q3NpuWzGvso</vt:lpstr>
      <vt:lpstr>_Q3wW2mYyNSf</vt:lpstr>
      <vt:lpstr>_q4glehMMEwq</vt:lpstr>
      <vt:lpstr>_q5NtxpazyK8</vt:lpstr>
      <vt:lpstr>_Q5tNBBhTFwC</vt:lpstr>
      <vt:lpstr>_q702Ay8jTOV</vt:lpstr>
      <vt:lpstr>_q7dIAgOxfhU</vt:lpstr>
      <vt:lpstr>_q7PdqRUZ16R</vt:lpstr>
      <vt:lpstr>_q9198gm7oXc</vt:lpstr>
      <vt:lpstr>_q9ri4Fb3SJt</vt:lpstr>
      <vt:lpstr>_qAGPiC7BEmm</vt:lpstr>
      <vt:lpstr>_qah4Z3gyj3B</vt:lpstr>
      <vt:lpstr>_QbT2Lv8iQOH</vt:lpstr>
      <vt:lpstr>_QcWC9XpLIOY</vt:lpstr>
      <vt:lpstr>_qd5aw1PQI95</vt:lpstr>
      <vt:lpstr>_Qd9ILIwLJft</vt:lpstr>
      <vt:lpstr>_QdWmPnBUuTE</vt:lpstr>
      <vt:lpstr>_qf0NiY3qZVU</vt:lpstr>
      <vt:lpstr>_QfEgOAwBpzL</vt:lpstr>
      <vt:lpstr>_QgasCNcsNlh</vt:lpstr>
      <vt:lpstr>_qgJPh4DeLdb</vt:lpstr>
      <vt:lpstr>_qHrFuh0Ocuw</vt:lpstr>
      <vt:lpstr>_qHZ1X3U4TCj</vt:lpstr>
      <vt:lpstr>_QI1RsMI60TJ</vt:lpstr>
      <vt:lpstr>_Qi8IT5Nqig5</vt:lpstr>
      <vt:lpstr>_QIfCEM4SBJO</vt:lpstr>
      <vt:lpstr>_QigIa4htRo9</vt:lpstr>
      <vt:lpstr>_QikKrj7F3cC</vt:lpstr>
      <vt:lpstr>_QKRaYtsrviC</vt:lpstr>
      <vt:lpstr>_qL4GHJE3CnQ</vt:lpstr>
      <vt:lpstr>_QmbVa6D6G3g</vt:lpstr>
      <vt:lpstr>_qMj7SmPQvbA</vt:lpstr>
      <vt:lpstr>_qn02OqMfOwm</vt:lpstr>
      <vt:lpstr>_QO8SviHzArz</vt:lpstr>
      <vt:lpstr>_QOvATUM9LUQ</vt:lpstr>
      <vt:lpstr>_QPc0xnd83d5</vt:lpstr>
      <vt:lpstr>_QpTlQdTqJv6</vt:lpstr>
      <vt:lpstr>_qPyoxwZK5Zk</vt:lpstr>
      <vt:lpstr>_Qqbc3MpwJb3</vt:lpstr>
      <vt:lpstr>_QqUWQ2hjlLd</vt:lpstr>
      <vt:lpstr>_QrAY3Z4f1ul</vt:lpstr>
      <vt:lpstr>_QSPNPIn5PUQ</vt:lpstr>
      <vt:lpstr>_QsW15VyIKrV</vt:lpstr>
      <vt:lpstr>_queCXHrt9AM</vt:lpstr>
      <vt:lpstr>_qVUGRzdqpzy</vt:lpstr>
      <vt:lpstr>_QyckidAJb6n</vt:lpstr>
      <vt:lpstr>_qYMrilQSJE2</vt:lpstr>
      <vt:lpstr>_qYnU7jbVwu1</vt:lpstr>
      <vt:lpstr>_r0b2ycPRekw</vt:lpstr>
      <vt:lpstr>_R0D8yXss9dY</vt:lpstr>
      <vt:lpstr>_r1azx0kReQF</vt:lpstr>
      <vt:lpstr>_r2xSuC1ZxXG</vt:lpstr>
      <vt:lpstr>_R3SCcpdcJJj</vt:lpstr>
      <vt:lpstr>_r592R7hgG5p</vt:lpstr>
      <vt:lpstr>_r6LR0Bv2PTN</vt:lpstr>
      <vt:lpstr>_r70j3aLS6TN</vt:lpstr>
      <vt:lpstr>_R9OGiMpW78L</vt:lpstr>
      <vt:lpstr>_ramjT3rTxDy</vt:lpstr>
      <vt:lpstr>_RaUrUv4LxpR</vt:lpstr>
      <vt:lpstr>_RAzspHzaC8g</vt:lpstr>
      <vt:lpstr>_RbHr5E1j90s</vt:lpstr>
      <vt:lpstr>_rBVtXT5aRH9</vt:lpstr>
      <vt:lpstr>_rccNK612394</vt:lpstr>
      <vt:lpstr>_rCdQCAYB9e4</vt:lpstr>
      <vt:lpstr>_rdnbXv7P6L7</vt:lpstr>
      <vt:lpstr>_rdWV2Hti7Y0</vt:lpstr>
      <vt:lpstr>_RejB3Rwk0eW</vt:lpstr>
      <vt:lpstr>_REWlAuiPgQ1</vt:lpstr>
      <vt:lpstr>_rF1uHjM7Snq</vt:lpstr>
      <vt:lpstr>_RGdDoACF70Y</vt:lpstr>
      <vt:lpstr>_rgQt2gGz81U</vt:lpstr>
      <vt:lpstr>_RguRv8DMkVF</vt:lpstr>
      <vt:lpstr>_RH5eUlRw3vp</vt:lpstr>
      <vt:lpstr>_RHE3hPIVwQL</vt:lpstr>
      <vt:lpstr>_RhSXdp3Ru53</vt:lpstr>
      <vt:lpstr>_Ri6qfsIIbLg</vt:lpstr>
      <vt:lpstr>_rKjjus6oIJ6</vt:lpstr>
      <vt:lpstr>_rLdRHWLOw4A</vt:lpstr>
      <vt:lpstr>_RlyY3QJ9dxB</vt:lpstr>
      <vt:lpstr>_rmZ2hhJbw0k</vt:lpstr>
      <vt:lpstr>_RN9tr2vo1dz</vt:lpstr>
      <vt:lpstr>_rnt4qNoe9o6</vt:lpstr>
      <vt:lpstr>_roQOQNqiYew</vt:lpstr>
      <vt:lpstr>_RovJxA5q73u</vt:lpstr>
      <vt:lpstr>_RP36LcMxknV</vt:lpstr>
      <vt:lpstr>_rPQcWXJiLi6</vt:lpstr>
      <vt:lpstr>_rpxUZLumLk0</vt:lpstr>
      <vt:lpstr>_RQeCTBrhh3Q</vt:lpstr>
      <vt:lpstr>_RqGndaj6IFL</vt:lpstr>
      <vt:lpstr>_RR2rEd1m9De</vt:lpstr>
      <vt:lpstr>_rra2TNkUtsp</vt:lpstr>
      <vt:lpstr>_Rsoi1Cozrk5</vt:lpstr>
      <vt:lpstr>_rsPgkoF9mhV</vt:lpstr>
      <vt:lpstr>_rt9bW0uaYzL</vt:lpstr>
      <vt:lpstr>_rUheQdkTwu8</vt:lpstr>
      <vt:lpstr>_RUhuyBrMyYt</vt:lpstr>
      <vt:lpstr>_RuzdxZAAlRl</vt:lpstr>
      <vt:lpstr>_RwC9iQVU8M8</vt:lpstr>
      <vt:lpstr>_Rwi4EoBfT8Q</vt:lpstr>
      <vt:lpstr>_rXcq3Hxdf50</vt:lpstr>
      <vt:lpstr>_rxGeXBceUoL</vt:lpstr>
      <vt:lpstr>_RXh00x8Ura0</vt:lpstr>
      <vt:lpstr>_RXMvFb38JIP</vt:lpstr>
      <vt:lpstr>_rXmWEffdLYb</vt:lpstr>
      <vt:lpstr>_RXvxSC2KGnq</vt:lpstr>
      <vt:lpstr>_S1EHDiKo9bW</vt:lpstr>
      <vt:lpstr>_s1jE6eK5kL8</vt:lpstr>
      <vt:lpstr>_s2kJ5RJ8i9M</vt:lpstr>
      <vt:lpstr>_s36Y5hzaM7r</vt:lpstr>
      <vt:lpstr>_s3CQBiE9Xgc</vt:lpstr>
      <vt:lpstr>_S4iA5Eex500</vt:lpstr>
      <vt:lpstr>_s5DsrOO60aP</vt:lpstr>
      <vt:lpstr>_s6d3LD6Cytp</vt:lpstr>
      <vt:lpstr>_S6nAfRsfG24</vt:lpstr>
      <vt:lpstr>_s76Yp2x4Aaj</vt:lpstr>
      <vt:lpstr>_S7p0RMtNt5d</vt:lpstr>
      <vt:lpstr>_S7rEhEKVsnO</vt:lpstr>
      <vt:lpstr>_SASwpi1X0xc</vt:lpstr>
      <vt:lpstr>_sBEZU4oW36C</vt:lpstr>
      <vt:lpstr>_SD1EVUSqhSY</vt:lpstr>
      <vt:lpstr>_sdDVkfxhXzs</vt:lpstr>
      <vt:lpstr>_sdhd1VRT0HD</vt:lpstr>
      <vt:lpstr>_SdIxWcT4O2G</vt:lpstr>
      <vt:lpstr>_SDUORvbGi07</vt:lpstr>
      <vt:lpstr>_SdYVHsdUV2P</vt:lpstr>
      <vt:lpstr>_sEjdq4wUJip</vt:lpstr>
      <vt:lpstr>_SHsxZPz3WKl</vt:lpstr>
      <vt:lpstr>_sITQrw3yafN</vt:lpstr>
      <vt:lpstr>_SJ3szJutOyS</vt:lpstr>
      <vt:lpstr>_SJemAb05PXS</vt:lpstr>
      <vt:lpstr>_sJvel46Awpn</vt:lpstr>
      <vt:lpstr>_sk2a2fxTfNt</vt:lpstr>
      <vt:lpstr>_SlgnilEKdAq</vt:lpstr>
      <vt:lpstr>_SlTaGnAKIky</vt:lpstr>
      <vt:lpstr>_slZ63IghtEs</vt:lpstr>
      <vt:lpstr>_smhwRCPk1j0</vt:lpstr>
      <vt:lpstr>_SmJaSjPiXJh</vt:lpstr>
      <vt:lpstr>_SMwSDLty3xy</vt:lpstr>
      <vt:lpstr>_snBP9YqluQ2</vt:lpstr>
      <vt:lpstr>_so90YjYRbCD</vt:lpstr>
      <vt:lpstr>_SPjm5hlCj6f</vt:lpstr>
      <vt:lpstr>_SQkUPJ56vhj</vt:lpstr>
      <vt:lpstr>_SRGCa1GtYMj</vt:lpstr>
      <vt:lpstr>_Ss7K80Nr8Zn</vt:lpstr>
      <vt:lpstr>_ssQAMvV0BB5</vt:lpstr>
      <vt:lpstr>_sSSvLriKi6U</vt:lpstr>
      <vt:lpstr>_sTcF2B4quEJ</vt:lpstr>
      <vt:lpstr>_stOjGx8Z1EJ</vt:lpstr>
      <vt:lpstr>_STqyc7dRbD1</vt:lpstr>
      <vt:lpstr>_sUQkjVxT73J</vt:lpstr>
      <vt:lpstr>_SWBFpzbssOo</vt:lpstr>
      <vt:lpstr>_sWo8itPzF2q</vt:lpstr>
      <vt:lpstr>_sWTh8qhDRXN</vt:lpstr>
      <vt:lpstr>_sYedmTjopWB</vt:lpstr>
      <vt:lpstr>_szaLwUnjP7r</vt:lpstr>
      <vt:lpstr>_szAMcOwLGvE</vt:lpstr>
      <vt:lpstr>_sZHeIBdupem</vt:lpstr>
      <vt:lpstr>_szI6jC2ULNt</vt:lpstr>
      <vt:lpstr>_sZXlx2daOtq</vt:lpstr>
      <vt:lpstr>_SzZyj2mmnmv</vt:lpstr>
      <vt:lpstr>_T066vAMK8pe</vt:lpstr>
      <vt:lpstr>_T0oHQ2PX0vI</vt:lpstr>
      <vt:lpstr>_T27W9IHR3zJ</vt:lpstr>
      <vt:lpstr>_T3zCMPkpeCX</vt:lpstr>
      <vt:lpstr>_t4hIRDT9lfW</vt:lpstr>
      <vt:lpstr>_t57vOuoKLOd</vt:lpstr>
      <vt:lpstr>_T5FaH07bKYG</vt:lpstr>
      <vt:lpstr>_t65bBS5snT2</vt:lpstr>
      <vt:lpstr>_t6bijFliMSL</vt:lpstr>
      <vt:lpstr>_T7HNyZtnCQH</vt:lpstr>
      <vt:lpstr>_t7ZUZLOXxHK</vt:lpstr>
      <vt:lpstr>_t8sgWivP3TA</vt:lpstr>
      <vt:lpstr>_T9f2CMlZs93</vt:lpstr>
      <vt:lpstr>_TASoAHhRkQF</vt:lpstr>
      <vt:lpstr>_taxj7IkB05J</vt:lpstr>
      <vt:lpstr>_TbYyMOcVmdd</vt:lpstr>
      <vt:lpstr>_TC5m6cHaOdC</vt:lpstr>
      <vt:lpstr>_tC6wlpPZIiB</vt:lpstr>
      <vt:lpstr>_TC96M0bIHF5</vt:lpstr>
      <vt:lpstr>_TcqZXwCSLmy</vt:lpstr>
      <vt:lpstr>_Tcy0wHXsjtN</vt:lpstr>
      <vt:lpstr>_TfaqfvUFzti</vt:lpstr>
      <vt:lpstr>_tFMcEFwylqq</vt:lpstr>
      <vt:lpstr>_TgohsMmBY4H</vt:lpstr>
      <vt:lpstr>_Tgu1DM1RRIC</vt:lpstr>
      <vt:lpstr>_tihv2zs5UWz</vt:lpstr>
      <vt:lpstr>_tiiNo9KmYUU</vt:lpstr>
      <vt:lpstr>_tKclI5Qs8KB</vt:lpstr>
      <vt:lpstr>_TkQPU1j5sPl</vt:lpstr>
      <vt:lpstr>_tLsmFuaLBdZ</vt:lpstr>
      <vt:lpstr>_TLtbaZgYtiR</vt:lpstr>
      <vt:lpstr>_tLyq7cwGtsH</vt:lpstr>
      <vt:lpstr>_tMHRnSGrGpQ</vt:lpstr>
      <vt:lpstr>_TmrhmXuavPj</vt:lpstr>
      <vt:lpstr>_TnWT5Dh2Z9B</vt:lpstr>
      <vt:lpstr>_to1bx4osGME</vt:lpstr>
      <vt:lpstr>_Tp9uk4iKxbz</vt:lpstr>
      <vt:lpstr>_tpO1EUzE6ZS</vt:lpstr>
      <vt:lpstr>_TQcBYg90B5p</vt:lpstr>
      <vt:lpstr>_tqCQMruOo2h</vt:lpstr>
      <vt:lpstr>_tRStAUgADYa</vt:lpstr>
      <vt:lpstr>_true</vt:lpstr>
      <vt:lpstr>_TsSZYVcXH04</vt:lpstr>
      <vt:lpstr>_tTNaukMxay4</vt:lpstr>
      <vt:lpstr>_TUHVA04jBqO</vt:lpstr>
      <vt:lpstr>_tUnat9BJkqc</vt:lpstr>
      <vt:lpstr>_TUQTWmWfaVM</vt:lpstr>
      <vt:lpstr>_TVrO3iA7eWh</vt:lpstr>
      <vt:lpstr>_tvtzlMlKepr</vt:lpstr>
      <vt:lpstr>_tVv3VLOy1BR</vt:lpstr>
      <vt:lpstr>_tW3mCTLnf6d</vt:lpstr>
      <vt:lpstr>_TwdaLWzG0s8</vt:lpstr>
      <vt:lpstr>_tx5tn7QNHob</vt:lpstr>
      <vt:lpstr>_tyW71ghUE0H</vt:lpstr>
      <vt:lpstr>_tZDqQqCYgOI</vt:lpstr>
      <vt:lpstr>_tZsWdkWg7CP</vt:lpstr>
      <vt:lpstr>_u2lb8ouwqq9</vt:lpstr>
      <vt:lpstr>_U3mvAcyAlUi</vt:lpstr>
      <vt:lpstr>_u4cA95rPeEx</vt:lpstr>
      <vt:lpstr>_u5m53UUoa2s</vt:lpstr>
      <vt:lpstr>_U5VTCke9Cze</vt:lpstr>
      <vt:lpstr>_u5yoauzqfJb</vt:lpstr>
      <vt:lpstr>_u6EoOHUsRZ7</vt:lpstr>
      <vt:lpstr>_u7i3R1bQ0fF</vt:lpstr>
      <vt:lpstr>_uA5OQYhvckA</vt:lpstr>
      <vt:lpstr>_UBJA0RHqBet</vt:lpstr>
      <vt:lpstr>_ubVxw0xqgi1</vt:lpstr>
      <vt:lpstr>_UCCVSYxKJko</vt:lpstr>
      <vt:lpstr>_ucn21iUEBwn</vt:lpstr>
      <vt:lpstr>_UcQs1wpTn7X</vt:lpstr>
      <vt:lpstr>_udEidWNnhYF</vt:lpstr>
      <vt:lpstr>_uDW2bufWuBk</vt:lpstr>
      <vt:lpstr>_UfaK3Hegads</vt:lpstr>
      <vt:lpstr>_UFWEVbmhNDu</vt:lpstr>
      <vt:lpstr>_uG8MX45axcP</vt:lpstr>
      <vt:lpstr>_UgxSSYEe37v</vt:lpstr>
      <vt:lpstr>_Uh4Yjz8Hlz0</vt:lpstr>
      <vt:lpstr>_uhHgnWHLGwz</vt:lpstr>
      <vt:lpstr>_UHJ3EvOTnhA</vt:lpstr>
      <vt:lpstr>_uHp6B3LqCBb</vt:lpstr>
      <vt:lpstr>_Uiix3oZpeZP</vt:lpstr>
      <vt:lpstr>_uJbfzwhU3dQ</vt:lpstr>
      <vt:lpstr>_Uk3yslBofmW</vt:lpstr>
      <vt:lpstr>_ukLoKfne3aq</vt:lpstr>
      <vt:lpstr>_UlBSKMb9lK1</vt:lpstr>
      <vt:lpstr>_ulToVXMAPkh</vt:lpstr>
      <vt:lpstr>_UmGqv2cynEm</vt:lpstr>
      <vt:lpstr>_umWQnrxYOIR</vt:lpstr>
      <vt:lpstr>_unM18X68sNS</vt:lpstr>
      <vt:lpstr>_UNNNBEiJvqf</vt:lpstr>
      <vt:lpstr>_UOR00LDGLWY</vt:lpstr>
      <vt:lpstr>_upqxhWfTSQN</vt:lpstr>
      <vt:lpstr>_URCyxZRwW5k</vt:lpstr>
      <vt:lpstr>_UrCzqrooerV</vt:lpstr>
      <vt:lpstr>_UrMYson9h5i</vt:lpstr>
      <vt:lpstr>_uRVKw6OxxU8</vt:lpstr>
      <vt:lpstr>_USfBZHIYelp</vt:lpstr>
      <vt:lpstr>_UsfJIH5SATW</vt:lpstr>
      <vt:lpstr>_UTE0CJQB1nC</vt:lpstr>
      <vt:lpstr>_uTIKlrR3f22</vt:lpstr>
      <vt:lpstr>_utz8VdqimQG</vt:lpstr>
      <vt:lpstr>_UUqzsEfyKb4</vt:lpstr>
      <vt:lpstr>_uv0NMjsKur0</vt:lpstr>
      <vt:lpstr>_UV1Cmo1Y3bR</vt:lpstr>
      <vt:lpstr>_UVHAjrx7tCk</vt:lpstr>
      <vt:lpstr>_uVrFVqrGIQl</vt:lpstr>
      <vt:lpstr>_uVZKWHSyC8Q</vt:lpstr>
      <vt:lpstr>_uwl7jojlY5C</vt:lpstr>
      <vt:lpstr>_uwLC1N1aNaB</vt:lpstr>
      <vt:lpstr>_UXS01j5Uraz</vt:lpstr>
      <vt:lpstr>_UXuds3DGWfB</vt:lpstr>
      <vt:lpstr>_uyVa1rICsMI</vt:lpstr>
      <vt:lpstr>_uZMMeGBIBLD</vt:lpstr>
      <vt:lpstr>_Uzwci0pOubu</vt:lpstr>
      <vt:lpstr>_v0GqvJ3hiKs</vt:lpstr>
      <vt:lpstr>_V1AMz5T7OE4</vt:lpstr>
      <vt:lpstr>_V1EdOaqfJuF</vt:lpstr>
      <vt:lpstr>_v4cZmbYgVXH</vt:lpstr>
      <vt:lpstr>_v4HYqaIfW1c</vt:lpstr>
      <vt:lpstr>_V4lazNyGZUd</vt:lpstr>
      <vt:lpstr>_V4r1YmLPZp5</vt:lpstr>
      <vt:lpstr>_V5romBqHPya</vt:lpstr>
      <vt:lpstr>_v625poDJGkO</vt:lpstr>
      <vt:lpstr>_v6iargqqZXA</vt:lpstr>
      <vt:lpstr>_v6PUlS8qRrd</vt:lpstr>
      <vt:lpstr>_v7TU2k1Juw5</vt:lpstr>
      <vt:lpstr>_v87DEGAEwzy</vt:lpstr>
      <vt:lpstr>_vaKCnNpPV88</vt:lpstr>
      <vt:lpstr>_vaKtyMGomYi</vt:lpstr>
      <vt:lpstr>_vbKIBFsXIO0</vt:lpstr>
      <vt:lpstr>_vBOdPk5rjeL</vt:lpstr>
      <vt:lpstr>_VBsDKTtf7ER</vt:lpstr>
      <vt:lpstr>_vC042fTkXvB</vt:lpstr>
      <vt:lpstr>_vcno4BOI7ql</vt:lpstr>
      <vt:lpstr>_VefO9o2nGGN</vt:lpstr>
      <vt:lpstr>_VeI4D41WrBT</vt:lpstr>
      <vt:lpstr>_vEpyts0hTID</vt:lpstr>
      <vt:lpstr>_vFETYpoWqCb</vt:lpstr>
      <vt:lpstr>_VFufpXF2rqX</vt:lpstr>
      <vt:lpstr>_VGp6AR8ZdrC</vt:lpstr>
      <vt:lpstr>_vgsWIO2QQ3V</vt:lpstr>
      <vt:lpstr>_vhiomTrJGtN</vt:lpstr>
      <vt:lpstr>_VHUyeA90lL1</vt:lpstr>
      <vt:lpstr>_Vi2zVxwc05k</vt:lpstr>
      <vt:lpstr>_VIA4yF7RbeO</vt:lpstr>
      <vt:lpstr>_vidrpwXVlZO</vt:lpstr>
      <vt:lpstr>_VijD4XJTLPZ</vt:lpstr>
      <vt:lpstr>_VIQTc58aX5a</vt:lpstr>
      <vt:lpstr>_viWbv3Wxbw7</vt:lpstr>
      <vt:lpstr>_Vj0uc6QZiPV</vt:lpstr>
      <vt:lpstr>_Vl3bnGJISI2</vt:lpstr>
      <vt:lpstr>_vLf5ZyDkKsc</vt:lpstr>
      <vt:lpstr>_VMMNaZdc8uu</vt:lpstr>
      <vt:lpstr>_VmPdhojuWYi</vt:lpstr>
      <vt:lpstr>_VNHhGHCq1aM</vt:lpstr>
      <vt:lpstr>_vo2JzF5zXRS</vt:lpstr>
      <vt:lpstr>_VpqBmCuLNwb</vt:lpstr>
      <vt:lpstr>_vqtwEyYAT7y</vt:lpstr>
      <vt:lpstr>_vRbS7LzMQAZ</vt:lpstr>
      <vt:lpstr>_vrrDQ6LYpz9</vt:lpstr>
      <vt:lpstr>_vRsyVDYQYTv</vt:lpstr>
      <vt:lpstr>_Vrt0zNFCvGv</vt:lpstr>
      <vt:lpstr>_vrwc9Nul4t0</vt:lpstr>
      <vt:lpstr>_vrwjsWVKDEl</vt:lpstr>
      <vt:lpstr>_vsmAhG18JSl</vt:lpstr>
      <vt:lpstr>_vsmvO35cNuX</vt:lpstr>
      <vt:lpstr>_VtMe3Xw2eJE</vt:lpstr>
      <vt:lpstr>_vtXJLJpJKDK</vt:lpstr>
      <vt:lpstr>_vTydWx0krBR</vt:lpstr>
      <vt:lpstr>_vuTkQhqxQ5h</vt:lpstr>
      <vt:lpstr>_vweWLIudERK</vt:lpstr>
      <vt:lpstr>_VWmKHq9d2Wz</vt:lpstr>
      <vt:lpstr>_VWTiKhtf1uT</vt:lpstr>
      <vt:lpstr>_vX03QxslIEj</vt:lpstr>
      <vt:lpstr>_vx5CYMx3bzZ</vt:lpstr>
      <vt:lpstr>_vxBgJqbGmtI</vt:lpstr>
      <vt:lpstr>_VxEEunBJiBX</vt:lpstr>
      <vt:lpstr>_VyedfnGilJq</vt:lpstr>
      <vt:lpstr>_vyYxiRtmtbP</vt:lpstr>
      <vt:lpstr>_Vzbt60w33Wc</vt:lpstr>
      <vt:lpstr>_vzEyMhQkSaI</vt:lpstr>
      <vt:lpstr>_vzIzL7ET520</vt:lpstr>
      <vt:lpstr>_w00yLBxs4Nb</vt:lpstr>
      <vt:lpstr>_w0DoPrHBZj3</vt:lpstr>
      <vt:lpstr>_W0hgjze2UjR</vt:lpstr>
      <vt:lpstr>_w2hys1LjEmb</vt:lpstr>
      <vt:lpstr>_W3g8r8kQJbS</vt:lpstr>
      <vt:lpstr>_W3ZHIWmnoYt</vt:lpstr>
      <vt:lpstr>_W5UOPi0SH2h</vt:lpstr>
      <vt:lpstr>_W6RvHOBuTHl</vt:lpstr>
      <vt:lpstr>_WabHSAIqPYL</vt:lpstr>
      <vt:lpstr>_WBxVbTQY0m3</vt:lpstr>
      <vt:lpstr>_WCLcyhcgL7A</vt:lpstr>
      <vt:lpstr>_wcP7T4FKEMd</vt:lpstr>
      <vt:lpstr>_wDPLKCxJIrv</vt:lpstr>
      <vt:lpstr>_wDWXzaq3f8T</vt:lpstr>
      <vt:lpstr>_wEvcFcKVuv0</vt:lpstr>
      <vt:lpstr>_wevY4QjhvMb</vt:lpstr>
      <vt:lpstr>_wFmuUvqane5</vt:lpstr>
      <vt:lpstr>_Wgh3WobxO4M</vt:lpstr>
      <vt:lpstr>_Wh5K2bLNVx9</vt:lpstr>
      <vt:lpstr>_WHDieg5lPio</vt:lpstr>
      <vt:lpstr>_wHw5vViLn1P</vt:lpstr>
      <vt:lpstr>_WiGuC5xLhRi</vt:lpstr>
      <vt:lpstr>_WinSLZtXv8I</vt:lpstr>
      <vt:lpstr>_wjw3WbyiJsR</vt:lpstr>
      <vt:lpstr>_wL7X7Llf9fN</vt:lpstr>
      <vt:lpstr>_wMFG67gJCgh</vt:lpstr>
      <vt:lpstr>_wNfPV0QMs7n</vt:lpstr>
      <vt:lpstr>_WngWGRNje1l</vt:lpstr>
      <vt:lpstr>_WnJg4V9gdc1</vt:lpstr>
      <vt:lpstr>_wNJwISqrNw4</vt:lpstr>
      <vt:lpstr>_WnZfjglQd09</vt:lpstr>
      <vt:lpstr>_wO19d5V6ENc</vt:lpstr>
      <vt:lpstr>_WO7OHx9UbmY</vt:lpstr>
      <vt:lpstr>_WoUmttPo3QC</vt:lpstr>
      <vt:lpstr>_Wp83xhdnRec</vt:lpstr>
      <vt:lpstr>_WpdGdkFGQ3F</vt:lpstr>
      <vt:lpstr>_WPuBt4UsuYO</vt:lpstr>
      <vt:lpstr>_WQEg4tItNSZ</vt:lpstr>
      <vt:lpstr>_wr7ygKRwNUD</vt:lpstr>
      <vt:lpstr>_wrSCZ2fX8Ao</vt:lpstr>
      <vt:lpstr>_Ws17eM5v8bj</vt:lpstr>
      <vt:lpstr>_wsBJfX6APAv</vt:lpstr>
      <vt:lpstr>_WSJizMeVzNU</vt:lpstr>
      <vt:lpstr>_WT3Skfg7hAx</vt:lpstr>
      <vt:lpstr>_Wv0JcH6nXPS</vt:lpstr>
      <vt:lpstr>_WV6Wf95EA8d</vt:lpstr>
      <vt:lpstr>_wvOnHOsbQcV</vt:lpstr>
      <vt:lpstr>_WwEst7h1joZ</vt:lpstr>
      <vt:lpstr>_wWFDLHvOV0n</vt:lpstr>
      <vt:lpstr>_WWIdM7E5Ok9</vt:lpstr>
      <vt:lpstr>_wwOojmqX2sK</vt:lpstr>
      <vt:lpstr>_WWXi6bzjPwt</vt:lpstr>
      <vt:lpstr>_wXEpAqraks3</vt:lpstr>
      <vt:lpstr>_Wxh1lFsfdob</vt:lpstr>
      <vt:lpstr>_WxUgJFZMmDF</vt:lpstr>
      <vt:lpstr>_wXXmMFhLUYh</vt:lpstr>
      <vt:lpstr>_wYAxxWFWgs9</vt:lpstr>
      <vt:lpstr>_wyOcGXvKAEI</vt:lpstr>
      <vt:lpstr>_WyQDvQHBCZi</vt:lpstr>
      <vt:lpstr>_WYSBuyOb9GP</vt:lpstr>
      <vt:lpstr>_WzNp4KGnBvM</vt:lpstr>
      <vt:lpstr>_x064l1ueon7</vt:lpstr>
      <vt:lpstr>_x27cRnmuTYV</vt:lpstr>
      <vt:lpstr>_x2Ea4eMVqRZ</vt:lpstr>
      <vt:lpstr>_X3j5grsIyw2</vt:lpstr>
      <vt:lpstr>_x5xhjJdhedC</vt:lpstr>
      <vt:lpstr>_X72yjg8V5e3</vt:lpstr>
      <vt:lpstr>_X99nusX058Z</vt:lpstr>
      <vt:lpstr>_X99ZT19n2uT</vt:lpstr>
      <vt:lpstr>_x9WUc81aPHb</vt:lpstr>
      <vt:lpstr>_X9Wuo3EUCgv</vt:lpstr>
      <vt:lpstr>_xbCQSCZNinF</vt:lpstr>
      <vt:lpstr>_XbYhwfG1W7m</vt:lpstr>
      <vt:lpstr>_Xbzrng24RX6</vt:lpstr>
      <vt:lpstr>_Xcegrt4y3Z7</vt:lpstr>
      <vt:lpstr>_xCXmgtsHzdi</vt:lpstr>
      <vt:lpstr>_XdH4jVhBPBG</vt:lpstr>
      <vt:lpstr>_XDjBOjXb6SW</vt:lpstr>
      <vt:lpstr>_xEKlVBaXIzZ</vt:lpstr>
      <vt:lpstr>_XFZH0oeDiWB</vt:lpstr>
      <vt:lpstr>_XgnHbfmZTdk</vt:lpstr>
      <vt:lpstr>_XgTB9GpReG8</vt:lpstr>
      <vt:lpstr>_XH69fnVs2mY</vt:lpstr>
      <vt:lpstr>_xhCl7WSwDuH</vt:lpstr>
      <vt:lpstr>_xHdjUAAVkNO</vt:lpstr>
      <vt:lpstr>_XHkHQmyae2u</vt:lpstr>
      <vt:lpstr>_Xi1zXdCpXy4</vt:lpstr>
      <vt:lpstr>_XILs9pgvQdy</vt:lpstr>
      <vt:lpstr>_xim19N6C5lC</vt:lpstr>
      <vt:lpstr>_XJniVQIui1z</vt:lpstr>
      <vt:lpstr>_XjrBvTmX6oW</vt:lpstr>
      <vt:lpstr>_XkDEMun2ANM</vt:lpstr>
      <vt:lpstr>_xKEw0wAm8kq</vt:lpstr>
      <vt:lpstr>_XLjLLJdUGiD</vt:lpstr>
      <vt:lpstr>_xlpwyakEdtw</vt:lpstr>
      <vt:lpstr>_xMiEfx1zaGk</vt:lpstr>
      <vt:lpstr>_XNSwyOxnJWc</vt:lpstr>
      <vt:lpstr>_Xo8NW8kWWo2</vt:lpstr>
      <vt:lpstr>_XOnUKnc4sIW</vt:lpstr>
      <vt:lpstr>_xOTc6VCp2QR</vt:lpstr>
      <vt:lpstr>_xPhRdhYjy5Q</vt:lpstr>
      <vt:lpstr>_XpYl4U2CO1w</vt:lpstr>
      <vt:lpstr>_xqcjXq9affu</vt:lpstr>
      <vt:lpstr>_xqmC1YOFa26</vt:lpstr>
      <vt:lpstr>_XRCOIG1y0eA</vt:lpstr>
      <vt:lpstr>_xrutvjvfkSg</vt:lpstr>
      <vt:lpstr>_Xs5hgp7OWcQ</vt:lpstr>
      <vt:lpstr>_Xs6a47pnBdL</vt:lpstr>
      <vt:lpstr>_XSTwLHXrfi9</vt:lpstr>
      <vt:lpstr>_XTaq5MdpmR0</vt:lpstr>
      <vt:lpstr>_XtsrulYgCG1</vt:lpstr>
      <vt:lpstr>_xTyAzqrYozH</vt:lpstr>
      <vt:lpstr>_xtzN2hxOHyA</vt:lpstr>
      <vt:lpstr>_xUWPWuaqeVI</vt:lpstr>
      <vt:lpstr>_xVvL5Ufi4i9</vt:lpstr>
      <vt:lpstr>_XVZrZWgr78e</vt:lpstr>
      <vt:lpstr>_xwrEvzkOCXg</vt:lpstr>
      <vt:lpstr>_Xx6siwuo3br</vt:lpstr>
      <vt:lpstr>_xxlFceTVhzL</vt:lpstr>
      <vt:lpstr>_xYerKDKCefk</vt:lpstr>
      <vt:lpstr>_XYesPsdB5Cr</vt:lpstr>
      <vt:lpstr>_xYU2N84o2Rg</vt:lpstr>
      <vt:lpstr>_xZ0Z4Kb0NKL</vt:lpstr>
      <vt:lpstr>_XZOC3K92sa9</vt:lpstr>
      <vt:lpstr>_xZs92OPf2dG</vt:lpstr>
      <vt:lpstr>_y1Fm3WnjKWg</vt:lpstr>
      <vt:lpstr>_y2SObl0soIM</vt:lpstr>
      <vt:lpstr>_y4Sr31WiwiU</vt:lpstr>
      <vt:lpstr>_y6AtDA84hkl</vt:lpstr>
      <vt:lpstr>_Y6pukfAgkWL</vt:lpstr>
      <vt:lpstr>_y78ktbuZhcz</vt:lpstr>
      <vt:lpstr>_Y7dDL783Lk8</vt:lpstr>
      <vt:lpstr>_y8mZX259K7s</vt:lpstr>
      <vt:lpstr>_Ya5RDtwE8wJ</vt:lpstr>
      <vt:lpstr>_YacwsaeiSAm</vt:lpstr>
      <vt:lpstr>_yBYTz1M15tf</vt:lpstr>
      <vt:lpstr>_yc0BocbujoZ</vt:lpstr>
      <vt:lpstr>_YCgsKGx4fgF</vt:lpstr>
      <vt:lpstr>_YCmjGlQYsvt</vt:lpstr>
      <vt:lpstr>_Yd5Saefe1JT</vt:lpstr>
      <vt:lpstr>_YDu6Paa8LOB</vt:lpstr>
      <vt:lpstr>_yE1eH64EJAj</vt:lpstr>
      <vt:lpstr>_Ye7UKJQNlyq</vt:lpstr>
      <vt:lpstr>_yeTU7UA4BSD</vt:lpstr>
      <vt:lpstr>_Yf4l1RhqDvf</vt:lpstr>
      <vt:lpstr>_YfXxsN5azQp</vt:lpstr>
      <vt:lpstr>_YGjAWd4KSyk</vt:lpstr>
      <vt:lpstr>_YGQE6rPHVJx</vt:lpstr>
      <vt:lpstr>_yhy7Pj96Iun</vt:lpstr>
      <vt:lpstr>_yifOETNxcrj</vt:lpstr>
      <vt:lpstr>_YjkfsTWjdLO</vt:lpstr>
      <vt:lpstr>_yKGWqCg1hKJ</vt:lpstr>
      <vt:lpstr>_YKHAPzOd7fV</vt:lpstr>
      <vt:lpstr>_ykoPSQqI92T</vt:lpstr>
      <vt:lpstr>_YlgdIFCuybP</vt:lpstr>
      <vt:lpstr>_YLhkbCQrQGO</vt:lpstr>
      <vt:lpstr>_ylznT34EsMJ</vt:lpstr>
      <vt:lpstr>_YMtmA7Vd8ex</vt:lpstr>
      <vt:lpstr>_yoP6f67jWQE</vt:lpstr>
      <vt:lpstr>_yOwkSWC5PQP</vt:lpstr>
      <vt:lpstr>_ypHQ5dUyrGQ</vt:lpstr>
      <vt:lpstr>_ypMx7AbosGM</vt:lpstr>
      <vt:lpstr>_ypQzG57oNij</vt:lpstr>
      <vt:lpstr>_yPRW3ROZiTZ</vt:lpstr>
      <vt:lpstr>_yqdkPcj7Fx5</vt:lpstr>
      <vt:lpstr>_yR0V5tbKP1Z</vt:lpstr>
      <vt:lpstr>_YsJRVCdtd6l</vt:lpstr>
      <vt:lpstr>_yTAbOK2ZkkC</vt:lpstr>
      <vt:lpstr>_YtJcy1Vyxwl</vt:lpstr>
      <vt:lpstr>_ytUrcR6nUdg</vt:lpstr>
      <vt:lpstr>_yU93mrcyCC9</vt:lpstr>
      <vt:lpstr>_yUp4BmCjbb2</vt:lpstr>
      <vt:lpstr>_yuWyWdj0NZy</vt:lpstr>
      <vt:lpstr>_YvX0kSq1jp6</vt:lpstr>
      <vt:lpstr>_ywdpy6F8XcF</vt:lpstr>
      <vt:lpstr>_YWFRfcmaNNq</vt:lpstr>
      <vt:lpstr>_YWRczShGIKH</vt:lpstr>
      <vt:lpstr>_yx1txTfZlxY</vt:lpstr>
      <vt:lpstr>_yx6vnF6Vi5L</vt:lpstr>
      <vt:lpstr>_yxvjVYAp1Rk</vt:lpstr>
      <vt:lpstr>_yXW63ijAMCB</vt:lpstr>
      <vt:lpstr>_yYh8zi7ddRL</vt:lpstr>
      <vt:lpstr>_yzkaduI5RwE</vt:lpstr>
      <vt:lpstr>_Z0jQZpsIqrh</vt:lpstr>
      <vt:lpstr>_z1BqKlperjZ</vt:lpstr>
      <vt:lpstr>_Z1qyXDIIeHG</vt:lpstr>
      <vt:lpstr>_Z1yd2Fkbvna</vt:lpstr>
      <vt:lpstr>_z2w467ItIEH</vt:lpstr>
      <vt:lpstr>_z3Iuiv0qbBS</vt:lpstr>
      <vt:lpstr>_z4vjkRIvvnp</vt:lpstr>
      <vt:lpstr>_z5PjIiKk34F</vt:lpstr>
      <vt:lpstr>_Z6vPv9TxH6I</vt:lpstr>
      <vt:lpstr>_z947RHcjLSb</vt:lpstr>
      <vt:lpstr>_Za5didRILFl</vt:lpstr>
      <vt:lpstr>_ZCb7w2cdxAy</vt:lpstr>
      <vt:lpstr>_zCfBBI72uLm</vt:lpstr>
      <vt:lpstr>_ZDD9HiyEsW9</vt:lpstr>
      <vt:lpstr>_zDr4nrRhT4l</vt:lpstr>
      <vt:lpstr>_ze1RocFdvwE</vt:lpstr>
      <vt:lpstr>_ze4jTINKRre</vt:lpstr>
      <vt:lpstr>_Zec2hHKUxJP</vt:lpstr>
      <vt:lpstr>_zFg34B9wY9r</vt:lpstr>
      <vt:lpstr>_zfid7euzIm1</vt:lpstr>
      <vt:lpstr>_zFoxQvWPW4b</vt:lpstr>
      <vt:lpstr>_ZFznB50OuJU</vt:lpstr>
      <vt:lpstr>_ZhbJg8PM2ZH</vt:lpstr>
      <vt:lpstr>_zHJb8L2pCM4</vt:lpstr>
      <vt:lpstr>_ZHObyA2Po4d</vt:lpstr>
      <vt:lpstr>_ZjWN1q0du0o</vt:lpstr>
      <vt:lpstr>_zJYo8zfSiqo</vt:lpstr>
      <vt:lpstr>_zKgno3TnMe5</vt:lpstr>
      <vt:lpstr>_ZKXwG9xz9tq</vt:lpstr>
      <vt:lpstr>_ZlfW14g9T5l</vt:lpstr>
      <vt:lpstr>_zNMsObbHa8J</vt:lpstr>
      <vt:lpstr>_zo4v791tpCF</vt:lpstr>
      <vt:lpstr>_zPHR9rEWZVR</vt:lpstr>
      <vt:lpstr>_zQYSbusHNvP</vt:lpstr>
      <vt:lpstr>_zR0Km7lNSgJ</vt:lpstr>
      <vt:lpstr>_zSrT9mIXfxh</vt:lpstr>
      <vt:lpstr>_zTd6vLumEfG</vt:lpstr>
      <vt:lpstr>_ztXzDu2FIJz</vt:lpstr>
      <vt:lpstr>_ZuFcLmQPG0O</vt:lpstr>
      <vt:lpstr>_ZUOAV5yA3JG</vt:lpstr>
      <vt:lpstr>_zwb9tJ98mMg</vt:lpstr>
      <vt:lpstr>_ZWZ2w5rvxDv</vt:lpstr>
      <vt:lpstr>_ZYftGBmoTwm</vt:lpstr>
      <vt:lpstr>_ZyYbKNVlxZ1</vt:lpstr>
      <vt:lpstr>_zZ84KXVDU6R</vt:lpstr>
      <vt:lpstr>_zzbjynluaR6</vt:lpstr>
      <vt:lpstr>_ZzHzXupLxKU</vt:lpstr>
      <vt:lpstr>Version_TRACKER_PROGRAM_GENERATED_v3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Yagiten</cp:lastModifiedBy>
  <dcterms:created xsi:type="dcterms:W3CDTF">2024-05-14T09:05:35Z</dcterms:created>
  <dcterms:modified xsi:type="dcterms:W3CDTF">2024-06-05T08:22:07Z</dcterms:modified>
</cp:coreProperties>
</file>