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https://d.docs.live.net/5ecb560daa41a713/Desktop/Winter 2021/Managerial Accounting/KDP/"/>
    </mc:Choice>
  </mc:AlternateContent>
  <xr:revisionPtr revIDLastSave="149" documentId="8_{6BAA9664-A582-496C-A051-FDD13106FA40}" xr6:coauthVersionLast="47" xr6:coauthVersionMax="47" xr10:uidLastSave="{DF7F6988-3F9F-4323-8280-13C36F2D2951}"/>
  <bookViews>
    <workbookView xWindow="28680" yWindow="-120" windowWidth="29040" windowHeight="15840" firstSheet="1" activeTab="1" xr2:uid="{5FA8FD48-A933-4C7D-8C07-74943295ADC9}"/>
  </bookViews>
  <sheets>
    <sheet name="_CIQHiddenCacheSheet" sheetId="47" state="veryHidden" r:id="rId1"/>
    <sheet name="Valuation_Stats_Empty" sheetId="24" r:id="rId2"/>
    <sheet name="Valuation_Summary_Empty" sheetId="25" r:id="rId3"/>
  </sheets>
  <definedNames>
    <definedName name="CIQWBGuid" hidden="1">"910ab304-b73b-44e8-9f41-3a87c0b2d78e"</definedName>
    <definedName name="CIQWBInfo" hidden="1">"{ ""CIQVersion"":""9.47.1108.4092""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44596.9016435185</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iterate="1" iterateDelta="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1" i="25" l="1"/>
  <c r="J18" i="25"/>
  <c r="J12" i="25"/>
  <c r="I11" i="25" a="1"/>
  <c r="I11" i="25" s="1"/>
  <c r="D11" i="25" a="1"/>
  <c r="D11" i="25" s="1"/>
  <c r="H32" i="24"/>
  <c r="P18" i="24" a="1"/>
  <c r="P18" i="24"/>
  <c r="Q18" i="24" a="1"/>
  <c r="Q18" i="24"/>
  <c r="P16" i="24" a="1"/>
  <c r="P16" i="24"/>
  <c r="P19" i="24" a="1"/>
  <c r="P19" i="24"/>
  <c r="Q17" i="24" a="1"/>
  <c r="Q17" i="24"/>
  <c r="P25" i="24" a="1"/>
  <c r="P25" i="24"/>
  <c r="P17" i="24" a="1"/>
  <c r="P17" i="24"/>
  <c r="Q25" i="24" a="1"/>
  <c r="Q25" i="24"/>
  <c r="N16" i="24" a="1"/>
  <c r="N16" i="24"/>
  <c r="M19" i="24" a="1"/>
  <c r="M19" i="24"/>
  <c r="M16" i="24" a="1"/>
  <c r="M16" i="24"/>
  <c r="Q19" i="24" a="1"/>
  <c r="Q19" i="24"/>
  <c r="Q16" i="24" a="1"/>
  <c r="Q16" i="24"/>
  <c r="N19" i="24" a="1"/>
  <c r="N19" i="24"/>
  <c r="M18" i="24" a="1"/>
  <c r="M18" i="24"/>
  <c r="N18" i="24" a="1"/>
  <c r="N18" i="24"/>
  <c r="N17" i="24" a="1"/>
  <c r="N17" i="24"/>
  <c r="M25" i="24" a="1"/>
  <c r="M25" i="24"/>
  <c r="K19" i="24" a="1"/>
  <c r="K19" i="24"/>
  <c r="J18" i="24" a="1"/>
  <c r="J18" i="24"/>
  <c r="K18" i="24" a="1"/>
  <c r="K18" i="24"/>
  <c r="M17" i="24" a="1"/>
  <c r="M17" i="24"/>
  <c r="N25" i="24" a="1"/>
  <c r="N25" i="24"/>
  <c r="K17" i="24" a="1"/>
  <c r="K17" i="24"/>
  <c r="K16" i="24" a="1"/>
  <c r="K16" i="24"/>
  <c r="J16" i="24" a="1"/>
  <c r="J16" i="24"/>
  <c r="K25" i="24" a="1"/>
  <c r="K25" i="24"/>
  <c r="J25" i="24" a="1"/>
  <c r="J25" i="24"/>
  <c r="R17" i="24" a="1"/>
  <c r="R17" i="24"/>
  <c r="D18" i="24" a="1"/>
  <c r="D18" i="24"/>
  <c r="J17" i="24" a="1"/>
  <c r="J17" i="24"/>
  <c r="O16" i="24" a="1"/>
  <c r="O16" i="24"/>
  <c r="G16" i="24" a="1"/>
  <c r="G16" i="24"/>
  <c r="R19" i="24" a="1"/>
  <c r="R19" i="24"/>
  <c r="L19" i="24" a="1"/>
  <c r="L19" i="24"/>
  <c r="U18" i="24" a="1"/>
  <c r="U18" i="24"/>
  <c r="O18" i="24" a="1"/>
  <c r="O18" i="24"/>
  <c r="I18" i="24" a="1"/>
  <c r="I18" i="24"/>
  <c r="U16" i="24" a="1"/>
  <c r="U16" i="24"/>
  <c r="S16" i="24" a="1"/>
  <c r="S16" i="24"/>
  <c r="O25" i="24" a="1"/>
  <c r="O25" i="24"/>
  <c r="I25" i="24" a="1"/>
  <c r="I25" i="24"/>
  <c r="G25" i="24" a="1"/>
  <c r="G25" i="24"/>
  <c r="L17" i="24" a="1"/>
  <c r="L17" i="24"/>
  <c r="F17" i="24" a="1"/>
  <c r="F17" i="24"/>
  <c r="D16" i="24" a="1"/>
  <c r="D16" i="24"/>
  <c r="I16" i="24" a="1"/>
  <c r="I16" i="24"/>
  <c r="J19" i="24" a="1"/>
  <c r="J19" i="24"/>
  <c r="T19" i="24" a="1"/>
  <c r="T19" i="24"/>
  <c r="H19" i="24" a="1"/>
  <c r="H19" i="24"/>
  <c r="S18" i="24" a="1"/>
  <c r="S18" i="24"/>
  <c r="T17" i="24" a="1"/>
  <c r="T17" i="24"/>
  <c r="H17" i="24" a="1"/>
  <c r="H17" i="24"/>
  <c r="F16" i="24" a="1"/>
  <c r="F16" i="24"/>
  <c r="H16" i="24" a="1"/>
  <c r="H16" i="24"/>
  <c r="F19" i="24" a="1"/>
  <c r="F19" i="24"/>
  <c r="U25" i="24" a="1"/>
  <c r="U25" i="24"/>
  <c r="D25" i="24" a="1"/>
  <c r="D25" i="24"/>
  <c r="T16" i="24" a="1"/>
  <c r="T16" i="24"/>
  <c r="D17" i="24" a="1"/>
  <c r="D17" i="24"/>
  <c r="G17" i="24" a="1"/>
  <c r="G17" i="24"/>
  <c r="R16" i="24" a="1"/>
  <c r="R16" i="24"/>
  <c r="L16" i="24" a="1"/>
  <c r="L16" i="24"/>
  <c r="L18" i="24" a="1"/>
  <c r="L18" i="24"/>
  <c r="S17" i="24" a="1"/>
  <c r="S17" i="24"/>
  <c r="U17" i="24" a="1"/>
  <c r="U17" i="24"/>
  <c r="O17" i="24" a="1"/>
  <c r="O17" i="24"/>
  <c r="I17" i="24" a="1"/>
  <c r="I17" i="24"/>
  <c r="I19" i="24" a="1"/>
  <c r="I19" i="24"/>
  <c r="R18" i="24" a="1"/>
  <c r="R18" i="24"/>
  <c r="T18" i="24" a="1"/>
  <c r="T18" i="24"/>
  <c r="D19" i="24" a="1"/>
  <c r="D19" i="24"/>
  <c r="F18" i="24" a="1"/>
  <c r="F18" i="24"/>
  <c r="F25" i="24" a="1"/>
  <c r="F25" i="24"/>
  <c r="H25" i="24" a="1"/>
  <c r="H25" i="24"/>
  <c r="S19" i="24" a="1"/>
  <c r="S19" i="24"/>
  <c r="O19" i="24" a="1"/>
  <c r="O19" i="24"/>
  <c r="G19" i="24" a="1"/>
  <c r="G19" i="24"/>
  <c r="S25" i="24" a="1"/>
  <c r="S25" i="24"/>
  <c r="T25" i="24" a="1"/>
  <c r="T25" i="24"/>
  <c r="R25" i="24" a="1"/>
  <c r="R25" i="24"/>
  <c r="L25" i="24" a="1"/>
  <c r="L25" i="24"/>
  <c r="U19" i="24" a="1"/>
  <c r="U19" i="24"/>
  <c r="F31" i="25"/>
  <c r="J15" i="24"/>
  <c r="K15" i="24" s="1"/>
  <c r="L15" i="24"/>
  <c r="O15" i="24"/>
  <c r="B16" i="24"/>
  <c r="B17" i="24"/>
  <c r="B18" i="24"/>
  <c r="H18" i="24"/>
  <c r="B19" i="24"/>
  <c r="B25" i="24"/>
  <c r="F34" i="24"/>
  <c r="G18" i="24" s="1"/>
  <c r="F32" i="24" l="1"/>
  <c r="B34" i="24"/>
  <c r="B50" i="24" s="1"/>
  <c r="M49" i="24"/>
  <c r="H34" i="24"/>
  <c r="L50" i="24"/>
  <c r="M51" i="24"/>
  <c r="F37" i="24"/>
  <c r="J48" i="24"/>
  <c r="L48" i="24"/>
  <c r="B32" i="24"/>
  <c r="B48" i="24" s="1"/>
  <c r="E33" i="24"/>
  <c r="G33" i="24"/>
  <c r="K49" i="24"/>
  <c r="J50" i="24"/>
  <c r="G35" i="24"/>
  <c r="K51" i="24"/>
  <c r="B37" i="24"/>
  <c r="B53" i="24" s="1"/>
  <c r="L53" i="24"/>
  <c r="E35" i="24"/>
  <c r="G32" i="24"/>
  <c r="E32" i="24"/>
  <c r="M48" i="24"/>
  <c r="F33" i="24"/>
  <c r="B33" i="24"/>
  <c r="B49" i="24" s="1"/>
  <c r="K48" i="24"/>
  <c r="L49" i="24"/>
  <c r="J49" i="24"/>
  <c r="E34" i="24"/>
  <c r="B35" i="24"/>
  <c r="B51" i="24" s="1"/>
  <c r="K50" i="24"/>
  <c r="M50" i="24"/>
  <c r="F35" i="24"/>
  <c r="J51" i="24"/>
  <c r="G37" i="24"/>
  <c r="E37" i="24"/>
  <c r="L51" i="24"/>
  <c r="M53" i="24"/>
  <c r="K53" i="24"/>
  <c r="J53" i="24"/>
  <c r="N15" i="24"/>
  <c r="E46" i="24"/>
  <c r="M15" i="24"/>
  <c r="I34" i="24" l="1"/>
  <c r="E51" i="24"/>
  <c r="E53" i="24"/>
  <c r="E49" i="24"/>
  <c r="K34" i="24"/>
  <c r="G50" i="24"/>
  <c r="M55" i="24"/>
  <c r="M59" i="24"/>
  <c r="M56" i="24"/>
  <c r="M57" i="24"/>
  <c r="M58" i="24"/>
  <c r="N35" i="24"/>
  <c r="I35" i="24"/>
  <c r="H35" i="24"/>
  <c r="J35" i="24"/>
  <c r="K35" i="24"/>
  <c r="G49" i="24"/>
  <c r="I14" i="25"/>
  <c r="G53" i="24"/>
  <c r="K57" i="24"/>
  <c r="K58" i="24"/>
  <c r="K55" i="24"/>
  <c r="K59" i="24"/>
  <c r="K56" i="24"/>
  <c r="G48" i="24"/>
  <c r="N33" i="24"/>
  <c r="L56" i="24"/>
  <c r="L57" i="24"/>
  <c r="L58" i="24"/>
  <c r="L55" i="24"/>
  <c r="L59" i="24"/>
  <c r="P15" i="24"/>
  <c r="Q15" i="24"/>
  <c r="N37" i="24"/>
  <c r="E39" i="24"/>
  <c r="N32" i="24"/>
  <c r="E40" i="24"/>
  <c r="E43" i="24"/>
  <c r="E41" i="24"/>
  <c r="E42" i="24"/>
  <c r="J58" i="24"/>
  <c r="J55" i="24"/>
  <c r="J59" i="24"/>
  <c r="J56" i="24"/>
  <c r="J57" i="24"/>
  <c r="H37" i="24"/>
  <c r="K37" i="24"/>
  <c r="I37" i="24"/>
  <c r="J37" i="24"/>
  <c r="N34" i="24"/>
  <c r="K32" i="24"/>
  <c r="G41" i="24"/>
  <c r="G42" i="24"/>
  <c r="I32" i="24"/>
  <c r="G39" i="24"/>
  <c r="J32" i="24"/>
  <c r="G43" i="24"/>
  <c r="G40" i="24"/>
  <c r="J33" i="24"/>
  <c r="K33" i="24"/>
  <c r="H33" i="24"/>
  <c r="I33" i="24"/>
  <c r="G51" i="24"/>
  <c r="F42" i="24"/>
  <c r="F39" i="24"/>
  <c r="F40" i="24"/>
  <c r="F43" i="24"/>
  <c r="F41" i="24"/>
  <c r="K42" i="24" l="1"/>
  <c r="K39" i="24"/>
  <c r="K40" i="24"/>
  <c r="K41" i="24"/>
  <c r="K43" i="24"/>
  <c r="E48" i="24"/>
  <c r="I40" i="24"/>
  <c r="I41" i="24"/>
  <c r="I43" i="24"/>
  <c r="I42" i="24"/>
  <c r="I39" i="24"/>
  <c r="G57" i="24"/>
  <c r="G58" i="24"/>
  <c r="G55" i="24"/>
  <c r="G59" i="24"/>
  <c r="G56" i="24"/>
  <c r="H39" i="24"/>
  <c r="H40" i="24"/>
  <c r="H41" i="24"/>
  <c r="H42" i="24"/>
  <c r="H43" i="24"/>
  <c r="N40" i="24"/>
  <c r="N41" i="24"/>
  <c r="N42" i="24"/>
  <c r="N43" i="24"/>
  <c r="N39" i="24"/>
  <c r="J34" i="24"/>
  <c r="J39" i="24" s="1"/>
  <c r="E50" i="24"/>
  <c r="J43" i="24" l="1"/>
  <c r="J41" i="24"/>
  <c r="J40" i="24"/>
  <c r="J42" i="24"/>
  <c r="O32" i="24"/>
  <c r="P34" i="24"/>
  <c r="O34" i="24"/>
  <c r="O33" i="24"/>
  <c r="I17" i="25" a="1"/>
  <c r="P33" i="24"/>
  <c r="P32" i="24"/>
  <c r="E55" i="24"/>
  <c r="E59" i="24"/>
  <c r="E56" i="24"/>
  <c r="E57" i="24"/>
  <c r="E58" i="24"/>
  <c r="I51" i="24"/>
  <c r="F51" i="24"/>
  <c r="M35" i="24"/>
  <c r="I15" i="25"/>
  <c r="H53" i="24"/>
  <c r="L37" i="24"/>
  <c r="L34" i="24"/>
  <c r="H50" i="24"/>
  <c r="F48" i="24"/>
  <c r="I48" i="24"/>
  <c r="M32" i="24"/>
  <c r="H49" i="24"/>
  <c r="L33" i="24"/>
  <c r="F50" i="24"/>
  <c r="M34" i="24"/>
  <c r="I50" i="24"/>
  <c r="H51" i="24"/>
  <c r="L35" i="24"/>
  <c r="I16" i="25"/>
  <c r="F53" i="24"/>
  <c r="I53" i="24"/>
  <c r="M37" i="24"/>
  <c r="I49" i="24"/>
  <c r="F49" i="24"/>
  <c r="M33" i="24"/>
  <c r="H48" i="24"/>
  <c r="L32" i="24"/>
  <c r="L39" i="24" l="1"/>
  <c r="L40" i="24"/>
  <c r="L41" i="24"/>
  <c r="L42" i="24"/>
  <c r="L43" i="24"/>
  <c r="I55" i="24"/>
  <c r="I59" i="24"/>
  <c r="I56" i="24"/>
  <c r="I57" i="24"/>
  <c r="I58" i="24"/>
  <c r="O35" i="24"/>
  <c r="O37" i="24"/>
  <c r="H56" i="24"/>
  <c r="H57" i="24"/>
  <c r="H58" i="24"/>
  <c r="H59" i="24"/>
  <c r="H55" i="24"/>
  <c r="F58" i="24"/>
  <c r="F55" i="24"/>
  <c r="F59" i="24"/>
  <c r="F56" i="24"/>
  <c r="F57" i="24"/>
  <c r="P35" i="24"/>
  <c r="P42" i="24" s="1"/>
  <c r="P37" i="24"/>
  <c r="I17" i="25"/>
  <c r="M41" i="24"/>
  <c r="M42" i="24"/>
  <c r="M43" i="24"/>
  <c r="M39" i="24"/>
  <c r="M40" i="24"/>
  <c r="P39" i="24"/>
  <c r="P41" i="24"/>
  <c r="P43" i="24"/>
  <c r="O39" i="24"/>
  <c r="O40" i="24"/>
  <c r="O41" i="24"/>
  <c r="O42" i="24"/>
  <c r="O43" i="24"/>
  <c r="P40" i="24" l="1"/>
  <c r="E11" i="25" a="1"/>
  <c r="F11" i="25" a="1"/>
  <c r="L17" i="25" s="1"/>
  <c r="G11" i="25" a="1"/>
  <c r="M17" i="25" s="1"/>
  <c r="H11" i="25" a="1"/>
  <c r="N17" i="25" s="1"/>
  <c r="H11" i="25" l="1"/>
  <c r="N11" i="25" s="1"/>
  <c r="N14" i="25"/>
  <c r="N13" i="25"/>
  <c r="N12" i="25"/>
  <c r="N19" i="25"/>
  <c r="N18" i="25"/>
  <c r="N15" i="25"/>
  <c r="N16" i="25"/>
  <c r="J13" i="25"/>
  <c r="J14" i="25"/>
  <c r="J16" i="25"/>
  <c r="J15" i="25"/>
  <c r="J19" i="25"/>
  <c r="G11" i="25"/>
  <c r="M11" i="25" s="1"/>
  <c r="M12" i="25"/>
  <c r="M14" i="25"/>
  <c r="M13" i="25"/>
  <c r="M19" i="25"/>
  <c r="M16" i="25"/>
  <c r="M15" i="25"/>
  <c r="M18" i="25"/>
  <c r="F11" i="25"/>
  <c r="L11" i="25" s="1"/>
  <c r="L14" i="25"/>
  <c r="L13" i="25"/>
  <c r="L12" i="25"/>
  <c r="L16" i="25"/>
  <c r="L19" i="25"/>
  <c r="L18" i="25"/>
  <c r="L15" i="25"/>
  <c r="E11" i="25"/>
  <c r="K11" i="25" s="1"/>
  <c r="K13" i="25"/>
  <c r="K14" i="25"/>
  <c r="K12" i="25"/>
  <c r="K16" i="25"/>
  <c r="K18" i="25"/>
  <c r="K19" i="25"/>
  <c r="K15"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Gennady Mogilner</author>
  </authors>
  <commentList>
    <comment ref="B22" authorId="0" shapeId="0" xr:uid="{98D4274C-A97D-4059-9AEE-F74C20FA12E3}">
      <text>
        <r>
          <rPr>
            <b/>
            <sz val="9"/>
            <color indexed="81"/>
            <rFont val="Tahoma"/>
            <family val="2"/>
          </rPr>
          <t>Add non-core assets to get to Equity Value from Enterprise Value since Equity Value represents ALL assets</t>
        </r>
      </text>
    </comment>
    <comment ref="B26" authorId="0" shapeId="0" xr:uid="{9684F554-3AE5-43D6-AA14-97F5020CB7EF}">
      <text>
        <r>
          <rPr>
            <b/>
            <sz val="9"/>
            <color indexed="81"/>
            <rFont val="Tahoma"/>
            <family val="2"/>
          </rPr>
          <t>Subtracting other holders of the business since Equity Value only represents EQUITY holders</t>
        </r>
      </text>
    </comment>
    <comment ref="B35" authorId="0" shapeId="0" xr:uid="{664F49CA-EE13-4D69-A13A-C87D4382D667}">
      <text>
        <r>
          <rPr>
            <b/>
            <sz val="9"/>
            <color indexed="81"/>
            <rFont val="Tahoma"/>
            <family val="2"/>
          </rPr>
          <t>All of these figures were grabbed from the company's latest 10Q. You can use the quarterly statement for balance sheet items since it is the most recent information. The diluted shares outstanding can also be taken from the 10Q/10K and can be calculated by yourself. Notice how the numbers are blue to represent it’s a raw input.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<sst xmlns="http://schemas.openxmlformats.org/spreadsheetml/2006/main" count="168" uniqueCount="112">
  <si>
    <t>For CapIQ:</t>
  </si>
  <si>
    <t>IQ_COMPANY_NAME</t>
  </si>
  <si>
    <t>IQ_CLOSEPRICE</t>
  </si>
  <si>
    <t>IQ_MARKETCAP_OUT</t>
  </si>
  <si>
    <t>IQ_TEV_OUT</t>
  </si>
  <si>
    <t>IQ_TOTAL_REV</t>
  </si>
  <si>
    <t>IQ_REVENUE_EST</t>
  </si>
  <si>
    <t>IQ_EBITDA</t>
  </si>
  <si>
    <t>IQ_EBITDA_EST</t>
  </si>
  <si>
    <t>IQ_NI</t>
  </si>
  <si>
    <t>IQ_NI_EST</t>
  </si>
  <si>
    <t>IQ_TOTAL_DEBT_EBITDA</t>
  </si>
  <si>
    <t>IQ_RETURN_CAPITAL</t>
  </si>
  <si>
    <t>IQ_RETURN_ASSETS</t>
  </si>
  <si>
    <t>IQ_RETURN_EQUITY</t>
  </si>
  <si>
    <t>IQ_LTM</t>
  </si>
  <si>
    <t>CY</t>
  </si>
  <si>
    <r>
      <t xml:space="preserve">Fill in the </t>
    </r>
    <r>
      <rPr>
        <b/>
        <u/>
        <sz val="11"/>
        <color theme="4" tint="0.79998168889431442"/>
        <rFont val="Arial"/>
        <family val="2"/>
      </rPr>
      <t xml:space="preserve">light blue </t>
    </r>
    <r>
      <rPr>
        <b/>
        <sz val="11"/>
        <color theme="1"/>
        <rFont val="Arial"/>
        <family val="2"/>
      </rPr>
      <t>cells with the correct formulas</t>
    </r>
  </si>
  <si>
    <t>1. Get the Excel Capital IQ Add-on (refer to the screenshot to the right)</t>
  </si>
  <si>
    <t>2. Go to S&amp;P Capital IQ &gt; "Customize" Down Arrow &gt; Select "Settings" &gt; Select "Disable S&amp;P Capital IQ Quick Keys" so it doesn't mess with your FinanceAddIn</t>
  </si>
  <si>
    <t>3. Add the tickers in the column D by going to "S&amp;P Capital IQ", then writing in the company name in "Identifiers:" and selecting it in the menu</t>
  </si>
  <si>
    <t>4. The rest of the financials and metrics should be automatically filled in by Capital IQ formulas</t>
  </si>
  <si>
    <t>Date of Valuation</t>
  </si>
  <si>
    <t>Currency</t>
  </si>
  <si>
    <t>USD</t>
  </si>
  <si>
    <t>Share</t>
  </si>
  <si>
    <t>Equity</t>
  </si>
  <si>
    <t>Enterprise</t>
  </si>
  <si>
    <t>Revenue ($M)</t>
  </si>
  <si>
    <t>EBITDA ($M)</t>
  </si>
  <si>
    <t>Net Income ($M)</t>
  </si>
  <si>
    <t>x</t>
  </si>
  <si>
    <t>Capital IQ Identifier</t>
  </si>
  <si>
    <t>Company Name</t>
  </si>
  <si>
    <t>Price ($)</t>
  </si>
  <si>
    <t>Value ($M)</t>
  </si>
  <si>
    <t>LTM</t>
  </si>
  <si>
    <t>Debt / EBITDA</t>
  </si>
  <si>
    <t>ROIC</t>
  </si>
  <si>
    <t>ROA</t>
  </si>
  <si>
    <t>ROE</t>
  </si>
  <si>
    <t>^COMPANY YOU ARE VALUING</t>
  </si>
  <si>
    <t>EV / Revenue</t>
  </si>
  <si>
    <t>EV / EBITDA</t>
  </si>
  <si>
    <t>P /  E</t>
  </si>
  <si>
    <t>Maximum</t>
  </si>
  <si>
    <t>75th Percentile</t>
  </si>
  <si>
    <t>Median</t>
  </si>
  <si>
    <t>25th Percentile</t>
  </si>
  <si>
    <t>Minimum</t>
  </si>
  <si>
    <t>EBITDA Margins</t>
  </si>
  <si>
    <t>Returns</t>
  </si>
  <si>
    <t>Leverage</t>
  </si>
  <si>
    <t>Revenue</t>
  </si>
  <si>
    <t>EBITDA</t>
  </si>
  <si>
    <t>Debt/EBITDA</t>
  </si>
  <si>
    <t>Valuation Summary</t>
  </si>
  <si>
    <t>Range of Valuation Multiples</t>
  </si>
  <si>
    <t>Implied Price per Share</t>
  </si>
  <si>
    <t>25th</t>
  </si>
  <si>
    <t>75th</t>
  </si>
  <si>
    <t>Applicable</t>
  </si>
  <si>
    <t>Percentile</t>
  </si>
  <si>
    <t>Company</t>
  </si>
  <si>
    <t>Methodology Name</t>
  </si>
  <si>
    <t>Multiple</t>
  </si>
  <si>
    <t>Figure ($M)</t>
  </si>
  <si>
    <t>Public Company Comparables:</t>
  </si>
  <si>
    <t>LTM EV / Revenue</t>
  </si>
  <si>
    <t>FY 2021 EV / Revenue</t>
  </si>
  <si>
    <t>FY 2022 EV / Revenue</t>
  </si>
  <si>
    <t>LTM EV / EBITDA</t>
  </si>
  <si>
    <t>FY 2021 EV / EBITDA</t>
  </si>
  <si>
    <t>FY 2022 EV / EBITDA</t>
  </si>
  <si>
    <t>LTM P / E</t>
  </si>
  <si>
    <t>FY 2021 P / E</t>
  </si>
  <si>
    <t>FY 2022 P / E</t>
  </si>
  <si>
    <t>Enterprise Value to Equity Value Bridge</t>
  </si>
  <si>
    <t>Plus: Cash and cash equivalents</t>
  </si>
  <si>
    <t>Plus: Short-term investments</t>
  </si>
  <si>
    <t>Plus: Other non-core assets, net</t>
  </si>
  <si>
    <t>Plus: Net operating losses</t>
  </si>
  <si>
    <t>Less: Total debt</t>
  </si>
  <si>
    <t>Less: Preferred stock</t>
  </si>
  <si>
    <t>Less: Non-controlling interest</t>
  </si>
  <si>
    <t>Less: Capital leases</t>
  </si>
  <si>
    <t>Less: Restructuring &amp; other liabilities</t>
  </si>
  <si>
    <t>Total Difference</t>
  </si>
  <si>
    <t>Diluted Shares Outstanding (In millions)</t>
  </si>
  <si>
    <t>Note</t>
  </si>
  <si>
    <t>--</t>
  </si>
  <si>
    <t>BAABTAVMT0NBTAFI/////wFQUwAAAClDSVEuTkFTREFROktEUC5JUV9DTE9TRVBSSUNFLjQvMS8yMDIxLlVTRAEAAAAeGwUAAgAAAAQzNC41AOCnRn9hBtoIlI8QgGEG2ggmQ0lRLk5BU0RBUTpLRFAuSVFfVEVWX09VVC40LzEvMjAyMS5VU0QBAAAAHhsFAAIAAAAMNjI4MDcuMDk5NzYyAQYAAAAFAAAAATEBAAAACjIwODE5OTU3MTUDAAAAAzE2MAIAAAAFNDYyMTQEAAAAATAHAAAACDQvMS8yMDIx4KdGf2EG2giZthCAYQbaCC9DSVEuTkFTREFRR1M6Q09LRS5JUV9NQVJLRVRDQVBfT1VULjQvMS8yMDIxLlVTRAEAAADdCQgAAgAAAAsyNzEwLjU4OTY0OAEGAAAABQAAAAExAQAAAAoyMDgyMzMzOTg5AwAAAAMxNjACAAAABTQ2MjEwBAAAAAEwBwAAAAg0LzEvMjAyMeCnRn9hBtoIsAQRgGEG2ggoQ0lRLk5ZU0U6UFJNVy5JUV9DTE9TRVBSSUNFLjQvMS8yMDIxLlVTRAEAAADnaQAAAgAAAAUxNi42NQDgp0Z/YQbaCJhoEIBhBtoIL0NJUS5OQVNEQVFHUzpGSVpaLklRX01BUktFVENBUF9PVVQuNC8xLzIwMjEuVVNEAQAAAJroBAACAAAACzQ1MDEuMjM4ODUzAQYAAAAFAAAAATEBAAAACjIwODQwMDYwNzADAAAAAzE2MAIAAAAFNDYyMTAEAAAAATAHAAAACDQvMS8yMDIx4KdGf2EG2ggsCQ+AYQbaCCxDSVEuTkFTREFRR1M6TU5TVC5JUV9DTE9TRVBSSUNFLjQvMS8yMDIxLlVTRAEAAACxPgUAAgAAAAU5MS4z</t>
  </si>
  <si>
    <t>NgDgp0Z/YQbaCAtGDoBhBtoIKUNJUS5OQVNEQVFHUzpNTlNULklRX1RFVl9PVVQuNC8xLzIwMjEuVVNEAQAAALE+BQACAAAADDQ2ODU4LjkwMDM0NQEGAAAABQAAAAExAQAAAAoyMDgyNTA2OTg1AwAAAAMxNjACAAAABTQ2MjE0BAAAAAEwBwAAAAg0LzEvMjAyMeCnRn9hBtoIAW0OgGEG2ggsQ0lRLk5BU0RBUUdTOkNPS0UuSVFfQ0xPU0VQUklDRS40LzEvMjAyMS5VU0QBAAAA3QkIAAIAAAAGMjg5LjE3AOCnRn9hBtoID5QOgGEG2ggpQ0lRLk5BU0RBUUdTOkNPS0UuSVFfVEVWX09VVC40LzEvMjAyMS5VU0QBAAAA3QkIAAIAAAALMzgxMS43OTQ2NDgBBgAAAAUAAAABMQEAAAAKMjA4MjMzMzk4OQMAAAADMTYwAgAAAAU0NjIxNAQAAAABMAcAAAAINC8xLzIwMjHgp0Z/YQbaCNbQDYBhBtoIKUNJUS5OQVNEQVFHUzpGSVpaLklRX1RFVl9PVVQuNC8xLzIwMjEuVVNEAQAAAJroBAACAAAACzQzODMuNDE1ODUyAQYAAAAFAAAAATEBAAAACjIwODQwMDYwNzADAAAAAzE2MAIAAAAFNDYyMTQEAAAAATAHAAAACDQvMS8yMDIx4KdGf2EG2gj3Hg6AYQbaCCxDSVEuTkFTREFRR1M6RklaWi5JUV9DTE9TRVBSSUNFLjQvMS8yMDIxLlVTRAEAAACa6AQAAgAAAAU0OC4wNADgp0Z/YQbaCKc0DYBhBtoILENJUS5OQVNEQVE6S0RQLklRX01BUktFVENBUF9PVVQuNC8xLzIwMjEuVVNEAQAAAB4bBQACAAAADDQ4NTU1LjA5</t>
  </si>
  <si>
    <t>OTc2MgEGAAAABQAAAAExAQAAAAoyMDgxOTk1NzE1AwAAAAMxNjACAAAABTQ2MjEwBAAAAAEwBwAAAAg0LzEvMjAyMeCnRn9hBtoIuQ0NgGEG2ggvQ0lRLk5BU0RBUUdTOk1OU1QuSVFfTUFSS0VUQ0FQX09VVC40LzEvMjAyMS5VU0QBAAAAsT4FAAIAAAAMNDg4OTkuMzMxMzQ2AQYAAAAFAAAAATEBAAAACjIwODI1MDY5ODUDAAAAAzE2MAIAAAAFNDYyMTAEAAAAATAHAAAACDQvMS8yMDIx4KdGf2EG2ghN1QuAYQbaCCFDSVEuTkFTREFRR1M6Q09LRS5JUV9DT01QQU5ZX05BTUUBAAAA3QkIAAMAAAAcQ29jYS1Db2xhIENvbnNvbGlkYXRlZCwgSW5jLgDgp0Z/YQbaCJhoEIBhBtoIIUNJUS5OQVNEQVFHUzpGSVpaLklRX0NPTVBBTllfTkFNRQEAAACa6AQAAwAAABdOYXRpb25hbCBCZXZlcmFnZSBDb3JwLgDgp0Z/YQbaCCwJD4BhBtoIHkNJUS5OQVNEQVE6S0RQLklRX0NPTVBBTllfTkFNRQEAAAAeGwUAAwAAABVLZXVyaWcgRHIgUGVwcGVyIEluYy4A4KdGf2EG2ggh4g6AYQbaCCFDSVEuTkFTREFRR1M6TU5TVC5JUV9DT01QQU5ZX05BTUUBAAAAsT4FAAMAAAAcTW9uc3RlciBCZXZlcmFnZSBDb3Jwb3JhdGlvbgDgp0Z/YQbaCMFbDYBhBtoIHUNJUS5OWVNFOlBSTVcuSVFfQ09NUEFOWV9OQU1FAQAAAOdpAAADAAAAF1ByaW1vIFdhdGVyIENvcnBvcmF0aW9uAOCnRn9hBtoIiYcLgGEG2gguQ0lRLk5BU0RB</t>
  </si>
  <si>
    <t>UTpLRFAuSVFfUkVUVVJOX0NBUElUQUwuMjAwMC40LzEvMjAyMQEAAAAeGwUAAgAAAAU1LjA2MwEIAAAABQAAAAExAQAAAAoyMDkzNjYzNTUyAwAAAAMxNjACAAAABDQzNjMEAAAAATAHAAAACDQvMS8yMDIxCAAAAAkzLzMxLzIwMjEJAAAAATDXzkZ/YQbaCLAEEYBhBtoILUNJUS5OQVNEQVE6S0RQLklRX1JFVFVSTl9BU1NFVFMuMjAwMC40LzEvMjAyMQEAAAAeGwUAAgAAAAYzLjkxMzIBCAAAAAUAAAABMQEAAAAKMjA5MzY2MzU1MgMAAAADMTYwAgAAAAQ0MTc4BAAAAAEwBwAAAAg0LzEvMjAyMQgAAAAJMy8zMS8yMDIxCQAAAAEw185Gf2EG2giwBBGAYQbaCDFDSVEuTkFTREFROktEUC5JUV9UT1RBTF9ERUJUX0VCSVREQS4yMDAwLjQvMS8yMDIxAQAAAB4bBQACAAAACDMuNzU5NzAzAQgAAAAFAAAAATEBAAAACjIwOTM2NjM1NTIDAAAAAzE2MAIAAAAENDE5MgQAAAABMAcAAAAINC8xLzIwMjEIAAAACTMvMzEvMjAyMQkAAAABMNfORn9hBtoIQSwRgGEG2gguQ0lRLk5BU0RBUTpLRFAuSVFfRUJJVERBLklRX0xUTS40LzEvMjAyMS4uLlVTRAEAAAAeGwUAAgAAAAQzNzcyAQgAAAAFAAAAATEBAAAACjIwOTM2NjM1NTIDAAAAAzE2MAIAAAAENDA1MQQAAAABMAcAAAAINC8xLzIwMjEIAAAACTMvMzEvMjAyMQkAAAABMNfORn9hBtoIQSwRgGEG2ggwQ0lRLk5BU0RBUUdTOkNPS0UuSVFfUkVUVVJOX0VRVUlU</t>
  </si>
  <si>
    <t>WS4yMDAwLjQvMS8yMDIxAQAAAN0JCAACAAAABzM3Ljc3NTMBCAAAAAUAAAABMQEAAAALLTIxMTE0Mjk0NDYDAAAAAzE2MAIAAAAENDEyOAQAAAABMAcAAAAINC8xLzIwMjEIAAAACjEyLzMxLzIwMjAJAAAAATDXzkZ/YQbaCBdTEYBhBtoIMUNJUS5OQVNEQVFHUzpDT0tFLklRX1JFVFVSTl9DQVBJVEFMLjIwMDAuNC8xLzIwMjEBAAAA3QkIAAIAAAAHMTEuOTgyOAEIAAAABQAAAAExAQAAAAstMjExMTQyOTQ0NgMAAAADMTYwAgAAAAQ0MzYzBAAAAAEwBwAAAAg0LzEvMjAyMQgAAAAKMTIvMzEvMjAyMAkAAAABMNfORn9hBtoImbYQgGEG2ggtQ0lRLk5BU0RBUUdTOkNPS0UuSVFfTkkuSVFfTFRNLjQvMS8yMDIxLi4uVVNEAQAAAN0JCAACAAAABzE3Mi40OTMBCAAAAAUAAAABMQEAAAALLTIxMTE0Mjk0NDYDAAAAAzE2MAIAAAACMTUEAAAAATAHAAAACDQvMS8yMDIxCAAAAAoxMi8zMS8yMDIwCQAAAAEw185Gf2EG2gi23RCAYQbaCDRDSVEuTkFTREFRR1M6Q09LRS5JUV9UT1RBTF9SRVYuSVFfTFRNLjQvMS8yMDIxLi4uVVNEAQAAAN0JCAACAAAACDUwMDcuMzU3AQgAAAAFAAAAATEBAAAACy0yMTExNDI5NDQ2AwAAAAMxNjACAAAAAjI4BAAAAAEwBwAAAAg0LzEvMjAyMQgAAAAKMTIvMzEvMjAyMAkAAAABMNfORn9hBtoIZ/MPgGEG2ggwQ0lRLk5ZU0U6UFJNVy5JUV9UT1RBTF9ERUJUX0VCSVREQS4yMDAw</t>
  </si>
  <si>
    <t>LjQvMS8yMDIxAQAAAOdpAAACAAAACDQuMzU3NzQ0AQgAAAAFAAAAATEBAAAACy0yMTA5NTQ0ODA3AwAAAAMxNjACAAAABDQxOTIEAAAAATAHAAAACDQvMS8yMDIxCAAAAAgxLzIvMjAyMQkAAAABMNfORn9hBtoIahoQgGEG2ggsQ0lRLk5ZU0U6UFJNVy5JUV9SRVRVUk5fQVNTRVRTLjIwMDAuNC8xLzIwMjEBAAAA52kAAAIAAAAGMi4xNjU2AQgAAAAFAAAAATEBAAAACy0yMTA5NTQ0ODA3AwAAAAMxNjACAAAABDQxNzgEAAAAATAHAAAACDQvMS8yMDIxCAAAAAgxLzIvMjAyMQkAAAABMNfORn9hBtoIfkEQgGEG2ggtQ0lRLk5ZU0U6UFJNVy5JUV9FQklUREEuSVFfTFRNLjQvMS8yMDIxLi4uVVNEAQAAAOdpAAACAAAABTMyMy4zAQgAAAAFAAAAATEBAAAACy0yMTA5NTQ0ODA3AwAAAAMxNjACAAAABDQwNTEEAAAAATAHAAAACDQvMS8yMDIxCAAAAAgxLzIvMjAyMQkAAAABMNfORn9hBtoIfH4PgGEG2ggxQ0lRLk5BU0RBUUdTOkZJWlouSVFfUkVUVVJOX0NBUElUQUwuMjAwMC40LzEvMjAyMQEAAACa6AQAAgAAAAczMy43MDE0AQgAAAAFAAAAATEBAAAACy0yMTA4ODQxNTkyAwAAAAMxNjACAAAABDQzNjMEAAAAATAHAAAACDQvMS8yMDIxCAAAAAkxLzMwLzIwMjEJAAAAATDXzkZ/YQbaCHx+D4BhBtoIMENJUS5OQVNEQVFHUzpGSVpaLklRX1JFVFVSTl9FUVVJVFkuMjAwMC40LzEvMjAyMQEAAACa6AQAAgAA</t>
  </si>
  <si>
    <t>AAc0Ni4zODk1AQgAAAAFAAAAATEBAAAACy0yMTA4ODQxNTkyAwAAAAMxNjACAAAABDQxMjgEAAAAATAHAAAACDQvMS8yMDIxCAAAAAkxLzMwLzIwMjEJAAAAATDXzkZ/YQbaCGOlD4BhBtoILUNJUS5OQVNEQVFHUzpGSVpaLklRX05JLklRX0xUTS40LzEvMjAyMS4uLlVTRAEAAACa6AQAAgAAAAcxNzEuMjI4AQgAAAAFAAAAATEBAAAACy0yMTA4ODQxNTkyAwAAAAMxNjACAAAAAjE1BAAAAAEwBwAAAAg0LzEvMjAyMQgAAAAJMS8zMC8yMDIxCQAAAAEw185Gf2EG2ghdzA+AYQbaCDRDSVEuTkFTREFRR1M6RklaWi5JUV9UT1RBTF9SRVYuSVFfTFRNLjQvMS8yMDIxLi4uVVNEAQAAAJroBAACAAAACDEwNzMuNTA4AQgAAAAFAAAAATEBAAAACy0yMTA4ODQxNTkyAwAAAAMxNjACAAAAAjI4BAAAAAEwBwAAAAg0LzEvMjAyMQgAAAAJMS8zMC8yMDIxCQAAAAEw185Gf2EG2ghn8w+AYQbaCDBDSVEuTkFTREFRR1M6TU5TVC5JUV9SRVRVUk5fQVNTRVRTLjIwMDAuNC8xLzIwMjEBAAAAsT4FAAIAAAAHMTguNDIyOQEIAAAABQAAAAExAQAAAAoyMDk2NTEwMzAwAwAAAAMxNjACAAAABDQxNzgEAAAAATAHAAAACDQvMS8yMDIxCAAAAAkzLzMxLzIwMjEJAAAAATDXzkZ/YQbaCCHiDoBhBtoINENJUS5OQVNEQVFHUzpNTlNULklRX1RPVEFMX0RFQlRfRUJJVERBLjIwMDAuNC8xLzIwMjEBAAAAsT4FAAIAAAAHMC4wMTIx</t>
  </si>
  <si>
    <t>NwEIAAAABQAAAAExAQAAAAoyMDk2NTEwMzAwAwAAAAMxNjACAAAABDQxOTIEAAAAATAHAAAACDQvMS8yMDIxCAAAAAkzLzMxLzIwMjEJAAAAATDXzkZ/YQbaCEowD4BhBtoIMUNJUS5OQVNEQVFHUzpNTlNULklRX0VCSVREQS5JUV9MVE0uNC8xLzIwMjEuLi5VU0QBAAAAsT4FAAIAAAAIMTc0MC43MTUBCAAAAAUAAAABMQEAAAAKMjA5NjUxMDMwMAMAAAADMTYwAgAAAAQ0MDUxBAAAAAEwBwAAAAg0LzEvMjAyMQgAAAAJMy8zMS8yMDIxCQAAAAEw185Gf2EG2ghAVw+AYQbaCC1DSVEuTkFTREFROktEUC5JUV9SRVRVUk5fRVFVSVRZLjIwMDAuNC8xLzIwMjEBAAAAHhsFAAIAAAAGNi4zOTY3AQgAAAAFAAAAATEBAAAACjIwOTM2NjM1NTIDAAAAAzE2MAIAAAAENDEyOAQAAAABMAcAAAAINC8xLzIwMjEIAAAACTMvMzEvMjAyMQkAAAABMNfORn9hBtoID7sOgGEG2ggwQ0lRLk5BU0RBUUdTOkNPS0UuSVFfUkVUVVJOX0FTU0VUUy4yMDAwLjQvMS8yMDIxAQAAAN0JCAACAAAABjYuMjA4MwEIAAAABQAAAAExAQAAAAstMjExMTQyOTQ0NgMAAAADMTYwAgAAAAQ0MTc4BAAAAAEwBwAAAAg0LzEvMjAyMQgAAAAKMTIvMzEvMjAyMAkAAAABMNfORn9hBtoI3KkNgGEG2ggtQ0lRLk5ZU0U6UFJNVy5JUV9SRVRVUk5fQ0FQSVRBTC4yMDAwLjQvMS8yMDIxAQAAAOdpAAACAAAABjIuNjQ5OAEIAAAABQAAAAExAQAAAAst</t>
  </si>
  <si>
    <t>MjEwOTU0NDgwNwMAAAADMTYwAgAAAAQ0MzYzBAAAAAEwBwAAAAg0LzEvMjAyMQgAAAAIMS8yLzIwMjEJAAAAATDXzkZ/YQbaCOn3DYBhBtoIMENJUS5OQVNEQVFHUzpGSVpaLklRX1JFVFVSTl9BU1NFVFMuMjAwMC40LzEvMjAyMQEAAACa6AQAAgAAAAcyNS42MTg2AQgAAAAFAAAAATEBAAAACy0yMTA4ODQxNTkyAwAAAAMxNjACAAAABDQxNzgEAAAAATAHAAAACDQvMS8yMDIxCAAAAAkxLzMwLzIwMjEJAAAAATDXzkZ/YQbaCPceDoBhBtoIMUNJUS5OQVNEQVFHUzpGSVpaLklRX0VCSVREQS5JUV9MVE0uNC8xLzIwMjEuLi5VU0QBAAAAmugEAAIAAAAHMjQwLjI4NAEIAAAABQAAAAExAQAAAAstMjEwODg0MTU5MgMAAAADMTYwAgAAAAQ0MDUxBAAAAAEwBwAAAAg0LzEvMjAyMQgAAAAJMS8zMC8yMDIxCQAAAAEw185Gf2EG2ginNA2AYQbaCDRDSVEuTkFTREFRR1M6TU5TVC5JUV9UT1RBTF9SRVYuSVFfTFRNLjQvMS8yMDIxLi4uVVNEAQAAALE+BQACAAAACDQ3ODAuMzU3AQgAAAAFAAAAATEBAAAACjIwOTY1MTAzMDADAAAAAzE2MAIAAAACMjgEAAAAATAHAAAACDQvMS8yMDIxCAAAAAkzLzMxLzIwMjEJAAAAATDXzkZ/YQbaCM2CDYBhBtoIMENJUS5OQVNEQVFHUzpNTlNULklRX1JFVFVSTl9FUVVJVFkuMjAwMC40LzEvMjAyMQEAAACxPgUAAgAAAAczMC45OTQ1AQgAAAAFAAAAATEBAAAACjIwOTY1MTAz</t>
  </si>
  <si>
    <t>MDADAAAAAzE2MAIAAAAENDEyOAQAAAABMAcAAAAINC8xLzIwMjEIAAAACTMvMzEvMjAyMQkAAAABMNfORn9hBtoIlZgMgGEG2ggxQ0lRLk5BU0RBUUdTOk1OU1QuSVFfUkVUVVJOX0NBUElUQUwuMjAwMC40LzEvMjAyMQEAAACxPgUAAgAAAAcyMi40MTY3AQgAAAAFAAAAATEBAAAACjIwOTY1MTAzMDADAAAAAzE2MAIAAAAENDM2MwQAAAABMAcAAAAINC8xLzIwMjEIAAAACTMvMzEvMjAyMQkAAAABMNfORn9hBtoImb8MgGEG2ggqQ0lRLk5BU0RBUTpLRFAuSVFfTkkuSVFfTFRNLjQvMS8yMDIxLi4uVVNEAQAAAB4bBQACAAAABDE0OTQBCAAAAAUAAAABMQEAAAAKMjA5MzY2MzU1MgMAAAADMTYwAgAAAAIxNQQAAAABMAcAAAAINC8xLzIwMjEIAAAACTMvMzEvMjAyMQkAAAABMNfORn9hBtoImb8MgGEG2ggxQ0lRLk5BU0RBUTpLRFAuSVFfVE9UQUxfUkVWLklRX0xUTS40LzEvMjAyMS4uLlVTRAEAAAAeGwUAAgAAAAUxMTkwNwEIAAAABQAAAAExAQAAAAoyMDkzNjYzNTUyAwAAAAMxNjACAAAAAjI4BAAAAAEwBwAAAAg0LzEvMjAyMQgAAAAJMy8zMS8yMDIxCQAAAAEw185Gf2EG2giW5gyAYQbaCDRDSVEuTkFTREFRR1M6Q09LRS5JUV9UT1RBTF9ERUJUX0VCSVREQS4yMDAwLjQvMS8yMDIxAQAAAN0JCAACAAAACDIuMTkwMjM2AQgAAAAFAAAAATEBAAAACy0yMTExNDI5NDQ2AwAAAAMxNjACAAAABDQxOTIE</t>
  </si>
  <si>
    <t>AAAAATAHAAAACDQvMS8yMDIxCAAAAAoxMi8zMS8yMDIwCQAAAAEw185Gf2EG2ghi/AuAYQbaCDFDSVEuTkFTREFRR1M6Q09LRS5JUV9FQklUREEuSVFfTFRNLjQvMS8yMDIxLi4uVVNEAQAAAN0JCAACAAAABzQ4Ny42NjgBCAAAAAUAAAABMQEAAAALLTIxMTE0Mjk0NDYDAAAAAzE2MAIAAAAENDA1MQQAAAABMAcAAAAINC8xLzIwMjEIAAAACjEyLzMxLzIwMjAJAAAAATDXzkZ/YQbaCGIjDIBhBtoILENJUS5OWVNFOlBSTVcuSVFfUkVUVVJOX0VRVUlUWS4yMDAwLjQvMS8yMDIxAQAAAOdpAAACAAAACC0xMi40Nzg2AQgAAAAFAAAAATEBAAAACy0yMTA5NTQ0ODA3AwAAAAMxNjACAAAABDQxMjgEAAAAATAHAAAACDQvMS8yMDIxCAAAAAgxLzIvMjAyMQkAAAABMNfORn9hBtoIYiMMgGEG2ggpQ0lRLk5ZU0U6UFJNVy5JUV9OSS5JUV9MVE0uNC8xLzIwMjEuLi5VU0QBAAAA52kAAAIAAAAGLTEzMS43AQgAAAAFAAAAATEBAAAACy0yMTA5NTQ0ODA3AwAAAAMxNjACAAAAAjE1BAAAAAEwBwAAAAg0LzEvMjAyMQgAAAAIMS8yLzIwMjEJAAAAATDXzkZ/YQbaCHhKDIBhBtoIMENJUS5OWVNFOlBSTVcuSVFfVE9UQUxfUkVWLklRX0xUTS40LzEvMjAyMS4uLlVTRAEAAADnaQAAAgAAAAYxOTUzLjUBCAAAAAUAAAABMQEAAAALLTIxMDk1NDQ4MDcDAAAAAzE2MAIAAAACMjgEAAAAATAHAAAACDQvMS8yMDIxCAAAAAgx</t>
  </si>
  <si>
    <t>LzIvMjAyMQkAAAABMNfORn9hBtoIkXEMgGEG2gg0Q0lRLk5BU0RBUUdTOkZJWlouSVFfVE9UQUxfREVCVF9FQklUREEuMjAwMC40LzEvMjAyMQEAAACa6AQAAgAAAAcwLjE1ODI2AQgAAAAFAAAAATEBAAAACy0yMTA4ODQxNTkyAwAAAAMxNjACAAAABDQxOTIEAAAAATAHAAAACDQvMS8yMDIxCAAAAAkxLzMwLzIwMjEJAAAAATDXzkZ/YQbaCImHC4BhBtoILUNJUS5OQVNEQVFHUzpNTlNULklRX05JLklRX0xUTS40LzEvMjAyMS4uLlVTRAEAAACxPgUAAgAAAAgxNDQ1Ljk1MwEIAAAABQAAAAExAQAAAAoyMDk2NTEwMzAwAwAAAAMxNjACAAAAAjE1BAAAAAEwBwAAAAg0LzEvMjAyMQgAAAAJMy8zMS8yMDIxCQAAAAEw185Gf2EG2giRrguAYQbaCCtDSVEuTkFTREFRR1M6Q09LRS5JUV9SRVZFTlVFX0VTVC5DWTIwMjEuLi4uAQAAAN0JCAACAAAACjU0NjQuNTg0NzQBDgAAAAUAAAACMTEBAAAAATACAAAACjEwMDQzMzE2ODMDAAAABjEwMDE4MAQAAAABMgYAAAABMAcAAAADMTYwCAAAAAEwCQAAAAExCgAAAAEwCwAAAAsxMjY0NTI1MDczMQwAAAABNw0AAAAJMy8xNi8yMDIyEAAAAAoxMi8zMS8yMDIx185Gf2EG2gjcqQ2AYQbaCCtDSVEuTkFTREFRR1M6RklaWi5JUV9SRVZFTlVFX0VTVC5DWTIwMjEuLi4uAQAAAJroBAACAAAACTExMDguMDI5MQEOAAAABQAAAAIxMQEAAAABMAIAAAAHMjc2MDI1OQMAAAAG</t>
  </si>
  <si>
    <t>MTAwMTgwBAAAAAEyBgAAAAEwBwAAAAMxNjAIAAAAATAJAAAAATEKAAAAATALAAAACzEyNjc5NDAyNDM3DAAAAAE3DQAAAAkzLzE2LzIwMjIQAAAACTEvMzEvMjAyMtfORn9hBtoIiYcLgGEG2ggrQ0lRLk5BU0RBUUdTOkZJWlouSVFfUkVWRU5VRV9FU1QuQ1kyMDIyLi4uLgEAAACa6AQAAgAAAAkxMjAwLjY5ODcBDgAAAAUAAAACMTEBAAAAATACAAAABzI3NjAyNjADAAAABjEwMDE4MAQAAAABMgYAAAABMAcAAAADMTYwCAAAAAEwCQAAAAExCgAAAAEwCwAAAAsxMjc4OTYwNzY4OQwAAAABNw0AAAAJMy8xNi8yMDIyEAAAAAkzLzE1LzIwMjLXzkZ/YQbaCG8SC4BhBtoIK0NJUS5OQVNEQVFHUzpNTlNULklRX1JFVkVOVUVfRVNULkNZMjAyMi4uLi4BAAAAsT4FAAIAAAAKNjIzOS4xOTU5OAEOAAAABQAAAAIxMQEAAAABMAIAAAAKMTAwMTk5NjE3MwMAAAAGMTAwMTgwBAAAAAEyBgAAAAEwBwAAAAMxNjAIAAAAATAJAAAAATEKAAAAATALAAAACzEyNzg5MzUzMjMxDAAAAAE3DQAAAAkzLzE2LzIwMjIQAAAACTMvMTUvMjAyMtfORn9hBtoIZTkLgGEG2ggrQ0lRLk5BU0RBUUdTOk1OU1QuSVFfUkVWRU5VRV9FU1QuQ1kyMDIxLi4uLgEAAACxPgUAAgAAAAo1NDQzLjgxNjI5AQ4AAAAFAAAAAjExAQAAAAEwAgAAAAoxMDAxNTU5Mjc3AwAAAAYxMDAxODAEAAAAATIGAAAAATAHAAAAAzE2MAgAAAABMAkAAAABMQoA</t>
  </si>
  <si>
    <t>AAABMAsAAAALMTI3NTk3MTkwNTUMAAAAATcNAAAACTMvMTYvMjAyMhAAAAAKMTIvMzEvMjAyMdfORn9hBtoIZTkLgGEG2ggoQ0lRLk5BU0RBUTpLRFAuSVFfUkVWRU5VRV9FU1QuQ1kyMDIyLi4uLgEAAAAeGwUAAgAAAAsxMzM4NC4yODYxNwEOAAAABQAAAAIxMQEAAAABMAIAAAAKMTAwNDE0ODczMAMAAAAGMTAwMTgwBAAAAAEyBgAAAAEwBwAAAAMxNjAIAAAAATAJAAAAATEKAAAAATALAAAACzEyNzg5MzM3ODY1DAAAAAE3DQAAAAkzLzE2LzIwMjIQAAAACTMvMTUvMjAyMtfORn9hBtoIf2ALgGEG2ggoQ0lRLk5BU0RBUTpLRFAuSVFfUkVWRU5VRV9FU1QuQ1kyMDIxLi4uLgEAAAAeGwUAAgAAAAsxMjU5Ni43MTE3NAEOAAAABQAAAAIxMQEAAAABMAIAAAAKMTAwNDE0Njg5NAMAAAAGMTAwMTgwBAAAAAEyBgAAAAEwBwAAAAMxNjAIAAAAATAJAAAAATEKAAAAATALAAAACzEyNzU0NzU1NTMwDAAAAAE3DQAAAAkzLzE2LzIwMjIQAAAACjEyLzMxLzIwMjHXzkZ/YQbaCH9gC4BhBtoIK0NJUS5OQVNEQVFHUzpDT0tFLklRX1JFVkVOVUVfRVNULkNZMjAyMi4uLi4BAAAA3QkIAAIAAAAKNTcxNS41NzIwMwEOAAAABQAAAAIxMQEAAAABMAIAAAAKMTAwNDg5NjI5MAMAAAAGMTAwMTgwBAAAAAEyBgAAAAEwBwAAAAMxNjAIAAAAATAJAAAAATEKAAAAATALAAAACzEyNzYxOTQxODI4DAAAAAE3DQAAAAkzLzE2LzIw</t>
  </si>
  <si>
    <t>MjIQAAAACTMvMTUvMjAyMtfORn9hBtoIFMQKgGEG2ggnQ0lRLk5ZU0U6UFJNVy5JUV9SRVZFTlVFX0VTVC5DWTIwMjEuLi4uAQAAAOdpAAACAAAACjIwOTYuNDE3NjYBDgAAAAUAAAACMTEBAAAAATACAAAACjEwMDE5OTYyOTkDAAAABjEwMDE4MAQAAAABMgYAAAABMAcAAAADMTYwCAAAAAEwCQAAAAExCgAAAAEwCwAAAAsxMjc1OTcxNzI4MQwAAAABNw0AAAAJMy8xNi8yMDIyEAAAAAoxMi8zMS8yMDIx185Gf2EG2ghh6wqAYQbaCCdDSVEuTllTRTpQUk1XLklRX1JFVkVOVUVfRVNULkNZMjAyMi4uLi4BAAAA52kAAAIAAAAKMjE1Ny4zNjc3OAEOAAAABQAAAAIxMQEAAAABMAIAAAAKMTAwMTk5NjMwNAMAAAAGMTAwMTgwBAAAAAEyBgAAAAEwBwAAAAMxNjAIAAAAATAJAAAAATEKAAAAATALAAAACzEyNzkwNjE5NTkyDAAAAAE3DQAAAAkzLzE2LzIwMjIQAAAACTMvMTUvMjAyMtfORn9hBtoIYesKgGEG2ggqQ0lRLk5BU0RBUUdTOkZJWlouSVFfRUJJVERBX0VTVC5DWTIwMjEuLi4uAQAAAJroBAACAAAACDIzNC40MjI4AQ4AAAAFAAAAAjExAQAAAAEwAgAAAAcyNzYwMjU5AwAAAAYxMDAxODcEAAAAATIGAAAAATAHAAAAAzE2MAgAAAABMAkAAAABMQoAAAABMAsAAAALMTI2Nzk0MDI0NDEMAAAAATcNAAAACTMvMTYvMjAyMhAAAAAJMS8zMS8yMDIy185Gf2EG2ghh6wqAYQbaCCdDSVEuTkFTREFROktEUC5J</t>
  </si>
  <si>
    <t>UV9FQklUREFfRVNULkNZMjAyMi4uLi4BAAAAHhsFAAIAAAAKNDIyMC4wMjg4OAEOAAAABQAAAAIxMQEAAAABMAIAAAAKMTAwNDE0ODczMAMAAAAGMTAwMTg3BAAAAAEyBgAAAAEwBwAAAAMxNjAIAAAAATAJAAAAATEKAAAAATALAAAACzEyNzg5MzM3ODI2DAAAAAE3DQAAAAkzLzE2LzIwMjIQAAAACTMvMTUvMjAyMtfORn9hBtoIbxILgGEG2ggqQ0lRLk5BU0RBUUdTOkNPS0UuSVFfRUJJVERBX0VTVC5DWTIwMjIuLi4uAQAAAN0JCAACAAAACTY3Ni41MjU3NQEOAAAABQAAAAIxMQEAAAABMAIAAAAKMTAwNDg5NjI5MAMAAAAGMTAwMTg3BAAAAAEyBgAAAAEwBwAAAAMxNjAIAAAAATAJAAAAATEKAAAAATALAAAACzEyNzYxOTQxOTc5DAAAAAE3DQAAAAkzLzE2LzIwMjIQAAAACTMvMTUvMjAyMtfORn9hBtoIQU8KgGEG2ggmQ0lRLk5ZU0U6UFJNVy5JUV9FQklUREFfRVNULkNZMjAyMS4uLi4BAAAA52kAAAIAAAAJMzkzLjA0MjA4AQ4AAAAFAAAAAjExAQAAAAEwAgAAAAoxMDAxOTk2Mjk5AwAAAAYxMDAxODcEAAAAATIGAAAAATAHAAAAAzE2MAgAAAABMAkAAAABMQoAAAABMAsAAAALMTI3NTk3MTU0ODQMAAAAATcNAAAACTMvMTYvMjAyMhAAAAAKMTIvMzEvMjAyMdfORn9hBtoI8HUKgGEG2ggmQ0lRLk5ZU0U6UFJNVy5JUV9FQklUREFfRVNULkNZMjAyMi4uLi4BAAAA52kAAAIAAAAJNDE4LjAyMzgxAQ4A</t>
  </si>
  <si>
    <t>AAAFAAAAAjExAQAAAAEwAgAAAAoxMDAxOTk2MzA0AwAAAAYxMDAxODcEAAAAATIGAAAAATAHAAAAAzE2MAgAAAABMAkAAAABMQoAAAABMAsAAAALMTI3OTA2MTk1NjIMAAAAATcNAAAACTMvMTYvMjAyMhAAAAAJMy8xNS8yMDIy185Gf2EG2gjwdQqAYQbaCCpDSVEuTkFTREFRR1M6RklaWi5JUV9FQklUREFfRVNULkNZMjAyMi4uLi4BAAAAmugEAAIAAAAIMjM2LjI2ODgBDgAAAAUAAAACMTEBAAAAATACAAAABzI3NjAyNjADAAAABjEwMDE4NwQAAAABMgYAAAABMAcAAAADMTYwCAAAAAEwCQAAAAExCgAAAAEwCwAAAAsxMjc4OTYwNzY5MwwAAAABNw0AAAAJMy8xNi8yMDIyEAAAAAkzLzE1LzIwMjLXzkZ/YQbaCAGdCoBhBtoIJ0NJUS5OQVNEQVE6S0RQLklRX0VCSVREQV9FU1QuQ1kyMDIxLi4uLgEAAAAeGwUAAgAAAAo0MDg3LjUxMTA5AQ4AAAAFAAAAAjExAQAAAAEwAgAAAAoxMDA0MTQ2ODk0AwAAAAYxMDAxODcEAAAAATIGAAAAATAHAAAAAzE2MAgAAAABMAkAAAABMQoAAAABMAsAAAALMTI3NTQ3NTUxMjIMAAAAATcNAAAACTMvMTYvMjAyMhAAAAAKMTIvMzEvMjAyMdfORn9hBtoIAZ0KgGEG2ggqQ0lRLk5BU0RBUUdTOk1OU1QuSVFfRUJJVERBX0VTVC5DWTIwMjIuLi4uAQAAALE+BQACAAAACjIwNDEuMTMzNzgBDgAAAAUAAAACMTEBAAAAATACAAAACjEwMDE5OTYxNzMDAAAABjEwMDE4NwQAAAAB</t>
  </si>
  <si>
    <t>MgYAAAABMAcAAAADMTYwCAAAAAEwCQAAAAExCgAAAAEwCwAAAAsxMjc4OTM1MDI5OAwAAAABNw0AAAAJMy8xNi8yMDIyEAAAAAkzLzE1LzIwMjLXzkZ/YQbaCNLZCYBhBtoIKkNJUS5OQVNEQVFHUzpDT0tFLklRX0VCSVREQV9FU1QuQ1kyMDIxLi4uLgEAAADdCQgAAgAAAAk2NDcuNjA0OTEBDgAAAAUAAAACMTEBAAAAATACAAAACjEwMDQzMzE2ODMDAAAABjEwMDE4NwQAAAABMgYAAAABMAcAAAADMTYwCAAAAAEwCQAAAAExCgAAAAEwCwAAAAsxMjY0NTI0OTQ4MgwAAAABNw0AAAAJMy8xNi8yMDIyEAAAAAoxMi8zMS8yMDIx185Gf2EG2gjmJwqAYQbaCCpDSVEuTkFTREFRR1M6TU5TVC5JUV9FQklUREFfRVNULkNZMjAyMS4uLi4BAAAAsT4FAAIAAAAKMTg2OS45MTIzOQEOAAAABQAAAAIxMQEAAAABMAIAAAAKMTAwMTU1OTI3NwMAAAAGMTAwMTg3BAAAAAEyBgAAAAEwBwAAAAMxNjAIAAAAATAJAAAAATEKAAAAATALAAAACzEyNzU3NDE3NjcxDAAAAAE3DQAAAAkzLzE2LzIwMjIQAAAACjEyLzMxLzIwMjHXzkZ/YQbaCOYnCoBhBtoIJkNJUS5OQVNEQVFHUzpDT0tFLklRX05JX0VTVC5DWTIwMjIuLi4uAQAAAN0JCAACAAAACTMyNy4wNjY1MwEOAAAABQAAAAIxMQEAAAABMAIAAAAKMTAwNDg5NjI5MAMAAAAGMTAwMjUwBAAAAAEyBgAAAAEwBwAAAAMxNjAIAAAAATAJAAAAATEKAAAAATALAAAACzEyNzYx</t>
  </si>
  <si>
    <t>OTQxODA0DAAAAAE3DQAAAAkzLzE2LzIwMjIQAAAACTMvMTUvMjAyMtfORn9hBtoI5icKgGEG2ggmQ0lRLk5BU0RBUUdTOk1OU1QuSVFfTklfRVNULkNZMjAyMi4uLi4BAAAAsT4FAAIAAAAKMTUwNi40NzExNQEOAAAABQAAAAIxMQEAAAABMAIAAAAKMTAwMTk5NjE3MwMAAAAGMTAwMjUwBAAAAAEyBgAAAAEwBwAAAAMxNjAIAAAAATAJAAAAATEKAAAAATALAAAACzEyNzg5MzUyNDU0DAAAAAE3DQAAAAkzLzE2LzIwMjIQAAAACTMvMTUvMjAyMtfORn9hBtoIQU8KgGEG2ggmQ0lRLk5BU0RBUUdTOkNPS0UuSVFfTklfRVNULkNZMjAyMS4uLi4BAAAA3QkIAAIAAAAJMzA5LjczOTcxAQ4AAAAFAAAAAjExAQAAAAEwAgAAAAoxMDA0MzMxNjgzAwAAAAYxMDAyNTAEAAAAATIGAAAAATAHAAAAAzE2MAgAAAABMAkAAAABMQoAAAABMAsAAAALMTI2NDUyNTAxMDAMAAAAATcNAAAACTMvMTYvMjAyMhAAAAAKMTIvMzEvMjAyMdfORn9hBtoIBj8JgGEG2ggmQ0lRLk5BU0RBUUdTOkZJWlouSVFfTklfRVNULkNZMjAyMi4uLi4BAAAAmugEAAIAAAAHMTY2Ljg1MgEOAAAABQAAAAIxMQEAAAABMAIAAAAHMjc2MDI2MAMAAAAGMTAwMjUwBAAAAAEyBgAAAAEwBwAAAAMxNjAIAAAAATAJAAAAATEKAAAAATALAAAACzEyNzg5NjA3NTQ4DAAAAAE3DQAAAAkzLzE2LzIwMjIQAAAACTMvMTUvMjAyMtfORn9hBtoIzGQJgGEG2ggj</t>
  </si>
  <si>
    <t>Q0lRLk5BU0RBUTpLRFAuSVFfTklfRVNULkNZMjAyMS4uLi4BAAAAHhsFAAIAAAAKMjI4Ni4zMzk2OQEOAAAABQAAAAIxMQEAAAABMAIAAAAKMTAwNDE0Njg5NAMAAAAGMTAwMjUwBAAAAAEyBgAAAAEwBwAAAAMxNjAIAAAAATAJAAAAATEKAAAAATALAAAACzEyNzYyMzQ5NzcxDAAAAAE3DQAAAAkzLzE2LzIwMjIQAAAACjEyLzMxLzIwMjHXzkZ/YQbaCLaLCYBhBtoIJkNJUS5OQVNEQVFHUzpGSVpaLklRX05JX0VTVC5DWTIwMjEuLi4uAQAAAJroBAACAAAACDE2NS4wNjc2AQ4AAAAFAAAAAjExAQAAAAEwAgAAAAcyNzYwMjU5AwAAAAYxMDAyNTAEAAAAATIGAAAAATAHAAAAAzE2MAgAAAABMAkAAAABMQoAAAABMAsAAAALMTI2Nzk0MDI0NTMMAAAAATcNAAAACTMvMTYvMjAyMhAAAAAJMS8zMS8yMDIy185Gf2EG2gjIsgmAYQbaCCNDSVEuTkFTREFROktEUC5JUV9OSV9FU1QuQ1kyMDIyLi4uLgEAAAAeGwUAAgAAAAoyMzk2Ljk0MjQ2AQ4AAAAFAAAAAjExAQAAAAEwAgAAAAoxMDA0MTQ4NzMwAwAAAAYxMDAyNTAEAAAAATIGAAAAATAHAAAAAzE2MAgAAAABMAkAAAABMQoAAAABMAsAAAALMTI3ODkzMzgwMjcMAAAAATcNAAAACTMvMTYvMjAyMhAAAAAJMy8xNS8yMDIy185Gf2EG2gjS2QmAYQbaCCJDSVEuTllTRTpQUk1XLklRX05JX0VTVC5DWTIwMjEuLi4uAQAAAOdpAAACAAAACTEwMS44NzA2NAEOAAAA</t>
  </si>
  <si>
    <t>BQAAAAIxMQEAAAABMAIAAAAKMTAwMTk5NjI5OQMAAAAGMTAwMjUwBAAAAAEyBgAAAAEwBwAAAAMxNjAIAAAAATAJAAAAATEKAAAAATALAAAACzEyNzU5NzE0NDc1DAAAAAE3DQAAAAkzLzE2LzIwMjIQAAAACjEyLzMxLzIwMjFl9EZ/YQbaCLfvCIBhBtoIIkNJUS5OWVNFOlBSTVcuSVFfTklfRVNULkNZMjAyMi4uLi4BAAAA52kAAAIAAAAJMTA3LjkwNjUxAQ4AAAAFAAAAAjExAQAAAAEwAgAAAAoxMDAxOTk2MzA0AwAAAAYxMDAyNTAEAAAAATIGAAAAATAHAAAAAzE2MAgAAAABMAkAAAABMQoAAAABMAsAAAALMTI3OTA2MTgyMjYMAAAAATcNAAAACTMvMTYvMjAyMhAAAAAJMy8xNS8yMDIyZfRGf2EG2gjHFgmAYQbaCCZDSVEuTkFTREFRR1M6TU5TVC5JUV9OSV9FU1QuQ1kyMDIxLi4uLgEAAACxPgUAAgAAAAkxMzgxLjc0ODIBDgAAAAUAAAACMTEBAAAAATACAAAACjEwMDE1NTkyNzcDAAAABjEwMDI1MAQAAAABMgYAAAABMAcAAAADMTYwCAAAAAEwCQAAAAExCgAAAAEwCwAAAAsxMjc1OTcxOTAwNwwAAAABNw0AAAAJMy8xNi8yMDIyEAAAAAoxMi8zMS8yMDIxZfRGf2EG2ggGPwmAYQb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</si>
</sst>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_);\(0.0%\);\–_);@_)"/>
    <numFmt numFmtId="165" formatCode="#,##0_);\(#,##0\);\-_);@_)"/>
    <numFmt numFmtId="166" formatCode="#,##0.00_);\(#,##0.00\);\-_);@_)"/>
    <numFmt numFmtId="167" formatCode="0.00\x_);\(0.00\x\);\–_);@_)"/>
    <numFmt numFmtId="168" formatCode="&quot;$&quot;#,##0.00_);\(&quot;$&quot;#,##0.00\);\–_);@_)"/>
    <numFmt numFmtId="169" formatCode="#,##0.0;\(#,##0.0\};\-"/>
    <numFmt numFmtId="170" formatCode="0&quot;E&quot;"/>
    <numFmt numFmtId="171" formatCode="#,##0.0_);\(#,##0.0\);\-\-_);@_)"/>
    <numFmt numFmtId="172" formatCode="#,##0_);\(#,##0\);\-\-_);@_)"/>
    <numFmt numFmtId="173" formatCode="0.0%_);\(0.0%\);\-\-_);@_)"/>
    <numFmt numFmtId="174" formatCode="0.0\x_);\(0.0\x\);\-\-_);@_)"/>
    <numFmt numFmtId="175" formatCode="&quot;$&quot;#,##0.00_);\(&quot;$&quot;#,##0.00\);\-\-_);@_)"/>
    <numFmt numFmtId="176" formatCode="&quot;$&quot;#,##0_);\(&quot;$&quot;#,##0\);\-\-_);@_)"/>
    <numFmt numFmtId="177" formatCode="dd\-mmm\-yyyy"/>
  </numFmts>
  <fonts count="16" x14ac:knownFonts="1">
    <font>
      <sz val="11"/>
      <color theme="1"/>
      <name val="Calibri"/>
      <family val="2"/>
      <scheme val="minor"/>
    </font>
    <font>
      <b/>
      <sz val="9"/>
      <color indexed="81"/>
      <name val="Tahoma"/>
      <family val="2"/>
    </font>
    <font>
      <sz val="1"/>
      <color indexed="9"/>
      <name val="Symbol"/>
      <family val="1"/>
      <charset val="2"/>
    </font>
    <font>
      <sz val="11"/>
      <color theme="1"/>
      <name val="Arial"/>
      <family val="2"/>
    </font>
    <font>
      <b/>
      <sz val="11"/>
      <color theme="1"/>
      <name val="Arial"/>
      <family val="2"/>
    </font>
    <font>
      <sz val="11"/>
      <color rgb="FF000000"/>
      <name val="Arial"/>
      <family val="2"/>
    </font>
    <font>
      <b/>
      <u/>
      <sz val="11"/>
      <color theme="4" tint="0.79998168889431442"/>
      <name val="Arial"/>
      <family val="2"/>
    </font>
    <font>
      <b/>
      <sz val="11"/>
      <color theme="0"/>
      <name val="Arial"/>
      <family val="2"/>
    </font>
    <font>
      <b/>
      <u val="singleAccounting"/>
      <sz val="11"/>
      <color theme="0"/>
      <name val="Arial"/>
      <family val="2"/>
    </font>
    <font>
      <sz val="11"/>
      <color rgb="FF008000"/>
      <name val="Arial"/>
      <family val="2"/>
    </font>
    <font>
      <sz val="11"/>
      <color rgb="FF0000FF"/>
      <name val="Arial"/>
      <family val="2"/>
    </font>
    <font>
      <b/>
      <sz val="11"/>
      <color rgb="FF000000"/>
      <name val="Arial"/>
      <family val="2"/>
    </font>
    <font>
      <b/>
      <sz val="11"/>
      <name val="Arial"/>
      <family val="2"/>
    </font>
    <font>
      <sz val="11"/>
      <color rgb="FF800080"/>
      <name val="Arial"/>
      <family val="2"/>
    </font>
    <font>
      <sz val="11"/>
      <color rgb="FFFFFFFF"/>
      <name val="Arial"/>
      <family val="2"/>
    </font>
    <font>
      <sz val="11"/>
      <name val="Arial"/>
      <family val="2"/>
    </font>
  </fonts>
  <fills count="7">
    <fill>
      <patternFill patternType="none"/>
    </fill>
    <fill>
      <patternFill patternType="gray125"/>
    </fill>
    <fill>
      <patternFill patternType="solid">
        <fgColor theme="4" tint="0.79998168889431442"/>
        <bgColor indexed="64"/>
      </patternFill>
    </fill>
    <fill>
      <patternFill patternType="solid">
        <fgColor rgb="FFFFFF99"/>
        <bgColor indexed="64"/>
      </patternFill>
    </fill>
    <fill>
      <patternFill patternType="solid">
        <fgColor rgb="FF21394C"/>
        <bgColor indexed="64"/>
      </patternFill>
    </fill>
    <fill>
      <patternFill patternType="solid">
        <fgColor theme="7" tint="0.79998168889431442"/>
        <bgColor indexed="64"/>
      </patternFill>
    </fill>
    <fill>
      <patternFill patternType="solid">
        <fgColor rgb="FFFFF2CC"/>
        <bgColor indexed="64"/>
      </patternFill>
    </fill>
  </fills>
  <borders count="8">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ck">
        <color rgb="FFFFFFFF"/>
      </left>
      <right style="thick">
        <color rgb="FFFFFFFF"/>
      </right>
      <top/>
      <bottom style="thin">
        <color rgb="FF000000"/>
      </bottom>
      <diagonal/>
    </border>
    <border>
      <left style="thick">
        <color rgb="FFFFFFFF"/>
      </left>
      <right/>
      <top/>
      <bottom style="thin">
        <color rgb="FF000000"/>
      </bottom>
      <diagonal/>
    </border>
    <border>
      <left style="dashed">
        <color theme="0" tint="-0.34998626667073579"/>
      </left>
      <right/>
      <top style="dashed">
        <color theme="0" tint="-0.34998626667073579"/>
      </top>
      <bottom style="dashed">
        <color theme="0" tint="-0.34998626667073579"/>
      </bottom>
      <diagonal/>
    </border>
    <border>
      <left/>
      <right style="dashed">
        <color theme="0" tint="-0.34998626667073579"/>
      </right>
      <top style="dashed">
        <color theme="0" tint="-0.34998626667073579"/>
      </top>
      <bottom style="dashed">
        <color theme="0" tint="-0.34998626667073579"/>
      </bottom>
      <diagonal/>
    </border>
  </borders>
  <cellStyleXfs count="2">
    <xf numFmtId="0" fontId="0" fillId="0" borderId="0"/>
    <xf numFmtId="0" fontId="2" fillId="0" borderId="0" applyAlignment="0"/>
  </cellStyleXfs>
  <cellXfs count="95">
    <xf numFmtId="0" fontId="0" fillId="0" borderId="0" xfId="0"/>
    <xf numFmtId="0" fontId="3" fillId="0" borderId="0" xfId="0" applyFont="1" applyAlignment="1">
      <alignment horizontal="center"/>
    </xf>
    <xf numFmtId="0" fontId="4" fillId="0" borderId="0" xfId="0" applyFont="1"/>
    <xf numFmtId="0" fontId="3" fillId="0" borderId="0" xfId="0" applyFont="1"/>
    <xf numFmtId="0" fontId="5" fillId="0" borderId="0" xfId="0" applyFont="1"/>
    <xf numFmtId="0" fontId="4" fillId="0" borderId="3" xfId="0" applyFont="1" applyBorder="1"/>
    <xf numFmtId="0" fontId="3" fillId="0" borderId="1" xfId="0" applyFont="1" applyBorder="1"/>
    <xf numFmtId="0" fontId="3" fillId="0" borderId="2" xfId="0" applyFont="1" applyBorder="1"/>
    <xf numFmtId="167" fontId="3" fillId="0" borderId="0" xfId="0" applyNumberFormat="1" applyFont="1" applyAlignment="1">
      <alignment horizontal="right" indent="3"/>
    </xf>
    <xf numFmtId="0" fontId="11" fillId="0" borderId="3" xfId="0" applyFont="1" applyBorder="1"/>
    <xf numFmtId="0" fontId="3" fillId="0" borderId="0" xfId="0" applyFont="1" applyAlignment="1">
      <alignment horizontal="right" indent="3"/>
    </xf>
    <xf numFmtId="0" fontId="5" fillId="0" borderId="1" xfId="0" applyFont="1" applyBorder="1"/>
    <xf numFmtId="0" fontId="3" fillId="0" borderId="0" xfId="0" applyFont="1" applyAlignment="1">
      <alignment horizontal="left" indent="1"/>
    </xf>
    <xf numFmtId="168" fontId="3" fillId="2" borderId="0" xfId="0" applyNumberFormat="1" applyFont="1" applyFill="1" applyAlignment="1">
      <alignment horizontal="right" indent="3"/>
    </xf>
    <xf numFmtId="0" fontId="4" fillId="0" borderId="2" xfId="0" applyFont="1" applyBorder="1" applyAlignment="1">
      <alignment horizontal="centerContinuous"/>
    </xf>
    <xf numFmtId="0" fontId="3" fillId="0" borderId="2" xfId="0" applyFont="1" applyBorder="1" applyAlignment="1">
      <alignment horizontal="centerContinuous"/>
    </xf>
    <xf numFmtId="0" fontId="13" fillId="0" borderId="0" xfId="0" applyFont="1"/>
    <xf numFmtId="0" fontId="14" fillId="0" borderId="0" xfId="0" applyFont="1"/>
    <xf numFmtId="0" fontId="4" fillId="0" borderId="4" xfId="0" applyFont="1" applyBorder="1" applyAlignment="1">
      <alignment horizontal="center"/>
    </xf>
    <xf numFmtId="0" fontId="4" fillId="0" borderId="5" xfId="0" applyFont="1" applyBorder="1"/>
    <xf numFmtId="0" fontId="10" fillId="3" borderId="6" xfId="0" applyFont="1" applyFill="1" applyBorder="1" applyAlignment="1">
      <alignment horizontal="centerContinuous"/>
    </xf>
    <xf numFmtId="0" fontId="10" fillId="3" borderId="7" xfId="0" applyFont="1" applyFill="1" applyBorder="1" applyAlignment="1">
      <alignment horizontal="centerContinuous"/>
    </xf>
    <xf numFmtId="166" fontId="15" fillId="0" borderId="0" xfId="0" applyNumberFormat="1" applyFont="1"/>
    <xf numFmtId="169" fontId="12" fillId="0" borderId="0" xfId="0" applyNumberFormat="1" applyFont="1"/>
    <xf numFmtId="0" fontId="12" fillId="0" borderId="0" xfId="0" applyFont="1"/>
    <xf numFmtId="0" fontId="10" fillId="0" borderId="0" xfId="0" applyFont="1" applyAlignment="1">
      <alignment horizontal="center"/>
    </xf>
    <xf numFmtId="0" fontId="4" fillId="0" borderId="0" xfId="0" applyFont="1" applyAlignment="1">
      <alignment horizontal="center"/>
    </xf>
    <xf numFmtId="0" fontId="4" fillId="0" borderId="2" xfId="0" applyFont="1" applyBorder="1"/>
    <xf numFmtId="0" fontId="4" fillId="0" borderId="5" xfId="0" applyFont="1" applyBorder="1" applyAlignment="1">
      <alignment horizontal="center"/>
    </xf>
    <xf numFmtId="0" fontId="10" fillId="0" borderId="0" xfId="0" applyFont="1" applyAlignment="1">
      <alignment horizontal="centerContinuous"/>
    </xf>
    <xf numFmtId="174" fontId="3" fillId="0" borderId="0" xfId="0" applyNumberFormat="1" applyFont="1" applyAlignment="1">
      <alignment horizontal="right" indent="3"/>
    </xf>
    <xf numFmtId="174" fontId="4" fillId="0" borderId="3" xfId="0" applyNumberFormat="1" applyFont="1" applyBorder="1" applyAlignment="1">
      <alignment horizontal="right" indent="3"/>
    </xf>
    <xf numFmtId="174" fontId="3" fillId="0" borderId="1" xfId="0" applyNumberFormat="1" applyFont="1" applyBorder="1" applyAlignment="1">
      <alignment horizontal="right" indent="3"/>
    </xf>
    <xf numFmtId="174" fontId="3" fillId="0" borderId="2" xfId="0" applyNumberFormat="1" applyFont="1" applyBorder="1" applyAlignment="1">
      <alignment horizontal="right" indent="3"/>
    </xf>
    <xf numFmtId="174" fontId="4" fillId="0" borderId="0" xfId="0" applyNumberFormat="1" applyFont="1" applyAlignment="1">
      <alignment horizontal="right" indent="3"/>
    </xf>
    <xf numFmtId="166" fontId="3" fillId="0" borderId="0" xfId="0" applyNumberFormat="1" applyFont="1" applyAlignment="1">
      <alignment horizontal="center"/>
    </xf>
    <xf numFmtId="165" fontId="3" fillId="0" borderId="0" xfId="0" applyNumberFormat="1" applyFont="1" applyAlignment="1">
      <alignment horizontal="center"/>
    </xf>
    <xf numFmtId="172" fontId="3" fillId="0" borderId="0" xfId="0" applyNumberFormat="1" applyFont="1" applyAlignment="1">
      <alignment horizontal="right" indent="3"/>
    </xf>
    <xf numFmtId="164" fontId="3" fillId="0" borderId="0" xfId="0" applyNumberFormat="1" applyFont="1" applyAlignment="1">
      <alignment horizontal="right" indent="3"/>
    </xf>
    <xf numFmtId="166" fontId="5" fillId="0" borderId="0" xfId="0" applyNumberFormat="1" applyFont="1"/>
    <xf numFmtId="166" fontId="11" fillId="0" borderId="3" xfId="0" applyNumberFormat="1" applyFont="1" applyBorder="1"/>
    <xf numFmtId="175" fontId="3" fillId="0" borderId="0" xfId="0" applyNumberFormat="1" applyFont="1" applyAlignment="1">
      <alignment horizontal="right"/>
    </xf>
    <xf numFmtId="176" fontId="15" fillId="0" borderId="0" xfId="0" applyNumberFormat="1" applyFont="1" applyAlignment="1">
      <alignment horizontal="right"/>
    </xf>
    <xf numFmtId="176" fontId="4" fillId="0" borderId="3" xfId="0" applyNumberFormat="1" applyFont="1" applyBorder="1" applyAlignment="1">
      <alignment horizontal="center"/>
    </xf>
    <xf numFmtId="176" fontId="3" fillId="0" borderId="0" xfId="0" applyNumberFormat="1" applyFont="1" applyAlignment="1">
      <alignment horizontal="center"/>
    </xf>
    <xf numFmtId="175" fontId="3" fillId="0" borderId="0" xfId="0" applyNumberFormat="1" applyFont="1" applyAlignment="1">
      <alignment horizontal="center"/>
    </xf>
    <xf numFmtId="175" fontId="11" fillId="0" borderId="3" xfId="0" applyNumberFormat="1" applyFont="1" applyBorder="1" applyAlignment="1">
      <alignment horizontal="center"/>
    </xf>
    <xf numFmtId="0" fontId="12" fillId="0" borderId="0" xfId="0" applyFont="1" applyAlignment="1">
      <alignment vertical="center"/>
    </xf>
    <xf numFmtId="0" fontId="12" fillId="0" borderId="0" xfId="0" applyFont="1" applyAlignment="1">
      <alignment horizontal="center" vertical="center"/>
    </xf>
    <xf numFmtId="0" fontId="12" fillId="0" borderId="5" xfId="0" applyFont="1" applyBorder="1" applyAlignment="1">
      <alignment vertical="center"/>
    </xf>
    <xf numFmtId="0" fontId="12" fillId="0" borderId="2" xfId="0" applyFont="1" applyBorder="1" applyAlignment="1">
      <alignment vertical="center"/>
    </xf>
    <xf numFmtId="0" fontId="12" fillId="0" borderId="2" xfId="0" applyFont="1" applyBorder="1" applyAlignment="1">
      <alignment horizontal="center" vertical="center"/>
    </xf>
    <xf numFmtId="173" fontId="3" fillId="0" borderId="0" xfId="0" applyNumberFormat="1" applyFont="1" applyAlignment="1">
      <alignment horizontal="right" indent="3"/>
    </xf>
    <xf numFmtId="173" fontId="4" fillId="0" borderId="3" xfId="0" applyNumberFormat="1" applyFont="1" applyBorder="1" applyAlignment="1">
      <alignment horizontal="right" indent="3"/>
    </xf>
    <xf numFmtId="173" fontId="3" fillId="0" borderId="1" xfId="0" applyNumberFormat="1" applyFont="1" applyBorder="1" applyAlignment="1">
      <alignment horizontal="right" indent="3"/>
    </xf>
    <xf numFmtId="173" fontId="3" fillId="0" borderId="2" xfId="0" applyNumberFormat="1" applyFont="1" applyBorder="1" applyAlignment="1">
      <alignment horizontal="right" indent="3"/>
    </xf>
    <xf numFmtId="173" fontId="4" fillId="0" borderId="0" xfId="0" applyNumberFormat="1" applyFont="1" applyAlignment="1">
      <alignment horizontal="right" indent="3"/>
    </xf>
    <xf numFmtId="173" fontId="15" fillId="0" borderId="0" xfId="0" applyNumberFormat="1" applyFont="1"/>
    <xf numFmtId="174" fontId="15" fillId="0" borderId="0" xfId="0" applyNumberFormat="1" applyFont="1" applyAlignment="1">
      <alignment horizontal="right"/>
    </xf>
    <xf numFmtId="0" fontId="12" fillId="0" borderId="2" xfId="0" applyFont="1" applyBorder="1" applyAlignment="1">
      <alignment horizontal="centerContinuous" vertical="top"/>
    </xf>
    <xf numFmtId="0" fontId="15" fillId="0" borderId="2" xfId="0" applyFont="1" applyBorder="1" applyAlignment="1">
      <alignment horizontal="centerContinuous" vertical="top"/>
    </xf>
    <xf numFmtId="0" fontId="12" fillId="0" borderId="4" xfId="0" applyFont="1" applyBorder="1" applyAlignment="1">
      <alignment horizontal="centerContinuous" vertical="top"/>
    </xf>
    <xf numFmtId="0" fontId="7" fillId="4" borderId="0" xfId="0" applyFont="1" applyFill="1" applyAlignment="1">
      <alignment vertical="center"/>
    </xf>
    <xf numFmtId="0" fontId="7" fillId="4" borderId="0" xfId="0" applyFont="1" applyFill="1" applyAlignment="1">
      <alignment horizontal="center" vertical="top"/>
    </xf>
    <xf numFmtId="0" fontId="8" fillId="4" borderId="0" xfId="0" applyFont="1" applyFill="1" applyAlignment="1">
      <alignment horizontal="centerContinuous" vertical="top"/>
    </xf>
    <xf numFmtId="0" fontId="7" fillId="4" borderId="0" xfId="0" applyFont="1" applyFill="1" applyAlignment="1">
      <alignment horizontal="centerContinuous" vertical="top"/>
    </xf>
    <xf numFmtId="0" fontId="3" fillId="4" borderId="0" xfId="0" applyFont="1" applyFill="1" applyAlignment="1">
      <alignment horizontal="centerContinuous" vertical="top"/>
    </xf>
    <xf numFmtId="170" fontId="7" fillId="4" borderId="0" xfId="0" applyNumberFormat="1" applyFont="1" applyFill="1" applyAlignment="1">
      <alignment horizontal="center" vertical="top"/>
    </xf>
    <xf numFmtId="0" fontId="8" fillId="4" borderId="0" xfId="0" applyFont="1" applyFill="1" applyAlignment="1">
      <alignment horizontal="centerContinuous" vertical="center"/>
    </xf>
    <xf numFmtId="0" fontId="7" fillId="4" borderId="0" xfId="0" applyFont="1" applyFill="1" applyAlignment="1">
      <alignment horizontal="center" vertical="center"/>
    </xf>
    <xf numFmtId="174" fontId="3" fillId="2" borderId="0" xfId="0" applyNumberFormat="1" applyFont="1" applyFill="1" applyAlignment="1">
      <alignment horizontal="right" indent="3"/>
    </xf>
    <xf numFmtId="174" fontId="4" fillId="2" borderId="3" xfId="0" applyNumberFormat="1" applyFont="1" applyFill="1" applyBorder="1" applyAlignment="1">
      <alignment horizontal="right" indent="3"/>
    </xf>
    <xf numFmtId="175" fontId="3" fillId="2" borderId="1" xfId="0" applyNumberFormat="1" applyFont="1" applyFill="1" applyBorder="1" applyAlignment="1">
      <alignment horizontal="center"/>
    </xf>
    <xf numFmtId="174" fontId="3" fillId="2" borderId="1" xfId="0" applyNumberFormat="1" applyFont="1" applyFill="1" applyBorder="1" applyAlignment="1">
      <alignment horizontal="right" indent="3"/>
    </xf>
    <xf numFmtId="175" fontId="3" fillId="2" borderId="2" xfId="0" applyNumberFormat="1" applyFont="1" applyFill="1" applyBorder="1" applyAlignment="1">
      <alignment horizontal="center"/>
    </xf>
    <xf numFmtId="176" fontId="3" fillId="2" borderId="0" xfId="0" applyNumberFormat="1" applyFont="1" applyFill="1" applyAlignment="1">
      <alignment horizontal="center"/>
    </xf>
    <xf numFmtId="174" fontId="3" fillId="2" borderId="2" xfId="0" applyNumberFormat="1" applyFont="1" applyFill="1" applyBorder="1" applyAlignment="1">
      <alignment horizontal="right" indent="3"/>
    </xf>
    <xf numFmtId="175" fontId="4" fillId="2" borderId="0" xfId="0" applyNumberFormat="1" applyFont="1" applyFill="1" applyAlignment="1">
      <alignment horizontal="center"/>
    </xf>
    <xf numFmtId="176" fontId="4" fillId="2" borderId="3" xfId="0" applyNumberFormat="1" applyFont="1" applyFill="1" applyBorder="1" applyAlignment="1">
      <alignment horizontal="center"/>
    </xf>
    <xf numFmtId="174" fontId="4" fillId="2" borderId="0" xfId="0" applyNumberFormat="1" applyFont="1" applyFill="1" applyAlignment="1">
      <alignment horizontal="right" indent="3"/>
    </xf>
    <xf numFmtId="176" fontId="3" fillId="2" borderId="2" xfId="0" applyNumberFormat="1" applyFont="1" applyFill="1" applyBorder="1" applyAlignment="1">
      <alignment horizontal="center"/>
    </xf>
    <xf numFmtId="166" fontId="12" fillId="5" borderId="0" xfId="0" applyNumberFormat="1" applyFont="1" applyFill="1"/>
    <xf numFmtId="2" fontId="4" fillId="5" borderId="0" xfId="0" applyNumberFormat="1" applyFont="1" applyFill="1" applyAlignment="1">
      <alignment horizontal="right"/>
    </xf>
    <xf numFmtId="172" fontId="12" fillId="5" borderId="0" xfId="0" applyNumberFormat="1" applyFont="1" applyFill="1" applyAlignment="1">
      <alignment horizontal="right" indent="1"/>
    </xf>
    <xf numFmtId="166" fontId="12" fillId="5" borderId="0" xfId="0" quotePrefix="1" applyNumberFormat="1" applyFont="1" applyFill="1"/>
    <xf numFmtId="174" fontId="9" fillId="2" borderId="0" xfId="0" applyNumberFormat="1" applyFont="1" applyFill="1" applyAlignment="1">
      <alignment horizontal="right" indent="3"/>
    </xf>
    <xf numFmtId="176" fontId="9" fillId="2" borderId="0" xfId="0" applyNumberFormat="1" applyFont="1" applyFill="1" applyAlignment="1">
      <alignment horizontal="right" indent="2"/>
    </xf>
    <xf numFmtId="176" fontId="10" fillId="0" borderId="0" xfId="0" applyNumberFormat="1" applyFont="1"/>
    <xf numFmtId="176" fontId="10" fillId="0" borderId="2" xfId="0" applyNumberFormat="1" applyFont="1" applyBorder="1"/>
    <xf numFmtId="176" fontId="11" fillId="0" borderId="0" xfId="0" applyNumberFormat="1" applyFont="1"/>
    <xf numFmtId="171" fontId="10" fillId="0" borderId="0" xfId="0" applyNumberFormat="1" applyFont="1" applyAlignment="1">
      <alignment horizontal="right"/>
    </xf>
    <xf numFmtId="0" fontId="4" fillId="6" borderId="0" xfId="0" applyFont="1" applyFill="1"/>
    <xf numFmtId="0" fontId="3" fillId="6" borderId="0" xfId="0" applyFont="1" applyFill="1"/>
    <xf numFmtId="177" fontId="10" fillId="0" borderId="0" xfId="0" applyNumberFormat="1" applyFont="1" applyAlignment="1">
      <alignment horizontal="center"/>
    </xf>
    <xf numFmtId="168" fontId="3" fillId="2" borderId="0" xfId="0" quotePrefix="1" applyNumberFormat="1" applyFont="1" applyFill="1" applyAlignment="1">
      <alignment horizontal="right" indent="3"/>
    </xf>
  </cellXfs>
  <cellStyles count="2">
    <cellStyle name="Invisible" xfId="1" xr:uid="{2D779017-FFE7-48BB-8816-B9A9E69D06BB}"/>
    <cellStyle name="Normal" xfId="0" builtinId="0"/>
  </cellStyles>
  <dxfs count="5">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2139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628650</xdr:colOff>
      <xdr:row>2</xdr:row>
      <xdr:rowOff>152400</xdr:rowOff>
    </xdr:from>
    <xdr:to>
      <xdr:col>16</xdr:col>
      <xdr:colOff>1022874</xdr:colOff>
      <xdr:row>11</xdr:row>
      <xdr:rowOff>98775</xdr:rowOff>
    </xdr:to>
    <xdr:pic>
      <xdr:nvPicPr>
        <xdr:cNvPr id="2" name="Picture 1">
          <a:extLst>
            <a:ext uri="{FF2B5EF4-FFF2-40B4-BE49-F238E27FC236}">
              <a16:creationId xmlns:a16="http://schemas.microsoft.com/office/drawing/2014/main" id="{C9B3244B-0C7D-49CC-88D5-5B00CEA1B361}"/>
            </a:ext>
          </a:extLst>
        </xdr:cNvPr>
        <xdr:cNvPicPr>
          <a:picLocks noChangeAspect="1"/>
        </xdr:cNvPicPr>
      </xdr:nvPicPr>
      <xdr:blipFill>
        <a:blip xmlns:r="http://schemas.openxmlformats.org/officeDocument/2006/relationships" r:embed="rId1"/>
        <a:stretch>
          <a:fillRect/>
        </a:stretch>
      </xdr:blipFill>
      <xdr:spPr>
        <a:xfrm>
          <a:off x="11287125" y="533400"/>
          <a:ext cx="5634879" cy="16646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614E1-7A97-4B4B-B738-2A0310D780DB}">
  <dimension ref="A1:V1"/>
  <sheetViews>
    <sheetView workbookViewId="0"/>
  </sheetViews>
  <sheetFormatPr defaultRowHeight="14.4" x14ac:dyDescent="0.3"/>
  <sheetData>
    <row r="1" spans="1:22" x14ac:dyDescent="0.3">
      <c r="A1">
        <v>22</v>
      </c>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2570-30E8-4866-8B8E-F75F4E687A08}">
  <sheetPr>
    <pageSetUpPr autoPageBreaks="0"/>
  </sheetPr>
  <dimension ref="A1:U59"/>
  <sheetViews>
    <sheetView showGridLines="0" tabSelected="1" topLeftCell="B7" zoomScale="115" zoomScaleNormal="115" zoomScaleSheetLayoutView="100" workbookViewId="0">
      <selection activeCell="L40" sqref="L40"/>
    </sheetView>
  </sheetViews>
  <sheetFormatPr defaultColWidth="15.6640625" defaultRowHeight="15" customHeight="1" x14ac:dyDescent="0.25"/>
  <cols>
    <col min="1" max="1" width="2.6640625" style="1" customWidth="1"/>
    <col min="2" max="22" width="15.6640625" style="3" customWidth="1"/>
    <col min="23" max="16384" width="15.6640625" style="3"/>
  </cols>
  <sheetData>
    <row r="1" spans="1:21" ht="15" customHeight="1" x14ac:dyDescent="0.25">
      <c r="B1" s="2" t="s">
        <v>0</v>
      </c>
      <c r="D1" s="3" t="s">
        <v>1</v>
      </c>
      <c r="F1" s="1" t="s">
        <v>2</v>
      </c>
      <c r="G1" s="1" t="s">
        <v>3</v>
      </c>
      <c r="H1" s="1" t="s">
        <v>4</v>
      </c>
      <c r="I1" s="1" t="s">
        <v>5</v>
      </c>
      <c r="J1" s="1" t="s">
        <v>6</v>
      </c>
      <c r="K1" s="1" t="s">
        <v>6</v>
      </c>
      <c r="L1" s="1" t="s">
        <v>7</v>
      </c>
      <c r="M1" s="1" t="s">
        <v>8</v>
      </c>
      <c r="N1" s="1" t="s">
        <v>8</v>
      </c>
      <c r="O1" s="1" t="s">
        <v>9</v>
      </c>
      <c r="P1" s="1" t="s">
        <v>10</v>
      </c>
      <c r="Q1" s="1" t="s">
        <v>10</v>
      </c>
      <c r="R1" s="1" t="s">
        <v>11</v>
      </c>
      <c r="S1" s="1" t="s">
        <v>12</v>
      </c>
      <c r="T1" s="1" t="s">
        <v>13</v>
      </c>
      <c r="U1" s="1" t="s">
        <v>14</v>
      </c>
    </row>
    <row r="2" spans="1:21" ht="15" customHeight="1" x14ac:dyDescent="0.25">
      <c r="I2" s="1" t="s">
        <v>15</v>
      </c>
      <c r="J2" s="1" t="s">
        <v>16</v>
      </c>
      <c r="K2" s="1" t="s">
        <v>16</v>
      </c>
      <c r="L2" s="1" t="s">
        <v>15</v>
      </c>
      <c r="M2" s="1" t="s">
        <v>16</v>
      </c>
      <c r="N2" s="1" t="s">
        <v>16</v>
      </c>
      <c r="O2" s="1" t="s">
        <v>15</v>
      </c>
      <c r="P2" s="1" t="s">
        <v>16</v>
      </c>
      <c r="Q2" s="1" t="s">
        <v>16</v>
      </c>
    </row>
    <row r="3" spans="1:21" ht="15" customHeight="1" x14ac:dyDescent="0.25">
      <c r="B3" s="2"/>
      <c r="C3" s="2"/>
      <c r="D3" s="23"/>
      <c r="E3" s="24"/>
      <c r="F3" s="24"/>
    </row>
    <row r="4" spans="1:21" ht="15" customHeight="1" x14ac:dyDescent="0.25">
      <c r="B4" s="91" t="s">
        <v>17</v>
      </c>
      <c r="C4" s="91"/>
      <c r="D4" s="91"/>
      <c r="E4" s="2"/>
      <c r="F4" s="2"/>
    </row>
    <row r="6" spans="1:21" ht="15" customHeight="1" x14ac:dyDescent="0.25">
      <c r="B6" s="81" t="s">
        <v>18</v>
      </c>
      <c r="C6" s="82"/>
      <c r="D6" s="83"/>
      <c r="E6" s="83"/>
      <c r="F6" s="83"/>
      <c r="G6" s="83"/>
      <c r="H6" s="83"/>
      <c r="I6" s="83"/>
      <c r="J6" s="83"/>
      <c r="K6" s="83"/>
      <c r="L6" s="83"/>
    </row>
    <row r="7" spans="1:21" ht="15" customHeight="1" x14ac:dyDescent="0.25">
      <c r="B7" s="84" t="s">
        <v>19</v>
      </c>
      <c r="C7" s="82"/>
      <c r="D7" s="83"/>
      <c r="E7" s="83"/>
      <c r="F7" s="83"/>
      <c r="G7" s="83"/>
      <c r="H7" s="83"/>
      <c r="I7" s="83"/>
      <c r="J7" s="83"/>
      <c r="K7" s="83"/>
      <c r="L7" s="83"/>
    </row>
    <row r="8" spans="1:21" ht="15" customHeight="1" x14ac:dyDescent="0.25">
      <c r="B8" s="81" t="s">
        <v>20</v>
      </c>
      <c r="C8" s="82"/>
      <c r="D8" s="83"/>
      <c r="E8" s="83"/>
      <c r="F8" s="83"/>
      <c r="G8" s="83"/>
      <c r="H8" s="83"/>
      <c r="I8" s="83"/>
      <c r="J8" s="83"/>
      <c r="K8" s="83"/>
      <c r="L8" s="83"/>
    </row>
    <row r="9" spans="1:21" ht="15" customHeight="1" x14ac:dyDescent="0.25">
      <c r="B9" s="81" t="s">
        <v>21</v>
      </c>
      <c r="C9" s="82"/>
      <c r="D9" s="83"/>
      <c r="E9" s="83"/>
      <c r="F9" s="83"/>
      <c r="G9" s="83"/>
      <c r="H9" s="83"/>
      <c r="I9" s="83"/>
      <c r="J9" s="83"/>
      <c r="K9" s="83"/>
      <c r="L9" s="83"/>
    </row>
    <row r="12" spans="1:21" ht="15" customHeight="1" x14ac:dyDescent="0.25">
      <c r="B12" s="2" t="s">
        <v>22</v>
      </c>
      <c r="D12" s="93">
        <v>44287</v>
      </c>
    </row>
    <row r="13" spans="1:21" ht="15" customHeight="1" x14ac:dyDescent="0.25">
      <c r="B13" s="2" t="s">
        <v>23</v>
      </c>
      <c r="D13" s="25" t="s">
        <v>24</v>
      </c>
    </row>
    <row r="14" spans="1:21" s="2" customFormat="1" ht="15" customHeight="1" x14ac:dyDescent="0.25">
      <c r="A14" s="26"/>
      <c r="D14" s="47"/>
      <c r="E14" s="47"/>
      <c r="F14" s="48" t="s">
        <v>25</v>
      </c>
      <c r="G14" s="48" t="s">
        <v>26</v>
      </c>
      <c r="H14" s="48" t="s">
        <v>27</v>
      </c>
      <c r="I14" s="59" t="s">
        <v>28</v>
      </c>
      <c r="J14" s="59"/>
      <c r="K14" s="61"/>
      <c r="L14" s="61" t="s">
        <v>29</v>
      </c>
      <c r="M14" s="59"/>
      <c r="N14" s="61"/>
      <c r="O14" s="61" t="s">
        <v>30</v>
      </c>
      <c r="P14" s="60"/>
      <c r="Q14" s="60"/>
    </row>
    <row r="15" spans="1:21" ht="15" customHeight="1" x14ac:dyDescent="0.25">
      <c r="A15" s="1" t="s">
        <v>31</v>
      </c>
      <c r="B15" s="27" t="s">
        <v>32</v>
      </c>
      <c r="C15" s="19"/>
      <c r="D15" s="49" t="s">
        <v>33</v>
      </c>
      <c r="E15" s="50"/>
      <c r="F15" s="51" t="s">
        <v>34</v>
      </c>
      <c r="G15" s="51" t="s">
        <v>35</v>
      </c>
      <c r="H15" s="51" t="s">
        <v>35</v>
      </c>
      <c r="I15" s="51" t="s">
        <v>36</v>
      </c>
      <c r="J15" s="51">
        <f>+YEAR(D12)</f>
        <v>2021</v>
      </c>
      <c r="K15" s="51">
        <f>+J15+1</f>
        <v>2022</v>
      </c>
      <c r="L15" s="51" t="str">
        <f>+I15</f>
        <v>LTM</v>
      </c>
      <c r="M15" s="51">
        <f t="shared" ref="M15:Q15" si="0">+J15</f>
        <v>2021</v>
      </c>
      <c r="N15" s="51">
        <f t="shared" si="0"/>
        <v>2022</v>
      </c>
      <c r="O15" s="51" t="str">
        <f t="shared" si="0"/>
        <v>LTM</v>
      </c>
      <c r="P15" s="51">
        <f t="shared" si="0"/>
        <v>2021</v>
      </c>
      <c r="Q15" s="51">
        <f t="shared" si="0"/>
        <v>2022</v>
      </c>
      <c r="R15" s="28" t="s">
        <v>37</v>
      </c>
      <c r="S15" s="18" t="s">
        <v>38</v>
      </c>
      <c r="T15" s="18" t="s">
        <v>39</v>
      </c>
      <c r="U15" s="18" t="s">
        <v>40</v>
      </c>
    </row>
    <row r="16" spans="1:21" ht="15" customHeight="1" x14ac:dyDescent="0.25">
      <c r="B16" s="21" t="str">
        <f>"NasdaqGS:MNST"</f>
        <v>NasdaqGS:MNST</v>
      </c>
      <c r="C16" s="21"/>
      <c r="D16" s="22" t="str" cm="1">
        <f t="array" ref="D16">_xll.ciqfunctions.udf.CIQ(B16,D$1)</f>
        <v>Monster Beverage Corporation</v>
      </c>
      <c r="F16" s="41" cm="1">
        <f t="array" ref="F16">_xll.ciqfunctions.udf.CIQ(B16,F$1, $D$12, $D$13)</f>
        <v>91.36</v>
      </c>
      <c r="G16" s="42" cm="1">
        <f t="array" ref="G16">_xll.ciqfunctions.udf.CIQ($B16,G$1, $D$12, $D$13)</f>
        <v>48899.33135</v>
      </c>
      <c r="H16" s="42" cm="1">
        <f t="array" ref="H16">_xll.ciqfunctions.udf.CIQ($B16,H$1, $D$12, $D$13)</f>
        <v>46858.900350000004</v>
      </c>
      <c r="I16" s="42" cm="1">
        <f t="array" ref="I16">_xll.ciqfunctions.udf.CIQ($B16,I$1,I$2,$D$12,,,$D$13)</f>
        <v>4780.357</v>
      </c>
      <c r="J16" s="42" cm="1">
        <f t="array" ref="J16">_xll.ciqfunctions.udf.CIQ($B16,J$1,J$2&amp;J$15,$D$3,,,$D$4)</f>
        <v>5443.8162899999998</v>
      </c>
      <c r="K16" s="42" cm="1">
        <f t="array" ref="K16">_xll.ciqfunctions.udf.CIQ($B16,K$1,K$2&amp;K$15,$D$3,,,$D$4)</f>
        <v>6239.1959800000004</v>
      </c>
      <c r="L16" s="42" cm="1">
        <f t="array" ref="L16">_xll.ciqfunctions.udf.CIQ($B16,L$1,L$2,$D$12,,,$D$13)</f>
        <v>1740.7149999999999</v>
      </c>
      <c r="M16" s="42" cm="1">
        <f t="array" ref="M16">_xll.ciqfunctions.udf.CIQ($B16,M$1,M$2&amp;M$15,$D$3,,,$D$4)</f>
        <v>1869.91239</v>
      </c>
      <c r="N16" s="42" cm="1">
        <f t="array" ref="N16">_xll.ciqfunctions.udf.CIQ($B16,N$1,N$2&amp;N$15,$D$3,,,$D$4)</f>
        <v>2041.1337799999999</v>
      </c>
      <c r="O16" s="42" cm="1">
        <f t="array" ref="O16">_xll.ciqfunctions.udf.CIQ($B16,O$1,O$2,$D$12,,,$D$13)</f>
        <v>1445.953</v>
      </c>
      <c r="P16" s="42" cm="1">
        <f t="array" ref="P16">_xll.ciqfunctions.udf.CIQ($B16,P$1,P$2&amp;P$15,$D$3,,,$D$4)</f>
        <v>1381.7482</v>
      </c>
      <c r="Q16" s="42" cm="1">
        <f t="array" ref="Q16">_xll.ciqfunctions.udf.CIQ($B16,Q$1,Q$2&amp;Q$15,$D$3,,,$D$4)</f>
        <v>1506.4711500000001</v>
      </c>
      <c r="R16" s="58" cm="1">
        <f t="array" ref="R16">_xll.ciqfunctions.udf.CIQ($B16,R$1,IQ_LTM,$D$12)</f>
        <v>1.217E-2</v>
      </c>
      <c r="S16" s="57" cm="1">
        <f t="array" ref="S16">_xll.ciqfunctions.udf.CIQ($B16,S$1,IQ_LTM,$D$12)/100</f>
        <v>0.22416699999999998</v>
      </c>
      <c r="T16" s="57" cm="1">
        <f t="array" ref="T16">_xll.ciqfunctions.udf.CIQ($B16,T$1,IQ_LTM,$D$12)/100</f>
        <v>0.18422899999999998</v>
      </c>
      <c r="U16" s="57" cm="1">
        <f t="array" ref="U16">_xll.ciqfunctions.udf.CIQ($B16,U$1,IQ_LTM,$D$12)/100</f>
        <v>0.30994499999999997</v>
      </c>
    </row>
    <row r="17" spans="1:21" ht="15" customHeight="1" x14ac:dyDescent="0.25">
      <c r="B17" s="20" t="str">
        <f>"NasdaqGS:FIZZ"</f>
        <v>NasdaqGS:FIZZ</v>
      </c>
      <c r="C17" s="21"/>
      <c r="D17" s="22" t="str" cm="1">
        <f t="array" ref="D17">_xll.ciqfunctions.udf.CIQ(B17,D$1)</f>
        <v>National Beverage Corp.</v>
      </c>
      <c r="F17" s="41" cm="1">
        <f t="array" ref="F17">_xll.ciqfunctions.udf.CIQ(B17,F$1, $D$12, $D$13)</f>
        <v>48.04</v>
      </c>
      <c r="G17" s="42" cm="1">
        <f t="array" ref="G17">_xll.ciqfunctions.udf.CIQ($B17,G$1, $D$12, $D$13)</f>
        <v>4501.2388499999997</v>
      </c>
      <c r="H17" s="42" cm="1">
        <f t="array" ref="H17">_xll.ciqfunctions.udf.CIQ($B17,H$1, $D$12, $D$13)</f>
        <v>4383.4158500000003</v>
      </c>
      <c r="I17" s="42" cm="1">
        <f t="array" ref="I17">_xll.ciqfunctions.udf.CIQ($B17,I$1,I$2,$D$12,,,$D$13)</f>
        <v>1073.508</v>
      </c>
      <c r="J17" s="42" cm="1">
        <f t="array" ref="J17">_xll.ciqfunctions.udf.CIQ($B17,J$1,J$2&amp;J$15,$D$3,,,$D$4)</f>
        <v>1108.0291</v>
      </c>
      <c r="K17" s="42" cm="1">
        <f t="array" ref="K17">_xll.ciqfunctions.udf.CIQ($B17,K$1,K$2&amp;K$15,$D$3,,,$D$4)</f>
        <v>1200.6986999999999</v>
      </c>
      <c r="L17" s="42" cm="1">
        <f t="array" ref="L17">_xll.ciqfunctions.udf.CIQ($B17,L$1,L$2,$D$12,,,$D$13)</f>
        <v>240.28399999999999</v>
      </c>
      <c r="M17" s="42" cm="1">
        <f t="array" ref="M17">_xll.ciqfunctions.udf.CIQ($B17,M$1,M$2&amp;M$15,$D$3,,,$D$4)</f>
        <v>234.4228</v>
      </c>
      <c r="N17" s="42" cm="1">
        <f t="array" ref="N17">_xll.ciqfunctions.udf.CIQ($B17,N$1,N$2&amp;N$15,$D$3,,,$D$4)</f>
        <v>236.2688</v>
      </c>
      <c r="O17" s="42" cm="1">
        <f t="array" ref="O17">_xll.ciqfunctions.udf.CIQ($B17,O$1,O$2,$D$12,,,$D$13)</f>
        <v>171.22800000000001</v>
      </c>
      <c r="P17" s="42" cm="1">
        <f t="array" ref="P17">_xll.ciqfunctions.udf.CIQ($B17,P$1,P$2&amp;P$15,$D$3,,,$D$4)</f>
        <v>165.0676</v>
      </c>
      <c r="Q17" s="42" cm="1">
        <f t="array" ref="Q17">_xll.ciqfunctions.udf.CIQ($B17,Q$1,Q$2&amp;Q$15,$D$3,,,$D$4)</f>
        <v>166.852</v>
      </c>
      <c r="R17" s="58" cm="1">
        <f t="array" ref="R17">_xll.ciqfunctions.udf.CIQ($B17,R$1,IQ_LTM,$D$12)</f>
        <v>0.15826000000000001</v>
      </c>
      <c r="S17" s="57" cm="1">
        <f t="array" ref="S17">_xll.ciqfunctions.udf.CIQ($B17,S$1,IQ_LTM,$D$12)/100</f>
        <v>0.33701399999999998</v>
      </c>
      <c r="T17" s="57" cm="1">
        <f t="array" ref="T17">_xll.ciqfunctions.udf.CIQ($B17,T$1,IQ_LTM,$D$12)/100</f>
        <v>0.25618600000000002</v>
      </c>
      <c r="U17" s="57" cm="1">
        <f t="array" ref="U17">_xll.ciqfunctions.udf.CIQ($B17,U$1,IQ_LTM,$D$12)/100</f>
        <v>0.463895</v>
      </c>
    </row>
    <row r="18" spans="1:21" ht="15" customHeight="1" x14ac:dyDescent="0.25">
      <c r="B18" s="20" t="str">
        <f>"NYSE:PRMW"</f>
        <v>NYSE:PRMW</v>
      </c>
      <c r="C18" s="21"/>
      <c r="D18" s="22" t="str" cm="1">
        <f t="array" ref="D18">_xll.ciqfunctions.udf.CIQ(B18,D$1)</f>
        <v>Primo Water Corporation</v>
      </c>
      <c r="F18" s="41" cm="1">
        <f t="array" ref="F18">_xll.ciqfunctions.udf.CIQ(B18,F$1, $D$12, $D$13)</f>
        <v>16.649999999999999</v>
      </c>
      <c r="G18" s="42">
        <f>F34</f>
        <v>2510</v>
      </c>
      <c r="H18" s="42">
        <f>G34</f>
        <v>4060</v>
      </c>
      <c r="I18" s="42" cm="1">
        <f t="array" ref="I18">_xll.ciqfunctions.udf.CIQ($B18,I$1,I$2,$D$12,,,$D$13)</f>
        <v>1953.5</v>
      </c>
      <c r="J18" s="42" cm="1">
        <f t="array" ref="J18">_xll.ciqfunctions.udf.CIQ($B18,J$1,J$2&amp;J$15,$D$3,,,$D$4)</f>
        <v>2096.4176600000001</v>
      </c>
      <c r="K18" s="42" cm="1">
        <f t="array" ref="K18">_xll.ciqfunctions.udf.CIQ($B18,K$1,K$2&amp;K$15,$D$3,,,$D$4)</f>
        <v>2157.36778</v>
      </c>
      <c r="L18" s="42" cm="1">
        <f t="array" ref="L18">_xll.ciqfunctions.udf.CIQ($B18,L$1,L$2,$D$12,,,$D$13)</f>
        <v>323.3</v>
      </c>
      <c r="M18" s="42" cm="1">
        <f t="array" ref="M18">_xll.ciqfunctions.udf.CIQ($B18,M$1,M$2&amp;M$15,$D$3,,,$D$4)</f>
        <v>393.04208</v>
      </c>
      <c r="N18" s="42" cm="1">
        <f t="array" ref="N18">_xll.ciqfunctions.udf.CIQ($B18,N$1,N$2&amp;N$15,$D$3,,,$D$4)</f>
        <v>418.02381000000003</v>
      </c>
      <c r="O18" s="42" cm="1">
        <f t="array" ref="O18">_xll.ciqfunctions.udf.CIQ($B18,O$1,O$2,$D$12,,,$D$13)</f>
        <v>-131.69999999999999</v>
      </c>
      <c r="P18" s="42" cm="1">
        <f t="array" ref="P18">_xll.ciqfunctions.udf.CIQ($B18,P$1,P$2&amp;P$15,$D$3,,,$D$4)</f>
        <v>101.87063999999999</v>
      </c>
      <c r="Q18" s="42" cm="1">
        <f t="array" ref="Q18">_xll.ciqfunctions.udf.CIQ($B18,Q$1,Q$2&amp;Q$15,$D$3,,,$D$4)</f>
        <v>107.90651</v>
      </c>
      <c r="R18" s="58" cm="1">
        <f t="array" ref="R18">_xll.ciqfunctions.udf.CIQ($B18,R$1,IQ_LTM,$D$12)</f>
        <v>4.3577399999999997</v>
      </c>
      <c r="S18" s="57" cm="1">
        <f t="array" ref="S18">_xll.ciqfunctions.udf.CIQ($B18,S$1,IQ_LTM,$D$12)/100</f>
        <v>2.6498000000000001E-2</v>
      </c>
      <c r="T18" s="57" cm="1">
        <f t="array" ref="T18">_xll.ciqfunctions.udf.CIQ($B18,T$1,IQ_LTM,$D$12)/100</f>
        <v>2.1655999999999998E-2</v>
      </c>
      <c r="U18" s="57" cm="1">
        <f t="array" ref="U18">_xll.ciqfunctions.udf.CIQ($B18,U$1,IQ_LTM,$D$12)/100</f>
        <v>-0.12478600000000001</v>
      </c>
    </row>
    <row r="19" spans="1:21" ht="15" customHeight="1" x14ac:dyDescent="0.25">
      <c r="B19" s="20" t="str">
        <f>"NasdaqGS:COKE"</f>
        <v>NasdaqGS:COKE</v>
      </c>
      <c r="C19" s="21"/>
      <c r="D19" s="22" t="str" cm="1">
        <f t="array" ref="D19">_xll.ciqfunctions.udf.CIQ(B19,D$1)</f>
        <v>Coca-Cola Consolidated, Inc.</v>
      </c>
      <c r="F19" s="41" cm="1">
        <f t="array" ref="F19">_xll.ciqfunctions.udf.CIQ(B19,F$1, $D$12, $D$13)</f>
        <v>289.17</v>
      </c>
      <c r="G19" s="42" cm="1">
        <f t="array" ref="G19">_xll.ciqfunctions.udf.CIQ($B19,G$1, $D$12, $D$13)</f>
        <v>2710.5896499999999</v>
      </c>
      <c r="H19" s="42" cm="1">
        <f t="array" ref="H19">_xll.ciqfunctions.udf.CIQ($B19,H$1, $D$12, $D$13)</f>
        <v>3811.7946499999998</v>
      </c>
      <c r="I19" s="42" cm="1">
        <f t="array" ref="I19">_xll.ciqfunctions.udf.CIQ($B19,I$1,I$2,$D$12,,,$D$13)</f>
        <v>5007.357</v>
      </c>
      <c r="J19" s="42" cm="1">
        <f t="array" ref="J19">_xll.ciqfunctions.udf.CIQ($B19,J$1,J$2&amp;J$15,$D$3,,,$D$4)</f>
        <v>5464.5847400000002</v>
      </c>
      <c r="K19" s="42" cm="1">
        <f t="array" ref="K19">_xll.ciqfunctions.udf.CIQ($B19,K$1,K$2&amp;K$15,$D$3,,,$D$4)</f>
        <v>5715.5720300000003</v>
      </c>
      <c r="L19" s="42" cm="1">
        <f t="array" ref="L19">_xll.ciqfunctions.udf.CIQ($B19,L$1,L$2,$D$12,,,$D$13)</f>
        <v>487.66800000000001</v>
      </c>
      <c r="M19" s="42" cm="1">
        <f t="array" ref="M19">_xll.ciqfunctions.udf.CIQ($B19,M$1,M$2&amp;M$15,$D$3,,,$D$4)</f>
        <v>647.60491000000002</v>
      </c>
      <c r="N19" s="42" cm="1">
        <f t="array" ref="N19">_xll.ciqfunctions.udf.CIQ($B19,N$1,N$2&amp;N$15,$D$3,,,$D$4)</f>
        <v>676.52575000000002</v>
      </c>
      <c r="O19" s="42" cm="1">
        <f t="array" ref="O19">_xll.ciqfunctions.udf.CIQ($B19,O$1,O$2,$D$12,,,$D$13)</f>
        <v>172.49299999999999</v>
      </c>
      <c r="P19" s="42" cm="1">
        <f t="array" ref="P19">_xll.ciqfunctions.udf.CIQ($B19,P$1,P$2&amp;P$15,$D$3,,,$D$4)</f>
        <v>309.73971</v>
      </c>
      <c r="Q19" s="42" cm="1">
        <f t="array" ref="Q19">_xll.ciqfunctions.udf.CIQ($B19,Q$1,Q$2&amp;Q$15,$D$3,,,$D$4)</f>
        <v>327.06653</v>
      </c>
      <c r="R19" s="58" cm="1">
        <f t="array" ref="R19">_xll.ciqfunctions.udf.CIQ($B19,R$1,IQ_LTM,$D$12)</f>
        <v>2.1902400000000002</v>
      </c>
      <c r="S19" s="57" cm="1">
        <f t="array" ref="S19">_xll.ciqfunctions.udf.CIQ($B19,S$1,IQ_LTM,$D$12)/100</f>
        <v>0.11982799999999999</v>
      </c>
      <c r="T19" s="57" cm="1">
        <f t="array" ref="T19">_xll.ciqfunctions.udf.CIQ($B19,T$1,IQ_LTM,$D$12)/100</f>
        <v>6.2083000000000006E-2</v>
      </c>
      <c r="U19" s="57" cm="1">
        <f t="array" ref="U19">_xll.ciqfunctions.udf.CIQ($B19,U$1,IQ_LTM,$D$12)/100</f>
        <v>0.37775300000000001</v>
      </c>
    </row>
    <row r="20" spans="1:21" ht="15" customHeight="1" x14ac:dyDescent="0.25">
      <c r="B20" s="21"/>
      <c r="C20" s="21"/>
      <c r="D20" s="22"/>
      <c r="F20" s="41"/>
      <c r="G20" s="42"/>
      <c r="H20" s="42"/>
      <c r="I20" s="42"/>
      <c r="J20" s="42"/>
      <c r="K20" s="42"/>
      <c r="L20" s="42"/>
      <c r="M20" s="42"/>
      <c r="N20" s="42"/>
      <c r="O20" s="42"/>
      <c r="P20" s="42"/>
      <c r="Q20" s="42"/>
      <c r="R20" s="58"/>
      <c r="S20" s="57"/>
      <c r="T20" s="57"/>
      <c r="U20" s="57"/>
    </row>
    <row r="21" spans="1:21" ht="15" customHeight="1" x14ac:dyDescent="0.25">
      <c r="B21" s="20"/>
      <c r="C21" s="21"/>
    </row>
    <row r="22" spans="1:21" ht="15" customHeight="1" x14ac:dyDescent="0.25">
      <c r="B22" s="20"/>
      <c r="C22" s="21"/>
    </row>
    <row r="23" spans="1:21" ht="15" customHeight="1" x14ac:dyDescent="0.25">
      <c r="B23" s="20"/>
      <c r="C23" s="21"/>
    </row>
    <row r="24" spans="1:21" ht="15" customHeight="1" x14ac:dyDescent="0.25">
      <c r="B24" s="29"/>
      <c r="C24" s="29"/>
    </row>
    <row r="25" spans="1:21" ht="15" customHeight="1" x14ac:dyDescent="0.25">
      <c r="B25" s="20" t="str">
        <f>"Nasdaq:KDP"</f>
        <v>Nasdaq:KDP</v>
      </c>
      <c r="C25" s="21"/>
      <c r="D25" s="22" t="str" cm="1">
        <f t="array" ref="D25">_xll.ciqfunctions.udf.CIQ(B25,D$1)</f>
        <v>Keurig Dr Pepper Inc.</v>
      </c>
      <c r="F25" s="41" cm="1">
        <f t="array" ref="F25">_xll.ciqfunctions.udf.CIQ(B25,F$1, $D$12, $D$13)</f>
        <v>34.5</v>
      </c>
      <c r="G25" s="42" cm="1">
        <f t="array" ref="G25">_xll.ciqfunctions.udf.CIQ($B25,G$1, $D$12, $D$13)</f>
        <v>48555.099759999997</v>
      </c>
      <c r="H25" s="42" cm="1">
        <f t="array" ref="H25">_xll.ciqfunctions.udf.CIQ($B25,H$1, $D$12, $D$13)</f>
        <v>62807.099759999997</v>
      </c>
      <c r="I25" s="42" cm="1">
        <f t="array" ref="I25">_xll.ciqfunctions.udf.CIQ($B25,I$1,I$2,$D$12,,,$D$13)</f>
        <v>11907</v>
      </c>
      <c r="J25" s="42" cm="1">
        <f t="array" ref="J25">_xll.ciqfunctions.udf.CIQ($B25,J$1,J$2&amp;J$15,$D$3,,,$D$4)</f>
        <v>12596.711740000001</v>
      </c>
      <c r="K25" s="42" cm="1">
        <f t="array" ref="K25">_xll.ciqfunctions.udf.CIQ($B25,K$1,K$2&amp;K$15,$D$3,,,$D$4)</f>
        <v>13384.286169999999</v>
      </c>
      <c r="L25" s="42" cm="1">
        <f t="array" ref="L25">_xll.ciqfunctions.udf.CIQ($B25,L$1,L$2,$D$12,,,$D$13)</f>
        <v>3772</v>
      </c>
      <c r="M25" s="42" cm="1">
        <f t="array" ref="M25">_xll.ciqfunctions.udf.CIQ($B25,M$1,M$2&amp;M$15,$D$3,,,$D$4)</f>
        <v>4087.51109</v>
      </c>
      <c r="N25" s="42" cm="1">
        <f t="array" ref="N25">_xll.ciqfunctions.udf.CIQ($B25,N$1,N$2&amp;N$15,$D$3,,,$D$4)</f>
        <v>4220.0288799999998</v>
      </c>
      <c r="O25" s="42" cm="1">
        <f t="array" ref="O25">_xll.ciqfunctions.udf.CIQ($B25,O$1,O$2,$D$12,,,$D$13)</f>
        <v>1494</v>
      </c>
      <c r="P25" s="42" cm="1">
        <f t="array" ref="P25">_xll.ciqfunctions.udf.CIQ($B25,P$1,P$2&amp;P$15,$D$3,,,$D$4)</f>
        <v>2286.3396899999998</v>
      </c>
      <c r="Q25" s="42" cm="1">
        <f t="array" ref="Q25">_xll.ciqfunctions.udf.CIQ($B25,Q$1,Q$2&amp;Q$15,$D$3,,,$D$4)</f>
        <v>2396.9424600000002</v>
      </c>
      <c r="R25" s="58" cm="1">
        <f t="array" ref="R25">_xll.ciqfunctions.udf.CIQ($B25,R$1,IQ_LTM,$D$12)</f>
        <v>3.7597</v>
      </c>
      <c r="S25" s="57" cm="1">
        <f t="array" ref="S25">_xll.ciqfunctions.udf.CIQ($B25,S$1,IQ_LTM,$D$12)/100</f>
        <v>5.0629999999999994E-2</v>
      </c>
      <c r="T25" s="57" cm="1">
        <f t="array" ref="T25">_xll.ciqfunctions.udf.CIQ($B25,T$1,IQ_LTM,$D$12)/100</f>
        <v>3.9132E-2</v>
      </c>
      <c r="U25" s="57" cm="1">
        <f t="array" ref="U25">_xll.ciqfunctions.udf.CIQ($B25,U$1,IQ_LTM,$D$12)/100</f>
        <v>6.3966999999999996E-2</v>
      </c>
    </row>
    <row r="26" spans="1:21" ht="15" customHeight="1" x14ac:dyDescent="0.25">
      <c r="B26" s="2" t="s">
        <v>41</v>
      </c>
    </row>
    <row r="27" spans="1:21" ht="15" customHeight="1" x14ac:dyDescent="0.25">
      <c r="B27" s="2"/>
    </row>
    <row r="28" spans="1:21" ht="15" customHeight="1" x14ac:dyDescent="0.25">
      <c r="E28" s="35"/>
      <c r="F28" s="36"/>
      <c r="G28" s="36"/>
      <c r="H28" s="37"/>
      <c r="I28" s="37"/>
      <c r="J28" s="37"/>
      <c r="K28" s="37"/>
      <c r="L28" s="37"/>
      <c r="M28" s="37"/>
      <c r="N28" s="37"/>
      <c r="O28" s="37"/>
      <c r="P28" s="37"/>
      <c r="Q28" s="42"/>
      <c r="R28" s="42"/>
      <c r="S28" s="38"/>
      <c r="T28" s="38"/>
      <c r="U28" s="38"/>
    </row>
    <row r="30" spans="1:21" ht="15" customHeight="1" x14ac:dyDescent="0.25">
      <c r="A30" s="1" t="s">
        <v>31</v>
      </c>
      <c r="B30" s="62"/>
      <c r="C30" s="62"/>
      <c r="D30" s="62"/>
      <c r="E30" s="63" t="s">
        <v>25</v>
      </c>
      <c r="F30" s="63" t="s">
        <v>26</v>
      </c>
      <c r="G30" s="63" t="s">
        <v>27</v>
      </c>
      <c r="H30" s="64" t="s">
        <v>42</v>
      </c>
      <c r="I30" s="65"/>
      <c r="J30" s="65"/>
      <c r="K30" s="64" t="s">
        <v>43</v>
      </c>
      <c r="L30" s="65"/>
      <c r="M30" s="65"/>
      <c r="N30" s="64" t="s">
        <v>44</v>
      </c>
      <c r="O30" s="66"/>
      <c r="P30" s="66"/>
    </row>
    <row r="31" spans="1:21" ht="15" customHeight="1" x14ac:dyDescent="0.25">
      <c r="B31" s="62" t="s">
        <v>33</v>
      </c>
      <c r="C31" s="62"/>
      <c r="D31" s="62"/>
      <c r="E31" s="63" t="s">
        <v>34</v>
      </c>
      <c r="F31" s="63" t="s">
        <v>35</v>
      </c>
      <c r="G31" s="63" t="s">
        <v>35</v>
      </c>
      <c r="H31" s="63" t="s">
        <v>36</v>
      </c>
      <c r="I31" s="67">
        <v>2021</v>
      </c>
      <c r="J31" s="67">
        <v>2022</v>
      </c>
      <c r="K31" s="63" t="s">
        <v>36</v>
      </c>
      <c r="L31" s="67">
        <v>2021</v>
      </c>
      <c r="M31" s="67">
        <v>2022</v>
      </c>
      <c r="N31" s="63" t="s">
        <v>36</v>
      </c>
      <c r="O31" s="67">
        <v>2021</v>
      </c>
      <c r="P31" s="67">
        <v>2022</v>
      </c>
    </row>
    <row r="32" spans="1:21" ht="15" customHeight="1" x14ac:dyDescent="0.25">
      <c r="B32" s="39" t="str">
        <f>+D16</f>
        <v>Monster Beverage Corporation</v>
      </c>
      <c r="C32" s="4"/>
      <c r="D32" s="4"/>
      <c r="E32" s="45">
        <f t="shared" ref="E32:G35" si="1">+F16</f>
        <v>91.36</v>
      </c>
      <c r="F32" s="44">
        <f t="shared" si="1"/>
        <v>48899.33135</v>
      </c>
      <c r="G32" s="44">
        <f t="shared" si="1"/>
        <v>46858.900350000004</v>
      </c>
      <c r="H32" s="70">
        <f>$G32/I16</f>
        <v>9.8023851252113605</v>
      </c>
      <c r="I32" s="70">
        <f t="shared" ref="I32:J32" si="2">$G32/J16</f>
        <v>8.6077299184539537</v>
      </c>
      <c r="J32" s="70">
        <f t="shared" si="2"/>
        <v>7.510406869764652</v>
      </c>
      <c r="K32" s="70">
        <f>$G32/L16</f>
        <v>26.919340816848251</v>
      </c>
      <c r="L32" s="70">
        <f t="shared" ref="L32:M32" si="3">$G32/M16</f>
        <v>25.059409521319875</v>
      </c>
      <c r="M32" s="70">
        <f t="shared" si="3"/>
        <v>22.957290114516653</v>
      </c>
      <c r="N32" s="70">
        <f>$E32/O16</f>
        <v>6.3183243162122149E-2</v>
      </c>
      <c r="O32" s="70">
        <f>$E32/P16</f>
        <v>6.6119138060031488E-2</v>
      </c>
      <c r="P32" s="70">
        <f t="shared" ref="P32" si="4">$E32/Q16</f>
        <v>6.0645037908625063E-2</v>
      </c>
    </row>
    <row r="33" spans="1:16" ht="15" customHeight="1" x14ac:dyDescent="0.25">
      <c r="B33" s="39" t="str">
        <f>+D17</f>
        <v>National Beverage Corp.</v>
      </c>
      <c r="C33" s="4"/>
      <c r="D33" s="4"/>
      <c r="E33" s="45">
        <f t="shared" si="1"/>
        <v>48.04</v>
      </c>
      <c r="F33" s="44">
        <f t="shared" si="1"/>
        <v>4501.2388499999997</v>
      </c>
      <c r="G33" s="44">
        <f t="shared" si="1"/>
        <v>4383.4158500000003</v>
      </c>
      <c r="H33" s="70">
        <f>$G33/I17</f>
        <v>4.0832633291973606</v>
      </c>
      <c r="I33" s="70">
        <f>$G33/J17</f>
        <v>3.9560475893638536</v>
      </c>
      <c r="J33" s="70">
        <f>$G33/K17</f>
        <v>3.6507209094171591</v>
      </c>
      <c r="K33" s="70">
        <f>$G33/L17</f>
        <v>18.242645577733018</v>
      </c>
      <c r="L33" s="70">
        <f>$G33/M17</f>
        <v>18.698760743408918</v>
      </c>
      <c r="M33" s="70">
        <f t="shared" ref="M33" si="5">$G33/N17</f>
        <v>18.552664803816672</v>
      </c>
      <c r="N33" s="70">
        <f>$E33/O17</f>
        <v>0.2805615903940944</v>
      </c>
      <c r="O33" s="70">
        <f>$E33/P17</f>
        <v>0.29103228010827081</v>
      </c>
      <c r="P33" s="70">
        <f t="shared" ref="P33" si="6">$E33/Q17</f>
        <v>0.28791983314554215</v>
      </c>
    </row>
    <row r="34" spans="1:16" ht="15" customHeight="1" x14ac:dyDescent="0.25">
      <c r="B34" s="39" t="str">
        <f>+D18</f>
        <v>Primo Water Corporation</v>
      </c>
      <c r="C34" s="4"/>
      <c r="D34" s="4"/>
      <c r="E34" s="45">
        <f t="shared" si="1"/>
        <v>16.649999999999999</v>
      </c>
      <c r="F34" s="44">
        <f>2510</f>
        <v>2510</v>
      </c>
      <c r="G34" s="44">
        <v>4060</v>
      </c>
      <c r="H34" s="70">
        <f>$G34/I18</f>
        <v>2.0783209623752241</v>
      </c>
      <c r="I34" s="70">
        <f t="shared" ref="I34:M35" si="7">$G34/J18</f>
        <v>1.936636996274874</v>
      </c>
      <c r="J34" s="70">
        <f t="shared" si="7"/>
        <v>1.8819229793076819</v>
      </c>
      <c r="K34" s="70">
        <f t="shared" si="7"/>
        <v>12.557995669656664</v>
      </c>
      <c r="L34" s="70">
        <f t="shared" si="7"/>
        <v>10.329682765774088</v>
      </c>
      <c r="M34" s="70">
        <f t="shared" si="7"/>
        <v>9.7123654272229132</v>
      </c>
      <c r="N34" s="70">
        <f t="shared" ref="N34:P34" si="8">$E34/O18</f>
        <v>-0.1264236902050114</v>
      </c>
      <c r="O34" s="70">
        <f>$E34/P18</f>
        <v>0.16344257776332807</v>
      </c>
      <c r="P34" s="70">
        <f t="shared" si="8"/>
        <v>0.15430023638054829</v>
      </c>
    </row>
    <row r="35" spans="1:16" ht="15" customHeight="1" x14ac:dyDescent="0.25">
      <c r="B35" s="39" t="str">
        <f>+D19</f>
        <v>Coca-Cola Consolidated, Inc.</v>
      </c>
      <c r="C35" s="4"/>
      <c r="D35" s="4"/>
      <c r="E35" s="45">
        <f t="shared" si="1"/>
        <v>289.17</v>
      </c>
      <c r="F35" s="44">
        <f t="shared" si="1"/>
        <v>2710.5896499999999</v>
      </c>
      <c r="G35" s="44">
        <f t="shared" si="1"/>
        <v>3811.7946499999998</v>
      </c>
      <c r="H35" s="70">
        <f>$G35/I19</f>
        <v>0.7612388431661653</v>
      </c>
      <c r="I35" s="70">
        <f t="shared" si="7"/>
        <v>0.69754516241612896</v>
      </c>
      <c r="J35" s="70">
        <f t="shared" si="7"/>
        <v>0.66691393792127573</v>
      </c>
      <c r="K35" s="70">
        <f>$G35/L19</f>
        <v>7.8163723065692228</v>
      </c>
      <c r="L35" s="70">
        <f t="shared" si="7"/>
        <v>5.8859878780103747</v>
      </c>
      <c r="M35" s="70">
        <f t="shared" si="7"/>
        <v>5.6343674279951648</v>
      </c>
      <c r="N35" s="70">
        <f t="shared" ref="N35:P35" si="9">$E35/O19</f>
        <v>1.676415854556417</v>
      </c>
      <c r="O35" s="70">
        <f t="shared" si="9"/>
        <v>0.93359033622133891</v>
      </c>
      <c r="P35" s="70">
        <f t="shared" si="9"/>
        <v>0.88413204493899156</v>
      </c>
    </row>
    <row r="36" spans="1:16" ht="15" customHeight="1" x14ac:dyDescent="0.25">
      <c r="B36" s="4"/>
      <c r="C36" s="4"/>
      <c r="D36" s="4"/>
      <c r="E36" s="35"/>
      <c r="F36" s="36"/>
      <c r="G36" s="36"/>
      <c r="H36" s="8"/>
      <c r="I36" s="8"/>
      <c r="J36" s="8"/>
      <c r="K36" s="8"/>
      <c r="L36" s="8"/>
      <c r="M36" s="8"/>
      <c r="N36" s="8"/>
      <c r="O36" s="8"/>
      <c r="P36" s="8"/>
    </row>
    <row r="37" spans="1:16" ht="15" customHeight="1" x14ac:dyDescent="0.25">
      <c r="B37" s="40" t="str">
        <f>+D25</f>
        <v>Keurig Dr Pepper Inc.</v>
      </c>
      <c r="C37" s="9"/>
      <c r="D37" s="9"/>
      <c r="E37" s="46">
        <f>+F25</f>
        <v>34.5</v>
      </c>
      <c r="F37" s="43">
        <f>+G25</f>
        <v>48555.099759999997</v>
      </c>
      <c r="G37" s="43">
        <f>+H25</f>
        <v>62807.099759999997</v>
      </c>
      <c r="H37" s="71">
        <f>$G$37/I25</f>
        <v>5.2748047165532874</v>
      </c>
      <c r="I37" s="71">
        <f t="shared" ref="I37:J37" si="10">$G$37/J25</f>
        <v>4.9859916664251616</v>
      </c>
      <c r="J37" s="71">
        <f t="shared" si="10"/>
        <v>4.6925998863337215</v>
      </c>
      <c r="K37" s="71">
        <f>$G$37/L25</f>
        <v>16.650874803817604</v>
      </c>
      <c r="L37" s="71">
        <f>$G$37/M25</f>
        <v>15.365609628229778</v>
      </c>
      <c r="M37" s="71">
        <f t="shared" ref="M37" si="11">$G$37/N25</f>
        <v>14.883097141268854</v>
      </c>
      <c r="N37" s="71">
        <f>$E$37/O19</f>
        <v>0.20000811627138493</v>
      </c>
      <c r="O37" s="71">
        <f t="shared" ref="O37:P37" si="12">$E$37/P19</f>
        <v>0.1113838454875547</v>
      </c>
      <c r="P37" s="71">
        <f t="shared" si="12"/>
        <v>0.10548312601720512</v>
      </c>
    </row>
    <row r="38" spans="1:16" ht="15" customHeight="1" x14ac:dyDescent="0.25">
      <c r="B38" s="4"/>
      <c r="C38" s="4"/>
      <c r="D38" s="4"/>
      <c r="E38" s="1"/>
      <c r="F38" s="1"/>
      <c r="G38" s="1"/>
      <c r="H38" s="10"/>
      <c r="I38" s="10"/>
      <c r="J38" s="10"/>
      <c r="K38" s="10"/>
      <c r="L38" s="10"/>
      <c r="M38" s="10"/>
      <c r="N38" s="10"/>
      <c r="O38" s="10"/>
      <c r="P38" s="10"/>
    </row>
    <row r="39" spans="1:16" ht="15" customHeight="1" x14ac:dyDescent="0.25">
      <c r="B39" s="6" t="s">
        <v>45</v>
      </c>
      <c r="C39" s="11"/>
      <c r="D39" s="11"/>
      <c r="E39" s="72">
        <f>MAX(E32:E35)</f>
        <v>289.17</v>
      </c>
      <c r="F39" s="72">
        <f t="shared" ref="F39:P39" si="13">MAX(F32:F35)</f>
        <v>48899.33135</v>
      </c>
      <c r="G39" s="72">
        <f t="shared" si="13"/>
        <v>46858.900350000004</v>
      </c>
      <c r="H39" s="72">
        <f>MAX(H32:H35)</f>
        <v>9.8023851252113605</v>
      </c>
      <c r="I39" s="72">
        <f t="shared" si="13"/>
        <v>8.6077299184539537</v>
      </c>
      <c r="J39" s="72">
        <f t="shared" si="13"/>
        <v>7.510406869764652</v>
      </c>
      <c r="K39" s="72">
        <f t="shared" si="13"/>
        <v>26.919340816848251</v>
      </c>
      <c r="L39" s="72">
        <f t="shared" si="13"/>
        <v>25.059409521319875</v>
      </c>
      <c r="M39" s="72">
        <f t="shared" si="13"/>
        <v>22.957290114516653</v>
      </c>
      <c r="N39" s="72">
        <f t="shared" si="13"/>
        <v>1.676415854556417</v>
      </c>
      <c r="O39" s="72">
        <f t="shared" si="13"/>
        <v>0.93359033622133891</v>
      </c>
      <c r="P39" s="72">
        <f t="shared" si="13"/>
        <v>0.88413204493899156</v>
      </c>
    </row>
    <row r="40" spans="1:16" ht="15" customHeight="1" x14ac:dyDescent="0.25">
      <c r="B40" s="3" t="s">
        <v>46</v>
      </c>
      <c r="C40" s="4"/>
      <c r="D40" s="4"/>
      <c r="E40" s="74">
        <f>_xlfn.QUARTILE.EXC(E32:E35,3)</f>
        <v>239.71750000000003</v>
      </c>
      <c r="F40" s="75">
        <f t="shared" ref="F40:P40" si="14">_xlfn.QUARTILE.EXC(F32:F35,3)</f>
        <v>37799.808225000001</v>
      </c>
      <c r="G40" s="75">
        <f t="shared" si="14"/>
        <v>36240.029225000006</v>
      </c>
      <c r="H40" s="76">
        <f>_xlfn.QUARTILE.EXC(H32:H35,3)</f>
        <v>8.3726046762078603</v>
      </c>
      <c r="I40" s="76">
        <f t="shared" si="14"/>
        <v>7.4448093361814287</v>
      </c>
      <c r="J40" s="76">
        <f t="shared" si="14"/>
        <v>6.5454853796777783</v>
      </c>
      <c r="K40" s="76">
        <f t="shared" si="14"/>
        <v>24.750167007069443</v>
      </c>
      <c r="L40" s="76">
        <f t="shared" si="14"/>
        <v>23.469247326842137</v>
      </c>
      <c r="M40" s="76">
        <f t="shared" si="14"/>
        <v>21.856133786841657</v>
      </c>
      <c r="N40" s="76">
        <f t="shared" si="14"/>
        <v>1.3274522885158364</v>
      </c>
      <c r="O40" s="76">
        <f t="shared" si="14"/>
        <v>0.77295082219307187</v>
      </c>
      <c r="P40" s="76">
        <f t="shared" si="14"/>
        <v>0.7350789919906292</v>
      </c>
    </row>
    <row r="41" spans="1:16" ht="15" customHeight="1" x14ac:dyDescent="0.25">
      <c r="B41" s="5" t="s">
        <v>47</v>
      </c>
      <c r="C41" s="9"/>
      <c r="D41" s="9"/>
      <c r="E41" s="77">
        <f>MEDIAN(E32:E35)</f>
        <v>69.7</v>
      </c>
      <c r="F41" s="78">
        <f t="shared" ref="F41:P41" si="15">MEDIAN(F32:F35)</f>
        <v>3605.9142499999998</v>
      </c>
      <c r="G41" s="78">
        <f t="shared" si="15"/>
        <v>4221.7079250000006</v>
      </c>
      <c r="H41" s="79">
        <f t="shared" si="15"/>
        <v>3.0807921457862921</v>
      </c>
      <c r="I41" s="79">
        <f t="shared" si="15"/>
        <v>2.9463422928193639</v>
      </c>
      <c r="J41" s="79">
        <f t="shared" si="15"/>
        <v>2.7663219443624207</v>
      </c>
      <c r="K41" s="79">
        <f t="shared" si="15"/>
        <v>15.400320623694842</v>
      </c>
      <c r="L41" s="79">
        <f t="shared" si="15"/>
        <v>14.514221754591503</v>
      </c>
      <c r="M41" s="79">
        <f t="shared" si="15"/>
        <v>14.132515115519793</v>
      </c>
      <c r="N41" s="79">
        <f>MEDIAN(N32:N35)</f>
        <v>0.17187241677810827</v>
      </c>
      <c r="O41" s="79">
        <f t="shared" si="15"/>
        <v>0.22723742893579946</v>
      </c>
      <c r="P41" s="79">
        <f t="shared" si="15"/>
        <v>0.22111003476304522</v>
      </c>
    </row>
    <row r="42" spans="1:16" ht="15" customHeight="1" x14ac:dyDescent="0.25">
      <c r="B42" s="3" t="s">
        <v>48</v>
      </c>
      <c r="C42" s="4"/>
      <c r="D42" s="4"/>
      <c r="E42" s="72">
        <f>_xlfn.QUARTILE.EXC(E32:E35,1)</f>
        <v>24.497499999999999</v>
      </c>
      <c r="F42" s="75">
        <f t="shared" ref="F42:P42" si="16">_xlfn.QUARTILE.EXC(F32:F35,1)</f>
        <v>2560.1474125</v>
      </c>
      <c r="G42" s="75">
        <f t="shared" si="16"/>
        <v>3873.8459874999999</v>
      </c>
      <c r="H42" s="73">
        <f>_xlfn.QUARTILE.EXC(H32:H35,1)</f>
        <v>1.0905093729684299</v>
      </c>
      <c r="I42" s="73">
        <f>_xlfn.QUARTILE.EXC(I32:I35,1)</f>
        <v>1.0073181208808153</v>
      </c>
      <c r="J42" s="73">
        <f>_xlfn.QUARTILE.EXC(J32:J35,1)</f>
        <v>0.97066619826787726</v>
      </c>
      <c r="K42" s="73">
        <f t="shared" si="16"/>
        <v>9.0017781473410832</v>
      </c>
      <c r="L42" s="73">
        <f t="shared" si="16"/>
        <v>6.9969115999513027</v>
      </c>
      <c r="M42" s="73">
        <f t="shared" si="16"/>
        <v>6.6538669278021016</v>
      </c>
      <c r="N42" s="73">
        <f t="shared" si="16"/>
        <v>-7.9021956863228021E-2</v>
      </c>
      <c r="O42" s="73">
        <f t="shared" si="16"/>
        <v>9.0449997985855637E-2</v>
      </c>
      <c r="P42" s="73">
        <f t="shared" si="16"/>
        <v>8.4058837526605867E-2</v>
      </c>
    </row>
    <row r="43" spans="1:16" ht="15" customHeight="1" x14ac:dyDescent="0.25">
      <c r="B43" s="7" t="s">
        <v>49</v>
      </c>
      <c r="C43" s="7"/>
      <c r="D43" s="7"/>
      <c r="E43" s="74">
        <f>MIN(E32:E35)</f>
        <v>16.649999999999999</v>
      </c>
      <c r="F43" s="80">
        <f t="shared" ref="F43:P43" si="17">MIN(F32:F35)</f>
        <v>2510</v>
      </c>
      <c r="G43" s="80">
        <f t="shared" si="17"/>
        <v>3811.7946499999998</v>
      </c>
      <c r="H43" s="76">
        <f>MIN(H32:H35)</f>
        <v>0.7612388431661653</v>
      </c>
      <c r="I43" s="76">
        <f t="shared" ref="I43:M43" si="18">MIN(I32:I35)</f>
        <v>0.69754516241612896</v>
      </c>
      <c r="J43" s="76">
        <f t="shared" si="18"/>
        <v>0.66691393792127573</v>
      </c>
      <c r="K43" s="76">
        <f t="shared" si="18"/>
        <v>7.8163723065692228</v>
      </c>
      <c r="L43" s="76">
        <f t="shared" si="18"/>
        <v>5.8859878780103747</v>
      </c>
      <c r="M43" s="76">
        <f t="shared" si="18"/>
        <v>5.6343674279951648</v>
      </c>
      <c r="N43" s="76">
        <f>MIN(N32:N35)</f>
        <v>-0.1264236902050114</v>
      </c>
      <c r="O43" s="76">
        <f t="shared" si="17"/>
        <v>6.6119138060031488E-2</v>
      </c>
      <c r="P43" s="76">
        <f t="shared" si="17"/>
        <v>6.0645037908625063E-2</v>
      </c>
    </row>
    <row r="46" spans="1:16" ht="15" customHeight="1" x14ac:dyDescent="0.25">
      <c r="A46" s="1" t="s">
        <v>31</v>
      </c>
      <c r="B46" s="62"/>
      <c r="C46" s="62"/>
      <c r="D46" s="62"/>
      <c r="E46" s="64" t="str">
        <f>+"Growth ("&amp;K15&amp;")"</f>
        <v>Growth (2022)</v>
      </c>
      <c r="F46" s="66"/>
      <c r="G46" s="64" t="s">
        <v>50</v>
      </c>
      <c r="H46" s="65"/>
      <c r="I46" s="65"/>
      <c r="J46" s="64" t="s">
        <v>51</v>
      </c>
      <c r="K46" s="65"/>
      <c r="L46" s="65"/>
      <c r="M46" s="64" t="s">
        <v>52</v>
      </c>
    </row>
    <row r="47" spans="1:16" ht="15" customHeight="1" x14ac:dyDescent="0.25">
      <c r="B47" s="62" t="s">
        <v>33</v>
      </c>
      <c r="C47" s="62"/>
      <c r="D47" s="62"/>
      <c r="E47" s="63" t="s">
        <v>53</v>
      </c>
      <c r="F47" s="63" t="s">
        <v>54</v>
      </c>
      <c r="G47" s="63" t="s">
        <v>36</v>
      </c>
      <c r="H47" s="67">
        <v>2021</v>
      </c>
      <c r="I47" s="67">
        <v>2022</v>
      </c>
      <c r="J47" s="67" t="s">
        <v>38</v>
      </c>
      <c r="K47" s="67" t="s">
        <v>39</v>
      </c>
      <c r="L47" s="67" t="s">
        <v>40</v>
      </c>
      <c r="M47" s="67" t="s">
        <v>55</v>
      </c>
    </row>
    <row r="48" spans="1:16" ht="15" customHeight="1" x14ac:dyDescent="0.25">
      <c r="B48" s="39" t="str">
        <f>+B32</f>
        <v>Monster Beverage Corporation</v>
      </c>
      <c r="C48" s="4"/>
      <c r="D48" s="4"/>
      <c r="E48" s="52">
        <f>+(K16-J16)/ABS(J16)</f>
        <v>0.14610700428320308</v>
      </c>
      <c r="F48" s="52">
        <f>(N16-M16)/ABS(M16)</f>
        <v>9.1566530558150866E-2</v>
      </c>
      <c r="G48" s="52">
        <f>+L16/I16</f>
        <v>0.36413912182709363</v>
      </c>
      <c r="H48" s="52">
        <f t="shared" ref="H48:I51" si="19">+M16/J16</f>
        <v>0.34349292672402065</v>
      </c>
      <c r="I48" s="52">
        <f t="shared" si="19"/>
        <v>0.32714692510748794</v>
      </c>
      <c r="J48" s="52">
        <f>+S16</f>
        <v>0.22416699999999998</v>
      </c>
      <c r="K48" s="52">
        <f t="shared" ref="K48:L51" si="20">+T16</f>
        <v>0.18422899999999998</v>
      </c>
      <c r="L48" s="52">
        <f t="shared" si="20"/>
        <v>0.30994499999999997</v>
      </c>
      <c r="M48" s="30">
        <f>+R16</f>
        <v>1.217E-2</v>
      </c>
    </row>
    <row r="49" spans="2:13" ht="15" customHeight="1" x14ac:dyDescent="0.25">
      <c r="B49" s="39" t="str">
        <f t="shared" ref="B49:B51" si="21">+B33</f>
        <v>National Beverage Corp.</v>
      </c>
      <c r="C49" s="4"/>
      <c r="D49" s="4"/>
      <c r="E49" s="52">
        <f t="shared" ref="E49:E51" si="22">+(K17-J17)/ABS(J17)</f>
        <v>8.3634626563508077E-2</v>
      </c>
      <c r="F49" s="52">
        <f t="shared" ref="F49:F51" si="23">(N17-M17)/ABS(M17)</f>
        <v>7.8746606558747854E-3</v>
      </c>
      <c r="G49" s="52">
        <f t="shared" ref="G49:G51" si="24">+L17/I17</f>
        <v>0.22383065612925099</v>
      </c>
      <c r="H49" s="52">
        <f t="shared" si="19"/>
        <v>0.21156736768014486</v>
      </c>
      <c r="I49" s="52">
        <f t="shared" si="19"/>
        <v>0.19677609378605976</v>
      </c>
      <c r="J49" s="52">
        <f t="shared" ref="J49:J51" si="25">+S17</f>
        <v>0.33701399999999998</v>
      </c>
      <c r="K49" s="52">
        <f t="shared" si="20"/>
        <v>0.25618600000000002</v>
      </c>
      <c r="L49" s="52">
        <f t="shared" si="20"/>
        <v>0.463895</v>
      </c>
      <c r="M49" s="30">
        <f t="shared" ref="M49:M51" si="26">+R17</f>
        <v>0.15826000000000001</v>
      </c>
    </row>
    <row r="50" spans="2:13" ht="15" customHeight="1" x14ac:dyDescent="0.25">
      <c r="B50" s="39" t="str">
        <f t="shared" si="21"/>
        <v>Primo Water Corporation</v>
      </c>
      <c r="C50" s="4"/>
      <c r="D50" s="4"/>
      <c r="E50" s="52">
        <f t="shared" si="22"/>
        <v>2.9073462393939178E-2</v>
      </c>
      <c r="F50" s="52">
        <f t="shared" si="23"/>
        <v>6.3559937399069399E-2</v>
      </c>
      <c r="G50" s="52">
        <f t="shared" si="24"/>
        <v>0.1654978244177118</v>
      </c>
      <c r="H50" s="52">
        <f t="shared" si="19"/>
        <v>0.18748271754207604</v>
      </c>
      <c r="I50" s="52">
        <f t="shared" si="19"/>
        <v>0.19376566845732721</v>
      </c>
      <c r="J50" s="52">
        <f t="shared" si="25"/>
        <v>2.6498000000000001E-2</v>
      </c>
      <c r="K50" s="52">
        <f t="shared" si="20"/>
        <v>2.1655999999999998E-2</v>
      </c>
      <c r="L50" s="52">
        <f>+U18</f>
        <v>-0.12478600000000001</v>
      </c>
      <c r="M50" s="30">
        <f t="shared" si="26"/>
        <v>4.3577399999999997</v>
      </c>
    </row>
    <row r="51" spans="2:13" ht="15" customHeight="1" x14ac:dyDescent="0.25">
      <c r="B51" s="39" t="str">
        <f t="shared" si="21"/>
        <v>Coca-Cola Consolidated, Inc.</v>
      </c>
      <c r="C51" s="4"/>
      <c r="D51" s="4"/>
      <c r="E51" s="52">
        <f t="shared" si="22"/>
        <v>4.5929801062980682E-2</v>
      </c>
      <c r="F51" s="52">
        <f t="shared" si="23"/>
        <v>4.4658154305840574E-2</v>
      </c>
      <c r="G51" s="52">
        <f t="shared" si="24"/>
        <v>9.7390299912708436E-2</v>
      </c>
      <c r="H51" s="52">
        <f t="shared" si="19"/>
        <v>0.11850944597118646</v>
      </c>
      <c r="I51" s="52">
        <f t="shared" si="19"/>
        <v>0.11836536158568892</v>
      </c>
      <c r="J51" s="52">
        <f t="shared" si="25"/>
        <v>0.11982799999999999</v>
      </c>
      <c r="K51" s="52">
        <f t="shared" si="20"/>
        <v>6.2083000000000006E-2</v>
      </c>
      <c r="L51" s="52">
        <f t="shared" si="20"/>
        <v>0.37775300000000001</v>
      </c>
      <c r="M51" s="30">
        <f t="shared" si="26"/>
        <v>2.1902400000000002</v>
      </c>
    </row>
    <row r="52" spans="2:13" ht="15" customHeight="1" x14ac:dyDescent="0.25">
      <c r="B52" s="4"/>
      <c r="C52" s="4"/>
      <c r="D52" s="4"/>
      <c r="E52" s="8"/>
      <c r="F52" s="8"/>
      <c r="M52" s="8"/>
    </row>
    <row r="53" spans="2:13" ht="15" customHeight="1" x14ac:dyDescent="0.25">
      <c r="B53" s="40" t="str">
        <f>+B37</f>
        <v>Keurig Dr Pepper Inc.</v>
      </c>
      <c r="C53" s="9"/>
      <c r="D53" s="9"/>
      <c r="E53" s="53">
        <f>+(K25-J25)/ABS(J25)</f>
        <v>6.252222375614977E-2</v>
      </c>
      <c r="F53" s="53">
        <f>+(N25-M25)/ABS(M25)</f>
        <v>3.2420166473481025E-2</v>
      </c>
      <c r="G53" s="53">
        <f>+L25/I25</f>
        <v>0.31678844377257076</v>
      </c>
      <c r="H53" s="53">
        <f t="shared" ref="H53:I53" si="27">+M25/J25</f>
        <v>0.32449032528230259</v>
      </c>
      <c r="I53" s="53">
        <f t="shared" si="27"/>
        <v>0.31529726923045909</v>
      </c>
      <c r="J53" s="53">
        <f>+S25</f>
        <v>5.0629999999999994E-2</v>
      </c>
      <c r="K53" s="53">
        <f t="shared" ref="K53:L53" si="28">+T25</f>
        <v>3.9132E-2</v>
      </c>
      <c r="L53" s="53">
        <f t="shared" si="28"/>
        <v>6.3966999999999996E-2</v>
      </c>
      <c r="M53" s="31">
        <f>+R25</f>
        <v>3.7597</v>
      </c>
    </row>
    <row r="54" spans="2:13" ht="15" customHeight="1" x14ac:dyDescent="0.25">
      <c r="B54" s="4"/>
      <c r="C54" s="4"/>
      <c r="D54" s="4"/>
      <c r="M54" s="10"/>
    </row>
    <row r="55" spans="2:13" ht="15" customHeight="1" x14ac:dyDescent="0.25">
      <c r="B55" s="6" t="s">
        <v>45</v>
      </c>
      <c r="C55" s="11"/>
      <c r="D55" s="11"/>
      <c r="E55" s="54">
        <f t="shared" ref="E55:M55" si="29">+MAX(E48:E51)</f>
        <v>0.14610700428320308</v>
      </c>
      <c r="F55" s="54">
        <f t="shared" si="29"/>
        <v>9.1566530558150866E-2</v>
      </c>
      <c r="G55" s="54">
        <f t="shared" si="29"/>
        <v>0.36413912182709363</v>
      </c>
      <c r="H55" s="54">
        <f t="shared" si="29"/>
        <v>0.34349292672402065</v>
      </c>
      <c r="I55" s="54">
        <f t="shared" si="29"/>
        <v>0.32714692510748794</v>
      </c>
      <c r="J55" s="54">
        <f t="shared" si="29"/>
        <v>0.33701399999999998</v>
      </c>
      <c r="K55" s="54">
        <f t="shared" si="29"/>
        <v>0.25618600000000002</v>
      </c>
      <c r="L55" s="54">
        <f t="shared" si="29"/>
        <v>0.463895</v>
      </c>
      <c r="M55" s="32">
        <f t="shared" si="29"/>
        <v>4.3577399999999997</v>
      </c>
    </row>
    <row r="56" spans="2:13" ht="15" customHeight="1" x14ac:dyDescent="0.25">
      <c r="B56" s="3" t="s">
        <v>46</v>
      </c>
      <c r="C56" s="4"/>
      <c r="D56" s="4"/>
      <c r="E56" s="55">
        <f t="shared" ref="E56:M56" si="30">+QUARTILE(E48:E51,3)</f>
        <v>9.9252720993431826E-2</v>
      </c>
      <c r="F56" s="55">
        <f t="shared" si="30"/>
        <v>7.0561585688839773E-2</v>
      </c>
      <c r="G56" s="55">
        <f t="shared" si="30"/>
        <v>0.25890777255371167</v>
      </c>
      <c r="H56" s="55">
        <f t="shared" si="30"/>
        <v>0.24454875744111382</v>
      </c>
      <c r="I56" s="55">
        <f t="shared" si="30"/>
        <v>0.22936880161641682</v>
      </c>
      <c r="J56" s="55">
        <f t="shared" si="30"/>
        <v>0.25237874999999999</v>
      </c>
      <c r="K56" s="55">
        <f t="shared" si="30"/>
        <v>0.20221824999999999</v>
      </c>
      <c r="L56" s="55">
        <f t="shared" si="30"/>
        <v>0.39928849999999999</v>
      </c>
      <c r="M56" s="33">
        <f t="shared" si="30"/>
        <v>2.7321150000000003</v>
      </c>
    </row>
    <row r="57" spans="2:13" ht="15" customHeight="1" x14ac:dyDescent="0.25">
      <c r="B57" s="5" t="s">
        <v>47</v>
      </c>
      <c r="C57" s="9"/>
      <c r="D57" s="9"/>
      <c r="E57" s="56">
        <f t="shared" ref="E57:M57" si="31">+MEDIAN(E48:E51)</f>
        <v>6.478221381324438E-2</v>
      </c>
      <c r="F57" s="56">
        <f t="shared" si="31"/>
        <v>5.410904585245499E-2</v>
      </c>
      <c r="G57" s="56">
        <f t="shared" si="31"/>
        <v>0.19466424027348139</v>
      </c>
      <c r="H57" s="56">
        <f t="shared" si="31"/>
        <v>0.19952504261111045</v>
      </c>
      <c r="I57" s="56">
        <f t="shared" si="31"/>
        <v>0.1952708811216935</v>
      </c>
      <c r="J57" s="56">
        <f t="shared" si="31"/>
        <v>0.17199749999999997</v>
      </c>
      <c r="K57" s="56">
        <f t="shared" si="31"/>
        <v>0.12315599999999999</v>
      </c>
      <c r="L57" s="56">
        <f t="shared" si="31"/>
        <v>0.34384899999999996</v>
      </c>
      <c r="M57" s="34">
        <f t="shared" si="31"/>
        <v>1.1742500000000002</v>
      </c>
    </row>
    <row r="58" spans="2:13" ht="15" customHeight="1" x14ac:dyDescent="0.25">
      <c r="B58" s="3" t="s">
        <v>48</v>
      </c>
      <c r="C58" s="4"/>
      <c r="D58" s="4"/>
      <c r="E58" s="54">
        <f t="shared" ref="E58:M58" si="32">+QUARTILE(E48:E51,1)</f>
        <v>4.1715716395720304E-2</v>
      </c>
      <c r="F58" s="54">
        <f t="shared" si="32"/>
        <v>3.546228089334913E-2</v>
      </c>
      <c r="G58" s="54">
        <f t="shared" si="32"/>
        <v>0.14847094329146096</v>
      </c>
      <c r="H58" s="54">
        <f t="shared" si="32"/>
        <v>0.17023939964935364</v>
      </c>
      <c r="I58" s="54">
        <f t="shared" si="32"/>
        <v>0.17491559173941762</v>
      </c>
      <c r="J58" s="54">
        <f t="shared" si="32"/>
        <v>9.6495499999999984E-2</v>
      </c>
      <c r="K58" s="54">
        <f t="shared" si="32"/>
        <v>5.1976250000000002E-2</v>
      </c>
      <c r="L58" s="54">
        <f t="shared" si="32"/>
        <v>0.20126224999999998</v>
      </c>
      <c r="M58" s="32">
        <f t="shared" si="32"/>
        <v>0.1217375</v>
      </c>
    </row>
    <row r="59" spans="2:13" ht="15" customHeight="1" x14ac:dyDescent="0.25">
      <c r="B59" s="7" t="s">
        <v>49</v>
      </c>
      <c r="C59" s="7"/>
      <c r="D59" s="7"/>
      <c r="E59" s="55">
        <f t="shared" ref="E59:M59" si="33">+MIN(E48:E51)</f>
        <v>2.9073462393939178E-2</v>
      </c>
      <c r="F59" s="55">
        <f t="shared" si="33"/>
        <v>7.8746606558747854E-3</v>
      </c>
      <c r="G59" s="55">
        <f t="shared" si="33"/>
        <v>9.7390299912708436E-2</v>
      </c>
      <c r="H59" s="55">
        <f>+MIN(H48:H51)</f>
        <v>0.11850944597118646</v>
      </c>
      <c r="I59" s="55">
        <f t="shared" si="33"/>
        <v>0.11836536158568892</v>
      </c>
      <c r="J59" s="55">
        <f t="shared" si="33"/>
        <v>2.6498000000000001E-2</v>
      </c>
      <c r="K59" s="55">
        <f t="shared" si="33"/>
        <v>2.1655999999999998E-2</v>
      </c>
      <c r="L59" s="55">
        <f t="shared" si="33"/>
        <v>-0.12478600000000001</v>
      </c>
      <c r="M59" s="33">
        <f t="shared" si="33"/>
        <v>1.217E-2</v>
      </c>
    </row>
  </sheetData>
  <conditionalFormatting sqref="B32:G35">
    <cfRule type="expression" dxfId="4" priority="5">
      <formula>MOD(ROW(),2)=1</formula>
    </cfRule>
  </conditionalFormatting>
  <conditionalFormatting sqref="E48:F51">
    <cfRule type="expression" dxfId="3" priority="4">
      <formula>MOD(ROW(),2)=1</formula>
    </cfRule>
  </conditionalFormatting>
  <conditionalFormatting sqref="B48:D51">
    <cfRule type="expression" dxfId="2" priority="3">
      <formula>MOD(ROW(),2)=1</formula>
    </cfRule>
  </conditionalFormatting>
  <conditionalFormatting sqref="G48:L51">
    <cfRule type="expression" dxfId="1" priority="2">
      <formula>MOD(ROW(),2)=1</formula>
    </cfRule>
  </conditionalFormatting>
  <conditionalFormatting sqref="M48:M51">
    <cfRule type="expression" dxfId="0" priority="1">
      <formula>MOD(ROW(),2)=1</formula>
    </cfRule>
  </conditionalFormatting>
  <dataValidations count="1">
    <dataValidation type="list" allowBlank="1" showInputMessage="1" showErrorMessage="1" sqref="D13" xr:uid="{71FD2E34-22CC-4601-BC3E-0243C0DF2DEF}">
      <formula1>"USD,CAD"</formula1>
    </dataValidation>
  </dataValidations>
  <pageMargins left="0.7" right="0.7" top="0.75" bottom="0.75" header="0.3" footer="0.3"/>
  <pageSetup scale="27"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7729D-8D32-405F-8157-ABC68621AD8B}">
  <sheetPr>
    <pageSetUpPr autoPageBreaks="0"/>
  </sheetPr>
  <dimension ref="A3:S35"/>
  <sheetViews>
    <sheetView showGridLines="0" topLeftCell="A3" zoomScale="115" zoomScaleNormal="115" zoomScaleSheetLayoutView="100" workbookViewId="0">
      <selection activeCell="J11" sqref="J11"/>
    </sheetView>
  </sheetViews>
  <sheetFormatPr defaultColWidth="15.6640625" defaultRowHeight="15" customHeight="1" x14ac:dyDescent="0.25"/>
  <cols>
    <col min="1" max="1" width="2.6640625" style="1" customWidth="1"/>
    <col min="2" max="9" width="15.6640625" style="3"/>
    <col min="10" max="10" width="16" style="3" bestFit="1" customWidth="1"/>
    <col min="11" max="16384" width="15.6640625" style="3"/>
  </cols>
  <sheetData>
    <row r="3" spans="1:19" ht="15" customHeight="1" x14ac:dyDescent="0.25">
      <c r="B3" s="91" t="s">
        <v>17</v>
      </c>
      <c r="C3" s="92"/>
      <c r="D3" s="92"/>
      <c r="E3" s="92"/>
    </row>
    <row r="5" spans="1:19" ht="15" customHeight="1" x14ac:dyDescent="0.25">
      <c r="A5" s="1" t="s">
        <v>31</v>
      </c>
      <c r="B5" s="62" t="s">
        <v>56</v>
      </c>
      <c r="C5" s="62"/>
      <c r="D5" s="68" t="s">
        <v>57</v>
      </c>
      <c r="E5" s="68"/>
      <c r="F5" s="68"/>
      <c r="G5" s="68"/>
      <c r="H5" s="68"/>
      <c r="I5" s="69"/>
      <c r="J5" s="68" t="s">
        <v>58</v>
      </c>
      <c r="K5" s="68"/>
      <c r="L5" s="68"/>
      <c r="M5" s="68"/>
      <c r="N5" s="68"/>
    </row>
    <row r="6" spans="1:19" ht="15" customHeight="1" x14ac:dyDescent="0.25">
      <c r="B6" s="62"/>
      <c r="C6" s="62"/>
      <c r="D6" s="69"/>
      <c r="E6" s="69" t="s">
        <v>59</v>
      </c>
      <c r="F6" s="69"/>
      <c r="G6" s="69" t="s">
        <v>60</v>
      </c>
      <c r="H6" s="69"/>
      <c r="I6" s="69" t="s">
        <v>61</v>
      </c>
      <c r="J6" s="69"/>
      <c r="K6" s="69" t="s">
        <v>59</v>
      </c>
      <c r="L6" s="69"/>
      <c r="M6" s="69" t="s">
        <v>60</v>
      </c>
      <c r="N6" s="69"/>
    </row>
    <row r="7" spans="1:19" ht="15" customHeight="1" x14ac:dyDescent="0.25">
      <c r="B7" s="62"/>
      <c r="C7" s="62"/>
      <c r="D7" s="69" t="s">
        <v>49</v>
      </c>
      <c r="E7" s="69" t="s">
        <v>62</v>
      </c>
      <c r="F7" s="69" t="s">
        <v>47</v>
      </c>
      <c r="G7" s="69" t="s">
        <v>62</v>
      </c>
      <c r="H7" s="69" t="s">
        <v>45</v>
      </c>
      <c r="I7" s="69" t="s">
        <v>63</v>
      </c>
      <c r="J7" s="69" t="s">
        <v>49</v>
      </c>
      <c r="K7" s="69" t="s">
        <v>62</v>
      </c>
      <c r="L7" s="69" t="s">
        <v>47</v>
      </c>
      <c r="M7" s="69" t="s">
        <v>62</v>
      </c>
      <c r="N7" s="69" t="s">
        <v>45</v>
      </c>
    </row>
    <row r="8" spans="1:19" ht="15" customHeight="1" x14ac:dyDescent="0.25">
      <c r="B8" s="62" t="s">
        <v>64</v>
      </c>
      <c r="C8" s="62"/>
      <c r="D8" s="69" t="s">
        <v>65</v>
      </c>
      <c r="E8" s="69" t="s">
        <v>65</v>
      </c>
      <c r="F8" s="69" t="s">
        <v>65</v>
      </c>
      <c r="G8" s="69" t="s">
        <v>65</v>
      </c>
      <c r="H8" s="69" t="s">
        <v>65</v>
      </c>
      <c r="I8" s="69" t="s">
        <v>66</v>
      </c>
      <c r="J8" s="69" t="s">
        <v>65</v>
      </c>
      <c r="K8" s="69" t="s">
        <v>65</v>
      </c>
      <c r="L8" s="69" t="s">
        <v>65</v>
      </c>
      <c r="M8" s="69" t="s">
        <v>65</v>
      </c>
      <c r="N8" s="69" t="s">
        <v>65</v>
      </c>
    </row>
    <row r="9" spans="1:19" ht="15" customHeight="1" x14ac:dyDescent="0.25">
      <c r="Q9" s="16"/>
    </row>
    <row r="10" spans="1:19" ht="15" customHeight="1" x14ac:dyDescent="0.25">
      <c r="B10" s="2" t="s">
        <v>67</v>
      </c>
      <c r="C10" s="2"/>
    </row>
    <row r="11" spans="1:19" ht="15" customHeight="1" x14ac:dyDescent="0.25">
      <c r="B11" s="12" t="s">
        <v>68</v>
      </c>
      <c r="C11" s="12"/>
      <c r="D11" s="85" cm="1">
        <f t="array" ref="D11:D19">TRANSPOSE(Valuation_Stats_Empty!H43:P43)</f>
        <v>0.7612388431661653</v>
      </c>
      <c r="E11" s="85" cm="1">
        <f t="array" ref="E11:E19">TRANSPOSE(Valuation_Stats_Empty!H42:P42)</f>
        <v>1.0905093729684299</v>
      </c>
      <c r="F11" s="85" cm="1">
        <f t="array" ref="F11:F19">TRANSPOSE(Valuation_Stats_Empty!H41:P41)</f>
        <v>3.0807921457862921</v>
      </c>
      <c r="G11" s="85" cm="1">
        <f t="array" ref="G11:G19">TRANSPOSE(Valuation_Stats_Empty!H40:P40)</f>
        <v>8.3726046762078603</v>
      </c>
      <c r="H11" s="85" cm="1">
        <f t="array" ref="H11:H19">TRANSPOSE(Valuation_Stats_Empty!H39:P39)</f>
        <v>9.8023851252113605</v>
      </c>
      <c r="I11" s="86" cm="1">
        <f t="array" ref="I11:I13">TRANSPOSE(Valuation_Stats_Empty!I25:K25)</f>
        <v>11907</v>
      </c>
      <c r="J11" s="13">
        <f>($I11*D11+$F$31)/$F$33</f>
        <v>23.032322309658078</v>
      </c>
      <c r="K11" s="13">
        <f t="shared" ref="K11:N16" si="0">($I11*E11+$F$31)/$F$33</f>
        <v>31.864526333428163</v>
      </c>
      <c r="L11" s="13">
        <f t="shared" si="0"/>
        <v>85.250972806723524</v>
      </c>
      <c r="M11" s="13">
        <f t="shared" si="0"/>
        <v>227.19616283722493</v>
      </c>
      <c r="N11" s="13">
        <f>($I11*H11+$F$31)/$F$33</f>
        <v>265.54794804673037</v>
      </c>
    </row>
    <row r="12" spans="1:19" ht="15" customHeight="1" x14ac:dyDescent="0.25">
      <c r="B12" s="12" t="s">
        <v>69</v>
      </c>
      <c r="C12" s="12"/>
      <c r="D12" s="85">
        <v>0.69754516241612896</v>
      </c>
      <c r="E12" s="85">
        <v>1.0073181208808153</v>
      </c>
      <c r="F12" s="85">
        <v>2.9463422928193639</v>
      </c>
      <c r="G12" s="85">
        <v>7.4448093361814287</v>
      </c>
      <c r="H12" s="85">
        <v>8.6077299184539537</v>
      </c>
      <c r="I12" s="86">
        <v>12596.711740000001</v>
      </c>
      <c r="J12" s="13">
        <f>($I12*D12+$F$31)/$F$33</f>
        <v>22.407643453354371</v>
      </c>
      <c r="K12" s="13">
        <f t="shared" si="0"/>
        <v>31.198163552715823</v>
      </c>
      <c r="L12" s="13">
        <f t="shared" si="0"/>
        <v>86.222433718365579</v>
      </c>
      <c r="M12" s="13">
        <f t="shared" si="0"/>
        <v>213.87678146059193</v>
      </c>
      <c r="N12" s="13">
        <f t="shared" si="0"/>
        <v>246.87732741881223</v>
      </c>
    </row>
    <row r="13" spans="1:19" ht="15" customHeight="1" x14ac:dyDescent="0.25">
      <c r="B13" s="12" t="s">
        <v>70</v>
      </c>
      <c r="C13" s="12"/>
      <c r="D13" s="85">
        <v>0.66691393792127573</v>
      </c>
      <c r="E13" s="85">
        <v>0.97066619826787726</v>
      </c>
      <c r="F13" s="85">
        <v>2.7663219443624207</v>
      </c>
      <c r="G13" s="85">
        <v>6.5454853796777783</v>
      </c>
      <c r="H13" s="85">
        <v>7.510406869764652</v>
      </c>
      <c r="I13" s="86">
        <v>13384.286169999999</v>
      </c>
      <c r="J13" s="13">
        <f t="shared" ref="J12:J14" si="1">($I13*D13+$F$31)/$F$33</f>
        <v>22.721658648887857</v>
      </c>
      <c r="K13" s="13">
        <f t="shared" si="0"/>
        <v>31.880248463425914</v>
      </c>
      <c r="L13" s="13">
        <f t="shared" si="0"/>
        <v>86.021983599265283</v>
      </c>
      <c r="M13" s="13">
        <f t="shared" si="0"/>
        <v>199.9694739213439</v>
      </c>
      <c r="N13" s="13">
        <f t="shared" si="0"/>
        <v>229.0633154646284</v>
      </c>
      <c r="R13" s="17"/>
      <c r="S13" s="2"/>
    </row>
    <row r="14" spans="1:19" ht="15" customHeight="1" x14ac:dyDescent="0.25">
      <c r="B14" s="12" t="s">
        <v>71</v>
      </c>
      <c r="C14" s="12"/>
      <c r="D14" s="85">
        <v>7.8163723065692228</v>
      </c>
      <c r="E14" s="85">
        <v>9.0017781473410832</v>
      </c>
      <c r="F14" s="85">
        <v>15.400320623694842</v>
      </c>
      <c r="G14" s="85">
        <v>24.750167007069443</v>
      </c>
      <c r="H14" s="85">
        <v>26.919340816848251</v>
      </c>
      <c r="I14" s="86">
        <f>Valuation_Stats_Empty!L25</f>
        <v>3772</v>
      </c>
      <c r="J14" s="13">
        <f t="shared" si="1"/>
        <v>69.03196059567135</v>
      </c>
      <c r="K14" s="13">
        <f t="shared" si="0"/>
        <v>79.104816550921399</v>
      </c>
      <c r="L14" s="13">
        <f t="shared" si="0"/>
        <v>133.47572858041983</v>
      </c>
      <c r="M14" s="13">
        <f t="shared" si="0"/>
        <v>212.92502145898735</v>
      </c>
      <c r="N14" s="13">
        <f t="shared" si="0"/>
        <v>231.35733769726045</v>
      </c>
      <c r="R14" s="2"/>
    </row>
    <row r="15" spans="1:19" ht="15" customHeight="1" x14ac:dyDescent="0.25">
      <c r="B15" s="12" t="s">
        <v>72</v>
      </c>
      <c r="C15" s="12"/>
      <c r="D15" s="85">
        <v>5.8859878780103747</v>
      </c>
      <c r="E15" s="85">
        <v>6.9969115999513027</v>
      </c>
      <c r="F15" s="85">
        <v>14.514221754591503</v>
      </c>
      <c r="G15" s="85">
        <v>23.469247326842137</v>
      </c>
      <c r="H15" s="85">
        <v>25.059409521319875</v>
      </c>
      <c r="I15" s="86">
        <f>Valuation_Stats_Empty!M25</f>
        <v>4087.51109</v>
      </c>
      <c r="J15" s="13">
        <f>($I15*D15+$F$31)/$F$33</f>
        <v>56.812308886380009</v>
      </c>
      <c r="K15" s="13">
        <f t="shared" si="0"/>
        <v>67.041871409504807</v>
      </c>
      <c r="L15" s="13">
        <f t="shared" si="0"/>
        <v>136.26246028869505</v>
      </c>
      <c r="M15" s="13">
        <f t="shared" si="0"/>
        <v>218.72176165951436</v>
      </c>
      <c r="N15" s="13">
        <f t="shared" si="0"/>
        <v>233.36422834651552</v>
      </c>
    </row>
    <row r="16" spans="1:19" ht="15" customHeight="1" x14ac:dyDescent="0.25">
      <c r="B16" s="12" t="s">
        <v>73</v>
      </c>
      <c r="C16" s="12"/>
      <c r="D16" s="85">
        <v>5.6343674279951648</v>
      </c>
      <c r="E16" s="85">
        <v>6.6538669278021016</v>
      </c>
      <c r="F16" s="85">
        <v>14.132515115519793</v>
      </c>
      <c r="G16" s="85">
        <v>21.856133786841657</v>
      </c>
      <c r="H16" s="85">
        <v>22.957290114516653</v>
      </c>
      <c r="I16" s="86">
        <f>Valuation_Stats_Empty!N25</f>
        <v>4220.0288799999998</v>
      </c>
      <c r="J16" s="13">
        <f>($I16*D16+$F$31)/$F$33</f>
        <v>56.177375736190982</v>
      </c>
      <c r="K16" s="13">
        <f>($I16*E16+$F$31)/$F$33</f>
        <v>65.869440706377645</v>
      </c>
      <c r="L16" s="13">
        <f t="shared" si="0"/>
        <v>136.96662529377059</v>
      </c>
      <c r="M16" s="13">
        <f t="shared" si="0"/>
        <v>210.39266815261863</v>
      </c>
      <c r="N16" s="13">
        <f t="shared" si="0"/>
        <v>220.86101921329032</v>
      </c>
    </row>
    <row r="17" spans="2:14" ht="15" customHeight="1" x14ac:dyDescent="0.25">
      <c r="B17" s="12" t="s">
        <v>74</v>
      </c>
      <c r="C17" s="12"/>
      <c r="D17" s="85">
        <v>-0.1264236902050114</v>
      </c>
      <c r="E17" s="85">
        <v>-7.9021956863228021E-2</v>
      </c>
      <c r="F17" s="85">
        <v>0.17187241677810827</v>
      </c>
      <c r="G17" s="85">
        <v>1.3274522885158364</v>
      </c>
      <c r="H17" s="85">
        <v>1.676415854556417</v>
      </c>
      <c r="I17" s="86" cm="1">
        <f t="array" ref="I17:I19">TRANSPOSE(Valuation_Stats_Empty!O25:Q25)</f>
        <v>1494</v>
      </c>
      <c r="J17" s="94" t="s">
        <v>90</v>
      </c>
      <c r="K17" s="94" t="s">
        <v>90</v>
      </c>
      <c r="L17" s="13">
        <f>($I17*F17)/$F$33</f>
        <v>0.57845643660747281</v>
      </c>
      <c r="M17" s="13">
        <f>($I17*G17)/$F$33</f>
        <v>4.4676937403670181</v>
      </c>
      <c r="N17" s="13">
        <f t="shared" ref="K17:N19" si="2">($I17*H17)/$F$33</f>
        <v>5.6421708595098607</v>
      </c>
    </row>
    <row r="18" spans="2:14" ht="15" customHeight="1" x14ac:dyDescent="0.25">
      <c r="B18" s="12" t="s">
        <v>75</v>
      </c>
      <c r="C18" s="12"/>
      <c r="D18" s="85">
        <v>6.6119138060031488E-2</v>
      </c>
      <c r="E18" s="85">
        <v>9.0449997985855637E-2</v>
      </c>
      <c r="F18" s="85">
        <v>0.22723742893579946</v>
      </c>
      <c r="G18" s="85">
        <v>0.77295082219307187</v>
      </c>
      <c r="H18" s="85">
        <v>0.93359033622133891</v>
      </c>
      <c r="I18" s="86">
        <v>2286.3396899999998</v>
      </c>
      <c r="J18" s="13">
        <f>($I18*D18)/$F$33</f>
        <v>0.3405507300394448</v>
      </c>
      <c r="K18" s="13">
        <f t="shared" si="2"/>
        <v>0.46586833630805463</v>
      </c>
      <c r="L18" s="13">
        <f>($I18*F18)/$F$33</f>
        <v>1.1704005010790079</v>
      </c>
      <c r="M18" s="13">
        <f>($I18*G18)/$F$33</f>
        <v>3.98113125043231</v>
      </c>
      <c r="N18" s="13">
        <f>($I18*H18)/$F$33</f>
        <v>4.8085150515617032</v>
      </c>
    </row>
    <row r="19" spans="2:14" ht="15" customHeight="1" x14ac:dyDescent="0.25">
      <c r="B19" s="12" t="s">
        <v>76</v>
      </c>
      <c r="C19" s="12"/>
      <c r="D19" s="85">
        <v>6.0645037908625063E-2</v>
      </c>
      <c r="E19" s="85">
        <v>8.4058837526605867E-2</v>
      </c>
      <c r="F19" s="85">
        <v>0.22111003476304522</v>
      </c>
      <c r="G19" s="85">
        <v>0.7350789919906292</v>
      </c>
      <c r="H19" s="85">
        <v>0.88413204493899156</v>
      </c>
      <c r="I19" s="86">
        <v>2396.9424600000002</v>
      </c>
      <c r="J19" s="13">
        <f>($I19*D19)/$F$33</f>
        <v>0.32746640884227118</v>
      </c>
      <c r="K19" s="13">
        <f t="shared" si="2"/>
        <v>0.45389444224221837</v>
      </c>
      <c r="L19" s="13">
        <f t="shared" si="2"/>
        <v>1.1939329504903551</v>
      </c>
      <c r="M19" s="13">
        <f t="shared" si="2"/>
        <v>3.9692229739431517</v>
      </c>
      <c r="N19" s="13">
        <f t="shared" si="2"/>
        <v>4.774068179077986</v>
      </c>
    </row>
    <row r="21" spans="2:14" ht="15" customHeight="1" x14ac:dyDescent="0.25">
      <c r="B21" s="14" t="s">
        <v>77</v>
      </c>
      <c r="C21" s="14"/>
      <c r="D21" s="15"/>
      <c r="E21" s="15"/>
      <c r="F21" s="15"/>
    </row>
    <row r="22" spans="2:14" ht="15" customHeight="1" x14ac:dyDescent="0.25">
      <c r="B22" s="3" t="s">
        <v>78</v>
      </c>
      <c r="F22" s="87">
        <v>8637</v>
      </c>
    </row>
    <row r="23" spans="2:14" ht="15" customHeight="1" x14ac:dyDescent="0.25">
      <c r="B23" s="3" t="s">
        <v>79</v>
      </c>
      <c r="F23" s="87">
        <v>617</v>
      </c>
    </row>
    <row r="24" spans="2:14" ht="15" customHeight="1" x14ac:dyDescent="0.25">
      <c r="B24" s="3" t="s">
        <v>80</v>
      </c>
      <c r="F24" s="87">
        <v>0</v>
      </c>
    </row>
    <row r="25" spans="2:14" ht="15" customHeight="1" x14ac:dyDescent="0.25">
      <c r="B25" s="3" t="s">
        <v>81</v>
      </c>
      <c r="F25" s="87">
        <v>0</v>
      </c>
    </row>
    <row r="26" spans="2:14" ht="15" customHeight="1" x14ac:dyDescent="0.25">
      <c r="B26" s="3" t="s">
        <v>82</v>
      </c>
      <c r="F26" s="87">
        <v>-7617</v>
      </c>
    </row>
    <row r="27" spans="2:14" ht="15" customHeight="1" x14ac:dyDescent="0.25">
      <c r="B27" s="3" t="s">
        <v>83</v>
      </c>
      <c r="F27" s="87">
        <v>0</v>
      </c>
    </row>
    <row r="28" spans="2:14" ht="15" customHeight="1" x14ac:dyDescent="0.25">
      <c r="B28" s="3" t="s">
        <v>84</v>
      </c>
      <c r="F28" s="87">
        <v>-477</v>
      </c>
    </row>
    <row r="29" spans="2:14" ht="15" customHeight="1" x14ac:dyDescent="0.25">
      <c r="B29" s="3" t="s">
        <v>85</v>
      </c>
      <c r="F29" s="87">
        <v>0</v>
      </c>
    </row>
    <row r="30" spans="2:14" ht="15" customHeight="1" x14ac:dyDescent="0.25">
      <c r="B30" s="7" t="s">
        <v>86</v>
      </c>
      <c r="C30" s="7"/>
      <c r="D30" s="7"/>
      <c r="E30" s="7"/>
      <c r="F30" s="88">
        <v>0</v>
      </c>
    </row>
    <row r="31" spans="2:14" ht="15" customHeight="1" x14ac:dyDescent="0.25">
      <c r="B31" s="2" t="s">
        <v>87</v>
      </c>
      <c r="C31" s="2"/>
      <c r="F31" s="89">
        <f>SUM(F22:F30)</f>
        <v>1160</v>
      </c>
    </row>
    <row r="32" spans="2:14" ht="15" customHeight="1" x14ac:dyDescent="0.25">
      <c r="F32" s="10"/>
    </row>
    <row r="33" spans="2:6" ht="15" customHeight="1" x14ac:dyDescent="0.25">
      <c r="B33" s="3" t="s">
        <v>88</v>
      </c>
      <c r="F33" s="90">
        <v>443.90100000000001</v>
      </c>
    </row>
    <row r="35" spans="2:6" ht="15" customHeight="1" x14ac:dyDescent="0.25">
      <c r="B35" s="2" t="s">
        <v>89</v>
      </c>
      <c r="C35" s="2"/>
    </row>
  </sheetData>
  <pageMargins left="0.7" right="0.7" top="0.75" bottom="0.75" header="0.3" footer="0.3"/>
  <pageSetup scale="4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1873D721595A428FCC0CE19326EC25" ma:contentTypeVersion="12" ma:contentTypeDescription="Create a new document." ma:contentTypeScope="" ma:versionID="825095672408194bb00020621071a6f7">
  <xsd:schema xmlns:xsd="http://www.w3.org/2001/XMLSchema" xmlns:xs="http://www.w3.org/2001/XMLSchema" xmlns:p="http://schemas.microsoft.com/office/2006/metadata/properties" xmlns:ns2="65b24be4-a005-4c4f-9d79-3cb65d0066b5" xmlns:ns3="ee227af6-9ad0-4649-bd9d-5e0d56586fe1" targetNamespace="http://schemas.microsoft.com/office/2006/metadata/properties" ma:root="true" ma:fieldsID="da0996131aa4b4b7a846c2c0a928a12c" ns2:_="" ns3:_="">
    <xsd:import namespace="65b24be4-a005-4c4f-9d79-3cb65d0066b5"/>
    <xsd:import namespace="ee227af6-9ad0-4649-bd9d-5e0d56586fe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b24be4-a005-4c4f-9d79-3cb65d0066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227af6-9ad0-4649-bd9d-5e0d56586fe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ee227af6-9ad0-4649-bd9d-5e0d56586fe1">
      <UserInfo>
        <DisplayName/>
        <AccountId xsi:nil="true"/>
        <AccountType/>
      </UserInfo>
    </SharedWithUsers>
    <MediaLengthInSeconds xmlns="65b24be4-a005-4c4f-9d79-3cb65d0066b5" xsi:nil="true"/>
  </documentManagement>
</p:properties>
</file>

<file path=customXml/itemProps1.xml><?xml version="1.0" encoding="utf-8"?>
<ds:datastoreItem xmlns:ds="http://schemas.openxmlformats.org/officeDocument/2006/customXml" ds:itemID="{000DA029-979D-4332-93CD-47672D25D0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b24be4-a005-4c4f-9d79-3cb65d0066b5"/>
    <ds:schemaRef ds:uri="ee227af6-9ad0-4649-bd9d-5e0d56586f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AAAACC-F100-4C9F-8994-362E174EF0F9}">
  <ds:schemaRefs>
    <ds:schemaRef ds:uri="http://schemas.microsoft.com/sharepoint/v3/contenttype/forms"/>
  </ds:schemaRefs>
</ds:datastoreItem>
</file>

<file path=customXml/itemProps3.xml><?xml version="1.0" encoding="utf-8"?>
<ds:datastoreItem xmlns:ds="http://schemas.openxmlformats.org/officeDocument/2006/customXml" ds:itemID="{E1533472-9F28-4E09-891B-CDCD044C6213}">
  <ds:schemaRefs>
    <ds:schemaRef ds:uri="http://schemas.microsoft.com/office/2006/metadata/properties"/>
    <ds:schemaRef ds:uri="http://schemas.microsoft.com/office/infopath/2007/PartnerControls"/>
    <ds:schemaRef ds:uri="ee227af6-9ad0-4649-bd9d-5e0d56586fe1"/>
    <ds:schemaRef ds:uri="65b24be4-a005-4c4f-9d79-3cb65d0066b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Valuation_Stats_Empty</vt:lpstr>
      <vt:lpstr>Valuation_Summary_Empty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Gennady Mogilner</dc:creator>
  <cp:keywords/>
  <dc:description/>
  <cp:lastModifiedBy>Awais Malik</cp:lastModifiedBy>
  <cp:revision/>
  <dcterms:created xsi:type="dcterms:W3CDTF">2021-03-29T17:48:02Z</dcterms:created>
  <dcterms:modified xsi:type="dcterms:W3CDTF">2022-03-15T13:27:12Z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0x0101000B1873D721595A428FCC0CE19326EC25</vt:lpwstr>
  </property>
  <property fmtid="{D5CDD505-2E9C-101B-9397-08002B2CF9AE}" pid="3" name="Order">
    <vt:r8>1417800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ies>
</file>