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13584" windowHeight="5772"/>
  </bookViews>
  <sheets>
    <sheet name="Sheet1" sheetId="1" r:id="rId1"/>
  </sheets>
  <definedNames>
    <definedName name="options">Sheet1!$Q$27:$Q$28</definedName>
    <definedName name="zero">Sheet1!$R$27:$R$28</definedName>
  </definedNames>
  <calcPr calcId="162913"/>
</workbook>
</file>

<file path=xl/calcChain.xml><?xml version="1.0" encoding="utf-8"?>
<calcChain xmlns="http://schemas.openxmlformats.org/spreadsheetml/2006/main">
  <c r="B17" i="1" l="1"/>
  <c r="L16" i="1"/>
  <c r="L8" i="1" s="1"/>
  <c r="B16" i="1"/>
  <c r="L17" i="1" s="1"/>
  <c r="L15" i="1"/>
  <c r="L14" i="1"/>
  <c r="F14" i="1"/>
  <c r="L13" i="1"/>
  <c r="A13" i="1"/>
  <c r="L12" i="1"/>
  <c r="A12" i="1"/>
  <c r="B11" i="1"/>
  <c r="B10" i="1"/>
  <c r="B8" i="1"/>
  <c r="A8" i="1"/>
  <c r="B7" i="1"/>
  <c r="C6" i="1"/>
  <c r="L5" i="1"/>
  <c r="L6" i="1" s="1"/>
  <c r="B5" i="1"/>
  <c r="L4" i="1"/>
  <c r="B4" i="1"/>
  <c r="L3" i="1"/>
  <c r="B3" i="1"/>
  <c r="L2" i="1"/>
  <c r="H1" i="1"/>
  <c r="L7" i="1" l="1"/>
  <c r="C2" i="1"/>
  <c r="B9" i="1"/>
  <c r="L9" i="1" l="1"/>
  <c r="F16" i="1" l="1"/>
  <c r="B12" i="1" s="1"/>
  <c r="B13" i="1" l="1"/>
  <c r="B14" i="1" l="1"/>
  <c r="L10" i="1"/>
  <c r="C14" i="1" l="1"/>
  <c r="C7" i="1"/>
  <c r="C8" i="1"/>
  <c r="L11" i="1"/>
  <c r="C10" i="1"/>
  <c r="C11" i="1"/>
  <c r="C9" i="1"/>
  <c r="C12" i="1"/>
  <c r="C13" i="1"/>
</calcChain>
</file>

<file path=xl/sharedStrings.xml><?xml version="1.0" encoding="utf-8"?>
<sst xmlns="http://schemas.openxmlformats.org/spreadsheetml/2006/main" count="92" uniqueCount="86">
  <si>
    <t>Enter here</t>
  </si>
  <si>
    <t>Instructions:    How to use this TPN calculator</t>
  </si>
  <si>
    <t>Feed type</t>
  </si>
  <si>
    <t>Prenan strength</t>
  </si>
  <si>
    <t>Syringe 1</t>
  </si>
  <si>
    <t>ml</t>
  </si>
  <si>
    <t>Dosing wt (kg)</t>
  </si>
  <si>
    <t>IVM volume details</t>
  </si>
  <si>
    <t>TFR (ml/kg)</t>
  </si>
  <si>
    <t>1. Enter only the fields with YELLOW color</t>
  </si>
  <si>
    <t>NPO</t>
  </si>
  <si>
    <t>None</t>
  </si>
  <si>
    <t xml:space="preserve">20% Lipid </t>
  </si>
  <si>
    <t>N/5 (mL)</t>
  </si>
  <si>
    <t>TFV (ml)</t>
  </si>
  <si>
    <t>2. Enter DOSING WEIGHT of the baby, NOT birth weight</t>
  </si>
  <si>
    <t>EBM/PDHM</t>
  </si>
  <si>
    <t>Quarter</t>
  </si>
  <si>
    <t>MVI</t>
  </si>
  <si>
    <t>Feed (ml/kg)</t>
  </si>
  <si>
    <t>N/2 (mL)</t>
  </si>
  <si>
    <t>Feeds (ml)</t>
  </si>
  <si>
    <t>3. Enter Total Fluid Rate planned for the day (in ml/kg/day)</t>
  </si>
  <si>
    <t>Formula</t>
  </si>
  <si>
    <t>Half</t>
  </si>
  <si>
    <t>Celcel</t>
  </si>
  <si>
    <t>IVM (ml)</t>
  </si>
  <si>
    <t>NS (mL)</t>
  </si>
  <si>
    <t>IVF(ml/kg)</t>
  </si>
  <si>
    <t>4. Then, enter Enteral feeds planned for the day (in ml/kg)</t>
  </si>
  <si>
    <t>Full</t>
  </si>
  <si>
    <t>Syringe 2</t>
  </si>
  <si>
    <t>per</t>
  </si>
  <si>
    <t>A (g/kg/day)</t>
  </si>
  <si>
    <t>10% Dex (mL)</t>
  </si>
  <si>
    <t>IVF (ml)</t>
  </si>
  <si>
    <t>5. Carefully Total fluids (in ml) recieved via medications and enter same</t>
  </si>
  <si>
    <t>10% Aminoven</t>
  </si>
  <si>
    <t>L (g/kg/day)</t>
  </si>
  <si>
    <t>TPN fluid (ml)</t>
  </si>
  <si>
    <t>6. Enter Proteins (A), lipids (L) and GIR (G) required</t>
  </si>
  <si>
    <t>G (mg/kg/min)</t>
  </si>
  <si>
    <t>Type of oral feed</t>
  </si>
  <si>
    <t>TPN Glucose (g)</t>
  </si>
  <si>
    <t>7. Enter Sodium and Potassium in mEq/kg/day in TPN</t>
  </si>
  <si>
    <t>15% KCl</t>
  </si>
  <si>
    <t>Na (mEq/kg/d)</t>
  </si>
  <si>
    <t xml:space="preserve">PreNan strength </t>
  </si>
  <si>
    <t>Fluid for Glucose</t>
  </si>
  <si>
    <t>8. Rest all values will be calculated auomatically, just copy it in treatment chart</t>
  </si>
  <si>
    <t>10% Calcium</t>
  </si>
  <si>
    <t>K (mEq/kg/d)</t>
  </si>
  <si>
    <t>Osmolarity (Sy1+Sy2)</t>
  </si>
  <si>
    <t>50% MgSO4</t>
  </si>
  <si>
    <t>Ca (mg/kg/d)</t>
  </si>
  <si>
    <t>PO4 (mg/kg/d)</t>
  </si>
  <si>
    <t>Dextrose %</t>
  </si>
  <si>
    <t>9. Values in RED represent RATE in ml/hr for both syringes</t>
  </si>
  <si>
    <t>Mg (mEq/kg/d)</t>
  </si>
  <si>
    <t>Calcium via TPN</t>
  </si>
  <si>
    <t>CNR</t>
  </si>
  <si>
    <t>10. Values of Na/glucose in Syringe 2 are calculated AFTER subtracting for those going through IVM.</t>
  </si>
  <si>
    <t>5% Dextrose</t>
  </si>
  <si>
    <t>Calories for today</t>
  </si>
  <si>
    <t>11. Enter 1 in 5% Dextrose field if using it for making TPN, if not enter 0. Same for 25% D</t>
  </si>
  <si>
    <t>Total</t>
  </si>
  <si>
    <t>10% Dextrose</t>
  </si>
  <si>
    <t>Overfill factor</t>
  </si>
  <si>
    <t>Proteins for today</t>
  </si>
  <si>
    <t>12. 10% / 50% D will be automatically chosen if you didn't chose 5% /25% respectively</t>
  </si>
  <si>
    <t>25% Dextrose</t>
  </si>
  <si>
    <t>Sodium source</t>
  </si>
  <si>
    <t>3% NaCl</t>
  </si>
  <si>
    <t>Na in IVM (mEq/kg/d)</t>
  </si>
  <si>
    <t>13. If any calculated Dextrose value is coming negative, try different combinations of Dextrose.</t>
  </si>
  <si>
    <t>PotPhos (PO4)</t>
  </si>
  <si>
    <t>50% Dextrose</t>
  </si>
  <si>
    <t>Glucose in IVM (g)</t>
  </si>
  <si>
    <t>14. CNR= Non-proteinous Calorie Nitrogen Ratio (Try to keep between 100-200)</t>
  </si>
  <si>
    <t>K in Potphos (mEq/kg/d)</t>
  </si>
  <si>
    <t xml:space="preserve">15. Enter overfill factor (to account for spillage/tubings priming), eg if you want 10% extra enter as 1.1 </t>
  </si>
  <si>
    <t>16. Add Celcel after 2 weeks, DO NOT use in cholestasis.</t>
  </si>
  <si>
    <t>17. PreNan per gram (Kcal/Proteins): 4/0.3; EBM/PDHM per 100 mL: 52/0.95; Formula: 78/1.9. PreNAN full strength= 1 g in 25 mL feeds</t>
  </si>
  <si>
    <t>18. Potphos per mL has: 93 mg Phosphate, 4.4 mEq potassium. Always give in atleast 20x dilution.</t>
  </si>
  <si>
    <t>For any doubts/suggestions or modifications:   Please write to vivekneoaiims@gmail.com</t>
  </si>
  <si>
    <t xml:space="preserve">PS: Mostly for fun (and slightly to prevent errors by editing), the document has been locked except for the yellow cells.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</si>
</sst>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1">
    <xf numFmtId="0" fontId="0" fillId="0" borderId="0" xfId="0"/>
    <xf numFmtId="164" fontId="0" fillId="0" borderId="0" xfId="0" applyNumberFormat="1"/>
    <xf numFmtId="0" fontId="0" fillId="3" borderId="0" xfId="0" applyFill="1"/>
    <xf numFmtId="0" fontId="3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5" fillId="0" borderId="0" xfId="0" applyFont="1" applyAlignment="1">
      <alignment vertical="top"/>
    </xf>
    <xf numFmtId="0" fontId="0" fillId="0" borderId="0" xfId="0" applyAlignment="1">
      <alignment vertical="top"/>
    </xf>
    <xf numFmtId="0" fontId="1" fillId="0" borderId="0" xfId="0" applyFont="1"/>
    <xf numFmtId="0" fontId="0" fillId="3" borderId="0" xfId="0" applyFill="1" applyProtection="1">
      <protection locked="0"/>
    </xf>
    <xf numFmtId="1" fontId="0" fillId="3" borderId="0" xfId="0" applyNumberFormat="1" applyFill="1"/>
    <xf numFmtId="0" fontId="4" fillId="0" borderId="0" xfId="0" applyFont="1"/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right" vertical="center"/>
    </xf>
    <xf numFmtId="2" fontId="2" fillId="0" borderId="0" xfId="0" applyNumberFormat="1" applyFont="1" applyAlignment="1">
      <alignment horizontal="right" vertical="center"/>
    </xf>
    <xf numFmtId="1" fontId="0" fillId="0" borderId="0" xfId="0" applyNumberFormat="1"/>
    <xf numFmtId="0" fontId="0" fillId="0" borderId="0" xfId="0"/>
    <xf numFmtId="164" fontId="0" fillId="3" borderId="0" xfId="0" applyNumberFormat="1" applyFill="1" applyAlignment="1">
      <alignment horizontal="right"/>
    </xf>
    <xf numFmtId="0" fontId="4" fillId="0" borderId="0" xfId="0" applyFont="1" applyAlignment="1">
      <alignment wrapText="1"/>
    </xf>
    <xf numFmtId="0" fontId="0" fillId="0" borderId="0" xfId="0" applyProtection="1">
      <protection hidden="1"/>
    </xf>
    <xf numFmtId="164" fontId="0" fillId="0" borderId="0" xfId="0" applyNumberFormat="1" applyProtection="1">
      <protection hidden="1"/>
    </xf>
    <xf numFmtId="0" fontId="1" fillId="4" borderId="0" xfId="0" applyFont="1" applyFill="1" applyProtection="1">
      <protection hidden="1"/>
    </xf>
    <xf numFmtId="164" fontId="0" fillId="4" borderId="0" xfId="0" applyNumberFormat="1" applyFill="1" applyAlignment="1" applyProtection="1">
      <alignment horizontal="right"/>
      <protection hidden="1"/>
    </xf>
    <xf numFmtId="2" fontId="2" fillId="4" borderId="0" xfId="0" applyNumberFormat="1" applyFont="1" applyFill="1" applyProtection="1">
      <protection hidden="1"/>
    </xf>
    <xf numFmtId="0" fontId="1" fillId="5" borderId="0" xfId="0" applyFont="1" applyFill="1" applyProtection="1">
      <protection hidden="1"/>
    </xf>
    <xf numFmtId="164" fontId="0" fillId="5" borderId="0" xfId="0" applyNumberFormat="1" applyFill="1" applyAlignment="1" applyProtection="1">
      <alignment horizontal="right"/>
      <protection hidden="1"/>
    </xf>
    <xf numFmtId="0" fontId="0" fillId="5" borderId="0" xfId="0" applyFill="1" applyAlignment="1" applyProtection="1">
      <alignment horizontal="right"/>
      <protection hidden="1"/>
    </xf>
    <xf numFmtId="0" fontId="1" fillId="2" borderId="0" xfId="0" applyFont="1" applyFill="1" applyAlignment="1" applyProtection="1">
      <alignment horizontal="center" vertical="center"/>
      <protection hidden="1"/>
    </xf>
    <xf numFmtId="164" fontId="1" fillId="2" borderId="0" xfId="0" applyNumberFormat="1" applyFont="1" applyFill="1" applyAlignment="1" applyProtection="1">
      <alignment horizontal="right" vertical="center"/>
      <protection hidden="1"/>
    </xf>
    <xf numFmtId="2" fontId="2" fillId="2" borderId="0" xfId="0" applyNumberFormat="1" applyFont="1" applyFill="1" applyAlignment="1" applyProtection="1">
      <alignment horizontal="right" vertical="center"/>
      <protection hidden="1"/>
    </xf>
    <xf numFmtId="1" fontId="0" fillId="0" borderId="0" xfId="0" applyNumberFormat="1" applyProtection="1">
      <protection hidden="1"/>
    </xf>
    <xf numFmtId="0" fontId="0" fillId="6" borderId="0" xfId="0" applyFill="1" applyProtection="1">
      <protection hidden="1"/>
    </xf>
    <xf numFmtId="164" fontId="0" fillId="6" borderId="0" xfId="0" applyNumberFormat="1" applyFill="1" applyProtection="1">
      <protection hidden="1"/>
    </xf>
    <xf numFmtId="0" fontId="4" fillId="0" borderId="0" xfId="0" applyFont="1" applyAlignment="1">
      <alignment vertical="top"/>
    </xf>
    <xf numFmtId="0" fontId="0" fillId="8" borderId="0" xfId="0" applyFill="1" applyProtection="1">
      <protection hidden="1"/>
    </xf>
    <xf numFmtId="16" fontId="0" fillId="0" borderId="0" xfId="0" applyNumberFormat="1"/>
    <xf numFmtId="164" fontId="0" fillId="8" borderId="0" xfId="0" applyNumberFormat="1" applyFill="1"/>
    <xf numFmtId="2" fontId="0" fillId="6" borderId="0" xfId="0" applyNumberFormat="1" applyFill="1"/>
    <xf numFmtId="164" fontId="0" fillId="6" borderId="0" xfId="0" applyNumberFormat="1" applyFill="1"/>
    <xf numFmtId="2" fontId="0" fillId="8" borderId="0" xfId="0" applyNumberFormat="1" applyFill="1"/>
    <xf numFmtId="0" fontId="0" fillId="0" borderId="0" xfId="0" applyAlignment="1">
      <alignment horizontal="left" vertical="center"/>
    </xf>
    <xf numFmtId="164" fontId="0" fillId="0" borderId="0" xfId="0" applyNumberFormat="1" applyAlignment="1">
      <alignment horizontal="right" vertical="center"/>
    </xf>
    <xf numFmtId="0" fontId="0" fillId="3" borderId="0" xfId="0" applyFill="1" applyAlignment="1">
      <alignment vertical="top"/>
    </xf>
    <xf numFmtId="0" fontId="0" fillId="0" borderId="0" xfId="0" applyAlignment="1">
      <alignment horizontal="center"/>
    </xf>
    <xf numFmtId="0" fontId="4" fillId="0" borderId="0" xfId="0" applyFont="1" applyAlignment="1">
      <alignment horizontal="left" vertical="top"/>
    </xf>
    <xf numFmtId="0" fontId="0" fillId="0" borderId="0" xfId="0"/>
    <xf numFmtId="0" fontId="0" fillId="0" borderId="0" xfId="0" applyAlignment="1">
      <alignment horizontal="center"/>
    </xf>
    <xf numFmtId="0" fontId="5" fillId="0" borderId="0" xfId="0" applyFont="1" applyAlignment="1">
      <alignment horizontal="center" vertical="top"/>
    </xf>
    <xf numFmtId="164" fontId="0" fillId="0" borderId="0" xfId="0" applyNumberFormat="1"/>
    <xf numFmtId="0" fontId="0" fillId="0" borderId="0" xfId="0" applyAlignment="1">
      <alignment horizontal="center" vertical="top" wrapText="1"/>
    </xf>
    <xf numFmtId="0" fontId="0" fillId="7" borderId="0" xfId="0" applyFill="1" applyAlignment="1">
      <alignment horizontal="center"/>
    </xf>
  </cellXfs>
  <cellStyles count="1">
    <cellStyle name="Normal" xfId="0" builtinId="0"/>
  </cellStyles>
  <dxfs count="7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7CE"/>
        </patternFill>
      </fill>
    </dxf>
    <dxf>
      <font>
        <color rgb="FFFFFF00"/>
      </font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8"/>
  <sheetViews>
    <sheetView tabSelected="1" topLeftCell="C1" zoomScaleNormal="100" workbookViewId="0">
      <selection activeCell="H4" sqref="H4"/>
    </sheetView>
  </sheetViews>
  <sheetFormatPr defaultRowHeight="14.4" x14ac:dyDescent="0.3"/>
  <cols>
    <col min="1" max="1" width="14.44140625" style="16" customWidth="1"/>
    <col min="2" max="2" width="9.109375" style="1" customWidth="1"/>
    <col min="4" max="4" width="4.6640625" style="16" customWidth="1"/>
    <col min="5" max="5" width="14.109375" style="16" customWidth="1"/>
    <col min="6" max="6" width="10.33203125" style="16" customWidth="1"/>
    <col min="7" max="7" width="4.44140625" style="16" customWidth="1"/>
    <col min="8" max="8" width="14.88671875" style="16" customWidth="1"/>
    <col min="9" max="9" width="10.5546875" style="16" customWidth="1"/>
    <col min="10" max="10" width="4.44140625" style="16" customWidth="1"/>
    <col min="11" max="11" width="17.6640625" style="16" customWidth="1"/>
    <col min="12" max="12" width="9.109375" style="1" customWidth="1"/>
    <col min="13" max="13" width="8" style="1" customWidth="1"/>
    <col min="14" max="14" width="81.5546875" style="16" customWidth="1"/>
    <col min="15" max="15" width="25.109375" style="16" customWidth="1"/>
    <col min="18" max="18" width="11.33203125" style="16" hidden="1" customWidth="1"/>
    <col min="19" max="19" width="15" style="16" hidden="1" customWidth="1"/>
  </cols>
  <sheetData>
    <row r="1" spans="1:19" ht="21" customHeight="1" x14ac:dyDescent="0.3">
      <c r="A1" s="19"/>
      <c r="B1" s="20"/>
      <c r="C1" s="19"/>
      <c r="D1" s="19"/>
      <c r="F1" s="8" t="s">
        <v>0</v>
      </c>
      <c r="H1" s="46" t="str">
        <f>IF(SUM(I3:I6)&gt;F5,"Wrong IVM volume", "")</f>
        <v/>
      </c>
      <c r="I1" s="45"/>
      <c r="N1" s="3" t="s">
        <v>1</v>
      </c>
      <c r="R1" t="s">
        <v>2</v>
      </c>
      <c r="S1" t="s">
        <v>3</v>
      </c>
    </row>
    <row r="2" spans="1:19" x14ac:dyDescent="0.3">
      <c r="A2" s="21" t="s">
        <v>4</v>
      </c>
      <c r="B2" s="22" t="s">
        <v>5</v>
      </c>
      <c r="C2" s="23">
        <f>(B3+B4+B5)/24</f>
        <v>0.5</v>
      </c>
      <c r="D2" s="19"/>
      <c r="E2" t="s">
        <v>6</v>
      </c>
      <c r="F2" s="2">
        <v>2</v>
      </c>
      <c r="H2" s="50" t="s">
        <v>7</v>
      </c>
      <c r="I2" s="45"/>
      <c r="K2" s="31" t="s">
        <v>8</v>
      </c>
      <c r="L2" s="32">
        <f>F3</f>
        <v>120</v>
      </c>
      <c r="N2" s="7" t="s">
        <v>9</v>
      </c>
      <c r="R2" t="s">
        <v>10</v>
      </c>
      <c r="S2" t="s">
        <v>11</v>
      </c>
    </row>
    <row r="3" spans="1:19" x14ac:dyDescent="0.3">
      <c r="A3" s="19" t="s">
        <v>12</v>
      </c>
      <c r="B3" s="20">
        <f>5*F7*F2</f>
        <v>10</v>
      </c>
      <c r="C3" s="19"/>
      <c r="D3" s="19"/>
      <c r="E3" t="s">
        <v>8</v>
      </c>
      <c r="F3" s="2">
        <v>120</v>
      </c>
      <c r="H3" t="s">
        <v>13</v>
      </c>
      <c r="I3" s="2">
        <v>0</v>
      </c>
      <c r="K3" s="31" t="s">
        <v>14</v>
      </c>
      <c r="L3" s="32">
        <f>F3*F2</f>
        <v>240</v>
      </c>
      <c r="N3" t="s">
        <v>15</v>
      </c>
      <c r="R3" t="s">
        <v>16</v>
      </c>
      <c r="S3" t="s">
        <v>17</v>
      </c>
    </row>
    <row r="4" spans="1:19" x14ac:dyDescent="0.3">
      <c r="A4" s="19" t="s">
        <v>18</v>
      </c>
      <c r="B4" s="20">
        <f>IF(F7=0, 0, 1*F2)</f>
        <v>2</v>
      </c>
      <c r="C4" s="19"/>
      <c r="D4" s="19"/>
      <c r="E4" t="s">
        <v>19</v>
      </c>
      <c r="F4" s="2">
        <v>1</v>
      </c>
      <c r="H4" t="s">
        <v>20</v>
      </c>
      <c r="I4" s="2">
        <v>0</v>
      </c>
      <c r="K4" s="31" t="s">
        <v>21</v>
      </c>
      <c r="L4" s="32">
        <f>F4*F2</f>
        <v>2</v>
      </c>
      <c r="N4" t="s">
        <v>22</v>
      </c>
      <c r="R4" t="s">
        <v>23</v>
      </c>
      <c r="S4" s="35" t="s">
        <v>24</v>
      </c>
    </row>
    <row r="5" spans="1:19" x14ac:dyDescent="0.3">
      <c r="A5" s="19" t="s">
        <v>25</v>
      </c>
      <c r="B5" s="1">
        <f>IF(I16=0, 0, 0.5*F2)</f>
        <v>0</v>
      </c>
      <c r="E5" t="s">
        <v>26</v>
      </c>
      <c r="F5" s="2">
        <v>1</v>
      </c>
      <c r="H5" t="s">
        <v>27</v>
      </c>
      <c r="I5" s="2">
        <v>0</v>
      </c>
      <c r="K5" s="31" t="s">
        <v>28</v>
      </c>
      <c r="L5" s="32">
        <f>F3-F4</f>
        <v>119</v>
      </c>
      <c r="N5" t="s">
        <v>29</v>
      </c>
      <c r="S5" t="s">
        <v>30</v>
      </c>
    </row>
    <row r="6" spans="1:19" x14ac:dyDescent="0.3">
      <c r="A6" s="24" t="s">
        <v>31</v>
      </c>
      <c r="B6" s="25" t="s">
        <v>32</v>
      </c>
      <c r="C6" s="26">
        <f>50*I14</f>
        <v>50</v>
      </c>
      <c r="D6" s="19" t="s">
        <v>5</v>
      </c>
      <c r="E6" t="s">
        <v>33</v>
      </c>
      <c r="F6" s="2">
        <v>1</v>
      </c>
      <c r="H6" t="s">
        <v>34</v>
      </c>
      <c r="I6" s="2">
        <v>0</v>
      </c>
      <c r="K6" s="31" t="s">
        <v>35</v>
      </c>
      <c r="L6" s="32">
        <f>L5*F2</f>
        <v>238</v>
      </c>
      <c r="N6" t="s">
        <v>36</v>
      </c>
    </row>
    <row r="7" spans="1:19" x14ac:dyDescent="0.3">
      <c r="A7" s="19" t="s">
        <v>37</v>
      </c>
      <c r="B7" s="20">
        <f>10*F2*F6</f>
        <v>20</v>
      </c>
      <c r="C7" s="20">
        <f>B7*((C6)/B14)</f>
        <v>4.434589800443459</v>
      </c>
      <c r="D7" s="19"/>
      <c r="E7" t="s">
        <v>38</v>
      </c>
      <c r="F7" s="2">
        <v>1</v>
      </c>
      <c r="K7" s="31" t="s">
        <v>39</v>
      </c>
      <c r="L7" s="32">
        <f>(L5*F2)-F5</f>
        <v>237</v>
      </c>
      <c r="N7" t="s">
        <v>40</v>
      </c>
    </row>
    <row r="8" spans="1:19" x14ac:dyDescent="0.3">
      <c r="A8" s="19" t="str">
        <f>IF(I15="CRL","Conc. RL", "3% NaCl")</f>
        <v>3% NaCl</v>
      </c>
      <c r="B8" s="20">
        <f>IF(I15="CRL", (F9-L15)*F2/3, (F9-L15)*F2*2)</f>
        <v>4</v>
      </c>
      <c r="C8" s="20">
        <f>B8*C6/B14</f>
        <v>0.88691796008869173</v>
      </c>
      <c r="D8" s="19"/>
      <c r="E8" t="s">
        <v>41</v>
      </c>
      <c r="F8" s="2">
        <v>6</v>
      </c>
      <c r="H8" s="11" t="s">
        <v>42</v>
      </c>
      <c r="I8" s="2" t="s">
        <v>16</v>
      </c>
      <c r="K8" s="31" t="s">
        <v>43</v>
      </c>
      <c r="L8" s="32">
        <f>(F8*F2*1.44)-L16</f>
        <v>17.28</v>
      </c>
      <c r="N8" s="4" t="s">
        <v>44</v>
      </c>
    </row>
    <row r="9" spans="1:19" x14ac:dyDescent="0.3">
      <c r="A9" s="19" t="s">
        <v>45</v>
      </c>
      <c r="B9" s="20">
        <f>(F10-(4.4*B16/F2))*(F2/2)</f>
        <v>0.95268817204301071</v>
      </c>
      <c r="C9" s="20">
        <f>B9*C6/B14</f>
        <v>0.21123906253725291</v>
      </c>
      <c r="D9" s="19"/>
      <c r="E9" t="s">
        <v>46</v>
      </c>
      <c r="F9" s="2">
        <v>1</v>
      </c>
      <c r="H9" s="11" t="s">
        <v>47</v>
      </c>
      <c r="I9" s="2" t="s">
        <v>11</v>
      </c>
      <c r="K9" s="31" t="s">
        <v>48</v>
      </c>
      <c r="L9" s="32">
        <f>(L7-B3-B7-B8-B9-B10)-B4-B5</f>
        <v>200.047311827957</v>
      </c>
      <c r="N9" t="s">
        <v>49</v>
      </c>
    </row>
    <row r="10" spans="1:19" x14ac:dyDescent="0.3">
      <c r="A10" s="19" t="s">
        <v>50</v>
      </c>
      <c r="B10" s="20">
        <f>IF(I12=1, F2*F11/9.3,0)</f>
        <v>0</v>
      </c>
      <c r="C10" s="20">
        <f>B10*C6/B14</f>
        <v>0</v>
      </c>
      <c r="D10" s="19"/>
      <c r="E10" t="s">
        <v>51</v>
      </c>
      <c r="F10" s="2">
        <v>1</v>
      </c>
      <c r="K10" s="31" t="s">
        <v>52</v>
      </c>
      <c r="L10" s="32">
        <f>(((0.26*B3)+(B7*0.885)+(B12*0.555)+(B13*2.78)+(B8*1.027)+(B9*4))/(B3+B7+B8+B9+B12+B13))*1000</f>
        <v>937.0582704186686</v>
      </c>
    </row>
    <row r="11" spans="1:19" ht="17.25" customHeight="1" x14ac:dyDescent="0.3">
      <c r="A11" s="19" t="s">
        <v>53</v>
      </c>
      <c r="B11" s="20">
        <f>F12*F2/4</f>
        <v>0.5</v>
      </c>
      <c r="C11" s="20">
        <f>B11*C6/B14</f>
        <v>0.11086474501108647</v>
      </c>
      <c r="D11" s="19"/>
      <c r="E11" t="s">
        <v>54</v>
      </c>
      <c r="F11" s="9">
        <v>1</v>
      </c>
      <c r="H11" s="5" t="s">
        <v>55</v>
      </c>
      <c r="I11" s="42">
        <v>1</v>
      </c>
      <c r="K11" s="31" t="s">
        <v>56</v>
      </c>
      <c r="L11" s="32">
        <f>L8*100/B14</f>
        <v>7.6629711751662963</v>
      </c>
      <c r="N11" s="11" t="s">
        <v>57</v>
      </c>
    </row>
    <row r="12" spans="1:19" ht="17.25" customHeight="1" x14ac:dyDescent="0.3">
      <c r="A12" s="19" t="str">
        <f>IF(F13=1,"5% Dextrose", "10% Dextrose")</f>
        <v>5% Dextrose</v>
      </c>
      <c r="B12" s="20">
        <f>((((5*L9*F16)+(2.5*L9*F15)))- (10*L8))/(((5*F16)+(2.5*F15))-((0.5*F13)+(F14)))</f>
        <v>163.65913978494623</v>
      </c>
      <c r="C12" s="20">
        <f>B12*C6/B14</f>
        <v>36.288057601983638</v>
      </c>
      <c r="D12" s="19"/>
      <c r="E12" t="s">
        <v>58</v>
      </c>
      <c r="F12" s="2">
        <v>1</v>
      </c>
      <c r="H12" s="5" t="s">
        <v>59</v>
      </c>
      <c r="I12" s="42">
        <v>0</v>
      </c>
      <c r="K12" s="31" t="s">
        <v>60</v>
      </c>
      <c r="L12" s="32">
        <f>6.25*((4.9*F8)+(9*F7))/F6</f>
        <v>240.00000000000003</v>
      </c>
      <c r="N12" s="18" t="s">
        <v>61</v>
      </c>
    </row>
    <row r="13" spans="1:19" x14ac:dyDescent="0.3">
      <c r="A13" s="19" t="str">
        <f>IF(F15=1,"25% Dextrose", "50% Dextrose")</f>
        <v>25% Dextrose</v>
      </c>
      <c r="B13" s="20">
        <f>IF(AND(F15=0, ((0.1*L9*F14)+(0.05*L9*F13))&gt;L8),0,L9-B12)</f>
        <v>36.388172043010769</v>
      </c>
      <c r="C13" s="20">
        <f>B13*C6/B14</f>
        <v>8.0683308299358671</v>
      </c>
      <c r="D13" s="19"/>
      <c r="E13" t="s">
        <v>62</v>
      </c>
      <c r="F13" s="10">
        <v>1</v>
      </c>
      <c r="K13" s="34" t="s">
        <v>63</v>
      </c>
      <c r="L13" s="36">
        <f>(F6*4)+(F7*9)+(F8*5)+(F4*(IF(I8="NPO",0,IF(I8="Formula",0.78,0.52))))+(F4*(IF(I8="NPO",0, IF(I9="None",0,IF(I9="Quarter",0.04,IF(I9="Half",0.08,0.16))))))</f>
        <v>43.52</v>
      </c>
      <c r="M13" s="15"/>
      <c r="N13" s="11" t="s">
        <v>64</v>
      </c>
    </row>
    <row r="14" spans="1:19" x14ac:dyDescent="0.3">
      <c r="A14" s="27" t="s">
        <v>65</v>
      </c>
      <c r="B14" s="28">
        <f>SUM(B7:B13)</f>
        <v>225.50000000000003</v>
      </c>
      <c r="C14" s="29">
        <f>B14/24</f>
        <v>9.3958333333333339</v>
      </c>
      <c r="D14" s="19"/>
      <c r="E14" t="s">
        <v>66</v>
      </c>
      <c r="F14" s="30">
        <f>IF(F13=0,1,0)</f>
        <v>0</v>
      </c>
      <c r="H14" t="s">
        <v>67</v>
      </c>
      <c r="I14" s="9">
        <v>1</v>
      </c>
      <c r="K14" s="34" t="s">
        <v>68</v>
      </c>
      <c r="L14" s="39">
        <f>(F6+(F4*(IF(I8="NPO",0,IF(I8="Formula",0.019,0.0095))))+(F4*(IF(I8="NPO",0,IF(I9="None",0,IF(I9="Quarter",0.003,IF(I9="Half",0.006,0.012)))))))</f>
        <v>1.0095000000000001</v>
      </c>
      <c r="M14" s="15"/>
      <c r="N14" s="11" t="s">
        <v>69</v>
      </c>
    </row>
    <row r="15" spans="1:19" x14ac:dyDescent="0.3">
      <c r="A15" s="12"/>
      <c r="B15" s="13"/>
      <c r="C15" s="14"/>
      <c r="E15" t="s">
        <v>70</v>
      </c>
      <c r="F15" s="10">
        <v>1</v>
      </c>
      <c r="H15" t="s">
        <v>71</v>
      </c>
      <c r="I15" s="17" t="s">
        <v>72</v>
      </c>
      <c r="K15" s="31" t="s">
        <v>73</v>
      </c>
      <c r="L15" s="37">
        <f>((I3*0.031)+(I4*0.077)+(I5*0.154))/F2</f>
        <v>0</v>
      </c>
      <c r="M15" s="15"/>
      <c r="N15" s="11" t="s">
        <v>74</v>
      </c>
    </row>
    <row r="16" spans="1:19" x14ac:dyDescent="0.3">
      <c r="A16" s="40" t="s">
        <v>75</v>
      </c>
      <c r="B16" s="41">
        <f>I11*F2/93</f>
        <v>2.1505376344086023E-2</v>
      </c>
      <c r="C16" s="14"/>
      <c r="E16" t="s">
        <v>76</v>
      </c>
      <c r="F16" s="30">
        <f>IF( ((0.1*L9*F14)+(0.05*L9*F13))&gt;L8, 0, IF(F15=1,0,1))</f>
        <v>0</v>
      </c>
      <c r="H16" t="s">
        <v>25</v>
      </c>
      <c r="I16" s="10">
        <v>0</v>
      </c>
      <c r="K16" s="31" t="s">
        <v>77</v>
      </c>
      <c r="L16" s="38">
        <f>I6*0.1</f>
        <v>0</v>
      </c>
      <c r="M16" s="15"/>
      <c r="N16" s="11" t="s">
        <v>78</v>
      </c>
    </row>
    <row r="17" spans="1:18" ht="15.75" customHeight="1" x14ac:dyDescent="0.3">
      <c r="A17" s="19" t="s">
        <v>50</v>
      </c>
      <c r="B17" s="41">
        <f>IF(I12=0, F2*F11/9.3, 0)</f>
        <v>0.21505376344086019</v>
      </c>
      <c r="C17" s="14"/>
      <c r="F17" s="30"/>
      <c r="I17" s="15"/>
      <c r="K17" s="31" t="s">
        <v>79</v>
      </c>
      <c r="L17" s="38">
        <f>4.4*B16/F2</f>
        <v>4.7311827956989252E-2</v>
      </c>
      <c r="M17" s="15"/>
      <c r="N17" s="11" t="s">
        <v>80</v>
      </c>
    </row>
    <row r="18" spans="1:18" x14ac:dyDescent="0.3">
      <c r="N18" s="33" t="s">
        <v>81</v>
      </c>
    </row>
    <row r="19" spans="1:18" ht="18.75" customHeight="1" x14ac:dyDescent="0.3">
      <c r="A19" s="47"/>
      <c r="B19" s="48"/>
      <c r="C19" s="45"/>
      <c r="D19" s="45"/>
      <c r="E19" s="45"/>
      <c r="F19" s="45"/>
      <c r="G19" s="45"/>
      <c r="H19" s="45"/>
      <c r="I19" s="45"/>
      <c r="J19" s="45"/>
      <c r="K19" s="45"/>
      <c r="L19" s="6"/>
      <c r="M19" s="6"/>
      <c r="N19" s="44" t="s">
        <v>82</v>
      </c>
      <c r="O19" s="45"/>
    </row>
    <row r="20" spans="1:18" ht="15" customHeight="1" x14ac:dyDescent="0.3">
      <c r="A20" s="49"/>
      <c r="B20" s="48"/>
      <c r="C20" s="45"/>
      <c r="D20" s="45"/>
      <c r="E20" s="45"/>
      <c r="F20" s="45"/>
      <c r="G20" s="45"/>
      <c r="H20" s="45"/>
      <c r="I20" s="45"/>
      <c r="J20" s="45"/>
      <c r="K20" s="45"/>
      <c r="L20" s="7"/>
      <c r="M20" s="7"/>
      <c r="N20" s="11" t="s">
        <v>83</v>
      </c>
    </row>
    <row r="21" spans="1:18" ht="30" customHeight="1" x14ac:dyDescent="0.3">
      <c r="A21" s="45"/>
      <c r="B21" s="48"/>
      <c r="C21" s="45"/>
      <c r="D21" s="45"/>
      <c r="E21" s="45"/>
      <c r="F21" s="45"/>
      <c r="G21" s="45"/>
      <c r="H21" s="45"/>
      <c r="I21" s="45"/>
      <c r="J21" s="45"/>
      <c r="K21" s="45"/>
      <c r="N21" s="5" t="s">
        <v>84</v>
      </c>
    </row>
    <row r="22" spans="1:18" x14ac:dyDescent="0.3">
      <c r="B22" s="46"/>
      <c r="C22" s="45"/>
      <c r="D22" s="45"/>
      <c r="E22" s="45"/>
      <c r="F22" s="45"/>
      <c r="G22" s="45"/>
      <c r="H22" s="43"/>
      <c r="I22" s="43"/>
      <c r="J22" s="43"/>
    </row>
    <row r="23" spans="1:18" ht="30" customHeight="1" x14ac:dyDescent="0.3">
      <c r="N23" s="5" t="s">
        <v>85</v>
      </c>
    </row>
    <row r="26" spans="1:18" x14ac:dyDescent="0.3">
      <c r="Q26">
        <v>1</v>
      </c>
    </row>
    <row r="27" spans="1:18" x14ac:dyDescent="0.3">
      <c r="Q27">
        <v>0</v>
      </c>
      <c r="R27">
        <v>0</v>
      </c>
    </row>
    <row r="28" spans="1:18" x14ac:dyDescent="0.3">
      <c r="Q28">
        <v>1</v>
      </c>
      <c r="R28">
        <v>0</v>
      </c>
    </row>
  </sheetData>
  <mergeCells count="6">
    <mergeCell ref="N19:O19"/>
    <mergeCell ref="H1:I1"/>
    <mergeCell ref="A19:K19"/>
    <mergeCell ref="B22:G22"/>
    <mergeCell ref="A20:K21"/>
    <mergeCell ref="H2:I2"/>
  </mergeCells>
  <conditionalFormatting sqref="B7:C13">
    <cfRule type="cellIs" dxfId="6" priority="16" operator="lessThan">
      <formula>0</formula>
    </cfRule>
  </conditionalFormatting>
  <conditionalFormatting sqref="F15">
    <cfRule type="colorScale" priority="18">
      <colorScale>
        <cfvo type="num" val="0"/>
        <cfvo type="num" val="0"/>
        <color rgb="FFFFFF00"/>
        <color rgb="FFFFFF00"/>
      </colorScale>
    </cfRule>
  </conditionalFormatting>
  <conditionalFormatting sqref="H1:I1">
    <cfRule type="containsText" dxfId="5" priority="15" operator="containsText" text="&quot;Check IVM volume&quot;">
      <formula>NOT(ISERROR(SEARCH("""Check IVM volume""",H1)))</formula>
    </cfRule>
  </conditionalFormatting>
  <conditionalFormatting sqref="I3">
    <cfRule type="expression" dxfId="4" priority="1">
      <formula>H1="Wrong IVM volume"</formula>
    </cfRule>
  </conditionalFormatting>
  <conditionalFormatting sqref="I3:I6">
    <cfRule type="expression" dxfId="3" priority="5">
      <formula>H1048574="Wrong IVM volume"</formula>
    </cfRule>
    <cfRule type="expression" dxfId="2" priority="6">
      <formula>IF(H1048574="Wrong IVM volume",)</formula>
    </cfRule>
  </conditionalFormatting>
  <conditionalFormatting sqref="I4">
    <cfRule type="expression" dxfId="1" priority="2">
      <formula>H1="Wrong IVM volume"</formula>
    </cfRule>
  </conditionalFormatting>
  <conditionalFormatting sqref="I5">
    <cfRule type="expression" dxfId="0" priority="3">
      <formula>H1="Wrong IVM volume"</formula>
    </cfRule>
    <cfRule type="expression" priority="4">
      <formula>H1="Wrong IVM volume"</formula>
    </cfRule>
  </conditionalFormatting>
  <dataValidations count="9">
    <dataValidation type="list" allowBlank="1" showDropDown="1" showInputMessage="1" showErrorMessage="1" error="Enter 1 if using this conc., otherwise enter 0" sqref="M13:M17 F13:F14">
      <formula1>"0,1"</formula1>
    </dataValidation>
    <dataValidation type="list" allowBlank="1" showInputMessage="1" showErrorMessage="1" sqref="I15">
      <formula1>"CRL, 3% NaCl"</formula1>
    </dataValidation>
    <dataValidation type="list" allowBlank="1" showInputMessage="1" showErrorMessage="1" sqref="Q26">
      <formula1>$Q$27:$Q$28</formula1>
    </dataValidation>
    <dataValidation type="whole" allowBlank="1" showInputMessage="1" showErrorMessage="1" error="Enter 1 if using Celcel, if not enter 0." sqref="I16:I17">
      <formula1>0</formula1>
      <formula2>1</formula2>
    </dataValidation>
    <dataValidation type="list" allowBlank="1" showInputMessage="1" showErrorMessage="1" sqref="I9">
      <formula1>$S$2:$S$5</formula1>
    </dataValidation>
    <dataValidation type="list" allowBlank="1" showInputMessage="1" showErrorMessage="1" sqref="I8">
      <formula1>$R$2:$R$4</formula1>
    </dataValidation>
    <dataValidation type="list" showInputMessage="1" showErrorMessage="1" error="Enter 1 if using this conc., otherwise enter 0" sqref="F15">
      <formula1>IF((0.1*L9*F14)+(0.05*L9*F13)&gt;L8, zero, options)</formula1>
    </dataValidation>
    <dataValidation allowBlank="1" showInputMessage="1" showErrorMessage="1" errorTitle="Mismatch IVM volume" error="Ensure IVM volume details is correct" sqref="F5"/>
    <dataValidation type="whole" allowBlank="1" showInputMessage="1" showErrorMessage="1" error="Enter 1 if Calcium given in Syringe 2, if separately enter 0" sqref="I12">
      <formula1>0</formula1>
      <formula2>1</formula2>
    </dataValidation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options</vt:lpstr>
      <vt:lpstr>zero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Aman</cp:lastModifiedBy>
  <dcterms:created xsi:type="dcterms:W3CDTF">2006-09-16T00:00:00Z</dcterms:created>
  <dcterms:modified xsi:type="dcterms:W3CDTF">2025-03-11T11:18:43Z</dcterms:modified>
</cp:coreProperties>
</file>