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Info" sheetId="1" r:id="rId1"/>
    <sheet name="Lev 1" sheetId="2" r:id="rId2"/>
    <sheet name="Lev 2" sheetId="3" r:id="rId3"/>
    <sheet name="Lev 3" sheetId="4" r:id="rId4"/>
    <sheet name="TODO" sheetId="5" r:id="rId5"/>
  </sheets>
  <calcPr calcId="144525"/>
</workbook>
</file>

<file path=xl/sharedStrings.xml><?xml version="1.0" encoding="utf-8"?>
<sst xmlns="http://schemas.openxmlformats.org/spreadsheetml/2006/main" count="332" uniqueCount="244">
  <si>
    <t>Problem Solving Sheet</t>
  </si>
  <si>
    <t>This google sheet is created by Dr Mostafa Saad Ibrahim</t>
  </si>
  <si>
    <t>mostafa.saad.fci@gmail.com</t>
  </si>
  <si>
    <t>Currenet Version V1.0</t>
  </si>
  <si>
    <t>Following videos explaining a relevent sheet</t>
  </si>
  <si>
    <t>What is this Sheet?</t>
  </si>
  <si>
    <r>
      <rPr>
        <u/>
        <sz val="10"/>
        <color rgb="FF0000FF"/>
        <rFont val="Arial"/>
        <charset val="134"/>
      </rPr>
      <t xml:space="preserve">- The sheet is for problem-solving preparations for interviews for companies such as Google, Facebook, Microsoft, etc
- The sheet is a </t>
    </r>
    <r>
      <rPr>
        <b/>
        <sz val="10"/>
        <rFont val="Arial"/>
        <charset val="134"/>
      </rPr>
      <t>subset</t>
    </r>
    <r>
      <rPr>
        <sz val="10"/>
        <color rgb="FF000000"/>
        <rFont val="Arial"/>
        <charset val="134"/>
      </rPr>
      <t xml:space="preserve"> of the competitions sheet (https://goo.gl/unDETI) (focusing more on what is more popular in interviews)
 - You can use the original sheet t know the category of a problem
- Some students find training directly from sites such as leetcode is hard
- So audience are those who find algorithms hard to study and preparation is difficult
- The sheet will be </t>
    </r>
    <r>
      <rPr>
        <b/>
        <sz val="10"/>
        <rFont val="Arial"/>
        <charset val="134"/>
      </rPr>
      <t>smooth</t>
    </r>
    <r>
      <rPr>
        <sz val="10"/>
        <color rgb="FF000000"/>
        <rFont val="Arial"/>
        <charset val="134"/>
      </rPr>
      <t xml:space="preserve"> in improving your level to the target level
- Recall: Passing interviews is more than just being good in problem solving</t>
    </r>
    <r>
      <rPr>
        <u/>
        <sz val="10"/>
        <color rgb="FF1155CC"/>
        <rFont val="Arial"/>
        <charset val="134"/>
      </rPr>
      <t>: https://ask.fm/mostafasaad87/answers/140677813218</t>
    </r>
  </si>
  <si>
    <t>Notes</t>
  </si>
  <si>
    <t>- The sheet contains ~175 problems. It needs ~200 hours
- Missing topics: DP, 2 pointers, Trie  (To be added soon)
- After finishing the sheet, Practice for ~100 hours from:
-- https://www.interviewbit.com/
-- https://leetcode.com/
-- Cracking the Coding Interview: 150 Programming Questions and Solutions Book
- After that (or even after only my sheet), you are ready for internship/full-time interviews
- Don't stop practicing after such a journey. Keep maintaining or improving your level.</t>
  </si>
  <si>
    <t>Your Sheet COPY</t>
  </si>
  <si>
    <t>This is a personal Google sheet for you [Make a copy from file MENU] to have sets of problems to solve coupled with algorithms to learn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</si>
  <si>
    <t>Prerequisites</t>
  </si>
  <si>
    <t>Basic Programming skills such in series</t>
  </si>
  <si>
    <t xml:space="preserve"> + STL + Debugging Skills</t>
  </si>
  <si>
    <t>If you think my sheet is hard, Finish Assiut University provides an easier starting roadmap. Finish it first</t>
  </si>
  <si>
    <t>Moving faster</t>
  </si>
  <si>
    <t>Do I have to solve every problem? No, if you can move faster, do it. But don't skip the videos and the DIRECT problems after a vide</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</si>
  <si>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</si>
  <si>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</si>
  <si>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</si>
  <si>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</si>
  <si>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</si>
  <si>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</si>
  <si>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</si>
  <si>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</si>
  <si>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</si>
  <si>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</si>
  <si>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</si>
  <si>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</si>
  <si>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</si>
  <si>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</si>
  <si>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</si>
  <si>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</si>
  <si>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</si>
  <si>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</si>
  <si>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</si>
  <si>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</si>
  <si>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</si>
  <si>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</si>
  <si>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</si>
  <si>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</si>
  <si>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</si>
  <si>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</si>
  <si>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</si>
  <si>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</si>
  <si>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</si>
  <si>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</si>
  <si>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</si>
  <si>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</si>
  <si>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</si>
  <si>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</si>
  <si>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</si>
  <si>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</si>
  <si>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</si>
  <si>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</si>
  <si>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</si>
  <si>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</si>
  <si>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packege name</t>
  </si>
  <si>
    <t>Anton and Danik</t>
  </si>
  <si>
    <t>Bear and Big Brother</t>
  </si>
  <si>
    <t>Team</t>
  </si>
  <si>
    <t>Beautiful Matrix</t>
  </si>
  <si>
    <t>Gravity Flip</t>
  </si>
  <si>
    <t>Petya and Strings</t>
  </si>
  <si>
    <t>Boy or Girl</t>
  </si>
  <si>
    <t>Word</t>
  </si>
  <si>
    <t>Word Capitalization</t>
  </si>
  <si>
    <t>Magnets</t>
  </si>
  <si>
    <t>Sereja and Dima</t>
  </si>
  <si>
    <t>Stones on the Table</t>
  </si>
  <si>
    <t>Police Recruits</t>
  </si>
  <si>
    <t>Black Square</t>
  </si>
  <si>
    <t>Night at the Museum</t>
  </si>
  <si>
    <t>Games</t>
  </si>
  <si>
    <t>Buy a Shovel</t>
  </si>
  <si>
    <t>please focus more than it</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</si>
  <si>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</si>
  <si>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</si>
  <si>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</si>
  <si>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</si>
  <si>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</si>
  <si>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</si>
  <si>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</si>
  <si>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</si>
  <si>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</si>
  <si>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</si>
  <si>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</si>
  <si>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look at output form :( :P</t>
  </si>
  <si>
    <t>New Password</t>
  </si>
  <si>
    <t>Presents</t>
  </si>
  <si>
    <t>Lineland Mail</t>
  </si>
  <si>
    <t>Mahmoud and Longest Uncommon Subsequence</t>
  </si>
  <si>
    <t>Snacktower</t>
  </si>
  <si>
    <t>bad world</t>
  </si>
  <si>
    <t>Oath of the Night's Watch</t>
  </si>
  <si>
    <t>Next Round</t>
  </si>
  <si>
    <t>Bit++</t>
  </si>
  <si>
    <t>Young Physicist</t>
  </si>
  <si>
    <t>Pangram</t>
  </si>
  <si>
    <t>Twins</t>
  </si>
  <si>
    <t>Keyboard</t>
  </si>
  <si>
    <t>The Seasonal War</t>
  </si>
  <si>
    <t>Marcus</t>
  </si>
  <si>
    <t>Battleships</t>
  </si>
  <si>
    <t>Forming Teams</t>
  </si>
  <si>
    <t>Hierarchy</t>
  </si>
  <si>
    <t>Ordering Tasks</t>
  </si>
  <si>
    <t>Even Odds</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</si>
  <si>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</si>
  <si>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</si>
  <si>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</si>
  <si>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</si>
  <si>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</si>
  <si>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</si>
  <si>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</si>
  <si>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</si>
  <si>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</si>
  <si>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</si>
  <si>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</si>
  <si>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</si>
  <si>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The Playboy Chimp</t>
  </si>
  <si>
    <t>Pipeline</t>
  </si>
  <si>
    <t>Aggressive cows</t>
  </si>
  <si>
    <t>count of</t>
  </si>
  <si>
    <t>not</t>
  </si>
  <si>
    <t>Decoding</t>
  </si>
  <si>
    <t>Petya and Countryside</t>
  </si>
  <si>
    <t>Bear and Finding Criminals</t>
  </si>
  <si>
    <t>Burglar and Matches</t>
  </si>
  <si>
    <t>Sum of Digits</t>
  </si>
  <si>
    <t>Coins</t>
  </si>
  <si>
    <t>Vanya and Lanterns</t>
  </si>
  <si>
    <t>Effective Approach</t>
  </si>
  <si>
    <t>Easter Eggs</t>
  </si>
  <si>
    <t>Kuriyama Mirai's Stones</t>
  </si>
  <si>
    <t>SPOJ CSUMQ</t>
  </si>
  <si>
    <t>UVA 983</t>
  </si>
  <si>
    <t>President's Office</t>
  </si>
  <si>
    <t>Fence</t>
  </si>
  <si>
    <t>Lovely Palindromes</t>
  </si>
  <si>
    <t>Sort the Array</t>
  </si>
  <si>
    <t>Devu, the Dumb Guy</t>
  </si>
  <si>
    <t>Summer sell-off</t>
  </si>
  <si>
    <t>Colorful Field</t>
  </si>
  <si>
    <t>Mahmoud and a Triangle</t>
  </si>
  <si>
    <t>Find The Bone</t>
  </si>
  <si>
    <t>Tic-Tac-Toe ( I )</t>
  </si>
  <si>
    <t>Tic-Tac-Toe ( II )</t>
  </si>
  <si>
    <t>Knight Moves</t>
  </si>
  <si>
    <t>King's Path</t>
  </si>
  <si>
    <t>Students and Shoelaces</t>
  </si>
  <si>
    <t>Dreamoon and WiFi</t>
  </si>
  <si>
    <t>Chat Online</t>
  </si>
  <si>
    <t>Olympic Medal</t>
  </si>
  <si>
    <t>Filya and Homework</t>
  </si>
  <si>
    <t>Inna and New Matrix of Candies</t>
  </si>
  <si>
    <t>Steps</t>
  </si>
  <si>
    <t>Growing Mushrooms</t>
  </si>
  <si>
    <t>Continents</t>
  </si>
  <si>
    <t>Hanoi Tower</t>
  </si>
  <si>
    <t>Rankings</t>
  </si>
  <si>
    <t>Roma and Changing Signs</t>
  </si>
  <si>
    <t>Bear and Strings</t>
  </si>
  <si>
    <t>I.O.U.</t>
  </si>
  <si>
    <t>Jeff and Periods</t>
  </si>
  <si>
    <t>Meeting</t>
  </si>
  <si>
    <t>Easy Number Challenge</t>
  </si>
  <si>
    <t>Physics Practical</t>
  </si>
  <si>
    <t>Kolya and Tanya</t>
  </si>
  <si>
    <t>Suffix Structures</t>
  </si>
  <si>
    <t>Complete the Word</t>
  </si>
  <si>
    <t>Mashmokh and Tokens</t>
  </si>
  <si>
    <t>Fox And Two Dots</t>
  </si>
  <si>
    <t>Routine Problem</t>
  </si>
  <si>
    <t>Vasya and Wrestling</t>
  </si>
  <si>
    <t>Hamming Distance Sum</t>
  </si>
  <si>
    <t>Wet Shark and Bishops</t>
  </si>
  <si>
    <t>Kefa and Company</t>
  </si>
  <si>
    <t>Tavas and SaDDas</t>
  </si>
  <si>
    <t>Treasure Hunt</t>
  </si>
  <si>
    <t>Painting Eggs</t>
  </si>
  <si>
    <t>Pasha Maximizes</t>
  </si>
  <si>
    <t>Little Girl and Game</t>
  </si>
  <si>
    <t>Pasha and String</t>
  </si>
  <si>
    <t>Booking System</t>
  </si>
  <si>
    <t>Vanya and Exams</t>
  </si>
  <si>
    <t>Little Girl and Maximum Sum</t>
  </si>
  <si>
    <t>Learning Languages</t>
  </si>
  <si>
    <t>Greg and Array</t>
  </si>
  <si>
    <t>Ilya and Matrix</t>
  </si>
  <si>
    <t>Searching for Graph</t>
  </si>
  <si>
    <t>Soldier and Cards</t>
  </si>
  <si>
    <t>Kefa and Park</t>
  </si>
  <si>
    <t>Sagheer and Nubian Market</t>
  </si>
  <si>
    <t>BITMAP - Bitmap</t>
  </si>
  <si>
    <t>Key Task</t>
  </si>
  <si>
    <t>Wandering Queen</t>
  </si>
  <si>
    <t>Spreadsheet</t>
  </si>
  <si>
    <t>Graph Coloring</t>
  </si>
  <si>
    <t>23 out of 5</t>
  </si>
  <si>
    <t>8 Queens Chess Problem</t>
  </si>
  <si>
    <t>Text Editor</t>
  </si>
  <si>
    <t>Maze</t>
  </si>
  <si>
    <t>Palindrome Transformation</t>
  </si>
  <si>
    <t>Anya and Smartphone</t>
  </si>
  <si>
    <t>Marina and Vasya</t>
  </si>
  <si>
    <t>Alyona and the Tree</t>
  </si>
  <si>
    <t>Thor</t>
  </si>
  <si>
    <t>Hacker, pack your bags!</t>
  </si>
  <si>
    <t>Star sky</t>
  </si>
  <si>
    <t>UVA 11573</t>
  </si>
  <si>
    <t>Prime Permutation</t>
  </si>
  <si>
    <t>Terse princess</t>
  </si>
  <si>
    <t>Balls and Boxes</t>
  </si>
  <si>
    <t>Sereja and Swaps</t>
  </si>
  <si>
    <t>Xor-tree</t>
  </si>
  <si>
    <t>Trees</t>
  </si>
  <si>
    <t>Median Smoothing</t>
  </si>
  <si>
    <t>Alyona and mex</t>
  </si>
  <si>
    <t>Mahmoud and Ehab and the wrong algorithm</t>
  </si>
  <si>
    <t>SPOJ TWINSNOW</t>
  </si>
  <si>
    <t>Jugs</t>
  </si>
  <si>
    <t>Deciding victory in Go</t>
  </si>
  <si>
    <t>Ordering</t>
  </si>
  <si>
    <t>Fancy Number</t>
  </si>
  <si>
    <t>Queue</t>
  </si>
  <si>
    <t>Bracket Sequence</t>
  </si>
  <si>
    <t>To Add or Not to Add</t>
  </si>
  <si>
    <t>Knight Tournament</t>
  </si>
  <si>
    <t>No to Palindromes!</t>
  </si>
  <si>
    <t>Number of Ways</t>
  </si>
  <si>
    <t>Glass Carving</t>
  </si>
  <si>
    <t>Geometric Progression</t>
  </si>
  <si>
    <t>Recycling Bottles</t>
  </si>
  <si>
    <t>Pouring water</t>
  </si>
  <si>
    <t>Problem</t>
  </si>
  <si>
    <t>Any Comments</t>
  </si>
  <si>
    <t>The first one to finish, I will add the following important topics</t>
  </si>
  <si>
    <t>DP, 2 pointers, Trie</t>
  </si>
  <si>
    <t>Your NEXT TODOs</t>
  </si>
  <si>
    <t>Practice from:</t>
  </si>
  <si>
    <t>https://www.interviewbit.com/</t>
  </si>
  <si>
    <t>https://leetcode.com/</t>
  </si>
  <si>
    <t>Cracking the Coding Interview: 150 Programming Questions and Solutions Book</t>
  </si>
</sst>
</file>

<file path=xl/styles.xml><?xml version="1.0" encoding="utf-8"?>
<styleSheet xmlns="http://schemas.openxmlformats.org/spreadsheetml/2006/main">
  <numFmts count="5">
    <numFmt numFmtId="176" formatCode="#,##0.###############"/>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31">
    <font>
      <sz val="10"/>
      <color rgb="FF000000"/>
      <name val="Arial"/>
      <charset val="134"/>
    </font>
    <font>
      <sz val="10"/>
      <name val="Arial"/>
      <charset val="134"/>
    </font>
    <font>
      <u/>
      <sz val="10"/>
      <color rgb="FF1155CC"/>
      <name val="Arial"/>
      <charset val="134"/>
    </font>
    <font>
      <u/>
      <sz val="10"/>
      <color rgb="FF0000FF"/>
      <name val="Arial"/>
      <charset val="134"/>
    </font>
    <font>
      <i/>
      <sz val="10"/>
      <name val="Arial"/>
      <charset val="134"/>
    </font>
    <font>
      <b/>
      <u/>
      <sz val="10"/>
      <color rgb="FF1155CC"/>
      <name val="Arial"/>
      <charset val="134"/>
    </font>
    <font>
      <b/>
      <u/>
      <sz val="10"/>
      <color rgb="FF0000FF"/>
      <name val="Arial"/>
      <charset val="134"/>
    </font>
    <font>
      <u/>
      <sz val="10"/>
      <color rgb="FF800080"/>
      <name val="Arial"/>
      <charset val="134"/>
    </font>
    <font>
      <b/>
      <sz val="10"/>
      <name val="Arial"/>
      <charset val="134"/>
    </font>
    <font>
      <sz val="11"/>
      <color theme="1"/>
      <name val="Calibri"/>
      <charset val="134"/>
      <scheme val="minor"/>
    </font>
    <font>
      <sz val="11"/>
      <color theme="1"/>
      <name val="Calibri"/>
      <charset val="0"/>
      <scheme val="minor"/>
    </font>
    <font>
      <b/>
      <sz val="11"/>
      <color theme="3"/>
      <name val="Calibri"/>
      <charset val="134"/>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u/>
      <sz val="11"/>
      <color rgb="FF0000FF"/>
      <name val="Calibri"/>
      <charset val="0"/>
      <scheme val="minor"/>
    </font>
    <font>
      <sz val="11"/>
      <color rgb="FF9C6500"/>
      <name val="Calibri"/>
      <charset val="0"/>
      <scheme val="minor"/>
    </font>
    <font>
      <sz val="11"/>
      <color rgb="FF3F3F76"/>
      <name val="Calibri"/>
      <charset val="0"/>
      <scheme val="minor"/>
    </font>
    <font>
      <u/>
      <sz val="11"/>
      <color rgb="FF800080"/>
      <name val="Calibri"/>
      <charset val="0"/>
      <scheme val="minor"/>
    </font>
    <font>
      <b/>
      <sz val="11"/>
      <color rgb="FF3F3F3F"/>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0"/>
      <color rgb="FF0000FF"/>
      <name val="Arial"/>
      <charset val="134"/>
    </font>
    <font>
      <b/>
      <sz val="10"/>
      <color rgb="FF9900FF"/>
      <name val="Arial"/>
      <charset val="134"/>
    </font>
  </fonts>
  <fills count="39">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0000"/>
        <bgColor indexed="64"/>
      </patternFill>
    </fill>
    <fill>
      <patternFill patternType="solid">
        <fgColor rgb="FFF3F3F3"/>
        <bgColor rgb="FFF3F3F3"/>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23" borderId="0" applyNumberFormat="0" applyBorder="0" applyAlignment="0" applyProtection="0">
      <alignment vertical="center"/>
    </xf>
    <xf numFmtId="178"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3" fillId="11" borderId="2" applyNumberFormat="0" applyAlignment="0" applyProtection="0">
      <alignment vertical="center"/>
    </xf>
    <xf numFmtId="0" fontId="14" fillId="0" borderId="3" applyNumberFormat="0" applyFill="0" applyAlignment="0" applyProtection="0">
      <alignment vertical="center"/>
    </xf>
    <xf numFmtId="0" fontId="9" fillId="21" borderId="5" applyNumberFormat="0" applyFont="0" applyAlignment="0" applyProtection="0">
      <alignment vertical="center"/>
    </xf>
    <xf numFmtId="0" fontId="21" fillId="0" borderId="0" applyNumberFormat="0" applyFill="0" applyBorder="0" applyAlignment="0" applyProtection="0">
      <alignment vertical="center"/>
    </xf>
    <xf numFmtId="0" fontId="12" fillId="10" borderId="0" applyNumberFormat="0" applyBorder="0" applyAlignment="0" applyProtection="0">
      <alignment vertical="center"/>
    </xf>
    <xf numFmtId="0" fontId="24" fillId="0" borderId="0" applyNumberFormat="0" applyFill="0" applyBorder="0" applyAlignment="0" applyProtection="0">
      <alignment vertical="center"/>
    </xf>
    <xf numFmtId="0" fontId="10" fillId="34" borderId="0" applyNumberFormat="0" applyBorder="0" applyAlignment="0" applyProtection="0">
      <alignment vertical="center"/>
    </xf>
    <xf numFmtId="0" fontId="27" fillId="0" borderId="0" applyNumberFormat="0" applyFill="0" applyBorder="0" applyAlignment="0" applyProtection="0">
      <alignment vertical="center"/>
    </xf>
    <xf numFmtId="0" fontId="10" fillId="33"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3" applyNumberFormat="0" applyFill="0" applyAlignment="0" applyProtection="0">
      <alignment vertical="center"/>
    </xf>
    <xf numFmtId="0" fontId="11" fillId="0" borderId="1" applyNumberFormat="0" applyFill="0" applyAlignment="0" applyProtection="0">
      <alignment vertical="center"/>
    </xf>
    <xf numFmtId="0" fontId="11" fillId="0" borderId="0" applyNumberFormat="0" applyFill="0" applyBorder="0" applyAlignment="0" applyProtection="0">
      <alignment vertical="center"/>
    </xf>
    <xf numFmtId="0" fontId="23" fillId="31" borderId="4" applyNumberFormat="0" applyAlignment="0" applyProtection="0">
      <alignment vertical="center"/>
    </xf>
    <xf numFmtId="0" fontId="12" fillId="22" borderId="0" applyNumberFormat="0" applyBorder="0" applyAlignment="0" applyProtection="0">
      <alignment vertical="center"/>
    </xf>
    <xf numFmtId="0" fontId="16" fillId="16" borderId="0" applyNumberFormat="0" applyBorder="0" applyAlignment="0" applyProtection="0">
      <alignment vertical="center"/>
    </xf>
    <xf numFmtId="0" fontId="25" fillId="15" borderId="8" applyNumberFormat="0" applyAlignment="0" applyProtection="0">
      <alignment vertical="center"/>
    </xf>
    <xf numFmtId="0" fontId="10" fillId="38" borderId="0" applyNumberFormat="0" applyBorder="0" applyAlignment="0" applyProtection="0">
      <alignment vertical="center"/>
    </xf>
    <xf numFmtId="0" fontId="15" fillId="15" borderId="4" applyNumberFormat="0" applyAlignment="0" applyProtection="0">
      <alignment vertical="center"/>
    </xf>
    <xf numFmtId="0" fontId="20" fillId="0" borderId="7" applyNumberFormat="0" applyFill="0" applyAlignment="0" applyProtection="0">
      <alignment vertical="center"/>
    </xf>
    <xf numFmtId="0" fontId="18" fillId="0" borderId="6" applyNumberFormat="0" applyFill="0" applyAlignment="0" applyProtection="0">
      <alignment vertical="center"/>
    </xf>
    <xf numFmtId="0" fontId="17" fillId="20" borderId="0" applyNumberFormat="0" applyBorder="0" applyAlignment="0" applyProtection="0">
      <alignment vertical="center"/>
    </xf>
    <xf numFmtId="0" fontId="22" fillId="30" borderId="0" applyNumberFormat="0" applyBorder="0" applyAlignment="0" applyProtection="0">
      <alignment vertical="center"/>
    </xf>
    <xf numFmtId="0" fontId="12" fillId="26" borderId="0" applyNumberFormat="0" applyBorder="0" applyAlignment="0" applyProtection="0">
      <alignment vertical="center"/>
    </xf>
    <xf numFmtId="0" fontId="10" fillId="25" borderId="0" applyNumberFormat="0" applyBorder="0" applyAlignment="0" applyProtection="0">
      <alignment vertical="center"/>
    </xf>
    <xf numFmtId="0" fontId="12" fillId="29" borderId="0" applyNumberFormat="0" applyBorder="0" applyAlignment="0" applyProtection="0">
      <alignment vertical="center"/>
    </xf>
    <xf numFmtId="0" fontId="12" fillId="37" borderId="0" applyNumberFormat="0" applyBorder="0" applyAlignment="0" applyProtection="0">
      <alignment vertical="center"/>
    </xf>
    <xf numFmtId="0" fontId="10" fillId="19" borderId="0" applyNumberFormat="0" applyBorder="0" applyAlignment="0" applyProtection="0">
      <alignment vertical="center"/>
    </xf>
    <xf numFmtId="0" fontId="10" fillId="24" borderId="0" applyNumberFormat="0" applyBorder="0" applyAlignment="0" applyProtection="0">
      <alignment vertical="center"/>
    </xf>
    <xf numFmtId="0" fontId="12" fillId="28" borderId="0" applyNumberFormat="0" applyBorder="0" applyAlignment="0" applyProtection="0">
      <alignment vertical="center"/>
    </xf>
    <xf numFmtId="0" fontId="12" fillId="36" borderId="0" applyNumberFormat="0" applyBorder="0" applyAlignment="0" applyProtection="0">
      <alignment vertical="center"/>
    </xf>
    <xf numFmtId="0" fontId="10" fillId="9" borderId="0" applyNumberFormat="0" applyBorder="0" applyAlignment="0" applyProtection="0">
      <alignment vertical="center"/>
    </xf>
    <xf numFmtId="0" fontId="12" fillId="1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0" fillId="8" borderId="0" applyNumberFormat="0" applyBorder="0" applyAlignment="0" applyProtection="0">
      <alignment vertical="center"/>
    </xf>
    <xf numFmtId="0" fontId="12" fillId="27" borderId="0" applyNumberFormat="0" applyBorder="0" applyAlignment="0" applyProtection="0">
      <alignment vertical="center"/>
    </xf>
    <xf numFmtId="0" fontId="12" fillId="35" borderId="0" applyNumberFormat="0" applyBorder="0" applyAlignment="0" applyProtection="0">
      <alignment vertical="center"/>
    </xf>
    <xf numFmtId="0" fontId="10" fillId="17" borderId="0" applyNumberFormat="0" applyBorder="0" applyAlignment="0" applyProtection="0">
      <alignment vertical="center"/>
    </xf>
    <xf numFmtId="0" fontId="12" fillId="32" borderId="0" applyNumberFormat="0" applyBorder="0" applyAlignment="0" applyProtection="0">
      <alignment vertical="center"/>
    </xf>
  </cellStyleXfs>
  <cellXfs count="57">
    <xf numFmtId="0" fontId="0" fillId="0" borderId="0" xfId="0" applyFont="1" applyAlignment="1">
      <alignment wrapText="1"/>
    </xf>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2" fillId="0" borderId="0" xfId="0" applyFont="1" applyAlignment="1">
      <alignment wrapText="1"/>
    </xf>
    <xf numFmtId="0" fontId="1" fillId="0" borderId="0" xfId="0" applyFont="1" applyAlignment="1">
      <alignment horizontal="center"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3" fillId="0" borderId="0" xfId="0" applyFont="1" applyAlignment="1">
      <alignment wrapText="1"/>
    </xf>
    <xf numFmtId="0" fontId="0" fillId="0" borderId="0" xfId="0" applyFont="1" applyAlignment="1">
      <alignment horizontal="left" wrapText="1"/>
    </xf>
    <xf numFmtId="176" fontId="1" fillId="2" borderId="0" xfId="0" applyNumberFormat="1" applyFont="1" applyFill="1" applyAlignment="1">
      <alignment horizontal="center" vertical="center"/>
    </xf>
    <xf numFmtId="0" fontId="4"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applyAlignment="1"/>
    <xf numFmtId="0" fontId="3" fillId="0" borderId="0" xfId="0" applyFont="1" applyAlignment="1"/>
    <xf numFmtId="0" fontId="1" fillId="2" borderId="0" xfId="0" applyFont="1" applyFill="1" applyAlignment="1">
      <alignment horizontal="left" vertical="center"/>
    </xf>
    <xf numFmtId="0" fontId="5" fillId="0" borderId="0" xfId="0" applyFont="1" applyAlignment="1">
      <alignment horizontal="left" vertical="top"/>
    </xf>
    <xf numFmtId="0" fontId="1" fillId="0" borderId="0" xfId="0" applyFont="1" applyAlignment="1">
      <alignment horizontal="left" wrapText="1"/>
    </xf>
    <xf numFmtId="0" fontId="2" fillId="0" borderId="0" xfId="0" applyFont="1" applyAlignment="1">
      <alignment horizontal="left" vertical="top"/>
    </xf>
    <xf numFmtId="0" fontId="2" fillId="0" borderId="0" xfId="0" applyFont="1" applyAlignment="1">
      <alignment horizontal="left"/>
    </xf>
    <xf numFmtId="0" fontId="6" fillId="0" borderId="0" xfId="0" applyFont="1" applyAlignment="1"/>
    <xf numFmtId="0" fontId="5" fillId="0" borderId="0" xfId="0"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wrapText="1"/>
    </xf>
    <xf numFmtId="0" fontId="1" fillId="0" borderId="0" xfId="0" applyFont="1" applyAlignment="1">
      <alignment horizontal="left" vertical="center"/>
    </xf>
    <xf numFmtId="0" fontId="1" fillId="6" borderId="0" xfId="0" applyFont="1" applyFill="1" applyAlignment="1">
      <alignment horizontal="left" vertical="center"/>
    </xf>
    <xf numFmtId="0" fontId="3" fillId="6"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xf numFmtId="0" fontId="2" fillId="6" borderId="0" xfId="0" applyFont="1" applyFill="1" applyAlignment="1">
      <alignment wrapText="1"/>
    </xf>
    <xf numFmtId="0" fontId="7" fillId="0" borderId="0" xfId="0" applyFont="1" applyAlignment="1"/>
    <xf numFmtId="0" fontId="0" fillId="0" borderId="0" xfId="0" applyFont="1" applyAlignment="1">
      <alignmen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6" borderId="0" xfId="0" applyFont="1" applyFill="1" applyAlignment="1">
      <alignment horizontal="left" vertical="center"/>
    </xf>
    <xf numFmtId="0" fontId="1" fillId="6" borderId="0" xfId="0" applyFont="1" applyFill="1" applyAlignment="1">
      <alignment wrapText="1"/>
    </xf>
    <xf numFmtId="0" fontId="3" fillId="6" borderId="0" xfId="0" applyFont="1" applyFill="1" applyAlignment="1"/>
    <xf numFmtId="0" fontId="5" fillId="0" borderId="0" xfId="0" applyFont="1" applyAlignment="1"/>
    <xf numFmtId="0" fontId="0" fillId="0" borderId="0" xfId="0" applyFont="1" applyAlignment="1">
      <alignment horizontal="center" wrapText="1"/>
    </xf>
    <xf numFmtId="0" fontId="8" fillId="2" borderId="0" xfId="0" applyFont="1" applyFill="1" applyAlignment="1">
      <alignment horizontal="left" vertical="center" wrapText="1"/>
    </xf>
    <xf numFmtId="0" fontId="1" fillId="7" borderId="0" xfId="0" applyFont="1" applyFill="1" applyAlignment="1">
      <alignment wrapText="1"/>
    </xf>
    <xf numFmtId="0" fontId="2" fillId="7" borderId="0" xfId="0" applyFont="1" applyFill="1" applyAlignment="1">
      <alignment horizontal="center" wrapText="1"/>
    </xf>
    <xf numFmtId="0" fontId="5" fillId="2" borderId="0" xfId="0" applyFont="1" applyFill="1" applyAlignment="1">
      <alignment wrapText="1"/>
    </xf>
    <xf numFmtId="0" fontId="8" fillId="0" borderId="0" xfId="0" applyFont="1" applyAlignment="1">
      <alignment horizontal="left" vertical="center" wrapText="1"/>
    </xf>
    <xf numFmtId="0" fontId="3" fillId="7" borderId="0" xfId="0" applyFont="1" applyFill="1" applyAlignment="1">
      <alignment wrapText="1"/>
    </xf>
    <xf numFmtId="0" fontId="2" fillId="7" borderId="0" xfId="0" applyFont="1" applyFill="1" applyAlignment="1">
      <alignment wrapText="1"/>
    </xf>
    <xf numFmtId="0" fontId="1" fillId="7" borderId="0" xfId="0" applyFont="1" applyFill="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sk.fm/mostafasaad87/answers/140677813218"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leetcode.com/" TargetMode="External"/><Relationship Id="rId1" Type="http://schemas.openxmlformats.org/officeDocument/2006/relationships/hyperlink" Target="https://www.interviewbi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6"/>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49" t="s">
        <v>0</v>
      </c>
      <c r="B1" s="50" t="s">
        <v>1</v>
      </c>
    </row>
    <row r="2" ht="25.5" spans="2:8">
      <c r="B2" s="50" t="s">
        <v>2</v>
      </c>
      <c r="D2" s="51" t="str">
        <f>HYPERLINK("https://ask.fm/mostafasaad87","Ask.fm")</f>
        <v>Ask.fm</v>
      </c>
      <c r="E2" s="51" t="str">
        <f>HYPERLINK("https://sites.google.com/site/mostafasibrahim/","Site / More Contacts")</f>
        <v>Site / More Contacts</v>
      </c>
      <c r="F2" s="50"/>
      <c r="G2" s="50"/>
      <c r="H2" s="50"/>
    </row>
    <row r="3" ht="12.75" spans="2:2">
      <c r="B3" s="50" t="s">
        <v>3</v>
      </c>
    </row>
    <row r="4" ht="25.5" spans="2:8">
      <c r="B4" s="3" t="s">
        <v>4</v>
      </c>
      <c r="E4" s="52" t="str">
        <f>HYPERLINK("https://www.youtube.com/watch?v=DZ6YTtILCE8","Video Introducing roadmap (Arabic) - to min 18 ONLY")</f>
        <v>Video Introducing roadmap (Arabic) - to min 18 ONLY</v>
      </c>
      <c r="H4" s="52" t="str">
        <f>HYPERLINK("https://www.youtube.com/watch?v=c3lmvYBxgwE","Video explaining the sheet")</f>
        <v>Video explaining the sheet</v>
      </c>
    </row>
    <row r="5" ht="12.75" spans="1:8">
      <c r="A5" s="53"/>
      <c r="B5" s="50"/>
      <c r="C5" s="50"/>
      <c r="D5" s="50"/>
      <c r="E5" s="50"/>
      <c r="F5" s="50"/>
      <c r="G5" s="50"/>
      <c r="H5" s="50"/>
    </row>
    <row r="6" ht="12.75" spans="1:2">
      <c r="A6" s="49" t="s">
        <v>5</v>
      </c>
      <c r="B6" s="54" t="s">
        <v>6</v>
      </c>
    </row>
    <row r="7" ht="12.75" spans="1:8">
      <c r="A7" s="53"/>
      <c r="B7" s="50"/>
      <c r="C7" s="50"/>
      <c r="D7" s="50"/>
      <c r="E7" s="50"/>
      <c r="F7" s="50"/>
      <c r="G7" s="50"/>
      <c r="H7" s="50"/>
    </row>
    <row r="8" ht="12.75" spans="1:2">
      <c r="A8" s="49" t="s">
        <v>7</v>
      </c>
      <c r="B8" s="50" t="s">
        <v>8</v>
      </c>
    </row>
    <row r="9" ht="12.75" spans="1:8">
      <c r="A9" s="53"/>
      <c r="B9" s="50"/>
      <c r="C9" s="50"/>
      <c r="D9" s="50"/>
      <c r="E9" s="50"/>
      <c r="F9" s="50"/>
      <c r="G9" s="50"/>
      <c r="H9" s="50"/>
    </row>
    <row r="10" ht="12.75" spans="1:2">
      <c r="A10" s="49" t="s">
        <v>9</v>
      </c>
      <c r="B10" s="50" t="s">
        <v>10</v>
      </c>
    </row>
    <row r="11" ht="12.75" spans="1:2">
      <c r="A11" s="53"/>
      <c r="B11" s="50"/>
    </row>
    <row r="12" ht="12.75" spans="1:8">
      <c r="A12" s="49" t="s">
        <v>11</v>
      </c>
      <c r="B12" s="50" t="s">
        <v>12</v>
      </c>
      <c r="D12" s="55" t="str">
        <f>HYPERLINK("https://www.youtube.com/playlist?list=PLPt2dINI2MIZPFq6HyUB1Uhxdh1UDnZMS","C++ Programming")</f>
        <v>C++ Programming</v>
      </c>
      <c r="E12" s="50" t="s">
        <v>13</v>
      </c>
      <c r="H12" s="51"/>
    </row>
    <row r="13" ht="12.75" spans="2:8">
      <c r="B13" s="50" t="s">
        <v>14</v>
      </c>
      <c r="G13" s="55" t="str">
        <f>HYPERLINK("https://docs.google.com/spreadsheets/d/12XlGl2Nae1NXRDNet_bGQ2HM2O3kq-9FS0Jm2pDwFyg/edit#gid=1683044666","Novice RoadMap")</f>
        <v>Novice RoadMap</v>
      </c>
      <c r="H13" s="55" t="str">
        <f>HYPERLINK("https://www.youtube.com/watch?v=VDKDU5A2AIM&amp;index=4&amp;t=857s&amp;list=PLPt2dINI2MIaNcU070HIAO8JWYBcafuyG","Online Judge")</f>
        <v>Online Judge</v>
      </c>
    </row>
    <row r="14" ht="12.75" spans="1:8">
      <c r="A14" s="53"/>
      <c r="B14" s="56"/>
      <c r="C14" s="56"/>
      <c r="D14" s="56"/>
      <c r="E14" s="56"/>
      <c r="F14" s="56"/>
      <c r="G14" s="56"/>
      <c r="H14" s="56"/>
    </row>
    <row r="15" ht="12.75" spans="1:2">
      <c r="A15" s="49" t="s">
        <v>15</v>
      </c>
      <c r="B15" s="50" t="s">
        <v>16</v>
      </c>
    </row>
    <row r="16" ht="12.75" spans="1:2">
      <c r="A16" s="53"/>
      <c r="B16" s="50"/>
    </row>
  </sheetData>
  <mergeCells count="16">
    <mergeCell ref="B1:H1"/>
    <mergeCell ref="B2:C2"/>
    <mergeCell ref="B3:H3"/>
    <mergeCell ref="B4:D4"/>
    <mergeCell ref="E4:G4"/>
    <mergeCell ref="B6:H6"/>
    <mergeCell ref="B8:H8"/>
    <mergeCell ref="B10:H10"/>
    <mergeCell ref="B11:H11"/>
    <mergeCell ref="B12:C12"/>
    <mergeCell ref="E12:G12"/>
    <mergeCell ref="B13:F13"/>
    <mergeCell ref="B15:H15"/>
    <mergeCell ref="B16:H16"/>
    <mergeCell ref="A1:A4"/>
    <mergeCell ref="A12:A13"/>
  </mergeCells>
  <hyperlinks>
    <hyperlink ref="B6" r:id="rId1" display="- The sheet is for problem-solving preparations for interviews for companies such as Google, Facebook, Microsoft, etc&#10;- The sheet is a subset of the competitions sheet (https://goo.gl/unDETI) (focusing more on what is more popular in interviews)&#10; - You can use the original sheet t know the category of a problem&#10;- Some students find training directly from sites such as leetcode is hard&#10;- So audience are those who find algorithms hard to study and preparation is difficult&#10;- The sheet will be smooth in improving your level to the target level&#10;&#10;- Recall: Passing interviews is more than just being good in problem solving: https://ask.fm/mostafasaad87/answers/140677813218"/>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89"/>
  <sheetViews>
    <sheetView tabSelected="1" workbookViewId="0">
      <pane ySplit="2" topLeftCell="A44" activePane="bottomLeft" state="frozen"/>
      <selection/>
      <selection pane="bottomLeft" activeCell="B62" sqref="B62"/>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2" width="10" customWidth="1"/>
    <col min="13" max="13" width="83.2857142857143" customWidth="1"/>
  </cols>
  <sheetData>
    <row r="1" ht="25.5" spans="1:13">
      <c r="A1" s="2" t="s">
        <v>17</v>
      </c>
      <c r="B1" s="1" t="s">
        <v>18</v>
      </c>
      <c r="C1" s="2" t="s">
        <v>19</v>
      </c>
      <c r="D1" s="2" t="s">
        <v>20</v>
      </c>
      <c r="E1" s="2" t="s">
        <v>21</v>
      </c>
      <c r="F1" s="2" t="s">
        <v>22</v>
      </c>
      <c r="G1" s="2" t="s">
        <v>23</v>
      </c>
      <c r="H1" s="2" t="s">
        <v>24</v>
      </c>
      <c r="I1" s="2" t="s">
        <v>25</v>
      </c>
      <c r="J1" s="2" t="s">
        <v>26</v>
      </c>
      <c r="K1" s="2" t="s">
        <v>27</v>
      </c>
      <c r="L1" s="2" t="s">
        <v>28</v>
      </c>
      <c r="M1" s="19" t="s">
        <v>29</v>
      </c>
    </row>
    <row r="2" ht="12.75" spans="1:13">
      <c r="A2" s="27"/>
      <c r="B2" s="10" t="s">
        <v>30</v>
      </c>
      <c r="C2" s="4">
        <f>COUNTIF(C3:C10356,"AC")</f>
        <v>3</v>
      </c>
      <c r="D2" s="4" t="e">
        <f ca="1">ROUND(SUMPRODUCT(D3:D10356,INT(EQ(C3:C10356,"AC")))/MAX(1,C2),1)</f>
        <v>#NAME?</v>
      </c>
      <c r="E2" s="4">
        <v>5</v>
      </c>
      <c r="F2" s="4">
        <v>13</v>
      </c>
      <c r="G2" s="4">
        <v>15</v>
      </c>
      <c r="H2" s="4">
        <v>18</v>
      </c>
      <c r="I2" s="4">
        <v>50</v>
      </c>
      <c r="J2" s="4" t="e">
        <f ca="1">ROUND(SUMPRODUCT(J3:J10351,INT(EQ(C3:C10351,"AC")))/MAX(1,C2),1)</f>
        <v>#NAME?</v>
      </c>
      <c r="K2" s="4" t="e">
        <f ca="1">SUMPRODUCT(EQ(K3:K10356,"YES"),INT(EQ(C3:C10381,"AC")))</f>
        <v>#NAME?</v>
      </c>
      <c r="L2" s="8">
        <f ca="1">IFERROR(__xludf.DUMMYFUNCTION("COUNTA(FILTER(C3:C9848, NOT(REGEXMATCH(C3:C9848, ""AC""))))"),2)</f>
        <v>2</v>
      </c>
      <c r="M2" s="9">
        <f ca="1">IFERROR(__xludf.DUMMYFUNCTION("COUNTA(FILTER(C3:C9842, NOT(REGEXMATCH(C3:C9842, ""AC""))))"),2)</f>
        <v>2</v>
      </c>
    </row>
    <row r="3" ht="102" spans="1:13">
      <c r="A3" s="28" t="s">
        <v>31</v>
      </c>
      <c r="B3" s="29" t="s">
        <v>32</v>
      </c>
      <c r="C3" s="2" t="s">
        <v>33</v>
      </c>
      <c r="D3" s="10">
        <v>5</v>
      </c>
      <c r="E3" s="10">
        <v>4</v>
      </c>
      <c r="F3" s="10">
        <v>8</v>
      </c>
      <c r="G3" s="10">
        <v>6</v>
      </c>
      <c r="H3" s="10">
        <v>32</v>
      </c>
      <c r="I3" s="10">
        <f t="shared" ref="I3:I10" si="0">SUM(E3:H3)</f>
        <v>50</v>
      </c>
      <c r="J3" s="10">
        <v>2</v>
      </c>
      <c r="K3" s="10" t="s">
        <v>34</v>
      </c>
      <c r="L3" s="10" t="s">
        <v>35</v>
      </c>
      <c r="M3" s="41" t="s">
        <v>36</v>
      </c>
    </row>
    <row r="4" ht="63.75" spans="1:13">
      <c r="A4" s="28" t="s">
        <v>37</v>
      </c>
      <c r="B4" s="29" t="s">
        <v>38</v>
      </c>
      <c r="C4" s="2" t="s">
        <v>33</v>
      </c>
      <c r="D4" s="10">
        <v>1</v>
      </c>
      <c r="E4" s="10">
        <v>5</v>
      </c>
      <c r="F4" s="10">
        <v>10</v>
      </c>
      <c r="G4" s="10">
        <v>35</v>
      </c>
      <c r="H4" s="10">
        <v>20</v>
      </c>
      <c r="I4" s="10">
        <f t="shared" si="0"/>
        <v>70</v>
      </c>
      <c r="J4" s="10">
        <v>2</v>
      </c>
      <c r="K4" s="10" t="s">
        <v>39</v>
      </c>
      <c r="L4" s="10" t="s">
        <v>40</v>
      </c>
      <c r="M4" s="42" t="s">
        <v>41</v>
      </c>
    </row>
    <row r="5" ht="51" spans="1:13">
      <c r="A5" s="28" t="s">
        <v>42</v>
      </c>
      <c r="B5" s="29" t="s">
        <v>43</v>
      </c>
      <c r="C5" s="2" t="s">
        <v>33</v>
      </c>
      <c r="D5" s="10">
        <v>1</v>
      </c>
      <c r="E5" s="10">
        <v>5</v>
      </c>
      <c r="F5" s="10">
        <v>20</v>
      </c>
      <c r="G5" s="10">
        <v>4</v>
      </c>
      <c r="H5" s="10">
        <v>1</v>
      </c>
      <c r="I5" s="10">
        <f t="shared" si="0"/>
        <v>30</v>
      </c>
      <c r="J5" s="10">
        <v>2</v>
      </c>
      <c r="K5" s="10" t="s">
        <v>34</v>
      </c>
      <c r="L5" s="10" t="s">
        <v>44</v>
      </c>
      <c r="M5" s="42" t="s">
        <v>45</v>
      </c>
    </row>
    <row r="6" ht="25.5" spans="1:13">
      <c r="A6" s="28" t="s">
        <v>46</v>
      </c>
      <c r="B6" s="29" t="s">
        <v>47</v>
      </c>
      <c r="C6" s="30" t="s">
        <v>48</v>
      </c>
      <c r="D6" s="10">
        <v>5</v>
      </c>
      <c r="E6" s="10">
        <v>4</v>
      </c>
      <c r="F6" s="10">
        <v>25</v>
      </c>
      <c r="G6" s="10">
        <v>20</v>
      </c>
      <c r="H6" s="10">
        <v>2</v>
      </c>
      <c r="I6" s="10">
        <f t="shared" si="0"/>
        <v>51</v>
      </c>
      <c r="J6" s="10">
        <v>7</v>
      </c>
      <c r="K6" s="10"/>
      <c r="L6" s="10" t="s">
        <v>35</v>
      </c>
      <c r="M6" s="42" t="s">
        <v>49</v>
      </c>
    </row>
    <row r="7" ht="12.75" spans="1:13">
      <c r="A7" s="28" t="s">
        <v>50</v>
      </c>
      <c r="B7" s="29" t="s">
        <v>51</v>
      </c>
      <c r="C7" s="31" t="s">
        <v>52</v>
      </c>
      <c r="D7" s="10">
        <v>6</v>
      </c>
      <c r="E7" s="10">
        <v>5</v>
      </c>
      <c r="F7" s="10">
        <v>30</v>
      </c>
      <c r="G7" s="10">
        <v>25</v>
      </c>
      <c r="H7" s="10">
        <v>31</v>
      </c>
      <c r="I7" s="10">
        <f t="shared" si="0"/>
        <v>91</v>
      </c>
      <c r="J7" s="10">
        <v>9</v>
      </c>
      <c r="K7" s="10"/>
      <c r="L7" s="10"/>
      <c r="M7" s="28" t="s">
        <v>53</v>
      </c>
    </row>
    <row r="8" ht="12.75" spans="1:13">
      <c r="A8" s="28"/>
      <c r="B8" s="29"/>
      <c r="C8" s="10"/>
      <c r="D8" s="10"/>
      <c r="E8" s="10"/>
      <c r="F8" s="10"/>
      <c r="G8" s="10"/>
      <c r="H8" s="10"/>
      <c r="I8" s="10">
        <f t="shared" si="0"/>
        <v>0</v>
      </c>
      <c r="J8" s="10"/>
      <c r="K8" s="10"/>
      <c r="L8" s="10"/>
      <c r="M8" s="15"/>
    </row>
    <row r="9" ht="12.75" spans="1:13">
      <c r="A9" s="28"/>
      <c r="B9" s="29"/>
      <c r="C9" s="10"/>
      <c r="D9" s="10"/>
      <c r="E9" s="10"/>
      <c r="F9" s="10"/>
      <c r="G9" s="10"/>
      <c r="H9" s="10"/>
      <c r="I9" s="10">
        <f t="shared" si="0"/>
        <v>0</v>
      </c>
      <c r="J9" s="10"/>
      <c r="K9" s="10"/>
      <c r="L9" s="10"/>
      <c r="M9" s="25" t="str">
        <f>HYPERLINK("https://www.youtube.com/watch?v=fd0Ebfa_mJ0","Watch - Approaching Problem Statement ")</f>
        <v>Watch - Approaching Problem Statement </v>
      </c>
    </row>
    <row r="10" ht="12.75" spans="1:13">
      <c r="A10" s="28"/>
      <c r="B10" s="29"/>
      <c r="C10" s="10"/>
      <c r="D10" s="10"/>
      <c r="E10" s="10"/>
      <c r="F10" s="10"/>
      <c r="G10" s="10"/>
      <c r="H10" s="10"/>
      <c r="I10" s="10">
        <f t="shared" si="0"/>
        <v>0</v>
      </c>
      <c r="J10" s="10"/>
      <c r="K10" s="10"/>
      <c r="L10" s="10"/>
      <c r="M10" s="25" t="str">
        <f>HYPERLINK("https://www.youtube.com/watch?v=olcmPKZNqnM","Watch - Thinking - On papers Not on PC ")</f>
        <v>Watch - Thinking - On papers Not on PC </v>
      </c>
    </row>
    <row r="12" ht="12.75" spans="1:13">
      <c r="A12" s="28" t="s">
        <v>54</v>
      </c>
      <c r="B12" s="32" t="str">
        <f>HYPERLINK("http://codeforces.com/contest/677/problem/A","CF677-D2-A")</f>
        <v>CF677-D2-A</v>
      </c>
      <c r="C12" s="10" t="s">
        <v>55</v>
      </c>
      <c r="D12" s="10">
        <v>2</v>
      </c>
      <c r="E12" s="10"/>
      <c r="F12" s="10"/>
      <c r="G12" s="10"/>
      <c r="H12" s="10"/>
      <c r="I12" s="10">
        <f>SUM(E12:H12)</f>
        <v>0</v>
      </c>
      <c r="J12" s="10"/>
      <c r="K12" s="10" t="s">
        <v>56</v>
      </c>
      <c r="L12" s="10"/>
      <c r="M12" s="26" t="s">
        <v>57</v>
      </c>
    </row>
    <row r="13" ht="12.75" spans="1:13">
      <c r="A13" s="28" t="s">
        <v>58</v>
      </c>
      <c r="B13" s="32" t="str">
        <f>HYPERLINK("http://codeforces.com/contest/734/problem/A","CF734-D2-A")</f>
        <v>CF734-D2-A</v>
      </c>
      <c r="C13" s="10" t="s">
        <v>55</v>
      </c>
      <c r="D13" s="10">
        <v>1</v>
      </c>
      <c r="E13" s="10"/>
      <c r="F13" s="10"/>
      <c r="G13" s="10"/>
      <c r="H13" s="10"/>
      <c r="I13" s="10">
        <f>SUM(E13:H13)</f>
        <v>0</v>
      </c>
      <c r="J13" s="10"/>
      <c r="K13" s="10" t="s">
        <v>56</v>
      </c>
      <c r="L13" s="10"/>
      <c r="M13" s="18" t="str">
        <f>HYPERLINK("http://codeforces.com/blog/entry/48397","This is from Round 379. Here is the editorial")</f>
        <v>This is from Round 379. Here is the editorial</v>
      </c>
    </row>
    <row r="14" ht="12.75" spans="1:13">
      <c r="A14" s="28" t="s">
        <v>59</v>
      </c>
      <c r="B14" s="32" t="str">
        <f>HYPERLINK("codeforces.com/contest/791/problem/A","CF791-D2-A")</f>
        <v>CF791-D2-A</v>
      </c>
      <c r="C14" s="10" t="s">
        <v>55</v>
      </c>
      <c r="D14" s="10"/>
      <c r="E14" s="10"/>
      <c r="F14" s="10"/>
      <c r="G14" s="10"/>
      <c r="H14" s="10"/>
      <c r="I14" s="10">
        <f t="shared" ref="I14:I32" si="1">SUM(E14:H14)</f>
        <v>0</v>
      </c>
      <c r="J14" s="10"/>
      <c r="K14" s="10"/>
      <c r="L14" s="10"/>
      <c r="M14" s="43" t="str">
        <f>HYPERLINK("https://www.youtube.com/watch?v=t05qYeiWGGc","Video Solution - Eng Youssef El Ghareeb")</f>
        <v>Video Solution - Eng Youssef El Ghareeb</v>
      </c>
    </row>
    <row r="15" ht="12.75" spans="1:13">
      <c r="A15" s="28" t="s">
        <v>60</v>
      </c>
      <c r="B15" s="32" t="str">
        <f>HYPERLINK("http://codeforces.com/contest/231/problem/A","CF231-D2-A")</f>
        <v>CF231-D2-A</v>
      </c>
      <c r="C15" s="10" t="s">
        <v>55</v>
      </c>
      <c r="D15" s="10"/>
      <c r="E15" s="10"/>
      <c r="F15" s="10"/>
      <c r="G15" s="10"/>
      <c r="H15" s="10"/>
      <c r="I15" s="10">
        <f t="shared" si="1"/>
        <v>0</v>
      </c>
      <c r="J15" s="10"/>
      <c r="K15" s="10"/>
      <c r="L15" s="10"/>
      <c r="M15" s="43" t="str">
        <f>HYPERLINK("https://www.youtube.com/watch?v=P73Mv_GG_PY","Video Solution - Eng Youssef Ali")</f>
        <v>Video Solution - Eng Youssef Ali</v>
      </c>
    </row>
    <row r="16" ht="12.75" spans="1:13">
      <c r="A16" s="28" t="s">
        <v>61</v>
      </c>
      <c r="B16" s="32" t="str">
        <f>HYPERLINK("http://codeforces.com/contest/263/problem/A","CF263-D2-A")</f>
        <v>CF263-D2-A</v>
      </c>
      <c r="C16" s="10" t="s">
        <v>55</v>
      </c>
      <c r="D16" s="10"/>
      <c r="E16" s="10"/>
      <c r="F16" s="10"/>
      <c r="G16" s="10"/>
      <c r="H16" s="10"/>
      <c r="I16" s="10">
        <f t="shared" si="1"/>
        <v>0</v>
      </c>
      <c r="J16" s="10"/>
      <c r="K16" s="10"/>
      <c r="L16" s="10"/>
      <c r="M16" s="26" t="str">
        <f>HYPERLINK("https://www.youtube.com/watch?v=FU4thrvEvKg","Video Solution - Eng Samed Hajajla")</f>
        <v>Video Solution - Eng Samed Hajajla</v>
      </c>
    </row>
    <row r="17" ht="12.75" spans="1:13">
      <c r="A17" s="15" t="s">
        <v>62</v>
      </c>
      <c r="B17" s="5" t="str">
        <f>HYPERLINK("http://codeforces.com/contest/405/problem/A","CF405-D2-A")</f>
        <v>CF405-D2-A</v>
      </c>
      <c r="C17" s="10" t="s">
        <v>55</v>
      </c>
      <c r="D17" s="10"/>
      <c r="E17" s="10"/>
      <c r="F17" s="10"/>
      <c r="G17" s="10"/>
      <c r="H17" s="10"/>
      <c r="I17" s="10">
        <f t="shared" si="1"/>
        <v>0</v>
      </c>
      <c r="J17" s="3"/>
      <c r="K17" s="10"/>
      <c r="L17" s="3"/>
      <c r="M17" s="17" t="str">
        <f>HYPERLINK("https://www.youtube.com/watch?v=HNe9QW-1MJI","Video Solution - Eng John Gamal")</f>
        <v>Video Solution - Eng John Gamal</v>
      </c>
    </row>
    <row r="18" ht="12.75" spans="1:13">
      <c r="A18" s="15" t="s">
        <v>63</v>
      </c>
      <c r="B18" s="5" t="str">
        <f>HYPERLINK("http://codeforces.com/contest/112/problem/A","CF112-D2-A")</f>
        <v>CF112-D2-A</v>
      </c>
      <c r="C18" s="10" t="s">
        <v>55</v>
      </c>
      <c r="D18" s="10"/>
      <c r="E18" s="10"/>
      <c r="F18" s="10"/>
      <c r="G18" s="10"/>
      <c r="H18" s="10"/>
      <c r="I18" s="10">
        <f t="shared" si="1"/>
        <v>0</v>
      </c>
      <c r="J18" s="3"/>
      <c r="K18" s="10"/>
      <c r="L18" s="3"/>
      <c r="M18" s="18" t="str">
        <f>HYPERLINK("https://www.youtube.com/watch?v=Sp4zWrDvGrk","Video Solution - Solver to be (Java)")</f>
        <v>Video Solution - Solver to be (Java)</v>
      </c>
    </row>
    <row r="19" ht="12.75" spans="1:13">
      <c r="A19" s="15" t="s">
        <v>64</v>
      </c>
      <c r="B19" s="5" t="str">
        <f>HYPERLINK("http://codeforces.com/contest/236/problem/A","CF236-D2-A")</f>
        <v>CF236-D2-A</v>
      </c>
      <c r="C19" s="10" t="s">
        <v>55</v>
      </c>
      <c r="D19" s="10"/>
      <c r="E19" s="10"/>
      <c r="F19" s="10"/>
      <c r="G19" s="10"/>
      <c r="H19" s="10"/>
      <c r="I19" s="10">
        <f t="shared" si="1"/>
        <v>0</v>
      </c>
      <c r="J19" s="3"/>
      <c r="K19" s="10"/>
      <c r="L19" s="3"/>
      <c r="M19" s="18" t="str">
        <f>HYPERLINK("https://www.youtube.com/watch?v=AOOmuJXMyHQ","Video Solution - Solver to be (Java)")</f>
        <v>Video Solution - Solver to be (Java)</v>
      </c>
    </row>
    <row r="20" ht="12.75" spans="1:13">
      <c r="A20" s="16" t="s">
        <v>65</v>
      </c>
      <c r="B20" s="33" t="str">
        <f>HYPERLINK("http://codeforces.com/contest/59/problem/A","CF59-D2-A")</f>
        <v>CF59-D2-A</v>
      </c>
      <c r="C20" s="10" t="s">
        <v>55</v>
      </c>
      <c r="D20" s="10"/>
      <c r="E20" s="10"/>
      <c r="F20" s="10"/>
      <c r="G20" s="10"/>
      <c r="H20" s="10"/>
      <c r="I20" s="10">
        <f t="shared" si="1"/>
        <v>0</v>
      </c>
      <c r="J20" s="3"/>
      <c r="K20" s="10"/>
      <c r="L20" s="3"/>
      <c r="M20" s="18" t="str">
        <f>HYPERLINK("https://www.youtube.com/watch?v=gW8YOQbMdDI","Video Solution - Solver to be (Java)")</f>
        <v>Video Solution - Solver to be (Java)</v>
      </c>
    </row>
    <row r="21" ht="12.75" spans="1:13">
      <c r="A21" s="16" t="s">
        <v>66</v>
      </c>
      <c r="B21" s="33" t="str">
        <f>HYPERLINK("http://codeforces.com/contest/281/problem/A","CF281-D2-A")</f>
        <v>CF281-D2-A</v>
      </c>
      <c r="C21" s="10" t="s">
        <v>55</v>
      </c>
      <c r="D21" s="10">
        <v>1</v>
      </c>
      <c r="E21" s="10"/>
      <c r="F21" s="10"/>
      <c r="G21" s="10"/>
      <c r="H21" s="10"/>
      <c r="I21" s="10">
        <f t="shared" si="1"/>
        <v>0</v>
      </c>
      <c r="J21" s="3"/>
      <c r="K21" s="10"/>
      <c r="L21" s="3"/>
      <c r="M21" s="17" t="str">
        <f>HYPERLINK("https://www.youtube.com/watch?v=GctpZIJ8xBA","Video Solution - Solver to be (Java)")</f>
        <v>Video Solution - Solver to be (Java)</v>
      </c>
    </row>
    <row r="22" ht="12.75" spans="1:13">
      <c r="A22" s="16"/>
      <c r="B22" s="33"/>
      <c r="C22" s="10">
        <v>0</v>
      </c>
      <c r="D22" s="10"/>
      <c r="E22" s="10"/>
      <c r="F22" s="10"/>
      <c r="G22" s="10"/>
      <c r="H22" s="10"/>
      <c r="I22" s="10">
        <f t="shared" si="1"/>
        <v>0</v>
      </c>
      <c r="J22" s="3"/>
      <c r="K22" s="10"/>
      <c r="L22" s="3"/>
      <c r="M22" s="17"/>
    </row>
    <row r="23" ht="12.75" spans="1:13">
      <c r="A23" s="15" t="s">
        <v>67</v>
      </c>
      <c r="B23" s="5" t="str">
        <f>HYPERLINK("http://codeforces.com/contest/344/problem/A","CF344-D2-A")</f>
        <v>CF344-D2-A</v>
      </c>
      <c r="C23" s="10" t="s">
        <v>55</v>
      </c>
      <c r="D23" s="10"/>
      <c r="E23" s="10"/>
      <c r="F23" s="10"/>
      <c r="G23" s="10"/>
      <c r="H23" s="10"/>
      <c r="I23" s="10">
        <f t="shared" si="1"/>
        <v>0</v>
      </c>
      <c r="J23" s="3"/>
      <c r="K23" s="10"/>
      <c r="L23" s="3"/>
      <c r="M23" s="17" t="str">
        <f>HYPERLINK("https://www.youtube.com/watch?v=7o7lZTKFzp0","Video Solution - Solver to be (Java)")</f>
        <v>Video Solution - Solver to be (Java)</v>
      </c>
    </row>
    <row r="24" ht="12.75" spans="1:13">
      <c r="A24" s="15" t="s">
        <v>68</v>
      </c>
      <c r="B24" s="5" t="str">
        <f>HYPERLINK("http://codeforces.com/contest/381/problem/A","CF381-D2-A")</f>
        <v>CF381-D2-A</v>
      </c>
      <c r="C24" s="10" t="s">
        <v>55</v>
      </c>
      <c r="D24" s="10"/>
      <c r="E24" s="10"/>
      <c r="F24" s="10"/>
      <c r="G24" s="10"/>
      <c r="H24" s="10"/>
      <c r="I24" s="10">
        <f t="shared" si="1"/>
        <v>0</v>
      </c>
      <c r="J24" s="3"/>
      <c r="K24" s="10"/>
      <c r="L24" s="3"/>
      <c r="M24" s="17" t="str">
        <f>HYPERLINK("https://www.youtube.com/watch?v=XgJ0DS3r_KE","Video Solution - Solver to be (Java)")</f>
        <v>Video Solution - Solver to be (Java)</v>
      </c>
    </row>
    <row r="25" ht="12.75" spans="1:13">
      <c r="A25" s="28" t="s">
        <v>69</v>
      </c>
      <c r="B25" s="32" t="str">
        <f>HYPERLINK("http://codeforces.com/contest/266/problem/A","CF266-D2-A")</f>
        <v>CF266-D2-A</v>
      </c>
      <c r="C25" s="10" t="s">
        <v>55</v>
      </c>
      <c r="D25" s="10"/>
      <c r="E25" s="10"/>
      <c r="F25" s="10"/>
      <c r="G25" s="10"/>
      <c r="H25" s="10"/>
      <c r="I25" s="10">
        <f t="shared" si="1"/>
        <v>0</v>
      </c>
      <c r="J25" s="10"/>
      <c r="K25" s="10"/>
      <c r="L25" s="10"/>
      <c r="M25" s="43" t="str">
        <f>HYPERLINK("https://www.youtube.com/watch?v=3akdDnmPwOY&amp;feature=youtu.be","Video Solution - Eng Ahmead Raafat (Python)")</f>
        <v>Video Solution - Eng Ahmead Raafat (Python)</v>
      </c>
    </row>
    <row r="26" ht="12.75" spans="1:13">
      <c r="A26" s="28" t="s">
        <v>70</v>
      </c>
      <c r="B26" s="32" t="str">
        <f>HYPERLINK("http://codeforces.com/contest/427/problem/A","CF427-D2-A")</f>
        <v>CF427-D2-A</v>
      </c>
      <c r="C26" s="10" t="s">
        <v>55</v>
      </c>
      <c r="D26" s="10"/>
      <c r="E26" s="10"/>
      <c r="F26" s="10"/>
      <c r="G26" s="10"/>
      <c r="H26" s="10"/>
      <c r="I26" s="10">
        <f t="shared" si="1"/>
        <v>0</v>
      </c>
      <c r="J26" s="10"/>
      <c r="K26" s="10"/>
      <c r="L26" s="10"/>
      <c r="M26" s="43" t="str">
        <f>HYPERLINK("https://www.youtube.com/watch?v=PECOLs3YWR0&amp;feature=youtu.be","Video Solution - Eng Ahmead Raafat (Python)")</f>
        <v>Video Solution - Eng Ahmead Raafat (Python)</v>
      </c>
    </row>
    <row r="27" ht="12.75" spans="1:13">
      <c r="A27" s="34" t="s">
        <v>71</v>
      </c>
      <c r="B27" s="32" t="str">
        <f>HYPERLINK("http://codeforces.com/contest/431/problem/A","CF431-D2-A")</f>
        <v>CF431-D2-A</v>
      </c>
      <c r="C27" s="10" t="s">
        <v>55</v>
      </c>
      <c r="D27" s="10"/>
      <c r="E27" s="10"/>
      <c r="F27" s="10"/>
      <c r="G27" s="10"/>
      <c r="H27" s="10"/>
      <c r="I27" s="10">
        <f t="shared" si="1"/>
        <v>0</v>
      </c>
      <c r="J27" s="10"/>
      <c r="K27" s="10"/>
      <c r="L27" s="10"/>
      <c r="M27" s="43" t="str">
        <f>HYPERLINK("https://www.youtube.com/watch?v=mJYiMoX4t0k","Video Solution - Eng Ahmead Raafat (Python)")</f>
        <v>Video Solution - Eng Ahmead Raafat (Python)</v>
      </c>
    </row>
    <row r="28" ht="12.75" spans="1:13">
      <c r="A28" s="34" t="s">
        <v>72</v>
      </c>
      <c r="B28" s="32" t="str">
        <f>HYPERLINK("http://codeforces.com/contest/731/problem/A","CF731-D2-A")</f>
        <v>CF731-D2-A</v>
      </c>
      <c r="C28" s="10" t="s">
        <v>55</v>
      </c>
      <c r="D28" s="10"/>
      <c r="E28" s="10"/>
      <c r="F28" s="10"/>
      <c r="G28" s="10"/>
      <c r="H28" s="10"/>
      <c r="I28" s="10">
        <f t="shared" si="1"/>
        <v>0</v>
      </c>
      <c r="J28" s="10"/>
      <c r="K28" s="10"/>
      <c r="L28" s="10"/>
      <c r="M28" s="43" t="str">
        <f>HYPERLINK("https://www.youtube.com/watch?v=pBhXYZKAFTM","Video Solution - Eng Yahia Ashraf")</f>
        <v>Video Solution - Eng Yahia Ashraf</v>
      </c>
    </row>
    <row r="29" ht="12.75" spans="1:13">
      <c r="A29" s="34" t="s">
        <v>73</v>
      </c>
      <c r="B29" s="32" t="str">
        <f>HYPERLINK("http://codeforces.com/contest/268/problem/A","CF268-D2-A")</f>
        <v>CF268-D2-A</v>
      </c>
      <c r="C29" s="10" t="s">
        <v>55</v>
      </c>
      <c r="D29" s="10"/>
      <c r="E29" s="10"/>
      <c r="F29" s="10"/>
      <c r="G29" s="10"/>
      <c r="H29" s="10"/>
      <c r="I29" s="10">
        <f t="shared" si="1"/>
        <v>0</v>
      </c>
      <c r="J29" s="10"/>
      <c r="K29" s="10"/>
      <c r="L29" s="10"/>
      <c r="M29" s="43" t="str">
        <f>HYPERLINK("https://www.youtube.com/watch?v=lFt2GuQtmSs","Video Solution - Eng Yahia Ashraf")</f>
        <v>Video Solution - Eng Yahia Ashraf</v>
      </c>
    </row>
    <row r="30" ht="12.75" spans="1:13">
      <c r="A30" s="35" t="s">
        <v>74</v>
      </c>
      <c r="B30" s="36" t="str">
        <f>HYPERLINK("http://codeforces.com/contest/732/problem/A","CF732-D2-A")</f>
        <v>CF732-D2-A</v>
      </c>
      <c r="C30" s="37" t="s">
        <v>55</v>
      </c>
      <c r="D30" s="37">
        <v>3</v>
      </c>
      <c r="E30" s="37"/>
      <c r="F30" s="37"/>
      <c r="G30" s="37"/>
      <c r="H30" s="37"/>
      <c r="I30" s="37">
        <f t="shared" si="1"/>
        <v>0</v>
      </c>
      <c r="J30" s="37"/>
      <c r="K30" s="37" t="s">
        <v>56</v>
      </c>
      <c r="L30" s="37"/>
      <c r="M30" s="44" t="s">
        <v>75</v>
      </c>
    </row>
    <row r="31" ht="12.75" spans="1:13">
      <c r="A31" s="34" t="s">
        <v>76</v>
      </c>
      <c r="B31" s="32" t="str">
        <f>HYPERLINK("http://codeforces.com/contest/228/problem/A","CF228-D2-A")</f>
        <v>CF228-D2-A</v>
      </c>
      <c r="C31" s="10" t="s">
        <v>55</v>
      </c>
      <c r="D31" s="10">
        <v>1</v>
      </c>
      <c r="E31" s="10"/>
      <c r="F31" s="10"/>
      <c r="G31" s="10"/>
      <c r="H31" s="10"/>
      <c r="I31" s="10">
        <v>5</v>
      </c>
      <c r="J31" s="10"/>
      <c r="K31" s="10" t="s">
        <v>56</v>
      </c>
      <c r="L31" s="10"/>
      <c r="M31" s="43" t="str">
        <f>HYPERLINK("https://www.youtube.com/watch?v=P73Mv_GG_PY","Video Solution - Eng Ahmead Raafat (Python)")</f>
        <v>Video Solution - Eng Ahmead Raafat (Python)</v>
      </c>
    </row>
    <row r="32" ht="12.75" spans="1:13">
      <c r="A32" s="34" t="s">
        <v>77</v>
      </c>
      <c r="B32" s="32" t="str">
        <f>HYPERLINK("http://codeforces.com/contest/265/problem/A","CF265-D2-A")</f>
        <v>CF265-D2-A</v>
      </c>
      <c r="C32" s="10" t="s">
        <v>55</v>
      </c>
      <c r="D32" s="10"/>
      <c r="E32" s="10"/>
      <c r="F32" s="10"/>
      <c r="G32" s="10"/>
      <c r="H32" s="10"/>
      <c r="I32" s="10">
        <f t="shared" si="1"/>
        <v>0</v>
      </c>
      <c r="J32" s="10"/>
      <c r="K32" s="10"/>
      <c r="L32" s="10"/>
      <c r="M32" s="43" t="str">
        <f>HYPERLINK("https://www.youtube.com/watch?v=ol_mjArjBCk","Video Solution - Eng Ahmead Raafat (Python)")</f>
        <v>Video Solution - Eng Ahmead Raafat (Python)</v>
      </c>
    </row>
    <row r="33" ht="12.75" spans="1:13">
      <c r="A33" s="28"/>
      <c r="B33" s="29"/>
      <c r="C33" s="10">
        <v>0</v>
      </c>
      <c r="D33" s="10"/>
      <c r="E33" s="10"/>
      <c r="F33" s="10"/>
      <c r="G33" s="10"/>
      <c r="H33" s="10"/>
      <c r="I33" s="10"/>
      <c r="J33" s="10"/>
      <c r="K33" s="10"/>
      <c r="L33" s="10"/>
      <c r="M33" s="25"/>
    </row>
    <row r="34" ht="12.75" spans="1:13">
      <c r="A34" s="28"/>
      <c r="B34" s="29"/>
      <c r="C34" s="10">
        <v>0</v>
      </c>
      <c r="D34" s="10"/>
      <c r="E34" s="10"/>
      <c r="F34" s="10"/>
      <c r="G34" s="10"/>
      <c r="H34" s="10"/>
      <c r="I34" s="10">
        <f t="shared" ref="I34:I35" si="2">SUM(E34:H34)</f>
        <v>0</v>
      </c>
      <c r="J34" s="10"/>
      <c r="K34" s="10"/>
      <c r="L34" s="10"/>
      <c r="M34" s="25" t="str">
        <f>HYPERLINK("https://www.youtube.com/watch?v=EQzmtn4PzYQ","Watch - Measuring Algorithms Perfromance - 1")</f>
        <v>Watch - Measuring Algorithms Perfromance - 1</v>
      </c>
    </row>
    <row r="35" ht="12.75" spans="1:13">
      <c r="A35" s="28"/>
      <c r="B35" s="29"/>
      <c r="C35" s="10">
        <v>0</v>
      </c>
      <c r="D35" s="10"/>
      <c r="E35" s="10"/>
      <c r="F35" s="10"/>
      <c r="G35" s="10"/>
      <c r="H35" s="10"/>
      <c r="I35" s="10">
        <f t="shared" si="2"/>
        <v>0</v>
      </c>
      <c r="J35" s="10"/>
      <c r="K35" s="10"/>
      <c r="L35" s="10"/>
      <c r="M35" s="25" t="str">
        <f>HYPERLINK("https://www.youtube.com/watch?v=Syx2qDjj7TE","Watch - Elementary Math - Introduction")</f>
        <v>Watch - Elementary Math - Introduction</v>
      </c>
    </row>
    <row r="36" ht="12.75" spans="1:13">
      <c r="A36" s="28"/>
      <c r="B36" s="29"/>
      <c r="C36" s="10">
        <v>0</v>
      </c>
      <c r="D36" s="10"/>
      <c r="E36" s="10"/>
      <c r="F36" s="10"/>
      <c r="G36" s="10"/>
      <c r="H36" s="10"/>
      <c r="I36" s="10"/>
      <c r="J36" s="10"/>
      <c r="K36" s="10"/>
      <c r="L36" s="10"/>
      <c r="M36" s="25"/>
    </row>
    <row r="37" ht="12.75" spans="1:13">
      <c r="A37" s="16" t="s">
        <v>78</v>
      </c>
      <c r="B37" s="33" t="str">
        <f>HYPERLINK("http://codeforces.com/contest/9/problem/A","CF9-D2-A")</f>
        <v>CF9-D2-A</v>
      </c>
      <c r="C37" s="10" t="s">
        <v>55</v>
      </c>
      <c r="D37" s="10"/>
      <c r="E37" s="10"/>
      <c r="F37" s="10"/>
      <c r="G37" s="10"/>
      <c r="H37" s="10"/>
      <c r="I37" s="10">
        <f t="shared" ref="I37:I58" si="3">SUM(E37:H37)</f>
        <v>0</v>
      </c>
      <c r="J37" s="6"/>
      <c r="K37" s="10"/>
      <c r="L37" s="3"/>
      <c r="M37" s="17" t="str">
        <f>HYPERLINK("https://www.youtube.com/watch?v=5T1yiz9-jZo","Video Solution - Eng Muntaser Abukadeja")</f>
        <v>Video Solution - Eng Muntaser Abukadeja</v>
      </c>
    </row>
    <row r="38" ht="12.75" spans="1:13">
      <c r="A38" s="16" t="s">
        <v>79</v>
      </c>
      <c r="B38" s="33" t="str">
        <f>HYPERLINK("http://codeforces.com/contest/294/problem/A","CF294-D2-A")</f>
        <v>CF294-D2-A</v>
      </c>
      <c r="C38" s="10" t="s">
        <v>55</v>
      </c>
      <c r="D38" s="10"/>
      <c r="E38" s="10"/>
      <c r="F38" s="10"/>
      <c r="G38" s="10"/>
      <c r="H38" s="10"/>
      <c r="I38" s="10">
        <f t="shared" si="3"/>
        <v>0</v>
      </c>
      <c r="J38" s="6"/>
      <c r="K38" s="10"/>
      <c r="L38" s="3"/>
      <c r="M38" s="17" t="str">
        <f>HYPERLINK("https://www.youtube.com/watch?v=GOuclkVCvRI","Video Solution - Eng Mostafa Saad")</f>
        <v>Video Solution - Eng Mostafa Saad</v>
      </c>
    </row>
    <row r="39" ht="12.75" spans="1:13">
      <c r="A39" s="15" t="s">
        <v>80</v>
      </c>
      <c r="B39" s="5" t="str">
        <f>HYPERLINK("http://codeforces.com/contest/709/problem/A","CF709-D2-A")</f>
        <v>CF709-D2-A</v>
      </c>
      <c r="C39" s="10" t="s">
        <v>55</v>
      </c>
      <c r="D39" s="10"/>
      <c r="E39" s="10"/>
      <c r="F39" s="10"/>
      <c r="G39" s="10"/>
      <c r="H39" s="10"/>
      <c r="I39" s="10">
        <f t="shared" si="3"/>
        <v>0</v>
      </c>
      <c r="J39" s="6"/>
      <c r="K39" s="10"/>
      <c r="L39" s="3"/>
      <c r="M39" s="17" t="str">
        <f>HYPERLINK("https://www.youtube.com/watch?v=fPcKGZ_e8G0","Video Solution - Solver to be (Java)")</f>
        <v>Video Solution - Solver to be (Java)</v>
      </c>
    </row>
    <row r="40" ht="12.75" spans="1:13">
      <c r="A40" s="16" t="s">
        <v>81</v>
      </c>
      <c r="B40" s="33" t="str">
        <f>HYPERLINK("http://codeforces.com/contest/799/problem/A","CF799-D2-A")</f>
        <v>CF799-D2-A</v>
      </c>
      <c r="C40" s="10" t="s">
        <v>55</v>
      </c>
      <c r="D40" s="10"/>
      <c r="E40" s="10"/>
      <c r="F40" s="10"/>
      <c r="G40" s="10"/>
      <c r="H40" s="10"/>
      <c r="I40" s="10">
        <f t="shared" si="3"/>
        <v>0</v>
      </c>
      <c r="J40" s="6"/>
      <c r="K40" s="10"/>
      <c r="L40" s="3"/>
      <c r="M40" s="17" t="str">
        <f>HYPERLINK("https://www.youtube.com/watch?v=uyEL9f8pxlM","Video Solution - Solver to be (Java)")</f>
        <v>Video Solution - Solver to be (Java)</v>
      </c>
    </row>
    <row r="41" ht="12.75" spans="1:13">
      <c r="A41" s="16" t="s">
        <v>82</v>
      </c>
      <c r="B41" s="33" t="str">
        <f>HYPERLINK("http://codeforces.com/contest/443/problem/A","CF443-D2-A")</f>
        <v>CF443-D2-A</v>
      </c>
      <c r="C41" s="10" t="s">
        <v>55</v>
      </c>
      <c r="D41" s="10"/>
      <c r="E41" s="10"/>
      <c r="F41" s="10"/>
      <c r="G41" s="10"/>
      <c r="H41" s="10"/>
      <c r="I41" s="10">
        <f t="shared" si="3"/>
        <v>0</v>
      </c>
      <c r="J41" s="6"/>
      <c r="K41" s="10"/>
      <c r="L41" s="3"/>
      <c r="M41" s="17" t="str">
        <f>HYPERLINK("https://www.youtube.com/watch?v=YXuljSnZaTY","Video Solution - Solver to be (Java)")</f>
        <v>Video Solution - Solver to be (Java)</v>
      </c>
    </row>
    <row r="42" ht="12.75" spans="1:13">
      <c r="A42" s="15" t="s">
        <v>83</v>
      </c>
      <c r="B42" s="5" t="str">
        <f>HYPERLINK("http://codeforces.com/contest/71/problem/A","CF71-D2-A")</f>
        <v>CF71-D2-A</v>
      </c>
      <c r="C42" s="10" t="s">
        <v>55</v>
      </c>
      <c r="D42" s="10"/>
      <c r="E42" s="10"/>
      <c r="F42" s="10"/>
      <c r="G42" s="10"/>
      <c r="H42" s="10"/>
      <c r="I42" s="10">
        <f t="shared" si="3"/>
        <v>0</v>
      </c>
      <c r="J42" s="6"/>
      <c r="K42" s="10"/>
      <c r="L42" s="3"/>
      <c r="M42" s="18" t="str">
        <f>HYPERLINK("https://www.youtube.com/watch?v=yuebR81LyXE","Video Solution - Solver to be (Java)")</f>
        <v>Video Solution - Solver to be (Java)</v>
      </c>
    </row>
    <row r="43" ht="12.75" spans="1:13">
      <c r="A43" s="15" t="s">
        <v>84</v>
      </c>
      <c r="B43" s="5" t="str">
        <f>HYPERLINK("http://codeforces.com/contest/686/problem/A","CF686-D2-A")</f>
        <v>CF686-D2-A</v>
      </c>
      <c r="C43" s="10" t="s">
        <v>55</v>
      </c>
      <c r="D43" s="10"/>
      <c r="E43" s="10"/>
      <c r="F43" s="10"/>
      <c r="G43" s="10"/>
      <c r="H43" s="10"/>
      <c r="I43" s="10">
        <f t="shared" si="3"/>
        <v>0</v>
      </c>
      <c r="J43" s="6"/>
      <c r="K43" s="10"/>
      <c r="L43" s="3"/>
      <c r="M43" s="18" t="str">
        <f>HYPERLINK("https://www.youtube.com/watch?v=Alipj6tJKKI","Video Solution - Solver to be (Java)")</f>
        <v>Video Solution - Solver to be (Java)</v>
      </c>
    </row>
    <row r="44" ht="12.75" spans="1:13">
      <c r="A44" s="16" t="s">
        <v>85</v>
      </c>
      <c r="B44" s="33" t="str">
        <f>HYPERLINK("http://codeforces.com/contest/339/problem/A","CF339-D2-A")</f>
        <v>CF339-D2-A</v>
      </c>
      <c r="C44" s="10" t="s">
        <v>55</v>
      </c>
      <c r="D44" s="10"/>
      <c r="E44" s="10"/>
      <c r="F44" s="10"/>
      <c r="G44" s="10"/>
      <c r="H44" s="10"/>
      <c r="I44" s="10">
        <f t="shared" si="3"/>
        <v>0</v>
      </c>
      <c r="J44" s="6"/>
      <c r="K44" s="10"/>
      <c r="L44" s="3"/>
      <c r="M44" s="18" t="str">
        <f>HYPERLINK("https://www.youtube.com/watch?v=NLsyJpkFMz4","Video Solution - Solver to be (Java)")</f>
        <v>Video Solution - Solver to be (Java)</v>
      </c>
    </row>
    <row r="45" ht="12.75" spans="1:13">
      <c r="A45" s="15" t="s">
        <v>86</v>
      </c>
      <c r="B45" s="5" t="str">
        <f>HYPERLINK("http://codeforces.com/contest/490/problem/A","CF490-D2-A")</f>
        <v>CF490-D2-A</v>
      </c>
      <c r="C45" s="10" t="s">
        <v>55</v>
      </c>
      <c r="D45" s="6">
        <v>2</v>
      </c>
      <c r="E45" s="6"/>
      <c r="F45" s="6"/>
      <c r="G45" s="6"/>
      <c r="H45" s="6"/>
      <c r="I45" s="10">
        <f t="shared" si="3"/>
        <v>0</v>
      </c>
      <c r="J45" s="6"/>
      <c r="K45" s="10"/>
      <c r="L45" s="3"/>
      <c r="M45" s="17" t="s">
        <v>87</v>
      </c>
    </row>
    <row r="46" ht="12.75" spans="1:13">
      <c r="A46" s="16" t="s">
        <v>88</v>
      </c>
      <c r="B46" s="33" t="str">
        <f>HYPERLINK("http://codeforces.com/contest/770/problem/A","CF770-D2-A")</f>
        <v>CF770-D2-A</v>
      </c>
      <c r="C46" s="10" t="s">
        <v>55</v>
      </c>
      <c r="D46" s="10"/>
      <c r="E46" s="10"/>
      <c r="F46" s="10"/>
      <c r="G46" s="10"/>
      <c r="H46" s="10"/>
      <c r="I46" s="10">
        <f t="shared" si="3"/>
        <v>0</v>
      </c>
      <c r="J46" s="6"/>
      <c r="K46" s="10"/>
      <c r="L46" s="3"/>
      <c r="M46" s="15"/>
    </row>
    <row r="47" ht="12.75" spans="1:13">
      <c r="A47" s="16"/>
      <c r="B47" s="33"/>
      <c r="C47" s="10">
        <v>0</v>
      </c>
      <c r="D47" s="10"/>
      <c r="E47" s="10"/>
      <c r="F47" s="10"/>
      <c r="G47" s="10"/>
      <c r="H47" s="10"/>
      <c r="I47" s="10">
        <f t="shared" si="3"/>
        <v>0</v>
      </c>
      <c r="J47" s="3"/>
      <c r="K47" s="10"/>
      <c r="L47" s="3"/>
      <c r="M47" s="15"/>
    </row>
    <row r="48" ht="12.75" spans="1:13">
      <c r="A48" s="15" t="s">
        <v>89</v>
      </c>
      <c r="B48" s="5" t="str">
        <f>HYPERLINK("http://codeforces.com/contest/136/problem/A","CF136-D2-A")</f>
        <v>CF136-D2-A</v>
      </c>
      <c r="C48" s="10" t="s">
        <v>55</v>
      </c>
      <c r="D48" s="3"/>
      <c r="E48" s="3"/>
      <c r="F48" s="3"/>
      <c r="G48" s="3"/>
      <c r="H48" s="6"/>
      <c r="I48" s="10">
        <f t="shared" si="3"/>
        <v>0</v>
      </c>
      <c r="J48" s="3"/>
      <c r="K48" s="10"/>
      <c r="L48" s="3"/>
      <c r="M48" s="17" t="str">
        <f>HYPERLINK("https://www.youtube.com/watch?v=MduaJDmo7RU","Video Solution - Eng Ahmed Rafaat (Python)")</f>
        <v>Video Solution - Eng Ahmed Rafaat (Python)</v>
      </c>
    </row>
    <row r="49" ht="12.75" spans="1:13">
      <c r="A49" s="15" t="s">
        <v>90</v>
      </c>
      <c r="B49" s="5" t="str">
        <f>HYPERLINK("http://codeforces.com/contest/567/problem/A","CF567-D2-A")</f>
        <v>CF567-D2-A</v>
      </c>
      <c r="C49" s="10" t="s">
        <v>55</v>
      </c>
      <c r="D49" s="3"/>
      <c r="E49" s="3"/>
      <c r="F49" s="3"/>
      <c r="G49" s="3"/>
      <c r="H49" s="6"/>
      <c r="I49" s="10">
        <f t="shared" si="3"/>
        <v>0</v>
      </c>
      <c r="J49" s="3"/>
      <c r="K49" s="10"/>
      <c r="L49" s="3"/>
      <c r="M49" s="17" t="str">
        <f>HYPERLINK("https://www.youtube.com/watch?v=gc4BEAw0pbs&amp;feature=youtu.be","Video Solution - Eng Ahmed Rafaat (Python)")</f>
        <v>Video Solution - Eng Ahmed Rafaat (Python)</v>
      </c>
    </row>
    <row r="50" ht="12.75" spans="1:13">
      <c r="A50" s="16" t="s">
        <v>91</v>
      </c>
      <c r="B50" s="33" t="str">
        <f>HYPERLINK("http://codeforces.com/contest/766/problem/A","CF766-D2-A")</f>
        <v>CF766-D2-A</v>
      </c>
      <c r="C50" s="10" t="s">
        <v>55</v>
      </c>
      <c r="D50" s="10"/>
      <c r="E50" s="10"/>
      <c r="F50" s="10"/>
      <c r="G50" s="10"/>
      <c r="H50" s="10"/>
      <c r="I50" s="10">
        <f t="shared" si="3"/>
        <v>0</v>
      </c>
      <c r="J50" s="3"/>
      <c r="K50" s="10"/>
      <c r="L50" s="3"/>
      <c r="M50" s="18" t="str">
        <f>HYPERLINK("https://www.youtube.com/watch?v=nq66DIFAyhs","Video Solution - Solver to be (Java)")</f>
        <v>Video Solution - Solver to be (Java)</v>
      </c>
    </row>
    <row r="51" ht="12.75" spans="1:13">
      <c r="A51" s="38" t="s">
        <v>92</v>
      </c>
      <c r="B51" s="39" t="str">
        <f>HYPERLINK("http://codeforces.com/problemset/problem/767/A","CF767-D2-A")</f>
        <v>CF767-D2-A</v>
      </c>
      <c r="C51" s="37" t="s">
        <v>55</v>
      </c>
      <c r="D51" s="37">
        <v>6</v>
      </c>
      <c r="E51" s="37"/>
      <c r="F51" s="37"/>
      <c r="G51" s="37"/>
      <c r="H51" s="37"/>
      <c r="I51" s="37">
        <f t="shared" si="3"/>
        <v>0</v>
      </c>
      <c r="J51" s="45"/>
      <c r="K51" s="37"/>
      <c r="L51" s="45"/>
      <c r="M51" s="46" t="s">
        <v>93</v>
      </c>
    </row>
    <row r="52" ht="12.75" spans="1:13">
      <c r="A52" s="15" t="s">
        <v>94</v>
      </c>
      <c r="B52" s="5" t="str">
        <f>HYPERLINK("http://codeforces.com/contest/768/problem/A","CF768-D2-A")</f>
        <v>CF768-D2-A</v>
      </c>
      <c r="C52" s="10" t="s">
        <v>55</v>
      </c>
      <c r="D52" s="10"/>
      <c r="E52" s="10"/>
      <c r="F52" s="10"/>
      <c r="G52" s="10"/>
      <c r="H52" s="10"/>
      <c r="I52" s="10">
        <f t="shared" si="3"/>
        <v>0</v>
      </c>
      <c r="J52" s="3"/>
      <c r="K52" s="10"/>
      <c r="L52" s="3"/>
      <c r="M52" s="18" t="str">
        <f>HYPERLINK("https://www.youtube.com/watch?v=4vBmYmqOoIk","Video Solution - Solver to be (Java)")</f>
        <v>Video Solution - Solver to be (Java)</v>
      </c>
    </row>
    <row r="53" ht="12.75" spans="1:13">
      <c r="A53" s="15" t="s">
        <v>95</v>
      </c>
      <c r="B53" s="5" t="str">
        <f>HYPERLINK("http://codeforces.com/contest/158/problem/A","CF158-D12-A")</f>
        <v>CF158-D12-A</v>
      </c>
      <c r="C53" s="10" t="s">
        <v>55</v>
      </c>
      <c r="D53" s="10"/>
      <c r="E53" s="10"/>
      <c r="F53" s="10"/>
      <c r="G53" s="10"/>
      <c r="H53" s="10"/>
      <c r="I53" s="10">
        <f t="shared" si="3"/>
        <v>0</v>
      </c>
      <c r="J53" s="3"/>
      <c r="K53" s="10"/>
      <c r="L53" s="3"/>
      <c r="M53" s="18" t="str">
        <f>HYPERLINK("https://www.youtube.com/watch?v=jwF2F5D8j9o","Video Solution - Solver to be (Java)")</f>
        <v>Video Solution - Solver to be (Java)</v>
      </c>
    </row>
    <row r="54" ht="12.75" spans="1:13">
      <c r="A54" s="15" t="s">
        <v>96</v>
      </c>
      <c r="B54" s="5" t="str">
        <f>HYPERLINK("http://codeforces.com/contest/282/problem/A","CF282-D2-A")</f>
        <v>CF282-D2-A</v>
      </c>
      <c r="C54" s="10" t="s">
        <v>55</v>
      </c>
      <c r="D54" s="3"/>
      <c r="E54" s="3"/>
      <c r="F54" s="3"/>
      <c r="G54" s="3"/>
      <c r="H54" s="6"/>
      <c r="I54" s="10">
        <f t="shared" si="3"/>
        <v>0</v>
      </c>
      <c r="J54" s="3"/>
      <c r="K54" s="10"/>
      <c r="L54" s="3"/>
      <c r="M54" s="17" t="str">
        <f>HYPERLINK("https://www.youtube.com/watch?v=5TyT1RIv3wM","Video Solution - Solver to be (Java)")</f>
        <v>Video Solution - Solver to be (Java)</v>
      </c>
    </row>
    <row r="55" ht="12.75" spans="1:13">
      <c r="A55" s="15" t="s">
        <v>97</v>
      </c>
      <c r="B55" s="5" t="str">
        <f>HYPERLINK("http://codeforces.com/contest/69/problem/A","CF69-D2-A")</f>
        <v>CF69-D2-A</v>
      </c>
      <c r="C55" s="10" t="s">
        <v>55</v>
      </c>
      <c r="D55" s="10"/>
      <c r="E55" s="10"/>
      <c r="F55" s="10"/>
      <c r="G55" s="10"/>
      <c r="H55" s="10"/>
      <c r="I55" s="10">
        <f t="shared" si="3"/>
        <v>0</v>
      </c>
      <c r="J55" s="3"/>
      <c r="K55" s="10"/>
      <c r="L55" s="3"/>
      <c r="M55" s="18" t="str">
        <f>HYPERLINK("https://www.youtube.com/watch?v=L8pMTIq7DFM","Video Solution - Solver to be (Java)")</f>
        <v>Video Solution - Solver to be (Java)</v>
      </c>
    </row>
    <row r="56" ht="12.75" spans="1:13">
      <c r="A56" s="15" t="s">
        <v>98</v>
      </c>
      <c r="B56" s="5" t="str">
        <f>HYPERLINK("http://codeforces.com/contest/520/problem/A","CF520-D2-A")</f>
        <v>CF520-D2-A</v>
      </c>
      <c r="C56" s="10" t="s">
        <v>55</v>
      </c>
      <c r="D56" s="10"/>
      <c r="E56" s="10"/>
      <c r="F56" s="10"/>
      <c r="G56" s="10"/>
      <c r="H56" s="10"/>
      <c r="I56" s="10">
        <f t="shared" si="3"/>
        <v>0</v>
      </c>
      <c r="J56" s="3"/>
      <c r="K56" s="10"/>
      <c r="L56" s="3"/>
      <c r="M56" s="17" t="str">
        <f>HYPERLINK("https://www.youtube.com/watch?v=TrHCzh7bPRo","Video Solution - Solver to be (Java)")</f>
        <v>Video Solution - Solver to be (Java)</v>
      </c>
    </row>
    <row r="57" ht="12.75" spans="1:13">
      <c r="A57" s="15" t="s">
        <v>99</v>
      </c>
      <c r="B57" s="5" t="str">
        <f>HYPERLINK("http://codeforces.com/contest/160/problem/A","CF160-D2-A")</f>
        <v>CF160-D2-A</v>
      </c>
      <c r="C57" s="10" t="s">
        <v>55</v>
      </c>
      <c r="D57" s="3"/>
      <c r="E57" s="3"/>
      <c r="F57" s="3"/>
      <c r="G57" s="3"/>
      <c r="H57" s="6"/>
      <c r="I57" s="10">
        <f t="shared" si="3"/>
        <v>0</v>
      </c>
      <c r="J57" s="3"/>
      <c r="K57" s="10"/>
      <c r="L57" s="3"/>
      <c r="M57" s="17" t="str">
        <f>HYPERLINK("https://www.youtube.com/watch?v=V6fh3b50nX8","Video Solution - Solver to be (Java)")</f>
        <v>Video Solution - Solver to be (Java)</v>
      </c>
    </row>
    <row r="58" ht="12.75" spans="1:13">
      <c r="A58" s="15" t="s">
        <v>100</v>
      </c>
      <c r="B58" s="5" t="str">
        <f>HYPERLINK("http://codeforces.com/contest/474/problem/A","CF474-D2-A")</f>
        <v>CF474-D2-A</v>
      </c>
      <c r="C58" s="10" t="s">
        <v>55</v>
      </c>
      <c r="D58" s="3"/>
      <c r="E58" s="3"/>
      <c r="F58" s="3"/>
      <c r="G58" s="3"/>
      <c r="H58" s="3"/>
      <c r="I58" s="10">
        <f t="shared" si="3"/>
        <v>0</v>
      </c>
      <c r="J58" s="3"/>
      <c r="K58" s="3"/>
      <c r="L58" s="3"/>
      <c r="M58" s="17" t="str">
        <f>HYPERLINK("https://www.youtube.com/watch?v=oFIiCpVI3Ck","Video Solution - Solver to be (Java)")</f>
        <v>Video Solution - Solver to be (Java)</v>
      </c>
    </row>
    <row r="59" ht="12.75" spans="1:13">
      <c r="A59" s="3"/>
      <c r="B59" s="3"/>
      <c r="C59" s="10">
        <v>0</v>
      </c>
      <c r="D59" s="10"/>
      <c r="E59" s="10"/>
      <c r="F59" s="10"/>
      <c r="G59" s="10"/>
      <c r="H59" s="10"/>
      <c r="I59" s="10"/>
      <c r="J59" s="3"/>
      <c r="K59" s="10"/>
      <c r="L59" s="3"/>
      <c r="M59" s="47"/>
    </row>
    <row r="60" ht="12.75" spans="1:13">
      <c r="A60" s="3"/>
      <c r="B60" s="3"/>
      <c r="C60" s="10">
        <v>0</v>
      </c>
      <c r="D60" s="10"/>
      <c r="E60" s="10"/>
      <c r="F60" s="10"/>
      <c r="G60" s="10"/>
      <c r="H60" s="10"/>
      <c r="I60" s="10">
        <f t="shared" ref="I60:I81" si="4">SUM(E60:H60)</f>
        <v>0</v>
      </c>
      <c r="J60" s="3"/>
      <c r="K60" s="10"/>
      <c r="L60" s="3"/>
      <c r="M60" s="47" t="str">
        <f>HYPERLINK("https://www.youtube.com/watch?v=jzfcfQVBtKA","Watch - Graph Theory - Intro")</f>
        <v>Watch - Graph Theory - Intro</v>
      </c>
    </row>
    <row r="61" spans="1:13">
      <c r="A61" s="3"/>
      <c r="B61" s="3"/>
      <c r="C61" s="10">
        <v>0</v>
      </c>
      <c r="D61" s="10"/>
      <c r="E61" s="10"/>
      <c r="F61" s="10"/>
      <c r="G61" s="10"/>
      <c r="H61" s="10"/>
      <c r="I61" s="10">
        <f t="shared" si="4"/>
        <v>0</v>
      </c>
      <c r="J61" s="3"/>
      <c r="K61" s="10"/>
      <c r="L61" s="3"/>
      <c r="M61" s="47" t="str">
        <f>HYPERLINK("https://www.youtube.com/watch?v=9DP0X2xlPCo","Watch - Graph Theory - DFS")</f>
        <v>Watch - Graph Theory - DFS</v>
      </c>
    </row>
    <row r="62" spans="1:13">
      <c r="A62" s="15" t="s">
        <v>101</v>
      </c>
      <c r="B62" s="40" t="str">
        <f>HYPERLINK("https://uva.onlinejudge.org/index.php?option=onlinejudge&amp;page=show_problem&amp;problem=288","UVA 352")</f>
        <v>UVA 352</v>
      </c>
      <c r="C62" s="10">
        <v>1</v>
      </c>
      <c r="D62" s="10"/>
      <c r="E62" s="10"/>
      <c r="F62" s="10"/>
      <c r="G62" s="10"/>
      <c r="H62" s="10"/>
      <c r="I62" s="10">
        <f t="shared" si="4"/>
        <v>0</v>
      </c>
      <c r="J62" s="3"/>
      <c r="K62" s="10"/>
      <c r="L62" s="3"/>
      <c r="M62" s="17" t="str">
        <f>HYPERLINK("https://www.youtube.com/watch?v=-nRiMjHEIUg","Video Solution - Eng Mohamed Nasser")</f>
        <v>Video Solution - Eng Mohamed Nasser</v>
      </c>
    </row>
    <row r="63" spans="1:13">
      <c r="A63" s="15" t="s">
        <v>102</v>
      </c>
      <c r="B63" s="18" t="str">
        <f>HYPERLINK("https://uva.onlinejudge.org/index.php?option=onlinejudge&amp;page=show_problem&amp;problem=1393","UVA 10452")</f>
        <v>UVA 10452</v>
      </c>
      <c r="C63" s="10">
        <v>1</v>
      </c>
      <c r="D63" s="10"/>
      <c r="E63" s="10"/>
      <c r="F63" s="10"/>
      <c r="G63" s="10"/>
      <c r="H63" s="10"/>
      <c r="I63" s="10">
        <f t="shared" si="4"/>
        <v>0</v>
      </c>
      <c r="J63" s="3"/>
      <c r="K63" s="10"/>
      <c r="L63" s="3"/>
      <c r="M63" s="17" t="str">
        <f>HYPERLINK("https://www.youtube.com/watch?v=HtaczlDLylk","Video Solution - Eng Ayman Salah")</f>
        <v>Video Solution - Eng Ayman Salah</v>
      </c>
    </row>
    <row r="64" ht="12.75" spans="1:13">
      <c r="A64" s="15" t="s">
        <v>103</v>
      </c>
      <c r="B64" s="18" t="str">
        <f>HYPERLINK("https://uva.onlinejudge.org/index.php?option=com_onlinejudge&amp;Itemid=8&amp;page=show_problem&amp;problem=3104","UVA 11953")</f>
        <v>UVA 11953</v>
      </c>
      <c r="C64" s="10">
        <v>1</v>
      </c>
      <c r="D64" s="10"/>
      <c r="E64" s="10"/>
      <c r="F64" s="10"/>
      <c r="G64" s="10"/>
      <c r="H64" s="10"/>
      <c r="I64" s="10">
        <f t="shared" si="4"/>
        <v>0</v>
      </c>
      <c r="J64" s="3"/>
      <c r="K64" s="10"/>
      <c r="L64" s="3"/>
      <c r="M64" s="17" t="str">
        <f>HYPERLINK("https://www.youtube.com/watch?v=nvPucDrmErI","Video Solution - Eng Aya Elymany")</f>
        <v>Video Solution - Eng Aya Elymany</v>
      </c>
    </row>
    <row r="65" ht="12.75" spans="1:13">
      <c r="A65" s="15" t="s">
        <v>104</v>
      </c>
      <c r="B65" s="18" t="str">
        <f>HYPERLINK("http://codeforces.com/contest/216/problem/B","CF216-D2-B")</f>
        <v>CF216-D2-B</v>
      </c>
      <c r="C65" s="10">
        <v>1</v>
      </c>
      <c r="D65" s="10"/>
      <c r="E65" s="10"/>
      <c r="F65" s="10"/>
      <c r="G65" s="10"/>
      <c r="H65" s="10"/>
      <c r="I65" s="10">
        <f t="shared" si="4"/>
        <v>0</v>
      </c>
      <c r="J65" s="3"/>
      <c r="K65" s="10"/>
      <c r="L65" s="3"/>
      <c r="M65" s="17" t="str">
        <f>HYPERLINK("https://www.youtube.com/watch?v=O4rahDYs9-c","Video Solution - Eng Mostafa Saad")</f>
        <v>Video Solution - Eng Mostafa Saad</v>
      </c>
    </row>
    <row r="66" ht="12.75" spans="1:13">
      <c r="A66" s="15" t="s">
        <v>105</v>
      </c>
      <c r="B66" s="18" t="str">
        <f>HYPERLINK("http://www.spoj.com/problems/MAKETREE/","SPOJ MAKETREE")</f>
        <v>SPOJ MAKETREE</v>
      </c>
      <c r="C66" s="10">
        <v>1</v>
      </c>
      <c r="D66" s="10"/>
      <c r="E66" s="10"/>
      <c r="F66" s="10"/>
      <c r="G66" s="10"/>
      <c r="H66" s="10"/>
      <c r="I66" s="10">
        <f t="shared" si="4"/>
        <v>0</v>
      </c>
      <c r="J66" s="3"/>
      <c r="K66" s="10"/>
      <c r="L66" s="3"/>
      <c r="M66" s="43" t="str">
        <f>HYPERLINK("https://www.youtube.com/watch?v=Rmi_2e6gt5M","Video Solution - Eng Yahia Ashraf")</f>
        <v>Video Solution - Eng Yahia Ashraf</v>
      </c>
    </row>
    <row r="67" ht="12.75" spans="1:13">
      <c r="A67" s="15" t="s">
        <v>106</v>
      </c>
      <c r="B67" s="18" t="str">
        <f>HYPERLINK("https://uva.onlinejudge.org/index.php?option=onlinejudge&amp;page=show_problem&amp;problem=1246","UVA 10305")</f>
        <v>UVA 10305</v>
      </c>
      <c r="C67" s="10">
        <v>1</v>
      </c>
      <c r="D67" s="10"/>
      <c r="E67" s="10"/>
      <c r="F67" s="10"/>
      <c r="G67" s="10"/>
      <c r="H67" s="10"/>
      <c r="I67" s="10">
        <f t="shared" si="4"/>
        <v>0</v>
      </c>
      <c r="J67" s="3"/>
      <c r="K67" s="10"/>
      <c r="L67" s="3"/>
      <c r="M67" s="43" t="str">
        <f>HYPERLINK("https://www.youtube.com/watch?v=4t-4ZC8BRj8","Video Solution - Eng Yahia Ashraf")</f>
        <v>Video Solution - Eng Yahia Ashraf</v>
      </c>
    </row>
    <row r="68" ht="12.75" spans="1:13">
      <c r="A68" s="15"/>
      <c r="B68" s="5"/>
      <c r="C68" s="10"/>
      <c r="D68" s="10"/>
      <c r="E68" s="10"/>
      <c r="F68" s="10"/>
      <c r="G68" s="10"/>
      <c r="H68" s="10"/>
      <c r="I68" s="10">
        <f t="shared" si="4"/>
        <v>0</v>
      </c>
      <c r="J68" s="3"/>
      <c r="K68" s="10"/>
      <c r="L68" s="3"/>
      <c r="M68" s="3"/>
    </row>
    <row r="69" ht="12.75" spans="1:13">
      <c r="A69" s="15" t="s">
        <v>107</v>
      </c>
      <c r="B69" s="5" t="str">
        <f>HYPERLINK("http://codeforces.com/contest/318/problem/A","CF318-D2-A")</f>
        <v>CF318-D2-A</v>
      </c>
      <c r="C69" s="10">
        <v>1</v>
      </c>
      <c r="D69" s="10"/>
      <c r="E69" s="10"/>
      <c r="F69" s="10"/>
      <c r="G69" s="10"/>
      <c r="H69" s="10"/>
      <c r="I69" s="10">
        <f t="shared" si="4"/>
        <v>0</v>
      </c>
      <c r="J69" s="3"/>
      <c r="K69" s="10"/>
      <c r="L69" s="3"/>
      <c r="M69" s="17" t="str">
        <f>HYPERLINK("https://www.youtube.com/watch?v=w7gZx99Efzs&amp;feature=youtu.be","Video Solution - Eng Muntaser Abukadeja")</f>
        <v>Video Solution - Eng Muntaser Abukadeja</v>
      </c>
    </row>
    <row r="70" ht="12.75" spans="1:13">
      <c r="A70" s="34" t="s">
        <v>108</v>
      </c>
      <c r="B70" s="32" t="str">
        <f>HYPERLINK("http://codeforces.com/contest/365/problem/A","CF365-D2-A")</f>
        <v>CF365-D2-A</v>
      </c>
      <c r="C70" s="10">
        <v>1</v>
      </c>
      <c r="D70" s="10"/>
      <c r="E70" s="10"/>
      <c r="F70" s="10"/>
      <c r="G70" s="10"/>
      <c r="H70" s="10"/>
      <c r="I70" s="10">
        <f t="shared" si="4"/>
        <v>0</v>
      </c>
      <c r="J70" s="10"/>
      <c r="K70" s="10"/>
      <c r="L70" s="10"/>
      <c r="M70" s="26" t="str">
        <f>HYPERLINK("https://www.youtube.com/watch?v=W5SLLnni1KM&amp;feature=youtu.be","Video Solution - Eng Muntaser Abukadeja")</f>
        <v>Video Solution - Eng Muntaser Abukadeja</v>
      </c>
    </row>
    <row r="71" ht="12.75" spans="1:13">
      <c r="A71" s="34" t="s">
        <v>109</v>
      </c>
      <c r="B71" s="32" t="str">
        <f>HYPERLINK("http://codeforces.com/contest/225/problem/A","CF225-D2-A")</f>
        <v>CF225-D2-A</v>
      </c>
      <c r="C71" s="10">
        <v>1</v>
      </c>
      <c r="D71" s="10"/>
      <c r="E71" s="10"/>
      <c r="F71" s="10"/>
      <c r="G71" s="10"/>
      <c r="H71" s="10"/>
      <c r="I71" s="10">
        <f t="shared" si="4"/>
        <v>0</v>
      </c>
      <c r="J71" s="10"/>
      <c r="K71" s="10"/>
      <c r="L71" s="10"/>
      <c r="M71" s="26" t="str">
        <f>HYPERLINK("https://www.youtube.com/watch?v=AU4cdWZrKNA&amp;feature=youtu.be","Video Solution - Eng Muntaser Abukadeja")</f>
        <v>Video Solution - Eng Muntaser Abukadeja</v>
      </c>
    </row>
    <row r="72" ht="12.75" spans="1:13">
      <c r="A72" s="34" t="s">
        <v>110</v>
      </c>
      <c r="B72" s="32" t="str">
        <f>HYPERLINK("http://codeforces.com/contest/682/problem/A","CF682-D2-A")</f>
        <v>CF682-D2-A</v>
      </c>
      <c r="C72" s="10">
        <v>1</v>
      </c>
      <c r="D72" s="10"/>
      <c r="E72" s="10"/>
      <c r="F72" s="10"/>
      <c r="G72" s="10"/>
      <c r="H72" s="10"/>
      <c r="I72" s="10">
        <f t="shared" si="4"/>
        <v>0</v>
      </c>
      <c r="J72" s="10"/>
      <c r="K72" s="10"/>
      <c r="L72" s="10"/>
      <c r="M72" s="26" t="str">
        <f>HYPERLINK("https://www.youtube.com/watch?v=05ZIXw2G4Pw&amp;feature=youtu.be","Video Solution - Eng John Gamal")</f>
        <v>Video Solution - Eng John Gamal</v>
      </c>
    </row>
    <row r="73" ht="12.75" spans="1:13">
      <c r="A73" s="34" t="s">
        <v>111</v>
      </c>
      <c r="B73" s="32" t="str">
        <f>HYPERLINK("http://codeforces.com/contest/218/problem/A","CF218-D2-A")</f>
        <v>CF218-D2-A</v>
      </c>
      <c r="C73" s="10">
        <v>1</v>
      </c>
      <c r="D73" s="10"/>
      <c r="E73" s="10"/>
      <c r="F73" s="10"/>
      <c r="G73" s="10"/>
      <c r="H73" s="10"/>
      <c r="I73" s="10">
        <f t="shared" si="4"/>
        <v>0</v>
      </c>
      <c r="J73" s="10"/>
      <c r="K73" s="10"/>
      <c r="L73" s="10"/>
      <c r="M73" s="26" t="str">
        <f>HYPERLINK("https://www.youtube.com/watch?v=qmGhxFPv5GI&amp;feature=youtu.be","Video Solution - Eng John Gamal")</f>
        <v>Video Solution - Eng John Gamal</v>
      </c>
    </row>
    <row r="74" ht="12.75" spans="1:13">
      <c r="A74" s="34" t="s">
        <v>112</v>
      </c>
      <c r="B74" s="32" t="str">
        <f>HYPERLINK("http://codeforces.com/contest/143/problem/A","CF143-D2-A")</f>
        <v>CF143-D2-A</v>
      </c>
      <c r="C74" s="10">
        <v>1</v>
      </c>
      <c r="D74" s="10"/>
      <c r="E74" s="10"/>
      <c r="F74" s="10"/>
      <c r="G74" s="10"/>
      <c r="H74" s="10"/>
      <c r="I74" s="10">
        <f t="shared" si="4"/>
        <v>0</v>
      </c>
      <c r="J74" s="10"/>
      <c r="K74" s="10"/>
      <c r="L74" s="10"/>
      <c r="M74" s="26" t="str">
        <f>HYPERLINK("https://www.youtube.com/watch?v=cmMkGSMHTKE","Video Solution - Eng John Gamal")</f>
        <v>Video Solution - Eng John Gamal</v>
      </c>
    </row>
    <row r="75" ht="12.75" spans="1:13">
      <c r="A75" s="34" t="s">
        <v>113</v>
      </c>
      <c r="B75" s="32" t="str">
        <f>HYPERLINK("http://codeforces.com/contest/514/problem/A","CF514-D2-A")</f>
        <v>CF514-D2-A</v>
      </c>
      <c r="C75" s="10">
        <v>1</v>
      </c>
      <c r="D75" s="10"/>
      <c r="E75" s="10"/>
      <c r="F75" s="10"/>
      <c r="G75" s="10"/>
      <c r="H75" s="10"/>
      <c r="I75" s="10">
        <f t="shared" si="4"/>
        <v>0</v>
      </c>
      <c r="J75" s="10"/>
      <c r="K75" s="10"/>
      <c r="L75" s="10"/>
      <c r="M75" s="26" t="str">
        <f>HYPERLINK("https://www.youtube.com/watch?v=wU51frCexTY&amp;feature=youtu.be","Video Solution - Eng Muntaser Abukadeja")</f>
        <v>Video Solution - Eng Muntaser Abukadeja</v>
      </c>
    </row>
    <row r="76" ht="12.75" spans="1:13">
      <c r="A76" s="34" t="s">
        <v>114</v>
      </c>
      <c r="B76" s="32" t="str">
        <f>HYPERLINK("http://codeforces.com/contest/382/problem/A","CF382-D2-A")</f>
        <v>CF382-D2-A</v>
      </c>
      <c r="C76" s="10">
        <v>1</v>
      </c>
      <c r="D76" s="10"/>
      <c r="E76" s="10"/>
      <c r="F76" s="10"/>
      <c r="G76" s="10"/>
      <c r="H76" s="10"/>
      <c r="I76" s="10">
        <f t="shared" si="4"/>
        <v>0</v>
      </c>
      <c r="J76" s="10"/>
      <c r="K76" s="10"/>
      <c r="L76" s="10"/>
      <c r="M76" s="26" t="str">
        <f>HYPERLINK("https://www.youtube.com/watch?v=6xkV-GeRs2o&amp;feature=youtu.be","Video Solution - Eng Samed Hajajla")</f>
        <v>Video Solution - Eng Samed Hajajla</v>
      </c>
    </row>
    <row r="77" ht="12.75" spans="1:13">
      <c r="A77" s="34" t="s">
        <v>115</v>
      </c>
      <c r="B77" s="32" t="str">
        <f>HYPERLINK("http://codeforces.com/contest/699/problem/A","CF699-D2-A")</f>
        <v>CF699-D2-A</v>
      </c>
      <c r="C77" s="10">
        <v>1</v>
      </c>
      <c r="D77" s="10"/>
      <c r="E77" s="10"/>
      <c r="F77" s="10"/>
      <c r="G77" s="10"/>
      <c r="H77" s="10"/>
      <c r="I77" s="10">
        <f t="shared" si="4"/>
        <v>0</v>
      </c>
      <c r="J77" s="10"/>
      <c r="K77" s="10"/>
      <c r="L77" s="10"/>
      <c r="M77" s="26" t="str">
        <f>HYPERLINK("https://www.youtube.com/watch?v=2xSkHmA5z8s","Video Solution - Eng Samed Hajajla")</f>
        <v>Video Solution - Eng Samed Hajajla</v>
      </c>
    </row>
    <row r="78" ht="12.75" spans="1:13">
      <c r="A78" s="16" t="s">
        <v>116</v>
      </c>
      <c r="B78" s="33" t="str">
        <f>HYPERLINK("http://codeforces.com/contest/289/problem/A","CF289-D2-A")</f>
        <v>CF289-D2-A</v>
      </c>
      <c r="C78" s="10">
        <v>1</v>
      </c>
      <c r="D78" s="10"/>
      <c r="E78" s="10"/>
      <c r="F78" s="10"/>
      <c r="G78" s="10"/>
      <c r="H78" s="10"/>
      <c r="I78" s="10">
        <f t="shared" si="4"/>
        <v>0</v>
      </c>
      <c r="J78" s="3"/>
      <c r="K78" s="10"/>
      <c r="L78" s="3"/>
      <c r="M78" s="17" t="str">
        <f>HYPERLINK("https://www.youtube.com/watch?v=EjH3kDiEpS0","Video Solution - Eng Mostafa Saad")</f>
        <v>Video Solution - Eng Mostafa Saad</v>
      </c>
    </row>
    <row r="79" ht="12.75" spans="1:13">
      <c r="A79" s="16" t="s">
        <v>117</v>
      </c>
      <c r="B79" s="33" t="str">
        <f>HYPERLINK("http://codeforces.com/contest/287/problem/A","CF287-D2-A")</f>
        <v>CF287-D2-A</v>
      </c>
      <c r="C79" s="10">
        <v>1</v>
      </c>
      <c r="D79" s="10"/>
      <c r="E79" s="10"/>
      <c r="F79" s="10"/>
      <c r="G79" s="10"/>
      <c r="H79" s="10"/>
      <c r="I79" s="10">
        <f t="shared" si="4"/>
        <v>0</v>
      </c>
      <c r="J79" s="3"/>
      <c r="K79" s="10"/>
      <c r="L79" s="3"/>
      <c r="M79" s="17" t="str">
        <f>HYPERLINK("https://www.youtube.com/watch?v=n7uY7HC4XIM","Video Solution - Eng Mostafa Saad")</f>
        <v>Video Solution - Eng Mostafa Saad</v>
      </c>
    </row>
    <row r="80" ht="12.75" spans="1:13">
      <c r="A80" s="16" t="s">
        <v>118</v>
      </c>
      <c r="B80" s="33" t="str">
        <f>HYPERLINK("http://codeforces.com/contest/296/problem/A","CF296-D2-A")</f>
        <v>CF296-D2-A</v>
      </c>
      <c r="C80" s="10">
        <v>1</v>
      </c>
      <c r="D80" s="10"/>
      <c r="E80" s="10"/>
      <c r="F80" s="10"/>
      <c r="G80" s="10"/>
      <c r="H80" s="10"/>
      <c r="I80" s="10">
        <f t="shared" si="4"/>
        <v>0</v>
      </c>
      <c r="J80" s="3"/>
      <c r="K80" s="10"/>
      <c r="L80" s="3"/>
      <c r="M80" s="17" t="str">
        <f>HYPERLINK("https://www.youtube.com/watch?v=kdgWBRPqMfo","Video Solution - Eng Mostafa Saad")</f>
        <v>Video Solution - Eng Mostafa Saad</v>
      </c>
    </row>
    <row r="81" ht="12.75" spans="1:13">
      <c r="A81" s="16" t="s">
        <v>119</v>
      </c>
      <c r="B81" s="33" t="str">
        <f>HYPERLINK("http://codeforces.com/contest/298/problem/A","CF298-D2-A")</f>
        <v>CF298-D2-A</v>
      </c>
      <c r="C81" s="10">
        <v>1</v>
      </c>
      <c r="D81" s="10"/>
      <c r="E81" s="10"/>
      <c r="F81" s="10"/>
      <c r="G81" s="10"/>
      <c r="H81" s="10"/>
      <c r="I81" s="10">
        <f t="shared" si="4"/>
        <v>0</v>
      </c>
      <c r="J81" s="3"/>
      <c r="K81" s="10"/>
      <c r="L81" s="3"/>
      <c r="M81" s="17" t="str">
        <f>HYPERLINK("https://www.youtube.com/watch?v=oX_hPHnYgMA","Video Solution - Eng Mostafa Saad")</f>
        <v>Video Solution - Eng Mostafa Saad</v>
      </c>
    </row>
    <row r="82" ht="12.75" spans="1:13">
      <c r="A82" s="28"/>
      <c r="B82" s="29"/>
      <c r="C82" s="10"/>
      <c r="D82" s="10"/>
      <c r="E82" s="10"/>
      <c r="F82" s="10"/>
      <c r="G82" s="10"/>
      <c r="H82" s="10"/>
      <c r="I82" s="10"/>
      <c r="J82" s="10"/>
      <c r="K82" s="10"/>
      <c r="L82" s="10"/>
      <c r="M82" s="25"/>
    </row>
    <row r="83" ht="12.75" spans="1:13">
      <c r="A83" s="28"/>
      <c r="B83" s="29"/>
      <c r="C83" s="10"/>
      <c r="D83" s="10"/>
      <c r="E83" s="10"/>
      <c r="F83" s="10"/>
      <c r="G83" s="10"/>
      <c r="H83" s="10"/>
      <c r="I83" s="10">
        <f t="shared" ref="I83:I86" si="5">SUM(E83:H83)</f>
        <v>0</v>
      </c>
      <c r="J83" s="10"/>
      <c r="K83" s="10"/>
      <c r="L83" s="10"/>
      <c r="M83" s="25" t="str">
        <f>HYPERLINK("https://www.youtube.com/watch?v=2G7RzlxTNPo","Watch - Search Techniques - Binary Search")</f>
        <v>Watch - Search Techniques - Binary Search</v>
      </c>
    </row>
    <row r="84" ht="12.75" spans="1:13">
      <c r="A84" s="28" t="s">
        <v>120</v>
      </c>
      <c r="B84" s="26" t="str">
        <f>HYPERLINK("https://uva.onlinejudge.org/index.php?option=com_onlinejudge&amp;Itemid=8&amp;page=show_problem&amp;problem=1552","UVA 10611")</f>
        <v>UVA 10611</v>
      </c>
      <c r="C84" s="10">
        <v>1</v>
      </c>
      <c r="D84" s="10"/>
      <c r="E84" s="10"/>
      <c r="F84" s="10"/>
      <c r="G84" s="10"/>
      <c r="H84" s="10"/>
      <c r="I84" s="10">
        <f t="shared" si="5"/>
        <v>0</v>
      </c>
      <c r="J84" s="3"/>
      <c r="K84" s="10"/>
      <c r="L84" s="3"/>
      <c r="M84" s="17" t="str">
        <f>HYPERLINK("https://www.youtube.com/watch?v=OsfeunBJFzw","Video Solution - Eng Ayman Salah")</f>
        <v>Video Solution - Eng Ayman Salah</v>
      </c>
    </row>
    <row r="85" ht="12.75" spans="1:13">
      <c r="A85" s="28" t="s">
        <v>121</v>
      </c>
      <c r="B85" s="26" t="str">
        <f>HYPERLINK("http://codeforces.com/contest/287/problem/B","CF287-D2-B")</f>
        <v>CF287-D2-B</v>
      </c>
      <c r="C85" s="10">
        <v>1</v>
      </c>
      <c r="D85" s="10"/>
      <c r="E85" s="10"/>
      <c r="F85" s="10"/>
      <c r="G85" s="10"/>
      <c r="H85" s="10"/>
      <c r="I85" s="10">
        <f t="shared" si="5"/>
        <v>0</v>
      </c>
      <c r="J85" s="10"/>
      <c r="K85" s="10"/>
      <c r="L85" s="10"/>
      <c r="M85" s="26" t="str">
        <f>HYPERLINK("https://www.youtube.com/watch?v=mhrz7F01Vqs","Video Solution - Eng Mostafa Saad")</f>
        <v>Video Solution - Eng Mostafa Saad</v>
      </c>
    </row>
    <row r="86" ht="12.75" spans="1:13">
      <c r="A86" s="28" t="s">
        <v>122</v>
      </c>
      <c r="B86" s="26" t="str">
        <f>HYPERLINK("http://www.spoj.com/problems/AGGRCOW/","SPOJ AGGRCOW")</f>
        <v>SPOJ AGGRCOW</v>
      </c>
      <c r="C86" s="10">
        <v>1</v>
      </c>
      <c r="D86" s="10"/>
      <c r="E86" s="10"/>
      <c r="F86" s="10"/>
      <c r="G86" s="10"/>
      <c r="H86" s="10"/>
      <c r="I86" s="10">
        <f t="shared" si="5"/>
        <v>0</v>
      </c>
      <c r="J86" s="3"/>
      <c r="K86" s="10"/>
      <c r="L86" s="3"/>
      <c r="M86" s="43" t="str">
        <f>HYPERLINK("https://www.youtube.com/watch?v=2R9L6mVal9U","Video Solution - Eng Youssef El Ghareeb")</f>
        <v>Video Solution - Eng Youssef El Ghareeb</v>
      </c>
    </row>
    <row r="87" customHeight="1" spans="3:4">
      <c r="C87" s="48" t="s">
        <v>123</v>
      </c>
      <c r="D87" s="48"/>
    </row>
    <row r="88" customHeight="1" spans="3:4">
      <c r="C88" t="s">
        <v>124</v>
      </c>
      <c r="D88" t="s">
        <v>55</v>
      </c>
    </row>
    <row r="89" customHeight="1" spans="3:4">
      <c r="C89">
        <f>SUM(C12:C86)</f>
        <v>22</v>
      </c>
      <c r="D89">
        <f>COUNTIF(C11:C86,"end")</f>
        <v>41</v>
      </c>
    </row>
  </sheetData>
  <mergeCells count="1">
    <mergeCell ref="C87:D87"/>
  </mergeCells>
  <conditionalFormatting sqref="C14:C122">
    <cfRule type="containsText" dxfId="0" priority="3" operator="between" text="WA">
      <formula>NOT(ISERROR(SEARCH("WA",C14)))</formula>
    </cfRule>
    <cfRule type="containsText" dxfId="1" priority="5" operator="between" text="TLE">
      <formula>NOT(ISERROR(SEARCH("TLE",C14)))</formula>
    </cfRule>
    <cfRule type="containsText" dxfId="2" priority="7" operator="between" text="RTE">
      <formula>NOT(ISERROR(SEARCH("RTE",C14)))</formula>
    </cfRule>
    <cfRule type="containsText" dxfId="3" priority="9" operator="between" text="CS">
      <formula>NOT(ISERROR(SEARCH("CS",C14)))</formula>
    </cfRule>
  </conditionalFormatting>
  <conditionalFormatting sqref="C3:C10 C12:C122">
    <cfRule type="cellIs" dxfId="4" priority="1" operator="equal">
      <formula>"AC"</formula>
    </cfRule>
    <cfRule type="containsText" dxfId="0" priority="2" operator="between" text="WA">
      <formula>NOT(ISERROR(SEARCH("WA",C3)))</formula>
    </cfRule>
    <cfRule type="containsText" dxfId="1" priority="4" operator="between" text="TLE">
      <formula>NOT(ISERROR(SEARCH("TLE",C3)))</formula>
    </cfRule>
    <cfRule type="containsText" dxfId="2" priority="6" operator="between" text="RTE">
      <formula>NOT(ISERROR(SEARCH("RTE",C3)))</formula>
    </cfRule>
    <cfRule type="containsText" dxfId="3" priority="8" operator="between" text="CS">
      <formula>NOT(ISERROR(SEARCH("CS",C3)))</formula>
    </cfRule>
  </conditionalFormatting>
  <conditionalFormatting sqref="K3:K10 K12:K86">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78"/>
  <sheetViews>
    <sheetView workbookViewId="0">
      <pane xSplit="2" ySplit="2" topLeftCell="C3" activePane="bottomRight" state="frozen"/>
      <selection/>
      <selection pane="topRight"/>
      <selection pane="bottomLeft"/>
      <selection pane="bottomRight" activeCell="I20" sqref="I20"/>
    </sheetView>
  </sheetViews>
  <sheetFormatPr defaultColWidth="17.2857142857143" defaultRowHeight="15.75" customHeight="1"/>
  <cols>
    <col min="1" max="1" width="16" customWidth="1"/>
    <col min="2" max="2" width="15.5714285714286"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ht="25.5" spans="1:13">
      <c r="A1" s="13"/>
      <c r="B1" s="13" t="s">
        <v>18</v>
      </c>
      <c r="C1" s="2" t="s">
        <v>19</v>
      </c>
      <c r="D1" s="2" t="s">
        <v>20</v>
      </c>
      <c r="E1" s="2" t="s">
        <v>21</v>
      </c>
      <c r="F1" s="2" t="s">
        <v>22</v>
      </c>
      <c r="G1" s="2" t="s">
        <v>23</v>
      </c>
      <c r="H1" s="2" t="s">
        <v>24</v>
      </c>
      <c r="I1" s="2" t="s">
        <v>25</v>
      </c>
      <c r="J1" s="2" t="s">
        <v>26</v>
      </c>
      <c r="K1" s="2" t="s">
        <v>27</v>
      </c>
      <c r="L1" s="2" t="s">
        <v>28</v>
      </c>
      <c r="M1" s="19" t="s">
        <v>29</v>
      </c>
    </row>
    <row r="2" ht="12.75" spans="1:13">
      <c r="A2" s="14"/>
      <c r="B2" s="15" t="s">
        <v>30</v>
      </c>
      <c r="C2" s="4">
        <f>COUNTIF(C3:C10338,"AC")</f>
        <v>0</v>
      </c>
      <c r="D2" s="4" t="e">
        <f ca="1">ROUND(SUMPRODUCT(D3:D10338,INT(EQ(C3:C10338,"AC")))/MAX(1,C2),1)</f>
        <v>#NAME?</v>
      </c>
      <c r="E2" s="4">
        <v>0</v>
      </c>
      <c r="F2" s="4">
        <v>0</v>
      </c>
      <c r="G2" s="4">
        <v>0</v>
      </c>
      <c r="H2" s="4">
        <v>0</v>
      </c>
      <c r="I2" s="4">
        <v>0</v>
      </c>
      <c r="J2" s="4" t="e">
        <f ca="1">ROUND(SUMPRODUCT(J3:J10333,INT(EQ(C3:C10333,"AC")))/MAX(1,C2),1)</f>
        <v>#NAME?</v>
      </c>
      <c r="K2" s="4" t="e">
        <f ca="1">SUMPRODUCT(EQ(K3:K10338,"YES"),INT(EQ(C3:C10363,"AC")))</f>
        <v>#NAME?</v>
      </c>
      <c r="L2" s="8">
        <f ca="1">IFERROR(__xludf.DUMMYFUNCTION("COUNTA(FILTER(C3:C9830, NOT(REGEXMATCH(C3:C9830, ""AC""))))"),0)</f>
        <v>0</v>
      </c>
      <c r="M2" s="9">
        <f ca="1">IFERROR(__xludf.DUMMYFUNCTION("COUNTA(FILTER(C3:C9824, NOT(REGEXMATCH(C3:C9824, ""AC""))))"),0)</f>
        <v>0</v>
      </c>
    </row>
    <row r="3" ht="12.75" spans="1:13">
      <c r="A3" s="15"/>
      <c r="B3" s="15"/>
      <c r="C3" s="6"/>
      <c r="D3" s="6"/>
      <c r="E3" s="6"/>
      <c r="F3" s="6"/>
      <c r="G3" s="6"/>
      <c r="H3" s="6"/>
      <c r="I3" s="10">
        <f t="shared" ref="I3:I77" si="0">SUM(E3:H3)</f>
        <v>0</v>
      </c>
      <c r="J3" s="10"/>
      <c r="K3" s="10"/>
      <c r="L3" s="6"/>
      <c r="M3" s="20" t="str">
        <f>HYPERLINK("https://www.youtube.com/watch?v=x1rCxxKfFbM","Watch - Thinking - Problem Simplification ")</f>
        <v>Watch - Thinking - Problem Simplification </v>
      </c>
    </row>
    <row r="4" ht="12.75" spans="1:13">
      <c r="A4" s="15"/>
      <c r="B4" s="15"/>
      <c r="C4" s="6"/>
      <c r="D4" s="6"/>
      <c r="E4" s="6"/>
      <c r="F4" s="6"/>
      <c r="G4" s="6"/>
      <c r="H4" s="6"/>
      <c r="I4" s="10">
        <f t="shared" si="0"/>
        <v>0</v>
      </c>
      <c r="J4" s="10"/>
      <c r="K4" s="10"/>
      <c r="L4" s="6"/>
      <c r="M4" s="20" t="str">
        <f>HYPERLINK("https://www.youtube.com/watch?v=7z1498LTCgg","Watch - Thinking - Brainstorm - Rank - Approach ")</f>
        <v>Watch - Thinking - Brainstorm - Rank - Approach </v>
      </c>
    </row>
    <row r="5" ht="12.75" spans="1:13">
      <c r="A5" s="15" t="s">
        <v>125</v>
      </c>
      <c r="B5" s="17" t="str">
        <f>HYPERLINK("http://codeforces.com/contest/746/problem/B","CF746-D2-B")</f>
        <v>CF746-D2-B</v>
      </c>
      <c r="C5" s="6">
        <v>1</v>
      </c>
      <c r="D5" s="6"/>
      <c r="E5" s="6"/>
      <c r="F5" s="6"/>
      <c r="G5" s="6"/>
      <c r="H5" s="6"/>
      <c r="I5" s="10">
        <f t="shared" si="0"/>
        <v>0</v>
      </c>
      <c r="J5" s="10"/>
      <c r="K5" s="10"/>
      <c r="L5" s="6"/>
      <c r="M5" s="18" t="str">
        <f>HYPERLINK("https://www.youtube.com/watch?v=FI5HvI9SQtA","Video Solution - Solver to be (Java)")</f>
        <v>Video Solution - Solver to be (Java)</v>
      </c>
    </row>
    <row r="6" ht="12.75" spans="1:13">
      <c r="A6" s="15" t="s">
        <v>126</v>
      </c>
      <c r="B6" s="18" t="str">
        <f>HYPERLINK("http://codeforces.com/contest/66/problem/B","CF66-D2-B")</f>
        <v>CF66-D2-B</v>
      </c>
      <c r="C6" s="6">
        <v>1</v>
      </c>
      <c r="D6" s="6"/>
      <c r="E6" s="6"/>
      <c r="F6" s="6"/>
      <c r="G6" s="6"/>
      <c r="H6" s="6"/>
      <c r="I6" s="10">
        <f t="shared" si="0"/>
        <v>0</v>
      </c>
      <c r="J6" s="10"/>
      <c r="K6" s="10"/>
      <c r="L6" s="6"/>
      <c r="M6" s="18" t="str">
        <f>HYPERLINK("https://www.youtube.com/watch?v=XRgCL-gVU7M&amp;feature=youtu.be","Video Solution - Eng Muntaser Abukadeja")</f>
        <v>Video Solution - Eng Muntaser Abukadeja</v>
      </c>
    </row>
    <row r="7" ht="12.75" spans="1:13">
      <c r="A7" s="15" t="s">
        <v>127</v>
      </c>
      <c r="B7" s="18" t="str">
        <f>HYPERLINK("http://codeforces.com/contest/680/problem/B","CF680-D2-B")</f>
        <v>CF680-D2-B</v>
      </c>
      <c r="C7" s="6">
        <v>1</v>
      </c>
      <c r="D7" s="6"/>
      <c r="E7" s="6"/>
      <c r="F7" s="6"/>
      <c r="G7" s="6"/>
      <c r="H7" s="6"/>
      <c r="I7" s="10">
        <f t="shared" si="0"/>
        <v>0</v>
      </c>
      <c r="J7" s="10"/>
      <c r="K7" s="10"/>
      <c r="L7" s="6"/>
      <c r="M7" s="18" t="str">
        <f>HYPERLINK("https://www.youtube.com/watch?v=oKRNtI-ZI5g&amp;feature=youtu.be","Video Solution - Eng Muntaser Abukadeja")</f>
        <v>Video Solution - Eng Muntaser Abukadeja</v>
      </c>
    </row>
    <row r="8" ht="12.75" spans="1:13">
      <c r="A8" s="15" t="s">
        <v>128</v>
      </c>
      <c r="B8" s="18" t="str">
        <f>HYPERLINK("http://codeforces.com/contest/16/problem/B","CF16-D2-B")</f>
        <v>CF16-D2-B</v>
      </c>
      <c r="C8" s="6">
        <v>1</v>
      </c>
      <c r="D8" s="6"/>
      <c r="E8" s="6"/>
      <c r="F8" s="6"/>
      <c r="G8" s="6"/>
      <c r="H8" s="6"/>
      <c r="I8" s="10">
        <f t="shared" si="0"/>
        <v>0</v>
      </c>
      <c r="J8" s="10"/>
      <c r="K8" s="10"/>
      <c r="L8" s="6"/>
      <c r="M8" s="18" t="str">
        <f>HYPERLINK("https://www.youtube.com/watch?v=eDg_yuWBS8o&amp;feature=youtu.be","Video Solution - Eng Muntaser Abukadeja")</f>
        <v>Video Solution - Eng Muntaser Abukadeja</v>
      </c>
    </row>
    <row r="9" ht="12.75" spans="1:13">
      <c r="A9" s="15" t="s">
        <v>129</v>
      </c>
      <c r="B9" s="18" t="str">
        <f>HYPERLINK("http://codeforces.com/contest/102/problem/B","CF102-D2-B")</f>
        <v>CF102-D2-B</v>
      </c>
      <c r="C9" s="6">
        <v>1</v>
      </c>
      <c r="D9" s="6"/>
      <c r="E9" s="6"/>
      <c r="F9" s="6"/>
      <c r="G9" s="6"/>
      <c r="H9" s="6"/>
      <c r="I9" s="10">
        <f t="shared" si="0"/>
        <v>0</v>
      </c>
      <c r="J9" s="10"/>
      <c r="K9" s="10"/>
      <c r="L9" s="6"/>
      <c r="M9" s="18" t="str">
        <f>HYPERLINK("https://www.youtube.com/watch?v=_qdIm9Yj9_U","Video Solution - Eng Muntaser Abukadeja")</f>
        <v>Video Solution - Eng Muntaser Abukadeja</v>
      </c>
    </row>
    <row r="10" ht="12.75" spans="1:13">
      <c r="A10" s="15" t="s">
        <v>130</v>
      </c>
      <c r="B10" s="18" t="str">
        <f>HYPERLINK("http://codeforces.com/contest/47/problem/B","CF47-D2-B")</f>
        <v>CF47-D2-B</v>
      </c>
      <c r="C10" s="6">
        <v>1</v>
      </c>
      <c r="D10" s="6"/>
      <c r="E10" s="6"/>
      <c r="F10" s="6"/>
      <c r="G10" s="6"/>
      <c r="H10" s="6"/>
      <c r="I10" s="10">
        <f t="shared" si="0"/>
        <v>0</v>
      </c>
      <c r="J10" s="10"/>
      <c r="K10" s="10"/>
      <c r="L10" s="6"/>
      <c r="M10" s="18" t="str">
        <f>HYPERLINK("https://www.youtube.com/watch?v=lvK0ZlpWeEY&amp;feature=youtu.be","Video Solution - Eng Samed Hajajla")</f>
        <v>Video Solution - Eng Samed Hajajla</v>
      </c>
    </row>
    <row r="11" ht="12.75" spans="1:13">
      <c r="A11" s="15" t="s">
        <v>131</v>
      </c>
      <c r="B11" s="17" t="str">
        <f>HYPERLINK("http://codeforces.com/contest/492/problem/B","CF492-D2-B")</f>
        <v>CF492-D2-B</v>
      </c>
      <c r="C11" s="6">
        <v>1</v>
      </c>
      <c r="D11" s="6"/>
      <c r="E11" s="6"/>
      <c r="F11" s="6"/>
      <c r="G11" s="6"/>
      <c r="H11" s="6"/>
      <c r="I11" s="10">
        <f t="shared" si="0"/>
        <v>0</v>
      </c>
      <c r="J11" s="10"/>
      <c r="K11" s="10"/>
      <c r="L11" s="3"/>
      <c r="M11" s="17" t="str">
        <f>HYPERLINK("https://www.youtube.com/watch?v=i4fMKTt8e84","Video Solution - Solver to be (Java)")</f>
        <v>Video Solution - Solver to be (Java)</v>
      </c>
    </row>
    <row r="12" ht="12.75" spans="1:13">
      <c r="A12" s="15" t="s">
        <v>132</v>
      </c>
      <c r="B12" s="18" t="str">
        <f>HYPERLINK("http://codeforces.com/contest/227/problem/B","CF227-D2-B")</f>
        <v>CF227-D2-B</v>
      </c>
      <c r="C12" s="6">
        <v>1</v>
      </c>
      <c r="D12" s="6"/>
      <c r="E12" s="6"/>
      <c r="F12" s="6"/>
      <c r="G12" s="6"/>
      <c r="H12" s="6"/>
      <c r="I12" s="10">
        <f t="shared" si="0"/>
        <v>0</v>
      </c>
      <c r="J12" s="10"/>
      <c r="K12" s="10"/>
      <c r="L12" s="6"/>
      <c r="M12" s="18" t="str">
        <f>HYPERLINK("https://www.youtube.com/watch?v=76gg4S0A2nk","Video Solution - Eng Abanob Ashraf")</f>
        <v>Video Solution - Eng Abanob Ashraf</v>
      </c>
    </row>
    <row r="13" ht="12.75" spans="1:13">
      <c r="A13" s="15" t="s">
        <v>133</v>
      </c>
      <c r="B13" s="18" t="str">
        <f>HYPERLINK("http://codeforces.com/contest/78/problem/B","CF78-D2-B")</f>
        <v>CF78-D2-B</v>
      </c>
      <c r="C13" s="6">
        <v>1</v>
      </c>
      <c r="D13" s="6"/>
      <c r="E13" s="6"/>
      <c r="F13" s="6"/>
      <c r="G13" s="6"/>
      <c r="H13" s="6"/>
      <c r="I13" s="10">
        <f t="shared" si="0"/>
        <v>0</v>
      </c>
      <c r="J13" s="10"/>
      <c r="K13" s="10"/>
      <c r="L13" s="6"/>
      <c r="M13" s="18" t="str">
        <f>HYPERLINK("https://www.youtube.com/watch?v=rJN_rI2xiV4","Video Solution - Eng Abanob Ashraf")</f>
        <v>Video Solution - Eng Abanob Ashraf</v>
      </c>
    </row>
    <row r="14" ht="12.75" spans="1:13">
      <c r="A14" s="15"/>
      <c r="B14" s="15"/>
      <c r="C14" s="6">
        <v>0</v>
      </c>
      <c r="D14" s="6"/>
      <c r="E14" s="6"/>
      <c r="F14" s="6"/>
      <c r="G14" s="6"/>
      <c r="H14" s="6"/>
      <c r="I14" s="10">
        <f t="shared" si="0"/>
        <v>0</v>
      </c>
      <c r="J14" s="10"/>
      <c r="K14" s="10"/>
      <c r="L14" s="6"/>
      <c r="M14" s="15"/>
    </row>
    <row r="15" ht="12.75" spans="1:13">
      <c r="A15" s="15"/>
      <c r="B15" s="17"/>
      <c r="C15" s="6">
        <v>0</v>
      </c>
      <c r="D15" s="6"/>
      <c r="E15" s="6"/>
      <c r="F15" s="6"/>
      <c r="G15" s="6"/>
      <c r="H15" s="6"/>
      <c r="I15" s="10">
        <f t="shared" si="0"/>
        <v>0</v>
      </c>
      <c r="J15" s="10"/>
      <c r="K15" s="10"/>
      <c r="L15" s="6"/>
      <c r="M15" s="24" t="str">
        <f>HYPERLINK("https://www.youtube.com/watch?v=hqOqr6vFPp8","Watch - Prefix Sum")</f>
        <v>Watch - Prefix Sum</v>
      </c>
    </row>
    <row r="16" ht="12.75" spans="1:13">
      <c r="A16" s="15" t="s">
        <v>134</v>
      </c>
      <c r="B16" s="17" t="str">
        <f>HYPERLINK("http://codeforces.com/contest/433/problem/B","CF433-D2-B")</f>
        <v>CF433-D2-B</v>
      </c>
      <c r="C16" s="6">
        <v>1</v>
      </c>
      <c r="D16" s="6"/>
      <c r="E16" s="6"/>
      <c r="F16" s="6"/>
      <c r="G16" s="6"/>
      <c r="H16" s="6"/>
      <c r="I16" s="10">
        <f t="shared" si="0"/>
        <v>0</v>
      </c>
      <c r="J16" s="3"/>
      <c r="K16" s="3"/>
      <c r="L16" s="3"/>
      <c r="M16" s="3"/>
    </row>
    <row r="17" ht="12.75" spans="1:13">
      <c r="A17" s="15"/>
      <c r="B17" s="17" t="s">
        <v>135</v>
      </c>
      <c r="C17" s="6">
        <v>1</v>
      </c>
      <c r="D17" s="6"/>
      <c r="E17" s="6"/>
      <c r="F17" s="6"/>
      <c r="G17" s="6"/>
      <c r="H17" s="6"/>
      <c r="I17" s="10">
        <f t="shared" si="0"/>
        <v>0</v>
      </c>
      <c r="J17" s="10"/>
      <c r="K17" s="10"/>
      <c r="L17" s="6"/>
      <c r="M17" s="15"/>
    </row>
    <row r="18" ht="12.75" spans="1:13">
      <c r="A18" s="15"/>
      <c r="B18" s="17" t="s">
        <v>136</v>
      </c>
      <c r="C18" s="6">
        <v>1</v>
      </c>
      <c r="D18" s="6"/>
      <c r="E18" s="6"/>
      <c r="F18" s="6"/>
      <c r="G18" s="6"/>
      <c r="H18" s="6"/>
      <c r="I18" s="10">
        <f t="shared" si="0"/>
        <v>0</v>
      </c>
      <c r="J18" s="10"/>
      <c r="K18" s="10"/>
      <c r="L18" s="6"/>
      <c r="M18" s="15"/>
    </row>
    <row r="19" ht="12.75" spans="1:13">
      <c r="A19" s="15"/>
      <c r="B19" s="15"/>
      <c r="C19" s="6">
        <v>0</v>
      </c>
      <c r="D19" s="6"/>
      <c r="E19" s="6"/>
      <c r="F19" s="6"/>
      <c r="G19" s="6"/>
      <c r="H19" s="6"/>
      <c r="I19" s="10">
        <f t="shared" si="0"/>
        <v>0</v>
      </c>
      <c r="J19" s="10"/>
      <c r="K19" s="10"/>
      <c r="L19" s="6"/>
      <c r="M19" s="15"/>
    </row>
    <row r="20" ht="12.75" spans="1:13">
      <c r="A20" s="15" t="s">
        <v>137</v>
      </c>
      <c r="B20" s="18" t="str">
        <f>HYPERLINK("http://codeforces.com/contest/6/problem/B","CF6-D2-B")</f>
        <v>CF6-D2-B</v>
      </c>
      <c r="C20" s="6">
        <v>1</v>
      </c>
      <c r="D20" s="6"/>
      <c r="E20" s="6"/>
      <c r="F20" s="6"/>
      <c r="G20" s="6"/>
      <c r="H20" s="6"/>
      <c r="I20" s="10">
        <f t="shared" si="0"/>
        <v>0</v>
      </c>
      <c r="J20" s="10"/>
      <c r="K20" s="10"/>
      <c r="L20" s="6"/>
      <c r="M20" s="18" t="str">
        <f>HYPERLINK("https://www.youtube.com/watch?v=FTM7HQahAc8&amp;feature=youtu.be","Video Solution - Eng Muntaser Abukadeja")</f>
        <v>Video Solution - Eng Muntaser Abukadeja</v>
      </c>
    </row>
    <row r="21" ht="12.75" spans="1:13">
      <c r="A21" s="15" t="s">
        <v>138</v>
      </c>
      <c r="B21" s="17" t="str">
        <f>HYPERLINK("http://codeforces.com/contest/363/problem/B","CF363-D2-B")</f>
        <v>CF363-D2-B</v>
      </c>
      <c r="C21" s="6">
        <v>1</v>
      </c>
      <c r="D21" s="6"/>
      <c r="E21" s="6"/>
      <c r="F21" s="6"/>
      <c r="G21" s="6"/>
      <c r="H21" s="6"/>
      <c r="I21" s="10">
        <f t="shared" si="0"/>
        <v>0</v>
      </c>
      <c r="J21" s="10"/>
      <c r="K21" s="10"/>
      <c r="L21" s="3"/>
      <c r="M21" s="18" t="str">
        <f>HYPERLINK("https://www.youtube.com/watch?v=uwbfFMVMYBg&amp;feature=youtu.be","Video Solution - Eng Muntaser Abukadeja")</f>
        <v>Video Solution - Eng Muntaser Abukadeja</v>
      </c>
    </row>
    <row r="22" ht="12.75" spans="1:13">
      <c r="A22" s="16" t="s">
        <v>139</v>
      </c>
      <c r="B22" s="23" t="str">
        <f>HYPERLINK("http://codeforces.com/contest/688/problem/B","CF688-D2-B")</f>
        <v>CF688-D2-B</v>
      </c>
      <c r="C22" s="6">
        <v>1</v>
      </c>
      <c r="D22" s="6"/>
      <c r="E22" s="6"/>
      <c r="F22" s="6"/>
      <c r="G22" s="6"/>
      <c r="H22" s="6"/>
      <c r="I22" s="10">
        <f t="shared" si="0"/>
        <v>0</v>
      </c>
      <c r="J22" s="10"/>
      <c r="K22" s="10"/>
      <c r="L22" s="3"/>
      <c r="M22" s="18" t="str">
        <f>HYPERLINK("https://www.youtube.com/watch?v=sy_g77hnbaA","Video Solution - Solver to be (Java)")</f>
        <v>Video Solution - Solver to be (Java)</v>
      </c>
    </row>
    <row r="23" ht="12.75" spans="1:13">
      <c r="A23" s="16" t="s">
        <v>140</v>
      </c>
      <c r="B23" s="23" t="str">
        <f>HYPERLINK("http://codeforces.com/contest/451/problem/B","CF451-D2-B")</f>
        <v>CF451-D2-B</v>
      </c>
      <c r="C23" s="6">
        <v>1</v>
      </c>
      <c r="D23" s="6"/>
      <c r="E23" s="6"/>
      <c r="F23" s="6"/>
      <c r="G23" s="6"/>
      <c r="H23" s="6"/>
      <c r="I23" s="10">
        <f t="shared" si="0"/>
        <v>0</v>
      </c>
      <c r="J23" s="10"/>
      <c r="K23" s="10"/>
      <c r="L23" s="3"/>
      <c r="M23" s="18" t="str">
        <f>HYPERLINK("https://www.youtube.com/watch?v=I_WHkB7Aeeo","Video Solution - Solver to be (Java)")</f>
        <v>Video Solution - Solver to be (Java)</v>
      </c>
    </row>
    <row r="24" ht="12.75" spans="1:13">
      <c r="A24" s="16" t="s">
        <v>141</v>
      </c>
      <c r="B24" s="23" t="str">
        <f>HYPERLINK("http://codeforces.com/contest/439/problem/B","CF439-D2-B")</f>
        <v>CF439-D2-B</v>
      </c>
      <c r="C24" s="6">
        <v>1</v>
      </c>
      <c r="D24" s="6"/>
      <c r="E24" s="6"/>
      <c r="F24" s="6"/>
      <c r="G24" s="6"/>
      <c r="H24" s="6"/>
      <c r="I24" s="10">
        <f t="shared" si="0"/>
        <v>0</v>
      </c>
      <c r="J24" s="10"/>
      <c r="K24" s="10"/>
      <c r="L24" s="3"/>
      <c r="M24" s="18" t="str">
        <f>HYPERLINK("https://www.youtube.com/watch?v=KoGeW-vs7VY","Video Solution - Solver to be (Java)")</f>
        <v>Video Solution - Solver to be (Java)</v>
      </c>
    </row>
    <row r="25" ht="12.75" spans="1:13">
      <c r="A25" s="16" t="s">
        <v>142</v>
      </c>
      <c r="B25" s="23" t="str">
        <f>HYPERLINK("http://codeforces.com/contest/810/problem/B","CF810-D2-B")</f>
        <v>CF810-D2-B</v>
      </c>
      <c r="C25" s="6">
        <v>1</v>
      </c>
      <c r="D25" s="6"/>
      <c r="E25" s="6"/>
      <c r="F25" s="6"/>
      <c r="G25" s="6"/>
      <c r="H25" s="6"/>
      <c r="I25" s="10">
        <f t="shared" si="0"/>
        <v>0</v>
      </c>
      <c r="J25" s="10"/>
      <c r="K25" s="10"/>
      <c r="L25" s="3"/>
      <c r="M25" s="18" t="str">
        <f>HYPERLINK("https://www.youtube.com/watch?v=cFqla_dXSBs","Video Solution - Solver to be (Java)")</f>
        <v>Video Solution - Solver to be (Java)</v>
      </c>
    </row>
    <row r="26" ht="12.75" spans="1:13">
      <c r="A26" s="16" t="s">
        <v>143</v>
      </c>
      <c r="B26" s="23" t="str">
        <f>HYPERLINK("http://codeforces.com/contest/79/problem/B","CF79-D12-B")</f>
        <v>CF79-D12-B</v>
      </c>
      <c r="C26" s="6">
        <v>1</v>
      </c>
      <c r="D26" s="6"/>
      <c r="E26" s="6"/>
      <c r="F26" s="6"/>
      <c r="G26" s="6"/>
      <c r="H26" s="6"/>
      <c r="I26" s="10">
        <f t="shared" si="0"/>
        <v>0</v>
      </c>
      <c r="J26" s="10"/>
      <c r="K26" s="10"/>
      <c r="L26" s="3"/>
      <c r="M26" s="18" t="str">
        <f>HYPERLINK("https://www.youtube.com/watch?v=QIANdSy3nQg","Video Solution - Solver to be (Java)")</f>
        <v>Video Solution - Solver to be (Java)</v>
      </c>
    </row>
    <row r="27" ht="12.75" spans="1:13">
      <c r="A27" s="16" t="s">
        <v>100</v>
      </c>
      <c r="B27" s="23" t="str">
        <f>HYPERLINK("http://codeforces.com/contest/88/problem/B","CF88-D2-B")</f>
        <v>CF88-D2-B</v>
      </c>
      <c r="C27" s="6">
        <v>1</v>
      </c>
      <c r="D27" s="6"/>
      <c r="E27" s="6"/>
      <c r="F27" s="6"/>
      <c r="G27" s="6"/>
      <c r="H27" s="6"/>
      <c r="I27" s="10">
        <f t="shared" si="0"/>
        <v>0</v>
      </c>
      <c r="J27" s="10"/>
      <c r="K27" s="10"/>
      <c r="L27" s="3"/>
      <c r="M27" s="18" t="str">
        <f>HYPERLINK("https://www.youtube.com/watch?v=IlM9o1-xgE4&amp;feature=youtu.be","Video Solution - Eng Muntaser Abukadeja")</f>
        <v>Video Solution - Eng Muntaser Abukadeja</v>
      </c>
    </row>
    <row r="28" ht="12.75" spans="1:13">
      <c r="A28" s="16" t="s">
        <v>144</v>
      </c>
      <c r="B28" s="23" t="str">
        <f>HYPERLINK("http://codeforces.com/contest/766/problem/B","CF766-D2-B")</f>
        <v>CF766-D2-B</v>
      </c>
      <c r="C28" s="6">
        <v>1</v>
      </c>
      <c r="D28" s="6"/>
      <c r="E28" s="6"/>
      <c r="F28" s="6"/>
      <c r="G28" s="6"/>
      <c r="H28" s="6"/>
      <c r="I28" s="10">
        <f t="shared" si="0"/>
        <v>0</v>
      </c>
      <c r="J28" s="10"/>
      <c r="K28" s="10"/>
      <c r="L28" s="3"/>
      <c r="M28" s="18" t="str">
        <f>HYPERLINK("https://www.youtube.com/watch?v=dCChUGZjaS4","Video Solution - Solver to be (Java)")</f>
        <v>Video Solution - Solver to be (Java)</v>
      </c>
    </row>
    <row r="29" ht="12.75" spans="1:13">
      <c r="A29" s="16" t="s">
        <v>145</v>
      </c>
      <c r="B29" s="23" t="str">
        <f>HYPERLINK("http://codeforces.com/contest/796/problem/B","CF796-D2-B")</f>
        <v>CF796-D2-B</v>
      </c>
      <c r="C29" s="6">
        <v>1</v>
      </c>
      <c r="D29" s="6"/>
      <c r="E29" s="6"/>
      <c r="F29" s="6"/>
      <c r="G29" s="6"/>
      <c r="H29" s="6"/>
      <c r="I29" s="10">
        <f t="shared" si="0"/>
        <v>0</v>
      </c>
      <c r="J29" s="10"/>
      <c r="K29" s="10"/>
      <c r="L29" s="3"/>
      <c r="M29" s="18" t="str">
        <f>HYPERLINK("https://www.youtube.com/watch?v=sLBLgccZ3CM","Video Solution - Solver to be (Java)")</f>
        <v>Video Solution - Solver to be (Java)</v>
      </c>
    </row>
    <row r="30" ht="12.75" spans="1:13">
      <c r="A30" s="15"/>
      <c r="B30" s="15"/>
      <c r="C30" s="6">
        <v>0</v>
      </c>
      <c r="D30" s="6"/>
      <c r="E30" s="6"/>
      <c r="F30" s="6"/>
      <c r="G30" s="6"/>
      <c r="H30" s="6"/>
      <c r="I30" s="10">
        <f t="shared" si="0"/>
        <v>0</v>
      </c>
      <c r="J30" s="10"/>
      <c r="K30" s="10"/>
      <c r="L30" s="6"/>
      <c r="M30" s="20"/>
    </row>
    <row r="31" ht="12.75" spans="1:13">
      <c r="A31" s="15"/>
      <c r="B31" s="15"/>
      <c r="C31" s="6">
        <v>0</v>
      </c>
      <c r="D31" s="6"/>
      <c r="E31" s="6"/>
      <c r="F31" s="6"/>
      <c r="G31" s="6"/>
      <c r="H31" s="6"/>
      <c r="I31" s="10">
        <f t="shared" si="0"/>
        <v>0</v>
      </c>
      <c r="J31" s="10"/>
      <c r="K31" s="10"/>
      <c r="L31" s="6"/>
      <c r="M31" s="20" t="str">
        <f>HYPERLINK("https://www.youtube.com/watch?v=COB1GHq0YwY","Watch - Graph Theory - BFS")</f>
        <v>Watch - Graph Theory - BFS</v>
      </c>
    </row>
    <row r="32" ht="12.75" spans="1:13">
      <c r="A32" s="15" t="s">
        <v>146</v>
      </c>
      <c r="B32" s="18" t="str">
        <f>HYPERLINK("http://www.spoj.com/problems/TOE1/","SPOJ TOE1")</f>
        <v>SPOJ TOE1</v>
      </c>
      <c r="C32" s="6">
        <v>1</v>
      </c>
      <c r="D32" s="6"/>
      <c r="E32" s="6"/>
      <c r="F32" s="6"/>
      <c r="G32" s="6"/>
      <c r="H32" s="6"/>
      <c r="I32" s="10">
        <f t="shared" si="0"/>
        <v>0</v>
      </c>
      <c r="J32" s="10"/>
      <c r="K32" s="10"/>
      <c r="L32" s="6"/>
      <c r="M32" s="18" t="str">
        <f>HYPERLINK("https://www.youtube.com/watch?v=VM2c3csK3Ps","Video Solution - Eng Ayman Salah")</f>
        <v>Video Solution - Eng Ayman Salah</v>
      </c>
    </row>
    <row r="33" ht="12.75" spans="1:13">
      <c r="A33" s="15" t="s">
        <v>147</v>
      </c>
      <c r="B33" s="18" t="str">
        <f>HYPERLINK("http://www.spoj.com/problems/TOE2/","SPOJ TOE2")</f>
        <v>SPOJ TOE2</v>
      </c>
      <c r="C33" s="6">
        <v>1</v>
      </c>
      <c r="D33" s="6"/>
      <c r="E33" s="6"/>
      <c r="F33" s="6"/>
      <c r="G33" s="6"/>
      <c r="H33" s="6"/>
      <c r="I33" s="10">
        <f t="shared" si="0"/>
        <v>0</v>
      </c>
      <c r="J33" s="10"/>
      <c r="K33" s="10"/>
      <c r="L33" s="6"/>
      <c r="M33" s="18" t="str">
        <f>HYPERLINK("https://www.youtube.com/watch?v=LleR_xaCfMY&amp;feature=youtu.be","Video Solution - Eng Essam AlNaggar")</f>
        <v>Video Solution - Eng Essam AlNaggar</v>
      </c>
    </row>
    <row r="34" ht="12.75" spans="1:13">
      <c r="A34" s="15" t="s">
        <v>148</v>
      </c>
      <c r="B34" s="18" t="str">
        <f>HYPERLINK("https://uva.onlinejudge.org/index.php?option=com_onlinejudge&amp;Itemid=8&amp;page=show_problem&amp;problem=380","UVA 439")</f>
        <v>UVA 439</v>
      </c>
      <c r="C34" s="6">
        <v>1</v>
      </c>
      <c r="D34" s="6"/>
      <c r="E34" s="6"/>
      <c r="F34" s="6"/>
      <c r="G34" s="6"/>
      <c r="H34" s="6"/>
      <c r="I34" s="10">
        <f t="shared" si="0"/>
        <v>0</v>
      </c>
      <c r="J34" s="10"/>
      <c r="K34" s="10"/>
      <c r="L34" s="6"/>
      <c r="M34" s="18" t="str">
        <f>HYPERLINK("https://www.youtube.com/watch?v=_S7BCbISrdo&amp;feature=youtu.be","Video Solution - Eng Magdy Hasan")</f>
        <v>Video Solution - Eng Magdy Hasan</v>
      </c>
    </row>
    <row r="35" ht="12.75" spans="1:13">
      <c r="A35" s="15" t="s">
        <v>149</v>
      </c>
      <c r="B35" s="18" t="str">
        <f>HYPERLINK("http://codeforces.com/contest/242/problem/C","CF242-D2-C")</f>
        <v>CF242-D2-C</v>
      </c>
      <c r="C35" s="6">
        <v>1</v>
      </c>
      <c r="D35" s="6"/>
      <c r="E35" s="6"/>
      <c r="F35" s="6"/>
      <c r="G35" s="6"/>
      <c r="H35" s="6"/>
      <c r="I35" s="10">
        <f t="shared" si="0"/>
        <v>0</v>
      </c>
      <c r="J35" s="10"/>
      <c r="K35" s="10"/>
      <c r="L35" s="6"/>
      <c r="M35" s="18" t="str">
        <f>HYPERLINK("https://www.youtube.com/watch?v=KmxeOFQ_4Rw","Video Solution - Eng Mostafa Saad")</f>
        <v>Video Solution - Eng Mostafa Saad</v>
      </c>
    </row>
    <row r="36" ht="12.75" spans="1:13">
      <c r="A36" s="15"/>
      <c r="B36" s="17"/>
      <c r="C36" s="6">
        <v>0</v>
      </c>
      <c r="D36" s="6"/>
      <c r="E36" s="6"/>
      <c r="F36" s="6"/>
      <c r="G36" s="6"/>
      <c r="H36" s="6"/>
      <c r="I36" s="10">
        <f t="shared" si="0"/>
        <v>0</v>
      </c>
      <c r="J36" s="10"/>
      <c r="K36" s="10"/>
      <c r="L36" s="6"/>
      <c r="M36" s="15"/>
    </row>
    <row r="37" ht="12.75" spans="1:13">
      <c r="A37" s="15" t="s">
        <v>150</v>
      </c>
      <c r="B37" s="18" t="str">
        <f>HYPERLINK("http://codeforces.com/contest/129/problem/B","CF129-D2-B")</f>
        <v>CF129-D2-B</v>
      </c>
      <c r="C37" s="6">
        <v>1</v>
      </c>
      <c r="D37" s="6"/>
      <c r="E37" s="6"/>
      <c r="F37" s="6"/>
      <c r="G37" s="6"/>
      <c r="H37" s="6"/>
      <c r="I37" s="10">
        <f t="shared" si="0"/>
        <v>0</v>
      </c>
      <c r="J37" s="10"/>
      <c r="K37" s="10"/>
      <c r="L37" s="6"/>
      <c r="M37" s="18" t="str">
        <f>HYPERLINK("https://www.youtube.com/watch?v=si51JINxbpk&amp;feature=youtu.be","Video Solution - Eng Abanob Ashraf")</f>
        <v>Video Solution - Eng Abanob Ashraf</v>
      </c>
    </row>
    <row r="38" ht="12.75" spans="1:13">
      <c r="A38" s="15" t="s">
        <v>151</v>
      </c>
      <c r="B38" s="18" t="str">
        <f>HYPERLINK("http://codeforces.com/contest/476/problem/B","CF476-D2-B")</f>
        <v>CF476-D2-B</v>
      </c>
      <c r="C38" s="6">
        <v>1</v>
      </c>
      <c r="D38" s="6"/>
      <c r="E38" s="6"/>
      <c r="F38" s="6"/>
      <c r="G38" s="6"/>
      <c r="H38" s="6"/>
      <c r="I38" s="10">
        <f t="shared" si="0"/>
        <v>0</v>
      </c>
      <c r="J38" s="10"/>
      <c r="K38" s="10"/>
      <c r="L38" s="6"/>
      <c r="M38" s="18" t="str">
        <f>HYPERLINK("https://www.youtube.com/watch?v=uzA2fH9Ol7I&amp;feature=youtu.be","Video Solution - Eng Mohamed Adel")</f>
        <v>Video Solution - Eng Mohamed Adel</v>
      </c>
    </row>
    <row r="39" ht="12.75" spans="1:13">
      <c r="A39" s="15" t="s">
        <v>152</v>
      </c>
      <c r="B39" s="18" t="str">
        <f>HYPERLINK("http://codeforces.com/contest/469/problem/B","CF469-D2-B")</f>
        <v>CF469-D2-B</v>
      </c>
      <c r="C39" s="6">
        <v>1</v>
      </c>
      <c r="D39" s="6"/>
      <c r="E39" s="6"/>
      <c r="F39" s="6"/>
      <c r="G39" s="6"/>
      <c r="H39" s="6"/>
      <c r="I39" s="10">
        <f t="shared" si="0"/>
        <v>0</v>
      </c>
      <c r="J39" s="10"/>
      <c r="K39" s="10"/>
      <c r="L39" s="6"/>
      <c r="M39" s="18" t="str">
        <f>HYPERLINK("https://www.youtube.com/watch?v=7ns-xfWB-8g","Video Solution - Eng Mohamed Adel")</f>
        <v>Video Solution - Eng Mohamed Adel</v>
      </c>
    </row>
    <row r="40" ht="12.75" spans="1:13">
      <c r="A40" s="15" t="s">
        <v>153</v>
      </c>
      <c r="B40" s="18" t="str">
        <f>HYPERLINK("http://codeforces.com/contest/215/problem/B","CF215-D2-B")</f>
        <v>CF215-D2-B</v>
      </c>
      <c r="C40" s="6">
        <v>1</v>
      </c>
      <c r="D40" s="6"/>
      <c r="E40" s="6"/>
      <c r="F40" s="6"/>
      <c r="G40" s="6"/>
      <c r="H40" s="6"/>
      <c r="I40" s="10">
        <f t="shared" si="0"/>
        <v>0</v>
      </c>
      <c r="J40" s="10"/>
      <c r="K40" s="10"/>
      <c r="L40" s="6"/>
      <c r="M40" s="17" t="str">
        <f>HYPERLINK("https://www.youtube.com/watch?v=9PMRkDH1SAY&amp;t=4s","Video Solution - Eng Ahmed Salah")</f>
        <v>Video Solution - Eng Ahmed Salah</v>
      </c>
    </row>
    <row r="41" ht="12.75" spans="1:13">
      <c r="A41" s="15" t="s">
        <v>154</v>
      </c>
      <c r="B41" s="18" t="str">
        <f>HYPERLINK("http://codeforces.com/contest/714/problem/B","CF714-D2-B")</f>
        <v>CF714-D2-B</v>
      </c>
      <c r="C41" s="6">
        <v>1</v>
      </c>
      <c r="D41" s="6"/>
      <c r="E41" s="6"/>
      <c r="F41" s="6"/>
      <c r="G41" s="6"/>
      <c r="H41" s="6"/>
      <c r="I41" s="10">
        <f t="shared" si="0"/>
        <v>0</v>
      </c>
      <c r="J41" s="10"/>
      <c r="K41" s="10"/>
      <c r="L41" s="6"/>
      <c r="M41" s="18" t="str">
        <f>HYPERLINK("https://www.youtube.com/watch?v=aDDoryh3x_g","Video Solution - Eng Muntaser Abukadeja")</f>
        <v>Video Solution - Eng Muntaser Abukadeja</v>
      </c>
    </row>
    <row r="42" ht="12.75" spans="1:13">
      <c r="A42" s="15" t="s">
        <v>155</v>
      </c>
      <c r="B42" s="18" t="str">
        <f>HYPERLINK("http://codeforces.com/contest/400/problem/B","CF400-D2-B")</f>
        <v>CF400-D2-B</v>
      </c>
      <c r="C42" s="6">
        <v>1</v>
      </c>
      <c r="D42" s="6"/>
      <c r="E42" s="6"/>
      <c r="F42" s="6"/>
      <c r="G42" s="6"/>
      <c r="H42" s="6"/>
      <c r="I42" s="10">
        <f t="shared" si="0"/>
        <v>0</v>
      </c>
      <c r="J42" s="10"/>
      <c r="K42" s="10"/>
      <c r="L42" s="6"/>
      <c r="M42" s="18" t="str">
        <f>HYPERLINK("https://www.youtube.com/watch?v=ZWL57YYKwUM&amp;t=1s","Video Solution - Eng Mohamed Salah")</f>
        <v>Video Solution - Eng Mohamed Salah</v>
      </c>
    </row>
    <row r="43" ht="12.75" spans="1:13">
      <c r="A43" s="15" t="s">
        <v>156</v>
      </c>
      <c r="B43" s="18" t="str">
        <f>HYPERLINK("http://codeforces.com/contest/152/problem/B","CF152-D2-B")</f>
        <v>CF152-D2-B</v>
      </c>
      <c r="C43" s="6">
        <v>1</v>
      </c>
      <c r="D43" s="6"/>
      <c r="E43" s="6"/>
      <c r="F43" s="6"/>
      <c r="G43" s="6"/>
      <c r="H43" s="6"/>
      <c r="I43" s="10">
        <f t="shared" si="0"/>
        <v>0</v>
      </c>
      <c r="J43" s="10"/>
      <c r="K43" s="10"/>
      <c r="L43" s="6"/>
      <c r="M43" s="18" t="str">
        <f>HYPERLINK("https://www.youtube.com/watch?v=PNB_OSbdCpQ&amp;feature=youtu.be","Video Solution - Eng Muntaser Abukadeja")</f>
        <v>Video Solution - Eng Muntaser Abukadeja</v>
      </c>
    </row>
    <row r="44" ht="12.75" spans="1:13">
      <c r="A44" s="15" t="s">
        <v>157</v>
      </c>
      <c r="B44" s="18" t="str">
        <f>HYPERLINK("http://codeforces.com/contest/186/problem/B","CF186-D2-B")</f>
        <v>CF186-D2-B</v>
      </c>
      <c r="C44" s="6">
        <v>1</v>
      </c>
      <c r="D44" s="6"/>
      <c r="E44" s="6"/>
      <c r="F44" s="6"/>
      <c r="G44" s="6"/>
      <c r="H44" s="6"/>
      <c r="I44" s="10">
        <f t="shared" si="0"/>
        <v>0</v>
      </c>
      <c r="J44" s="10"/>
      <c r="K44" s="10"/>
      <c r="L44" s="6"/>
      <c r="M44" s="18" t="str">
        <f>HYPERLINK("https://www.youtube.com/watch?v=WdzdNdsaku4","Video Solution - Eng Mohamed Salah")</f>
        <v>Video Solution - Eng Mohamed Salah</v>
      </c>
    </row>
    <row r="45" ht="12.75" spans="1:13">
      <c r="A45" s="15" t="s">
        <v>158</v>
      </c>
      <c r="B45" s="18" t="str">
        <f>HYPERLINK("https://uva.onlinejudge.org/index.php?option=onlinejudge&amp;page=show_problem&amp;problem=2035","UVA 11094")</f>
        <v>UVA 11094</v>
      </c>
      <c r="C45" s="6">
        <v>1</v>
      </c>
      <c r="D45" s="6"/>
      <c r="E45" s="6"/>
      <c r="F45" s="6"/>
      <c r="G45" s="6"/>
      <c r="H45" s="6"/>
      <c r="I45" s="10">
        <f t="shared" si="0"/>
        <v>0</v>
      </c>
      <c r="J45" s="10"/>
      <c r="K45" s="10"/>
      <c r="L45" s="6"/>
      <c r="M45" s="18" t="str">
        <f>HYPERLINK("https://www.youtube.com/watch?v=vLuFqaQ40RI","Video Solution - Eng Ayman Salah")</f>
        <v>Video Solution - Eng Ayman Salah</v>
      </c>
    </row>
    <row r="46" ht="12.75" spans="1:13">
      <c r="A46" s="15" t="s">
        <v>159</v>
      </c>
      <c r="B46" s="18" t="str">
        <f>HYPERLINK("http://acm.timus.ru/problem.aspx?space=1&amp;num=1054","TIMUS 1054")</f>
        <v>TIMUS 1054</v>
      </c>
      <c r="C46" s="6">
        <v>1</v>
      </c>
      <c r="D46" s="6"/>
      <c r="E46" s="6"/>
      <c r="F46" s="6"/>
      <c r="G46" s="6"/>
      <c r="H46" s="6"/>
      <c r="I46" s="10">
        <f t="shared" si="0"/>
        <v>0</v>
      </c>
      <c r="J46" s="10"/>
      <c r="K46" s="10"/>
      <c r="L46" s="3"/>
      <c r="M46" s="11" t="str">
        <f>HYPERLINK("https://github.com/MeGaCrazy/CompetitiveProgramming/blob/9ebf16b4239c8f58c694f2ae22c8f07d1fa70864/Timus/TIMUS_1054.cpp","Sol")</f>
        <v>Sol</v>
      </c>
    </row>
    <row r="47" ht="12.75" spans="1:13">
      <c r="A47" s="15" t="s">
        <v>160</v>
      </c>
      <c r="B47" s="18" t="str">
        <f>HYPERLINK("https://uva.onlinejudge.org/index.php?option=com_onlinejudge&amp;Itemid=8&amp;page=show_problem&amp;problem=3415","UVA 12263")</f>
        <v>UVA 12263</v>
      </c>
      <c r="C47" s="6">
        <v>1</v>
      </c>
      <c r="D47" s="6"/>
      <c r="E47" s="6"/>
      <c r="F47" s="6"/>
      <c r="G47" s="6"/>
      <c r="H47" s="6"/>
      <c r="I47" s="10">
        <f t="shared" si="0"/>
        <v>0</v>
      </c>
      <c r="J47" s="3"/>
      <c r="K47" s="3"/>
      <c r="L47" s="3"/>
      <c r="M47" s="17" t="str">
        <f>HYPERLINK("https://ideone.com/6IMSkX","Editorial to read")</f>
        <v>Editorial to read</v>
      </c>
    </row>
    <row r="48" ht="12.75" spans="1:13">
      <c r="A48" s="15"/>
      <c r="B48" s="17"/>
      <c r="C48" s="6">
        <v>0</v>
      </c>
      <c r="D48" s="6"/>
      <c r="E48" s="6"/>
      <c r="F48" s="6"/>
      <c r="G48" s="6"/>
      <c r="H48" s="6"/>
      <c r="I48" s="10">
        <f t="shared" si="0"/>
        <v>0</v>
      </c>
      <c r="J48" s="10"/>
      <c r="K48" s="10"/>
      <c r="L48" s="6"/>
      <c r="M48" s="15"/>
    </row>
    <row r="49" ht="12.75" spans="1:13">
      <c r="A49" s="15" t="s">
        <v>161</v>
      </c>
      <c r="B49" s="18" t="str">
        <f>HYPERLINK("http://codeforces.com/contest/262/problem/B","CF262-D2-B")</f>
        <v>CF262-D2-B</v>
      </c>
      <c r="C49" s="6">
        <v>1</v>
      </c>
      <c r="D49" s="6"/>
      <c r="E49" s="6"/>
      <c r="F49" s="6"/>
      <c r="G49" s="6"/>
      <c r="H49" s="6"/>
      <c r="I49" s="10">
        <f t="shared" si="0"/>
        <v>0</v>
      </c>
      <c r="J49" s="10"/>
      <c r="K49" s="10"/>
      <c r="L49" s="6"/>
      <c r="M49" s="18" t="str">
        <f>HYPERLINK("https://www.youtube.com/watch?v=6Ic_MPWfhEg","Video Solution - Eng Mohamed Salah")</f>
        <v>Video Solution - Eng Mohamed Salah</v>
      </c>
    </row>
    <row r="50" ht="12.75" spans="1:13">
      <c r="A50" s="15" t="s">
        <v>162</v>
      </c>
      <c r="B50" s="18" t="str">
        <f>HYPERLINK("http://codeforces.com/contest/385/problem/B","CF385-D2-B")</f>
        <v>CF385-D2-B</v>
      </c>
      <c r="C50" s="6">
        <v>1</v>
      </c>
      <c r="D50" s="6"/>
      <c r="E50" s="6"/>
      <c r="F50" s="6"/>
      <c r="G50" s="6"/>
      <c r="H50" s="6"/>
      <c r="I50" s="10">
        <f t="shared" si="0"/>
        <v>0</v>
      </c>
      <c r="J50" s="10"/>
      <c r="K50" s="10"/>
      <c r="L50" s="6"/>
      <c r="M50" s="18" t="str">
        <f>HYPERLINK("https://www.youtube.com/watch?v=hTUYMzcMuvA","Video Solution - Eng Mohamed Salah")</f>
        <v>Video Solution - Eng Mohamed Salah</v>
      </c>
    </row>
    <row r="51" ht="12.75" spans="1:13">
      <c r="A51" s="15" t="s">
        <v>163</v>
      </c>
      <c r="B51" s="18" t="str">
        <f>HYPERLINK("http://codeforces.com/contest/376/problem/B","CF376-D2-B")</f>
        <v>CF376-D2-B</v>
      </c>
      <c r="C51" s="6">
        <v>1</v>
      </c>
      <c r="D51" s="6"/>
      <c r="E51" s="6"/>
      <c r="F51" s="6"/>
      <c r="G51" s="6"/>
      <c r="H51" s="6"/>
      <c r="I51" s="10">
        <f t="shared" si="0"/>
        <v>0</v>
      </c>
      <c r="J51" s="10"/>
      <c r="K51" s="10"/>
      <c r="L51" s="6"/>
      <c r="M51" s="18" t="str">
        <f>HYPERLINK("https://www.youtube.com/watch?v=d962qNWSvas&amp;feature=youtu.be","Video Solution - Eng Abanob Ashraf")</f>
        <v>Video Solution - Eng Abanob Ashraf</v>
      </c>
    </row>
    <row r="52" ht="12.75" spans="1:13">
      <c r="A52" s="15" t="s">
        <v>164</v>
      </c>
      <c r="B52" s="18" t="str">
        <f>HYPERLINK("http://codeforces.com/contest/352/problem/B","CF352-D2-B")</f>
        <v>CF352-D2-B</v>
      </c>
      <c r="C52" s="6">
        <v>1</v>
      </c>
      <c r="D52" s="6"/>
      <c r="E52" s="6"/>
      <c r="F52" s="6"/>
      <c r="G52" s="6"/>
      <c r="H52" s="6"/>
      <c r="I52" s="10">
        <f t="shared" si="0"/>
        <v>0</v>
      </c>
      <c r="J52" s="10"/>
      <c r="K52" s="10"/>
      <c r="L52" s="6"/>
      <c r="M52" s="18" t="str">
        <f>HYPERLINK("https://www.youtube.com/watch?v=7xgzxrYuwUc","Video Solution - Eng Muntaser Abukadeja")</f>
        <v>Video Solution - Eng Muntaser Abukadeja</v>
      </c>
    </row>
    <row r="53" ht="12.75" spans="1:13">
      <c r="A53" s="15" t="s">
        <v>165</v>
      </c>
      <c r="B53" s="18" t="str">
        <f>HYPERLINK("http://codeforces.com/contest/144/problem/B","CF144-D2-B")</f>
        <v>CF144-D2-B</v>
      </c>
      <c r="C53" s="6">
        <v>1</v>
      </c>
      <c r="D53" s="6"/>
      <c r="E53" s="6"/>
      <c r="F53" s="6"/>
      <c r="G53" s="6"/>
      <c r="H53" s="6"/>
      <c r="I53" s="10">
        <f t="shared" si="0"/>
        <v>0</v>
      </c>
      <c r="J53" s="10"/>
      <c r="K53" s="10"/>
      <c r="L53" s="6"/>
      <c r="M53" s="18" t="str">
        <f>HYPERLINK("https://www.youtube.com/watch?v=9fpKWAPudyo&amp;feature=youtu.be","Video Solution - Eng Muntaser Abukadeja")</f>
        <v>Video Solution - Eng Muntaser Abukadeja</v>
      </c>
    </row>
    <row r="54" ht="12.75" spans="1:13">
      <c r="A54" s="15" t="s">
        <v>166</v>
      </c>
      <c r="B54" s="18" t="str">
        <f>HYPERLINK("http://codeforces.com/contest/236/problem/B","CF236-D2-B")</f>
        <v>CF236-D2-B</v>
      </c>
      <c r="C54" s="6">
        <v>1</v>
      </c>
      <c r="D54" s="6"/>
      <c r="E54" s="6"/>
      <c r="F54" s="6"/>
      <c r="G54" s="6"/>
      <c r="H54" s="6"/>
      <c r="I54" s="10">
        <f t="shared" si="0"/>
        <v>0</v>
      </c>
      <c r="J54" s="10"/>
      <c r="K54" s="10"/>
      <c r="L54" s="6"/>
      <c r="M54" s="18" t="str">
        <f>HYPERLINK("https://www.youtube.com/watch?v=Tv2JpMqQWYg","Video Solution - Eng Yahia Ashraf")</f>
        <v>Video Solution - Eng Yahia Ashraf</v>
      </c>
    </row>
    <row r="55" ht="12.75" spans="1:13">
      <c r="A55" s="15" t="s">
        <v>167</v>
      </c>
      <c r="B55" s="17" t="str">
        <f>HYPERLINK("http://codeforces.com/contest/253/problem/B","CF253-D2-B")</f>
        <v>CF253-D2-B</v>
      </c>
      <c r="C55" s="6">
        <v>1</v>
      </c>
      <c r="D55" s="6"/>
      <c r="E55" s="6"/>
      <c r="F55" s="6"/>
      <c r="G55" s="6"/>
      <c r="H55" s="6"/>
      <c r="I55" s="10">
        <f t="shared" si="0"/>
        <v>0</v>
      </c>
      <c r="J55" s="10"/>
      <c r="K55" s="10"/>
      <c r="L55" s="3"/>
      <c r="M55" s="18" t="str">
        <f>HYPERLINK("https://www.youtube.com/watch?v=ZR0IxC_xoFk","Video Solution - Eng Mohamed Salah")</f>
        <v>Video Solution - Eng Mohamed Salah</v>
      </c>
    </row>
    <row r="56" ht="12.75" spans="1:13">
      <c r="A56" s="15" t="s">
        <v>168</v>
      </c>
      <c r="B56" s="18" t="str">
        <f>HYPERLINK("http://codeforces.com/contest/584/problem/B","CF584-D2-B")</f>
        <v>CF584-D2-B</v>
      </c>
      <c r="C56" s="6">
        <v>1</v>
      </c>
      <c r="D56" s="6"/>
      <c r="E56" s="6"/>
      <c r="F56" s="6"/>
      <c r="G56" s="6"/>
      <c r="H56" s="6"/>
      <c r="I56" s="10">
        <f t="shared" si="0"/>
        <v>0</v>
      </c>
      <c r="J56" s="10"/>
      <c r="K56" s="10"/>
      <c r="L56" s="6"/>
      <c r="M56" s="18" t="str">
        <f>HYPERLINK("https://www.youtube.com/watch?v=-Dh_FyJiJ9Q","Video Solution - Eng Yahia Ashraf")</f>
        <v>Video Solution - Eng Yahia Ashraf</v>
      </c>
    </row>
    <row r="57" ht="12.75" spans="1:13">
      <c r="A57" s="15" t="s">
        <v>169</v>
      </c>
      <c r="B57" s="18" t="str">
        <f>HYPERLINK("http://codeforces.com/contest/448/problem/B","CF448-D2-B")</f>
        <v>CF448-D2-B</v>
      </c>
      <c r="C57" s="6">
        <v>1</v>
      </c>
      <c r="D57" s="6"/>
      <c r="E57" s="6"/>
      <c r="F57" s="6"/>
      <c r="G57" s="6"/>
      <c r="H57" s="6"/>
      <c r="I57" s="10">
        <f t="shared" si="0"/>
        <v>0</v>
      </c>
      <c r="J57" s="10"/>
      <c r="K57" s="10"/>
      <c r="L57" s="6"/>
      <c r="M57" s="18" t="str">
        <f>HYPERLINK("https://www.youtube.com/watch?v=-J0VaYdgbRc","Video Solution - Eng Mohamed Salah")</f>
        <v>Video Solution - Eng Mohamed Salah</v>
      </c>
    </row>
    <row r="58" ht="12.75" spans="1:13">
      <c r="A58" s="15" t="s">
        <v>170</v>
      </c>
      <c r="B58" s="18" t="str">
        <f>HYPERLINK("http://codeforces.com/contest/716/problem/B","CF716-D2-B")</f>
        <v>CF716-D2-B</v>
      </c>
      <c r="C58" s="6">
        <v>1</v>
      </c>
      <c r="D58" s="6"/>
      <c r="E58" s="6"/>
      <c r="F58" s="6"/>
      <c r="G58" s="6"/>
      <c r="H58" s="6"/>
      <c r="I58" s="10">
        <f t="shared" si="0"/>
        <v>0</v>
      </c>
      <c r="J58" s="10"/>
      <c r="K58" s="10"/>
      <c r="L58" s="6"/>
      <c r="M58" s="18" t="str">
        <f>HYPERLINK("https://www.youtube.com/watch?v=lu6BhwVMNhw","Video Solution - Eng Mohamed Salah")</f>
        <v>Video Solution - Eng Mohamed Salah</v>
      </c>
    </row>
    <row r="59" ht="12.75" spans="1:13">
      <c r="A59" s="15"/>
      <c r="B59" s="17"/>
      <c r="C59" s="6">
        <v>0</v>
      </c>
      <c r="D59" s="6"/>
      <c r="E59" s="6"/>
      <c r="F59" s="6"/>
      <c r="G59" s="6"/>
      <c r="H59" s="6"/>
      <c r="I59" s="10">
        <f t="shared" si="0"/>
        <v>0</v>
      </c>
      <c r="J59" s="10"/>
      <c r="K59" s="10"/>
      <c r="L59" s="6"/>
      <c r="M59" s="20"/>
    </row>
    <row r="60" ht="12.75" spans="1:13">
      <c r="A60" s="15"/>
      <c r="B60" s="17"/>
      <c r="C60" s="6">
        <v>0</v>
      </c>
      <c r="D60" s="6"/>
      <c r="E60" s="6"/>
      <c r="F60" s="6"/>
      <c r="G60" s="6"/>
      <c r="H60" s="6"/>
      <c r="I60" s="10">
        <f t="shared" si="0"/>
        <v>0</v>
      </c>
      <c r="J60" s="10"/>
      <c r="K60" s="10"/>
      <c r="L60" s="6"/>
      <c r="M60" s="25" t="str">
        <f>HYPERLINK("https://www.youtube.com/watch?v=WTr12dK2Se0","Watch - Focused and Diffused Thinking")</f>
        <v>Watch - Focused and Diffused Thinking</v>
      </c>
    </row>
    <row r="61" ht="12.75" spans="1:13">
      <c r="A61" s="15"/>
      <c r="B61" s="17"/>
      <c r="C61" s="6">
        <v>0</v>
      </c>
      <c r="D61" s="6"/>
      <c r="E61" s="6"/>
      <c r="F61" s="6"/>
      <c r="G61" s="6"/>
      <c r="H61" s="6"/>
      <c r="I61" s="10">
        <f t="shared" si="0"/>
        <v>0</v>
      </c>
      <c r="J61" s="10"/>
      <c r="K61" s="10"/>
      <c r="L61" s="6"/>
      <c r="M61" s="15"/>
    </row>
    <row r="62" ht="12.75" spans="1:13">
      <c r="A62" s="15" t="s">
        <v>171</v>
      </c>
      <c r="B62" s="18" t="str">
        <f>HYPERLINK("http://codeforces.com/contest/415/problem/B","CF415-D2-B")</f>
        <v>CF415-D2-B</v>
      </c>
      <c r="C62" s="6">
        <v>1</v>
      </c>
      <c r="D62" s="6"/>
      <c r="E62" s="6"/>
      <c r="F62" s="6"/>
      <c r="G62" s="6"/>
      <c r="H62" s="6"/>
      <c r="I62" s="10">
        <f t="shared" si="0"/>
        <v>0</v>
      </c>
      <c r="J62" s="10"/>
      <c r="K62" s="10"/>
      <c r="L62" s="6"/>
      <c r="M62" s="11" t="str">
        <f>HYPERLINK("https://www.youtube.com/watch?v=ZNxSTHmpLGc&amp;feature=youtu.be","Video Solution - Eng Salma Yehia")</f>
        <v>Video Solution - Eng Salma Yehia</v>
      </c>
    </row>
    <row r="63" ht="12.75" spans="1:13">
      <c r="A63" s="15" t="s">
        <v>172</v>
      </c>
      <c r="B63" s="18" t="str">
        <f>HYPERLINK("http://codeforces.com/contest/510/problem/B","CF510-D2-B")</f>
        <v>CF510-D2-B</v>
      </c>
      <c r="C63" s="6">
        <v>1</v>
      </c>
      <c r="D63" s="6"/>
      <c r="E63" s="6"/>
      <c r="F63" s="6"/>
      <c r="G63" s="6"/>
      <c r="H63" s="6"/>
      <c r="I63" s="10">
        <f t="shared" si="0"/>
        <v>0</v>
      </c>
      <c r="J63" s="10"/>
      <c r="K63" s="10"/>
      <c r="L63" s="6"/>
      <c r="M63" s="18" t="str">
        <f>HYPERLINK("https://www.youtube.com/watch?v=LHIZzMjnG0k&amp;feature=youtu.be","Video Solution - Eng Mohamed Adel")</f>
        <v>Video Solution - Eng Mohamed Adel</v>
      </c>
    </row>
    <row r="64" ht="12.75" spans="1:13">
      <c r="A64" s="15" t="s">
        <v>173</v>
      </c>
      <c r="B64" s="18" t="str">
        <f>HYPERLINK("http://codeforces.com/contest/337/problem/B","CF337-D2-B")</f>
        <v>CF337-D2-B</v>
      </c>
      <c r="C64" s="6">
        <v>1</v>
      </c>
      <c r="D64" s="6"/>
      <c r="E64" s="6"/>
      <c r="F64" s="6"/>
      <c r="G64" s="6"/>
      <c r="H64" s="6"/>
      <c r="I64" s="10">
        <f t="shared" si="0"/>
        <v>0</v>
      </c>
      <c r="J64" s="10"/>
      <c r="K64" s="10"/>
      <c r="L64" s="6"/>
      <c r="M64" s="18" t="str">
        <f>HYPERLINK("https://www.youtube.com/watch?v=NaB4pnNbXEY","Video Solution - Eng Mohamed Adel")</f>
        <v>Video Solution - Eng Mohamed Adel</v>
      </c>
    </row>
    <row r="65" ht="12.75" spans="1:13">
      <c r="A65" s="15" t="s">
        <v>174</v>
      </c>
      <c r="B65" s="18" t="str">
        <f>HYPERLINK("http://codeforces.com/contest/493/problem/B","CF493-D2-B")</f>
        <v>CF493-D2-B</v>
      </c>
      <c r="C65" s="6">
        <v>1</v>
      </c>
      <c r="D65" s="6"/>
      <c r="E65" s="6"/>
      <c r="F65" s="6"/>
      <c r="G65" s="6"/>
      <c r="H65" s="6"/>
      <c r="I65" s="10">
        <f t="shared" si="0"/>
        <v>0</v>
      </c>
      <c r="J65" s="10"/>
      <c r="K65" s="10"/>
      <c r="L65" s="6"/>
      <c r="M65" s="15"/>
    </row>
    <row r="66" ht="12.75" spans="1:13">
      <c r="A66" s="15" t="s">
        <v>175</v>
      </c>
      <c r="B66" s="18" t="str">
        <f>HYPERLINK("http://codeforces.com/contest/608/problem/B","CF608-D2-B")</f>
        <v>CF608-D2-B</v>
      </c>
      <c r="C66" s="6">
        <v>1</v>
      </c>
      <c r="D66" s="6"/>
      <c r="E66" s="6"/>
      <c r="F66" s="6"/>
      <c r="G66" s="6"/>
      <c r="H66" s="6"/>
      <c r="I66" s="10">
        <f t="shared" si="0"/>
        <v>0</v>
      </c>
      <c r="J66" s="10"/>
      <c r="K66" s="10"/>
      <c r="L66" s="6"/>
      <c r="M66" s="15"/>
    </row>
    <row r="67" ht="12.75" spans="1:13">
      <c r="A67" s="15" t="s">
        <v>176</v>
      </c>
      <c r="B67" s="17" t="str">
        <f>HYPERLINK("http://codeforces.com/contest/621/problem/B","CF621-D2-B")</f>
        <v>CF621-D2-B</v>
      </c>
      <c r="C67" s="6">
        <v>1</v>
      </c>
      <c r="D67" s="6"/>
      <c r="E67" s="6"/>
      <c r="F67" s="6"/>
      <c r="G67" s="6"/>
      <c r="H67" s="6"/>
      <c r="I67" s="10">
        <f t="shared" si="0"/>
        <v>0</v>
      </c>
      <c r="J67" s="10"/>
      <c r="K67" s="10"/>
      <c r="L67" s="3"/>
      <c r="M67" s="11" t="str">
        <f>HYPERLINK("https://www.youtube.com/watch?v=zKne2u4DuIs&amp;feature=youtu.be","Thanks to Eng Mahmoud Mabrok")</f>
        <v>Thanks to Eng Mahmoud Mabrok</v>
      </c>
    </row>
    <row r="68" ht="12.75" spans="1:13">
      <c r="A68" s="15" t="s">
        <v>177</v>
      </c>
      <c r="B68" s="18" t="str">
        <f>HYPERLINK("http://codeforces.com/contest/580/problem/B","CF580-D2-B")</f>
        <v>CF580-D2-B</v>
      </c>
      <c r="C68" s="6">
        <v>1</v>
      </c>
      <c r="D68" s="6"/>
      <c r="E68" s="6"/>
      <c r="F68" s="6"/>
      <c r="G68" s="6"/>
      <c r="H68" s="6"/>
      <c r="I68" s="10">
        <f t="shared" si="0"/>
        <v>0</v>
      </c>
      <c r="J68" s="10"/>
      <c r="K68" s="10"/>
      <c r="L68" s="6"/>
      <c r="M68" s="26" t="str">
        <f>HYPERLINK("https://www.youtube.com/watch?v=kUXDNSkFECM","Video Solution - SolverToBe (Java)")</f>
        <v>Video Solution - SolverToBe (Java)</v>
      </c>
    </row>
    <row r="69" ht="12.75" spans="1:13">
      <c r="A69" s="15" t="s">
        <v>178</v>
      </c>
      <c r="B69" s="17" t="str">
        <f>HYPERLINK("http://codeforces.com/contest/535/problem/B","CF535-D2-B")</f>
        <v>CF535-D2-B</v>
      </c>
      <c r="C69" s="6">
        <v>1</v>
      </c>
      <c r="D69" s="6"/>
      <c r="E69" s="6"/>
      <c r="F69" s="6"/>
      <c r="G69" s="6"/>
      <c r="H69" s="6"/>
      <c r="I69" s="10">
        <f t="shared" si="0"/>
        <v>0</v>
      </c>
      <c r="J69" s="3"/>
      <c r="K69" s="3"/>
      <c r="L69" s="3"/>
      <c r="M69" s="18" t="str">
        <f>HYPERLINK("https://www.youtube.com/watch?v=NPVp5BntYZ4","Video Solution - Eng Abanob Ashraf")</f>
        <v>Video Solution - Eng Abanob Ashraf</v>
      </c>
    </row>
    <row r="70" ht="12.75" spans="1:13">
      <c r="A70" s="15" t="s">
        <v>179</v>
      </c>
      <c r="B70" s="17" t="str">
        <f>HYPERLINK("http://codeforces.com/contest/979/problem/B","CF979-D2-B")</f>
        <v>CF979-D2-B</v>
      </c>
      <c r="C70" s="6">
        <v>1</v>
      </c>
      <c r="D70" s="6"/>
      <c r="E70" s="6"/>
      <c r="F70" s="6"/>
      <c r="G70" s="6"/>
      <c r="H70" s="6"/>
      <c r="I70" s="10">
        <f t="shared" si="0"/>
        <v>0</v>
      </c>
      <c r="J70" s="3"/>
      <c r="K70" s="3"/>
      <c r="L70" s="3"/>
      <c r="M70" s="15"/>
    </row>
    <row r="71" ht="12.75" spans="1:13">
      <c r="A71" s="15"/>
      <c r="B71" s="15"/>
      <c r="C71" s="6">
        <v>0</v>
      </c>
      <c r="D71" s="6"/>
      <c r="E71" s="6"/>
      <c r="F71" s="6"/>
      <c r="G71" s="6"/>
      <c r="H71" s="6"/>
      <c r="I71" s="10">
        <f t="shared" si="0"/>
        <v>0</v>
      </c>
      <c r="J71" s="10"/>
      <c r="K71" s="10"/>
      <c r="L71" s="3"/>
      <c r="M71" s="20" t="str">
        <f>HYPERLINK("https://www.youtube.com/watch?v=iXxP_liQklk","Watch - Intro to Greedy")</f>
        <v>Watch - Intro to Greedy</v>
      </c>
    </row>
    <row r="72" ht="12.75" spans="1:13">
      <c r="A72" s="15" t="s">
        <v>180</v>
      </c>
      <c r="B72" s="18" t="str">
        <f>HYPERLINK("http://codeforces.com/contest/282/problem/B","CF282-D2-B")</f>
        <v>CF282-D2-B</v>
      </c>
      <c r="C72" s="6">
        <v>1</v>
      </c>
      <c r="D72" s="6"/>
      <c r="E72" s="6"/>
      <c r="F72" s="6"/>
      <c r="G72" s="6"/>
      <c r="H72" s="6"/>
      <c r="I72" s="10">
        <f t="shared" si="0"/>
        <v>0</v>
      </c>
      <c r="J72" s="10"/>
      <c r="K72" s="10"/>
      <c r="L72" s="3"/>
      <c r="M72" s="3"/>
    </row>
    <row r="73" ht="12.75" spans="1:13">
      <c r="A73" s="15" t="s">
        <v>181</v>
      </c>
      <c r="B73" s="18" t="str">
        <f>HYPERLINK("http://codeforces.com/contest/435/problem/B","CF435-D2-B")</f>
        <v>CF435-D2-B</v>
      </c>
      <c r="C73" s="6">
        <v>1</v>
      </c>
      <c r="D73" s="6"/>
      <c r="E73" s="6"/>
      <c r="F73" s="6"/>
      <c r="G73" s="6"/>
      <c r="H73" s="6"/>
      <c r="I73" s="10">
        <f t="shared" si="0"/>
        <v>0</v>
      </c>
      <c r="J73" s="10"/>
      <c r="K73" s="10"/>
      <c r="L73" s="3"/>
      <c r="M73" s="18" t="str">
        <f>HYPERLINK("https://www.youtube.com/watch?v=hDsuoSTdytw&amp;feature=youtu.be","Video Solution - Eng Hossam Yehia")</f>
        <v>Video Solution - Eng Hossam Yehia</v>
      </c>
    </row>
    <row r="74" ht="12.75" spans="1:13">
      <c r="A74" s="15" t="s">
        <v>182</v>
      </c>
      <c r="B74" s="18" t="str">
        <f>HYPERLINK("http://codeforces.com/contest/276/problem/B","CF276-D2-B")</f>
        <v>CF276-D2-B</v>
      </c>
      <c r="C74" s="6">
        <v>1</v>
      </c>
      <c r="D74" s="6"/>
      <c r="E74" s="6"/>
      <c r="F74" s="6"/>
      <c r="G74" s="6"/>
      <c r="H74" s="6"/>
      <c r="I74" s="10">
        <f t="shared" si="0"/>
        <v>0</v>
      </c>
      <c r="J74" s="10"/>
      <c r="K74" s="10"/>
      <c r="L74" s="3"/>
      <c r="M74" s="18" t="str">
        <f>HYPERLINK("https://www.youtube.com/watch?v=WrpG_n0SrbY&amp;feature=youtu.be","Video Solution - Eng Hossam Yehia")</f>
        <v>Video Solution - Eng Hossam Yehia</v>
      </c>
    </row>
    <row r="75" ht="12.75" spans="1:13">
      <c r="A75" s="15" t="s">
        <v>183</v>
      </c>
      <c r="B75" s="18" t="str">
        <f>HYPERLINK("http://codeforces.com/contest/525/problem/B","CF525-D2-B")</f>
        <v>CF525-D2-B</v>
      </c>
      <c r="C75" s="6">
        <v>1</v>
      </c>
      <c r="D75" s="6"/>
      <c r="E75" s="6"/>
      <c r="F75" s="6"/>
      <c r="G75" s="6"/>
      <c r="H75" s="6"/>
      <c r="I75" s="10">
        <f t="shared" si="0"/>
        <v>0</v>
      </c>
      <c r="J75" s="10"/>
      <c r="K75" s="10"/>
      <c r="L75" s="3"/>
      <c r="M75" s="18" t="str">
        <f>HYPERLINK("https://www.youtube.com/watch?v=NPVp5BntYZ4","Video Solution - Eng Hossam Yehia")</f>
        <v>Video Solution - Eng Hossam Yehia</v>
      </c>
    </row>
    <row r="76" ht="12.75" spans="1:13">
      <c r="A76" s="15" t="s">
        <v>184</v>
      </c>
      <c r="B76" s="18" t="str">
        <f>HYPERLINK("http://codeforces.com/contest/416/problem/C","CF416-D2-C")</f>
        <v>CF416-D2-C</v>
      </c>
      <c r="C76" s="6">
        <v>1</v>
      </c>
      <c r="D76" s="6"/>
      <c r="E76" s="6"/>
      <c r="F76" s="6"/>
      <c r="G76" s="6"/>
      <c r="H76" s="6"/>
      <c r="I76" s="10">
        <f t="shared" si="0"/>
        <v>0</v>
      </c>
      <c r="J76" s="10"/>
      <c r="K76" s="10"/>
      <c r="L76" s="3"/>
      <c r="M76" s="3"/>
    </row>
    <row r="77" ht="12.75" spans="1:13">
      <c r="A77" s="15" t="s">
        <v>185</v>
      </c>
      <c r="B77" s="18" t="str">
        <f>HYPERLINK("http://codeforces.com/contest/492/problem/C","CF492-D2-C")</f>
        <v>CF492-D2-C</v>
      </c>
      <c r="C77" s="6">
        <v>1</v>
      </c>
      <c r="D77" s="6"/>
      <c r="E77" s="6"/>
      <c r="F77" s="6"/>
      <c r="G77" s="6"/>
      <c r="H77" s="6"/>
      <c r="I77" s="10">
        <f t="shared" si="0"/>
        <v>0</v>
      </c>
      <c r="J77" s="10"/>
      <c r="K77" s="10"/>
      <c r="L77" s="3"/>
      <c r="M77" s="3"/>
    </row>
    <row r="78" customHeight="1" spans="3:3">
      <c r="C78">
        <f>SUM(C5:C77)</f>
        <v>62</v>
      </c>
    </row>
  </sheetData>
  <conditionalFormatting sqref="C3:C77">
    <cfRule type="containsText" dxfId="0" priority="5" operator="between" text="WA">
      <formula>NOT(ISERROR(SEARCH("WA",C3)))</formula>
    </cfRule>
    <cfRule type="containsText" dxfId="1" priority="7" operator="between" text="TLE">
      <formula>NOT(ISERROR(SEARCH("TLE",C3)))</formula>
    </cfRule>
    <cfRule type="containsText" dxfId="2" priority="9" operator="between" text="RTE">
      <formula>NOT(ISERROR(SEARCH("RTE",C3)))</formula>
    </cfRule>
    <cfRule type="containsText" dxfId="3" priority="11" operator="between" text="CS">
      <formula>NOT(ISERROR(SEARCH("CS",C3)))</formula>
    </cfRule>
  </conditionalFormatting>
  <conditionalFormatting sqref="K3:K77">
    <cfRule type="cellIs" dxfId="5" priority="1" operator="equal">
      <formula>"No"</formula>
    </cfRule>
    <cfRule type="cellIs" dxfId="5" priority="2" operator="equal">
      <formula>"no"</formula>
    </cfRule>
    <cfRule type="cellIs" dxfId="5" priority="3" operator="equal">
      <formula>"NO"</formula>
    </cfRule>
  </conditionalFormatting>
  <conditionalFormatting sqref="C99:C150 C3:C77">
    <cfRule type="cellIs" dxfId="4" priority="4" operator="equal">
      <formula>"AC"</formula>
    </cfRule>
  </conditionalFormatting>
  <conditionalFormatting sqref="C99:C150 C10:C77">
    <cfRule type="containsText" dxfId="0" priority="6" operator="between" text="WA">
      <formula>NOT(ISERROR(SEARCH("WA",C10)))</formula>
    </cfRule>
    <cfRule type="containsText" dxfId="1" priority="8" operator="between" text="TLE">
      <formula>NOT(ISERROR(SEARCH("TLE",C10)))</formula>
    </cfRule>
    <cfRule type="containsText" dxfId="2" priority="10" operator="between" text="RTE">
      <formula>NOT(ISERROR(SEARCH("RTE",C10)))</formula>
    </cfRule>
    <cfRule type="containsText" dxfId="3" priority="12" operator="between" text="CS">
      <formula>NOT(ISERROR(SEARCH("CS",C10)))</formula>
    </cfRule>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64"/>
  <sheetViews>
    <sheetView workbookViewId="0">
      <pane xSplit="2" ySplit="2" topLeftCell="C46" activePane="bottomRight" state="frozen"/>
      <selection/>
      <selection pane="topRight"/>
      <selection pane="bottomLeft"/>
      <selection pane="bottomRight" activeCell="B1" sqref="B$1:B$1048576"/>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ht="25.5" spans="1:13">
      <c r="A1" s="13" t="s">
        <v>17</v>
      </c>
      <c r="B1" s="13" t="s">
        <v>18</v>
      </c>
      <c r="C1" s="2" t="s">
        <v>19</v>
      </c>
      <c r="D1" s="2" t="s">
        <v>20</v>
      </c>
      <c r="E1" s="2" t="s">
        <v>21</v>
      </c>
      <c r="F1" s="2" t="s">
        <v>22</v>
      </c>
      <c r="G1" s="2" t="s">
        <v>23</v>
      </c>
      <c r="H1" s="2" t="s">
        <v>24</v>
      </c>
      <c r="I1" s="2" t="s">
        <v>25</v>
      </c>
      <c r="J1" s="2" t="s">
        <v>26</v>
      </c>
      <c r="K1" s="2" t="s">
        <v>27</v>
      </c>
      <c r="L1" s="2" t="s">
        <v>28</v>
      </c>
      <c r="M1" s="19" t="s">
        <v>29</v>
      </c>
    </row>
    <row r="2" ht="12.75" spans="1:13">
      <c r="A2" s="14"/>
      <c r="B2" s="15" t="s">
        <v>30</v>
      </c>
      <c r="C2" s="4">
        <f>COUNTIF(C6:C10359,"AC")</f>
        <v>0</v>
      </c>
      <c r="D2" s="4" t="e">
        <f ca="1">ROUND(SUMPRODUCT(D6:D10359,INT(EQ(C6:C10359,"AC")))/MAX(1,C2),1)</f>
        <v>#NAME?</v>
      </c>
      <c r="E2" s="4">
        <v>0</v>
      </c>
      <c r="F2" s="4">
        <v>0</v>
      </c>
      <c r="G2" s="4">
        <v>0</v>
      </c>
      <c r="H2" s="4">
        <v>0</v>
      </c>
      <c r="I2" s="4">
        <v>0</v>
      </c>
      <c r="J2" s="4" t="e">
        <f ca="1">ROUND(SUMPRODUCT(J6:J10354,INT(EQ(C6:C10354,"AC")))/MAX(1,C2),1)</f>
        <v>#NAME?</v>
      </c>
      <c r="K2" s="4" t="e">
        <f ca="1">SUMPRODUCT(EQ(K6:K10359,"YES"),INT(EQ(C6:C10384,"AC")))</f>
        <v>#NAME?</v>
      </c>
      <c r="L2" s="8">
        <f ca="1">IFERROR(__xludf.DUMMYFUNCTION("COUNTA(FILTER(C6:C9851, NOT(REGEXMATCH(C6:C9851, ""AC""))))"),0)</f>
        <v>0</v>
      </c>
      <c r="M2" s="9">
        <f ca="1">IFERROR(__xludf.DUMMYFUNCTION("COUNTA(FILTER(C6:C9845, NOT(REGEXMATCH(C6:C9845, ""AC""))))"),0)</f>
        <v>0</v>
      </c>
    </row>
    <row r="3" ht="12.75" spans="1:13">
      <c r="A3" s="15"/>
      <c r="B3" s="15"/>
      <c r="C3" s="6"/>
      <c r="D3" s="6"/>
      <c r="E3" s="6"/>
      <c r="F3" s="6"/>
      <c r="G3" s="6"/>
      <c r="H3" s="6"/>
      <c r="I3" s="10">
        <f t="shared" ref="I3:I63" si="0">SUM(E3:H3)</f>
        <v>0</v>
      </c>
      <c r="J3" s="10"/>
      <c r="K3" s="10"/>
      <c r="L3" s="6"/>
      <c r="M3" s="20" t="str">
        <f>HYPERLINK("https://www.youtube.com/watch?v=Tm_Vlkv4mOo","Watch - Thinking - Concretely - Symbolically - Pictorially ")</f>
        <v>Watch - Thinking - Concretely - Symbolically - Pictorially </v>
      </c>
    </row>
    <row r="4" ht="12.75" spans="1:13">
      <c r="A4" s="15"/>
      <c r="B4" s="15"/>
      <c r="C4" s="6"/>
      <c r="D4" s="6"/>
      <c r="E4" s="6"/>
      <c r="F4" s="6"/>
      <c r="G4" s="6"/>
      <c r="H4" s="6"/>
      <c r="I4" s="10">
        <f t="shared" si="0"/>
        <v>0</v>
      </c>
      <c r="J4" s="10"/>
      <c r="K4" s="10"/>
      <c r="L4" s="6"/>
      <c r="M4" s="20" t="str">
        <f>HYPERLINK("https://www.youtube.com/watch?v=jxvaNAthWRI","Watch - Algebra - Number Bases and Polynomials - till min 11 only")</f>
        <v>Watch - Algebra - Number Bases and Polynomials - till min 11 only</v>
      </c>
    </row>
    <row r="5" ht="12.75" spans="1:13">
      <c r="A5" s="16"/>
      <c r="B5" s="17"/>
      <c r="C5" s="6"/>
      <c r="D5" s="6"/>
      <c r="E5" s="6"/>
      <c r="F5" s="6"/>
      <c r="G5" s="6"/>
      <c r="H5" s="6"/>
      <c r="I5" s="10">
        <f t="shared" si="0"/>
        <v>0</v>
      </c>
      <c r="J5" s="10"/>
      <c r="K5" s="10"/>
      <c r="L5" s="3"/>
      <c r="M5" s="15"/>
    </row>
    <row r="6" ht="12.75" spans="1:13">
      <c r="A6" s="15" t="s">
        <v>186</v>
      </c>
      <c r="B6" s="18" t="str">
        <f>HYPERLINK("http://codeforces.com/contest/276/problem/C","CF276-D2-C")</f>
        <v>CF276-D2-C</v>
      </c>
      <c r="C6" s="6">
        <v>1</v>
      </c>
      <c r="D6" s="6"/>
      <c r="E6" s="6"/>
      <c r="F6" s="6"/>
      <c r="G6" s="6"/>
      <c r="H6" s="6"/>
      <c r="I6" s="10">
        <f t="shared" si="0"/>
        <v>0</v>
      </c>
      <c r="J6" s="10"/>
      <c r="K6" s="10"/>
      <c r="L6" s="6"/>
      <c r="M6" s="15"/>
    </row>
    <row r="7" ht="12.75" spans="1:13">
      <c r="A7" s="15" t="s">
        <v>187</v>
      </c>
      <c r="B7" s="18" t="str">
        <f>HYPERLINK("http://codeforces.com/contest/278/problem/C","CF278-D2-C")</f>
        <v>CF278-D2-C</v>
      </c>
      <c r="C7" s="6">
        <v>1</v>
      </c>
      <c r="D7" s="6"/>
      <c r="E7" s="6"/>
      <c r="F7" s="6"/>
      <c r="G7" s="6"/>
      <c r="H7" s="6"/>
      <c r="I7" s="10">
        <f t="shared" si="0"/>
        <v>0</v>
      </c>
      <c r="J7" s="10"/>
      <c r="K7" s="10"/>
      <c r="L7" s="6"/>
      <c r="M7" s="15"/>
    </row>
    <row r="8" ht="12.75" spans="1:13">
      <c r="A8" s="15" t="s">
        <v>188</v>
      </c>
      <c r="B8" s="18" t="str">
        <f>HYPERLINK("http://codeforces.com/contest/296/problem/C","CF296-D2-C")</f>
        <v>CF296-D2-C</v>
      </c>
      <c r="C8" s="6">
        <v>1</v>
      </c>
      <c r="D8" s="6"/>
      <c r="E8" s="6"/>
      <c r="F8" s="6"/>
      <c r="G8" s="6"/>
      <c r="H8" s="6"/>
      <c r="I8" s="10">
        <f t="shared" si="0"/>
        <v>0</v>
      </c>
      <c r="J8" s="3"/>
      <c r="K8" s="3"/>
      <c r="L8" s="3"/>
      <c r="M8" s="3"/>
    </row>
    <row r="9" ht="12.75" spans="1:13">
      <c r="A9" s="15" t="s">
        <v>189</v>
      </c>
      <c r="B9" s="17" t="str">
        <f>HYPERLINK("http://codeforces.com/contest/313/problem/C","CF313-D2-C")</f>
        <v>CF313-D2-C</v>
      </c>
      <c r="C9" s="6">
        <v>1</v>
      </c>
      <c r="D9" s="6"/>
      <c r="E9" s="6"/>
      <c r="F9" s="6"/>
      <c r="G9" s="6"/>
      <c r="H9" s="6"/>
      <c r="I9" s="10">
        <f t="shared" si="0"/>
        <v>0</v>
      </c>
      <c r="J9" s="3"/>
      <c r="K9" s="3"/>
      <c r="L9" s="3"/>
      <c r="M9" s="3"/>
    </row>
    <row r="10" ht="12.75" spans="1:13">
      <c r="A10" s="15" t="s">
        <v>190</v>
      </c>
      <c r="B10" s="18" t="str">
        <f>HYPERLINK("http://codeforces.com/contest/402/problem/C","CF402-D2-C")</f>
        <v>CF402-D2-C</v>
      </c>
      <c r="C10" s="6">
        <v>1</v>
      </c>
      <c r="D10" s="6"/>
      <c r="E10" s="6"/>
      <c r="F10" s="6"/>
      <c r="G10" s="6"/>
      <c r="H10" s="6"/>
      <c r="I10" s="10">
        <f t="shared" si="0"/>
        <v>0</v>
      </c>
      <c r="J10" s="10"/>
      <c r="K10" s="10"/>
      <c r="L10" s="6"/>
      <c r="M10" s="15"/>
    </row>
    <row r="11" ht="12.75" spans="1:13">
      <c r="A11" s="15" t="s">
        <v>191</v>
      </c>
      <c r="B11" s="17" t="str">
        <f>HYPERLINK("http://codeforces.com/contest/546/problem/C","CF546-D2-C")</f>
        <v>CF546-D2-C</v>
      </c>
      <c r="C11" s="6">
        <v>1</v>
      </c>
      <c r="D11" s="6"/>
      <c r="E11" s="6"/>
      <c r="F11" s="6"/>
      <c r="G11" s="6"/>
      <c r="H11" s="6"/>
      <c r="I11" s="10">
        <f t="shared" si="0"/>
        <v>0</v>
      </c>
      <c r="J11" s="3"/>
      <c r="K11" s="3"/>
      <c r="L11" s="3"/>
      <c r="M11" s="3"/>
    </row>
    <row r="12" ht="12.75" spans="1:13">
      <c r="A12" s="15" t="s">
        <v>192</v>
      </c>
      <c r="B12" s="18" t="str">
        <f>HYPERLINK("http://codeforces.com/contest/580/problem/C","CF580-D2-C")</f>
        <v>CF580-D2-C</v>
      </c>
      <c r="C12" s="6">
        <v>1</v>
      </c>
      <c r="D12" s="6"/>
      <c r="E12" s="6"/>
      <c r="F12" s="6"/>
      <c r="G12" s="6"/>
      <c r="H12" s="6"/>
      <c r="I12" s="10">
        <f t="shared" si="0"/>
        <v>0</v>
      </c>
      <c r="J12" s="10"/>
      <c r="K12" s="10"/>
      <c r="L12" s="6"/>
      <c r="M12" s="18" t="str">
        <f>HYPERLINK("https://www.youtube.com/watch?v=ebC3c-YJDIk","Video Solution - Solver to be (Java)")</f>
        <v>Video Solution - Solver to be (Java)</v>
      </c>
    </row>
    <row r="13" ht="12.75" spans="1:13">
      <c r="A13" s="16" t="s">
        <v>193</v>
      </c>
      <c r="B13" s="17" t="str">
        <f>HYPERLINK("http://codeforces.com/contest/812/problem/C","CF812-D2-C")</f>
        <v>CF812-D2-C</v>
      </c>
      <c r="C13" s="6">
        <v>1</v>
      </c>
      <c r="D13" s="6"/>
      <c r="E13" s="6"/>
      <c r="F13" s="6"/>
      <c r="G13" s="6"/>
      <c r="H13" s="6"/>
      <c r="I13" s="10">
        <f t="shared" si="0"/>
        <v>0</v>
      </c>
      <c r="J13" s="10"/>
      <c r="K13" s="10"/>
      <c r="L13" s="3"/>
      <c r="M13" s="18" t="str">
        <f>HYPERLINK("https://www.youtube.com/watch?v=SDEpB87Uxpg","Video Solution - Solver to be (Java)")</f>
        <v>Video Solution - Solver to be (Java)</v>
      </c>
    </row>
    <row r="14" ht="12.75" spans="1:13">
      <c r="A14" s="15" t="s">
        <v>194</v>
      </c>
      <c r="B14" s="18" t="str">
        <f>HYPERLINK("http://www.spoj.com/problems/BITMAP/","SPOJ BITMAP")</f>
        <v>SPOJ BITMAP</v>
      </c>
      <c r="C14" s="6">
        <v>1</v>
      </c>
      <c r="D14" s="6"/>
      <c r="E14" s="6"/>
      <c r="F14" s="6"/>
      <c r="G14" s="6"/>
      <c r="H14" s="6"/>
      <c r="I14" s="10">
        <f t="shared" si="0"/>
        <v>0</v>
      </c>
      <c r="J14" s="3"/>
      <c r="K14" s="3"/>
      <c r="L14" s="3"/>
      <c r="M14" s="15"/>
    </row>
    <row r="15" ht="12.75" spans="1:13">
      <c r="A15" s="15" t="s">
        <v>195</v>
      </c>
      <c r="B15" s="18" t="str">
        <f>HYPERLINK("http://www.spoj.com/problems/CERC07K/","SPOJ CERC07K")</f>
        <v>SPOJ CERC07K</v>
      </c>
      <c r="C15" s="6">
        <v>1</v>
      </c>
      <c r="D15" s="6"/>
      <c r="E15" s="6"/>
      <c r="F15" s="6"/>
      <c r="G15" s="6"/>
      <c r="H15" s="6"/>
      <c r="I15" s="10">
        <f t="shared" si="0"/>
        <v>0</v>
      </c>
      <c r="J15" s="3"/>
      <c r="K15" s="3"/>
      <c r="L15" s="3"/>
      <c r="M15" s="15"/>
    </row>
    <row r="16" ht="12.75" spans="1:13">
      <c r="A16" s="15" t="s">
        <v>196</v>
      </c>
      <c r="B16" s="18" t="str">
        <f>HYPERLINK("http://www.spoj.com/problems/QUEEN/","SPOJ QUEEN")</f>
        <v>SPOJ QUEEN</v>
      </c>
      <c r="C16" s="6">
        <v>1</v>
      </c>
      <c r="D16" s="6"/>
      <c r="E16" s="6"/>
      <c r="F16" s="6"/>
      <c r="G16" s="6"/>
      <c r="H16" s="6"/>
      <c r="I16" s="10">
        <f t="shared" si="0"/>
        <v>0</v>
      </c>
      <c r="J16" s="3"/>
      <c r="K16" s="3"/>
      <c r="L16" s="3"/>
      <c r="M16" s="11" t="str">
        <f>HYPERLINK("https://github.com/magdy-hasan/competitive-programming/blob/master/SPOJ/SPOJ%20QUEEN%20-%20Wandering%20Queen.cpp","Sol to read")</f>
        <v>Sol to read</v>
      </c>
    </row>
    <row r="17" ht="12.75" spans="1:13">
      <c r="A17" s="15" t="s">
        <v>197</v>
      </c>
      <c r="B17" s="18" t="str">
        <f>HYPERLINK("https://uva.onlinejudge.org/index.php?option=com_onlinejudge&amp;Itemid=8&amp;page=show_problem&amp;problem=132","UVA 196")</f>
        <v>UVA 196</v>
      </c>
      <c r="C17" s="6">
        <v>1</v>
      </c>
      <c r="D17" s="6"/>
      <c r="E17" s="6"/>
      <c r="F17" s="6"/>
      <c r="G17" s="6"/>
      <c r="H17" s="6"/>
      <c r="I17" s="10">
        <f t="shared" si="0"/>
        <v>0</v>
      </c>
      <c r="J17" s="3"/>
      <c r="K17" s="3"/>
      <c r="L17" s="3"/>
      <c r="M17" s="3"/>
    </row>
    <row r="18" ht="12.75" spans="1:13">
      <c r="A18" s="15"/>
      <c r="B18" s="15"/>
      <c r="C18" s="6">
        <v>0</v>
      </c>
      <c r="D18" s="6"/>
      <c r="E18" s="6"/>
      <c r="F18" s="6"/>
      <c r="G18" s="6"/>
      <c r="H18" s="6"/>
      <c r="I18" s="10">
        <f t="shared" si="0"/>
        <v>0</v>
      </c>
      <c r="J18" s="10"/>
      <c r="K18" s="10"/>
      <c r="L18" s="6"/>
      <c r="M18" s="20" t="str">
        <f>HYPERLINK("https://www.youtube.com/watch?v=F0hmrbOW8nw","Watch - Thinking - Problem Abstraction ")</f>
        <v>Watch - Thinking - Problem Abstraction </v>
      </c>
    </row>
    <row r="19" ht="12.75" spans="1:13">
      <c r="A19" s="15"/>
      <c r="B19" s="15"/>
      <c r="C19" s="6">
        <v>0</v>
      </c>
      <c r="D19" s="6"/>
      <c r="E19" s="6"/>
      <c r="F19" s="6"/>
      <c r="G19" s="6"/>
      <c r="H19" s="6"/>
      <c r="I19" s="10">
        <f t="shared" si="0"/>
        <v>0</v>
      </c>
      <c r="J19" s="10"/>
      <c r="K19" s="10"/>
      <c r="L19" s="6"/>
      <c r="M19" s="20" t="str">
        <f>HYPERLINK("https://www.youtube.com/watch?v=0wlc8Rhyybo","Watch - Thinking - Problem Reverse")</f>
        <v>Watch - Thinking - Problem Reverse</v>
      </c>
    </row>
    <row r="20" ht="12.75" spans="1:13">
      <c r="A20" s="15"/>
      <c r="B20" s="15"/>
      <c r="C20" s="6">
        <v>0</v>
      </c>
      <c r="D20" s="6"/>
      <c r="E20" s="6"/>
      <c r="F20" s="6"/>
      <c r="G20" s="6"/>
      <c r="H20" s="6"/>
      <c r="I20" s="10">
        <f t="shared" si="0"/>
        <v>0</v>
      </c>
      <c r="J20" s="10"/>
      <c r="K20" s="10"/>
      <c r="L20" s="6"/>
      <c r="M20" s="20" t="str">
        <f>HYPERLINK("https://www.youtube.com/watch?v=hLXVhRzqq18","Watch - Search Techniques - Backtracking")</f>
        <v>Watch - Search Techniques - Backtracking</v>
      </c>
    </row>
    <row r="21" ht="12.75" spans="1:13">
      <c r="A21" s="15"/>
      <c r="B21" s="15"/>
      <c r="C21" s="6">
        <v>0</v>
      </c>
      <c r="D21" s="6"/>
      <c r="E21" s="6"/>
      <c r="F21" s="6"/>
      <c r="G21" s="6"/>
      <c r="H21" s="6"/>
      <c r="I21" s="10">
        <f t="shared" si="0"/>
        <v>0</v>
      </c>
      <c r="J21" s="10"/>
      <c r="K21" s="10"/>
      <c r="L21" s="6"/>
      <c r="M21" s="20"/>
    </row>
    <row r="22" ht="12.75" spans="1:13">
      <c r="A22" s="15" t="s">
        <v>198</v>
      </c>
      <c r="B22" s="18" t="str">
        <f>HYPERLINK("https://uva.onlinejudge.org/index.php?option=com_onlinejudge&amp;Itemid=8&amp;page=show_problem&amp;problem=129","UVA 193")</f>
        <v>UVA 193</v>
      </c>
      <c r="C22" s="6">
        <v>1</v>
      </c>
      <c r="D22" s="6"/>
      <c r="E22" s="6"/>
      <c r="F22" s="6"/>
      <c r="G22" s="6"/>
      <c r="H22" s="6"/>
      <c r="I22" s="10">
        <f t="shared" si="0"/>
        <v>0</v>
      </c>
      <c r="J22" s="10"/>
      <c r="K22" s="10"/>
      <c r="L22" s="6"/>
      <c r="M22" s="18" t="str">
        <f>HYPERLINK("https://www.youtube.com/watch?v=0hOK2hgqNE4","Video Solution - Eng Mostafa Saad")</f>
        <v>Video Solution - Eng Mostafa Saad</v>
      </c>
    </row>
    <row r="23" ht="12.75" spans="1:13">
      <c r="A23" s="15" t="s">
        <v>199</v>
      </c>
      <c r="B23" s="18" t="str">
        <f>HYPERLINK("https://uva.onlinejudge.org/index.php?option=com_onlinejudge&amp;Itemid=8&amp;page=show_problem&amp;problem=1285","UVA 10344")</f>
        <v>UVA 10344</v>
      </c>
      <c r="C23" s="6">
        <v>1</v>
      </c>
      <c r="D23" s="6"/>
      <c r="E23" s="6"/>
      <c r="F23" s="6"/>
      <c r="G23" s="6"/>
      <c r="H23" s="6"/>
      <c r="I23" s="10">
        <f t="shared" si="0"/>
        <v>0</v>
      </c>
      <c r="J23" s="10"/>
      <c r="K23" s="10"/>
      <c r="L23" s="6"/>
      <c r="M23" s="18" t="str">
        <f>HYPERLINK("https://www.youtube.com/watch?v=WX7rIgcgnBs","Video Solution - Eng Mohamed Nasser")</f>
        <v>Video Solution - Eng Mohamed Nasser</v>
      </c>
    </row>
    <row r="24" ht="12.75" spans="1:13">
      <c r="A24" s="15" t="s">
        <v>200</v>
      </c>
      <c r="B24" s="18" t="str">
        <f>HYPERLINK("https://uva.onlinejudge.org/index.php?option=com_onlinejudge&amp;Itemid=8&amp;page=show_problem&amp;problem=691","UVA 750")</f>
        <v>UVA 750</v>
      </c>
      <c r="C24" s="6">
        <v>1</v>
      </c>
      <c r="D24" s="6"/>
      <c r="E24" s="6"/>
      <c r="F24" s="6"/>
      <c r="G24" s="6"/>
      <c r="H24" s="6"/>
      <c r="I24" s="10">
        <f t="shared" si="0"/>
        <v>0</v>
      </c>
      <c r="J24" s="10"/>
      <c r="K24" s="10"/>
      <c r="L24" s="6"/>
      <c r="M24" s="18" t="str">
        <f>HYPERLINK("https://www.youtube.com/watch?v=3jMlUYEVgL0","Video Solution - Eng Ayman Salah")</f>
        <v>Video Solution - Eng Ayman Salah</v>
      </c>
    </row>
    <row r="25" ht="12.75" spans="1:13">
      <c r="A25" s="15"/>
      <c r="B25" s="15"/>
      <c r="C25" s="6"/>
      <c r="D25" s="6"/>
      <c r="E25" s="6"/>
      <c r="F25" s="6"/>
      <c r="G25" s="6"/>
      <c r="H25" s="6"/>
      <c r="I25" s="10">
        <f t="shared" si="0"/>
        <v>0</v>
      </c>
      <c r="J25" s="10"/>
      <c r="K25" s="10"/>
      <c r="L25" s="6"/>
      <c r="M25" s="15"/>
    </row>
    <row r="26" ht="12.75" spans="1:13">
      <c r="A26" s="15" t="s">
        <v>201</v>
      </c>
      <c r="B26" s="18" t="str">
        <f>HYPERLINK("http://codeforces.com/contest/253/problem/C","CF253-D2-C")</f>
        <v>CF253-D2-C</v>
      </c>
      <c r="C26" s="6">
        <v>1</v>
      </c>
      <c r="D26" s="6"/>
      <c r="E26" s="6"/>
      <c r="F26" s="6"/>
      <c r="G26" s="6"/>
      <c r="H26" s="6"/>
      <c r="I26" s="10">
        <f t="shared" si="0"/>
        <v>0</v>
      </c>
      <c r="J26" s="10"/>
      <c r="K26" s="10"/>
      <c r="L26" s="6"/>
      <c r="M26" s="15"/>
    </row>
    <row r="27" ht="12.75" spans="1:13">
      <c r="A27" s="15" t="s">
        <v>202</v>
      </c>
      <c r="B27" s="18" t="str">
        <f>HYPERLINK("http://codeforces.com/contest/378/problem/C","CF378-D2-C")</f>
        <v>CF378-D2-C</v>
      </c>
      <c r="C27" s="6">
        <v>1</v>
      </c>
      <c r="D27" s="6"/>
      <c r="E27" s="6"/>
      <c r="F27" s="6"/>
      <c r="G27" s="6"/>
      <c r="H27" s="6"/>
      <c r="I27" s="10">
        <f t="shared" si="0"/>
        <v>0</v>
      </c>
      <c r="J27" s="10"/>
      <c r="K27" s="10"/>
      <c r="L27" s="6"/>
      <c r="M27" s="15"/>
    </row>
    <row r="28" ht="12.75" spans="1:13">
      <c r="A28" s="15"/>
      <c r="B28" s="18" t="str">
        <f>HYPERLINK("http://codeforces.com/contest/445/problem/C","CF445-D2-C")</f>
        <v>CF445-D2-C</v>
      </c>
      <c r="C28" s="6">
        <v>1</v>
      </c>
      <c r="D28" s="6"/>
      <c r="E28" s="6"/>
      <c r="F28" s="6"/>
      <c r="G28" s="6"/>
      <c r="H28" s="6"/>
      <c r="I28" s="10">
        <f t="shared" si="0"/>
        <v>0</v>
      </c>
      <c r="J28" s="10"/>
      <c r="K28" s="10"/>
      <c r="L28" s="6"/>
      <c r="M28" s="21"/>
    </row>
    <row r="29" ht="12.75" spans="1:13">
      <c r="A29" s="15" t="s">
        <v>203</v>
      </c>
      <c r="B29" s="18" t="str">
        <f>HYPERLINK("http://codeforces.com/contest/486/problem/C","CF486-D2-C")</f>
        <v>CF486-D2-C</v>
      </c>
      <c r="C29" s="6">
        <v>1</v>
      </c>
      <c r="D29" s="6"/>
      <c r="E29" s="6"/>
      <c r="F29" s="6"/>
      <c r="G29" s="6"/>
      <c r="H29" s="6"/>
      <c r="I29" s="10">
        <f t="shared" si="0"/>
        <v>0</v>
      </c>
      <c r="J29" s="10"/>
      <c r="K29" s="10"/>
      <c r="L29" s="6"/>
      <c r="M29" s="15"/>
    </row>
    <row r="30" ht="12.75" spans="1:13">
      <c r="A30" s="15" t="s">
        <v>204</v>
      </c>
      <c r="B30" s="18" t="str">
        <f>HYPERLINK("http://codeforces.com/contest/518/problem/C","CF518-D2-C")</f>
        <v>CF518-D2-C</v>
      </c>
      <c r="C30" s="6">
        <v>1</v>
      </c>
      <c r="D30" s="6"/>
      <c r="E30" s="6"/>
      <c r="F30" s="6"/>
      <c r="G30" s="6"/>
      <c r="H30" s="6"/>
      <c r="I30" s="10">
        <f t="shared" si="0"/>
        <v>0</v>
      </c>
      <c r="J30" s="10"/>
      <c r="K30" s="10"/>
      <c r="L30" s="6"/>
      <c r="M30" s="15"/>
    </row>
    <row r="31" ht="12.75" spans="1:13">
      <c r="A31" s="15" t="s">
        <v>205</v>
      </c>
      <c r="B31" s="18" t="str">
        <f>HYPERLINK("http://codeforces.com/contest/584/problem/C","CF584-D2-C")</f>
        <v>CF584-D2-C</v>
      </c>
      <c r="C31" s="6">
        <v>1</v>
      </c>
      <c r="D31" s="6"/>
      <c r="E31" s="6"/>
      <c r="F31" s="6"/>
      <c r="G31" s="6"/>
      <c r="H31" s="6"/>
      <c r="I31" s="10">
        <f t="shared" si="0"/>
        <v>0</v>
      </c>
      <c r="J31" s="10"/>
      <c r="K31" s="10"/>
      <c r="L31" s="3"/>
      <c r="M31" s="3"/>
    </row>
    <row r="32" ht="12.75" spans="1:13">
      <c r="A32" s="15" t="s">
        <v>206</v>
      </c>
      <c r="B32" s="18" t="str">
        <f>HYPERLINK("http://codeforces.com/contest/682/problem/C","CF682-D2-C")</f>
        <v>CF682-D2-C</v>
      </c>
      <c r="C32" s="6">
        <v>1</v>
      </c>
      <c r="D32" s="6"/>
      <c r="E32" s="6"/>
      <c r="F32" s="6"/>
      <c r="G32" s="6"/>
      <c r="H32" s="6"/>
      <c r="I32" s="10">
        <f t="shared" si="0"/>
        <v>0</v>
      </c>
      <c r="J32" s="10"/>
      <c r="K32" s="10"/>
      <c r="L32" s="6"/>
      <c r="M32" s="15"/>
    </row>
    <row r="33" ht="12.75" spans="1:13">
      <c r="A33" s="15" t="s">
        <v>207</v>
      </c>
      <c r="B33" s="18" t="str">
        <f>HYPERLINK("http://codeforces.com/contest/705/problem/C","CF705-D2-C")</f>
        <v>CF705-D2-C</v>
      </c>
      <c r="C33" s="6">
        <v>1</v>
      </c>
      <c r="D33" s="6"/>
      <c r="E33" s="6"/>
      <c r="F33" s="6"/>
      <c r="G33" s="6"/>
      <c r="H33" s="6"/>
      <c r="I33" s="10">
        <f t="shared" si="0"/>
        <v>0</v>
      </c>
      <c r="J33" s="10"/>
      <c r="K33" s="10"/>
      <c r="L33" s="6"/>
      <c r="M33" s="15"/>
    </row>
    <row r="34" ht="12.75" spans="1:13">
      <c r="A34" s="15" t="s">
        <v>208</v>
      </c>
      <c r="B34" s="18" t="str">
        <f>HYPERLINK("http://codeforces.com/contest/822/problem/C","CF822-D2-C")</f>
        <v>CF822-D2-C</v>
      </c>
      <c r="C34" s="6">
        <v>1</v>
      </c>
      <c r="D34" s="6"/>
      <c r="E34" s="6"/>
      <c r="F34" s="6"/>
      <c r="G34" s="6"/>
      <c r="H34" s="6"/>
      <c r="I34" s="10">
        <f t="shared" si="0"/>
        <v>0</v>
      </c>
      <c r="J34" s="10"/>
      <c r="K34" s="10"/>
      <c r="L34" s="6"/>
      <c r="M34" s="18" t="str">
        <f>HYPERLINK("https://www.youtube.com/watch?v=VvR9spazigA","Video Solution - Solver to be (Java)")</f>
        <v>Video Solution - Solver to be (Java)</v>
      </c>
    </row>
    <row r="35" ht="12.75" spans="1:13">
      <c r="A35" s="15" t="s">
        <v>209</v>
      </c>
      <c r="B35" s="18" t="str">
        <f>HYPERLINK("http://codeforces.com/contest/835/problem/C","CF835-D2-C")</f>
        <v>CF835-D2-C</v>
      </c>
      <c r="C35" s="6">
        <v>1</v>
      </c>
      <c r="D35" s="6"/>
      <c r="E35" s="6"/>
      <c r="F35" s="6"/>
      <c r="G35" s="6"/>
      <c r="H35" s="6"/>
      <c r="I35" s="10">
        <f t="shared" si="0"/>
        <v>0</v>
      </c>
      <c r="J35" s="10"/>
      <c r="K35" s="10"/>
      <c r="L35" s="6"/>
      <c r="M35" s="18" t="str">
        <f>HYPERLINK("https://www.youtube.com/watch?v=McKM0CgVLUM","Video Solution - Solver to be (Java)")</f>
        <v>Video Solution - Solver to be (Java)</v>
      </c>
    </row>
    <row r="36" ht="12.75" spans="1:13">
      <c r="A36" s="15"/>
      <c r="B36" s="15" t="s">
        <v>210</v>
      </c>
      <c r="C36" s="6"/>
      <c r="D36" s="6"/>
      <c r="E36" s="6"/>
      <c r="F36" s="6"/>
      <c r="G36" s="6"/>
      <c r="H36" s="6"/>
      <c r="I36" s="10">
        <f t="shared" si="0"/>
        <v>0</v>
      </c>
      <c r="J36" s="10"/>
      <c r="K36" s="10"/>
      <c r="L36" s="6"/>
      <c r="M36" s="18" t="str">
        <f>HYPERLINK("https://www.geeksforgeeks.org/0-1-bfs-shortest-path-binary-graph/","Learn 0/1 BFS")</f>
        <v>Learn 0/1 BFS</v>
      </c>
    </row>
    <row r="37" ht="12.75" spans="1:13">
      <c r="A37" s="15"/>
      <c r="B37" s="15"/>
      <c r="C37" s="6"/>
      <c r="D37" s="6"/>
      <c r="E37" s="6"/>
      <c r="F37" s="6"/>
      <c r="G37" s="6"/>
      <c r="H37" s="6"/>
      <c r="I37" s="10">
        <f t="shared" si="0"/>
        <v>0</v>
      </c>
      <c r="J37" s="10"/>
      <c r="K37" s="10"/>
      <c r="L37" s="6"/>
      <c r="M37" s="15"/>
    </row>
    <row r="38" ht="12.75" spans="1:13">
      <c r="A38" s="15" t="s">
        <v>211</v>
      </c>
      <c r="B38" s="18" t="str">
        <f>HYPERLINK("http://codeforces.com/contest/124/problem/C","CF124-D2-C")</f>
        <v>CF124-D2-C</v>
      </c>
      <c r="C38" s="6">
        <v>1</v>
      </c>
      <c r="D38" s="6"/>
      <c r="E38" s="6"/>
      <c r="F38" s="6"/>
      <c r="G38" s="6"/>
      <c r="H38" s="6"/>
      <c r="I38" s="10">
        <f t="shared" si="0"/>
        <v>0</v>
      </c>
      <c r="J38" s="3"/>
      <c r="K38" s="3"/>
      <c r="L38" s="3"/>
      <c r="M38" s="3"/>
    </row>
    <row r="39" ht="12.75" spans="1:13">
      <c r="A39" s="15" t="s">
        <v>212</v>
      </c>
      <c r="B39" s="18" t="str">
        <f>HYPERLINK("http://codeforces.com/contest/148/problem/C","CF148-D2-C")</f>
        <v>CF148-D2-C</v>
      </c>
      <c r="C39" s="6">
        <v>1</v>
      </c>
      <c r="D39" s="6"/>
      <c r="E39" s="6"/>
      <c r="F39" s="6"/>
      <c r="G39" s="6"/>
      <c r="H39" s="6"/>
      <c r="I39" s="10">
        <f t="shared" si="0"/>
        <v>0</v>
      </c>
      <c r="J39" s="10"/>
      <c r="K39" s="10"/>
      <c r="L39" s="6"/>
      <c r="M39" s="11" t="str">
        <f>HYPERLINK("https://www.youtube.com/watch?v=BX2HhPefv6g","Video Solution - Eng Mohamed Nasser")</f>
        <v>Video Solution - Eng Mohamed Nasser</v>
      </c>
    </row>
    <row r="40" ht="12.75" spans="1:13">
      <c r="A40" s="15" t="s">
        <v>213</v>
      </c>
      <c r="B40" s="18" t="str">
        <f>HYPERLINK("http://codeforces.com/contest/260/problem/C","CF260-D2-C")</f>
        <v>CF260-D2-C</v>
      </c>
      <c r="C40" s="6">
        <v>1</v>
      </c>
      <c r="D40" s="6"/>
      <c r="E40" s="6"/>
      <c r="F40" s="6"/>
      <c r="G40" s="6"/>
      <c r="H40" s="6"/>
      <c r="I40" s="10">
        <f t="shared" si="0"/>
        <v>0</v>
      </c>
      <c r="J40" s="10"/>
      <c r="K40" s="10"/>
      <c r="L40" s="3"/>
      <c r="M40" s="18" t="str">
        <f>HYPERLINK("https://www.youtube.com/watch?v=W3Zp3yqNsOs","Video Solution - Eng Mostafa Saad")</f>
        <v>Video Solution - Eng Mostafa Saad</v>
      </c>
    </row>
    <row r="41" ht="12.75" spans="1:13">
      <c r="A41" s="15" t="s">
        <v>214</v>
      </c>
      <c r="B41" s="18" t="str">
        <f>HYPERLINK("http://codeforces.com/contest/426/problem/C","CF426-D2-C")</f>
        <v>CF426-D2-C</v>
      </c>
      <c r="C41" s="6">
        <v>1</v>
      </c>
      <c r="D41" s="6"/>
      <c r="E41" s="6"/>
      <c r="F41" s="6"/>
      <c r="G41" s="6"/>
      <c r="H41" s="6"/>
      <c r="I41" s="10">
        <f t="shared" si="0"/>
        <v>0</v>
      </c>
      <c r="J41" s="10"/>
      <c r="K41" s="10"/>
      <c r="L41" s="6"/>
      <c r="M41" s="15"/>
    </row>
    <row r="42" ht="12.75" spans="1:13">
      <c r="A42" s="15" t="s">
        <v>215</v>
      </c>
      <c r="B42" s="18" t="str">
        <f>HYPERLINK("http://codeforces.com/contest/430/problem/C","CF430-D2-C")</f>
        <v>CF430-D2-C</v>
      </c>
      <c r="C42" s="6">
        <v>1</v>
      </c>
      <c r="D42" s="6"/>
      <c r="E42" s="6"/>
      <c r="F42" s="6"/>
      <c r="G42" s="6"/>
      <c r="H42" s="6"/>
      <c r="I42" s="10">
        <f t="shared" si="0"/>
        <v>0</v>
      </c>
      <c r="J42" s="10"/>
      <c r="K42" s="10"/>
      <c r="L42" s="6"/>
      <c r="M42" s="15"/>
    </row>
    <row r="43" ht="12.75" spans="1:13">
      <c r="A43" s="15" t="s">
        <v>216</v>
      </c>
      <c r="B43" s="18" t="str">
        <f>HYPERLINK("http://codeforces.com/contest/58/problem/C","CF58-D2-C")</f>
        <v>CF58-D2-C</v>
      </c>
      <c r="C43" s="6">
        <v>1</v>
      </c>
      <c r="D43" s="6"/>
      <c r="E43" s="6"/>
      <c r="F43" s="6"/>
      <c r="G43" s="6"/>
      <c r="H43" s="6"/>
      <c r="I43" s="10">
        <f t="shared" si="0"/>
        <v>0</v>
      </c>
      <c r="J43" s="10"/>
      <c r="K43" s="10"/>
      <c r="L43" s="6"/>
      <c r="M43" s="15"/>
    </row>
    <row r="44" ht="12.75" spans="1:13">
      <c r="A44" s="15" t="s">
        <v>217</v>
      </c>
      <c r="B44" s="18" t="str">
        <f>HYPERLINK("http://codeforces.com/contest/591/problem/C","CF591-D2-C")</f>
        <v>CF591-D2-C</v>
      </c>
      <c r="C44" s="6">
        <v>1</v>
      </c>
      <c r="D44" s="6"/>
      <c r="E44" s="6"/>
      <c r="F44" s="6"/>
      <c r="G44" s="6"/>
      <c r="H44" s="6"/>
      <c r="I44" s="10">
        <f t="shared" si="0"/>
        <v>0</v>
      </c>
      <c r="J44" s="10"/>
      <c r="K44" s="10"/>
      <c r="L44" s="6"/>
      <c r="M44" s="15"/>
    </row>
    <row r="45" ht="12.75" spans="1:13">
      <c r="A45" s="15" t="s">
        <v>218</v>
      </c>
      <c r="B45" s="18" t="str">
        <f>HYPERLINK("http://codeforces.com/contest/740/problem/C","CF740-D2-C")</f>
        <v>CF740-D2-C</v>
      </c>
      <c r="C45" s="6">
        <v>1</v>
      </c>
      <c r="D45" s="6"/>
      <c r="E45" s="6"/>
      <c r="F45" s="6"/>
      <c r="G45" s="6"/>
      <c r="H45" s="6"/>
      <c r="I45" s="10">
        <f t="shared" si="0"/>
        <v>0</v>
      </c>
      <c r="J45" s="10"/>
      <c r="K45" s="10"/>
      <c r="L45" s="6"/>
      <c r="M45" s="18" t="str">
        <f>HYPERLINK("https://www.youtube.com/watch?v=yDt7GWiPeV4","Video Solution - Eng Mostafa Saad")</f>
        <v>Video Solution - Eng Mostafa Saad</v>
      </c>
    </row>
    <row r="46" ht="12.75" spans="1:13">
      <c r="A46" s="15" t="s">
        <v>219</v>
      </c>
      <c r="B46" s="18" t="str">
        <f>HYPERLINK("http://codeforces.com/contest/959/problem/C","CF959-D2-C")</f>
        <v>CF959-D2-C</v>
      </c>
      <c r="C46" s="6">
        <v>1</v>
      </c>
      <c r="D46" s="6"/>
      <c r="E46" s="6"/>
      <c r="F46" s="6"/>
      <c r="G46" s="6"/>
      <c r="H46" s="6"/>
      <c r="I46" s="10">
        <f t="shared" si="0"/>
        <v>0</v>
      </c>
      <c r="J46" s="10"/>
      <c r="K46" s="10"/>
      <c r="L46" s="3"/>
      <c r="M46" s="11" t="str">
        <f>HYPERLINK("https://www.youtube.com/watch?v=bvDYHy9ESnY&amp;","Video Solution - Eng Mohamed Salah")</f>
        <v>Video Solution - Eng Mohamed Salah</v>
      </c>
    </row>
    <row r="47" ht="12.75" spans="1:13">
      <c r="A47" s="15"/>
      <c r="B47" s="15" t="s">
        <v>220</v>
      </c>
      <c r="C47" s="6"/>
      <c r="D47" s="6"/>
      <c r="E47" s="6"/>
      <c r="F47" s="6"/>
      <c r="G47" s="6"/>
      <c r="H47" s="6"/>
      <c r="I47" s="10">
        <f t="shared" si="0"/>
        <v>0</v>
      </c>
      <c r="J47" s="10"/>
      <c r="K47" s="10"/>
      <c r="L47" s="6"/>
      <c r="M47" s="18" t="str">
        <f>HYPERLINK("https://github.com/mostafa-saad/MyCompetitiveProgramming/blob/master/SPOJ/SPOJ_TWINSNOW.txt","Sol - text clarification")</f>
        <v>Sol - text clarification</v>
      </c>
    </row>
    <row r="48" ht="12.75" spans="1:13">
      <c r="A48" s="15" t="s">
        <v>221</v>
      </c>
      <c r="B48" s="18" t="str">
        <f>HYPERLINK("https://uva.onlinejudge.org/index.php?option=com_onlinejudge&amp;Itemid=8&amp;page=show_problem&amp;problem=512","UVA 571")</f>
        <v>UVA 571</v>
      </c>
      <c r="C48" s="6">
        <v>1</v>
      </c>
      <c r="D48" s="6"/>
      <c r="E48" s="6"/>
      <c r="F48" s="6"/>
      <c r="G48" s="6"/>
      <c r="H48" s="6"/>
      <c r="I48" s="10">
        <f t="shared" si="0"/>
        <v>0</v>
      </c>
      <c r="J48" s="10"/>
      <c r="K48" s="10"/>
      <c r="L48" s="3"/>
      <c r="M48" s="17" t="str">
        <f>HYPERLINK("https://www.youtube.com/watch?v=y0J3Jznp3kE","Video Solution - Eng Mostafa Saad")</f>
        <v>Video Solution - Eng Mostafa Saad</v>
      </c>
    </row>
    <row r="49" ht="12.75" spans="1:13">
      <c r="A49" s="15" t="s">
        <v>222</v>
      </c>
      <c r="B49" s="18" t="str">
        <f>HYPERLINK("https://uva.onlinejudge.org/index.php?option=com_onlinejudge&amp;Itemid=8&amp;page=show_problem&amp;problem=793","UVA 852")</f>
        <v>UVA 852</v>
      </c>
      <c r="C49" s="6">
        <v>1</v>
      </c>
      <c r="D49" s="6"/>
      <c r="E49" s="6"/>
      <c r="F49" s="6"/>
      <c r="G49" s="6"/>
      <c r="H49" s="6"/>
      <c r="I49" s="10">
        <f t="shared" si="0"/>
        <v>0</v>
      </c>
      <c r="J49" s="10"/>
      <c r="K49" s="10"/>
      <c r="L49" s="6"/>
      <c r="M49" s="15"/>
    </row>
    <row r="50" ht="12.75" spans="1:13">
      <c r="A50" s="15" t="s">
        <v>223</v>
      </c>
      <c r="B50" s="18" t="str">
        <f>HYPERLINK("https://uva.onlinejudge.org/index.php?option=onlinejudge&amp;page=show_problem&amp;problem=813","UVA 872")</f>
        <v>UVA 872</v>
      </c>
      <c r="C50" s="6">
        <v>1</v>
      </c>
      <c r="D50" s="6"/>
      <c r="E50" s="6"/>
      <c r="F50" s="6"/>
      <c r="G50" s="6"/>
      <c r="H50" s="6"/>
      <c r="I50" s="10">
        <f t="shared" si="0"/>
        <v>0</v>
      </c>
      <c r="J50" s="3"/>
      <c r="K50" s="3"/>
      <c r="L50" s="3"/>
      <c r="M50" s="3"/>
    </row>
    <row r="51" ht="12.75" spans="1:13">
      <c r="A51" s="15"/>
      <c r="B51" s="15"/>
      <c r="C51" s="6"/>
      <c r="D51" s="6"/>
      <c r="E51" s="6"/>
      <c r="F51" s="6"/>
      <c r="G51" s="6"/>
      <c r="H51" s="6"/>
      <c r="I51" s="10">
        <f t="shared" si="0"/>
        <v>0</v>
      </c>
      <c r="J51" s="10"/>
      <c r="K51" s="10"/>
      <c r="L51" s="6"/>
      <c r="M51" s="22"/>
    </row>
    <row r="52" ht="12.75" spans="1:13">
      <c r="A52" s="15" t="s">
        <v>224</v>
      </c>
      <c r="B52" s="18" t="str">
        <f>HYPERLINK("http://codeforces.com/contest/118/problem/C","CF118-D2-C")</f>
        <v>CF118-D2-C</v>
      </c>
      <c r="C52" s="6">
        <v>1</v>
      </c>
      <c r="D52" s="6"/>
      <c r="E52" s="6"/>
      <c r="F52" s="6"/>
      <c r="G52" s="6"/>
      <c r="H52" s="6"/>
      <c r="I52" s="10">
        <f t="shared" si="0"/>
        <v>0</v>
      </c>
      <c r="J52" s="10"/>
      <c r="K52" s="10"/>
      <c r="L52" s="6"/>
      <c r="M52" s="15"/>
    </row>
    <row r="53" ht="12.75" spans="1:13">
      <c r="A53" s="15" t="s">
        <v>225</v>
      </c>
      <c r="B53" s="18" t="str">
        <f>HYPERLINK("http://codeforces.com/contest/141/problem/C","CF141-D2-C")</f>
        <v>CF141-D2-C</v>
      </c>
      <c r="C53" s="6">
        <v>1</v>
      </c>
      <c r="D53" s="6"/>
      <c r="E53" s="6"/>
      <c r="F53" s="6"/>
      <c r="G53" s="6"/>
      <c r="H53" s="6"/>
      <c r="I53" s="10">
        <f t="shared" si="0"/>
        <v>0</v>
      </c>
      <c r="J53" s="10"/>
      <c r="K53" s="10"/>
      <c r="L53" s="6"/>
      <c r="M53" s="15"/>
    </row>
    <row r="54" ht="12.75" spans="1:13">
      <c r="A54" s="15" t="s">
        <v>226</v>
      </c>
      <c r="B54" s="18" t="str">
        <f>HYPERLINK("http://codeforces.com/contest/224/problem/C","CF224-D2-C")</f>
        <v>CF224-D2-C</v>
      </c>
      <c r="C54" s="6">
        <v>1</v>
      </c>
      <c r="D54" s="6"/>
      <c r="E54" s="6"/>
      <c r="F54" s="6"/>
      <c r="G54" s="6"/>
      <c r="H54" s="6"/>
      <c r="I54" s="10">
        <f t="shared" si="0"/>
        <v>0</v>
      </c>
      <c r="J54" s="10"/>
      <c r="K54" s="10"/>
      <c r="L54" s="6"/>
      <c r="M54" s="15"/>
    </row>
    <row r="55" ht="12.75" spans="1:13">
      <c r="A55" s="15"/>
      <c r="B55" s="18" t="str">
        <f>HYPERLINK("http://codeforces.com/contest/23/problem/C","CF23-D12-C")</f>
        <v>CF23-D12-C</v>
      </c>
      <c r="C55" s="6">
        <v>1</v>
      </c>
      <c r="D55" s="6"/>
      <c r="E55" s="6"/>
      <c r="F55" s="6"/>
      <c r="G55" s="6"/>
      <c r="H55" s="6"/>
      <c r="I55" s="10">
        <f t="shared" si="0"/>
        <v>0</v>
      </c>
      <c r="J55" s="3"/>
      <c r="K55" s="3"/>
      <c r="L55" s="3"/>
      <c r="M55" s="23"/>
    </row>
    <row r="56" ht="12.75" spans="1:13">
      <c r="A56" s="15" t="s">
        <v>227</v>
      </c>
      <c r="B56" s="18" t="str">
        <f>HYPERLINK("http://codeforces.com/contest/231/problem/C","CF231-D2-C")</f>
        <v>CF231-D2-C</v>
      </c>
      <c r="C56" s="6">
        <v>1</v>
      </c>
      <c r="D56" s="6"/>
      <c r="E56" s="6"/>
      <c r="F56" s="6"/>
      <c r="G56" s="6"/>
      <c r="H56" s="6"/>
      <c r="I56" s="10">
        <f t="shared" si="0"/>
        <v>0</v>
      </c>
      <c r="J56" s="3"/>
      <c r="K56" s="3"/>
      <c r="L56" s="3"/>
      <c r="M56" s="3"/>
    </row>
    <row r="57" ht="12.75" spans="1:13">
      <c r="A57" s="15" t="s">
        <v>228</v>
      </c>
      <c r="B57" s="18" t="str">
        <f>HYPERLINK("http://codeforces.com/contest/357/problem/C","CF357-D2-C")</f>
        <v>CF357-D2-C</v>
      </c>
      <c r="C57" s="6">
        <v>1</v>
      </c>
      <c r="D57" s="6"/>
      <c r="E57" s="6"/>
      <c r="F57" s="6"/>
      <c r="G57" s="6"/>
      <c r="H57" s="6"/>
      <c r="I57" s="10">
        <f t="shared" si="0"/>
        <v>0</v>
      </c>
      <c r="J57" s="10"/>
      <c r="K57" s="10"/>
      <c r="L57" s="3"/>
      <c r="M57" s="3"/>
    </row>
    <row r="58" ht="12.75" spans="1:13">
      <c r="A58" s="15" t="s">
        <v>229</v>
      </c>
      <c r="B58" s="18" t="str">
        <f>HYPERLINK("http://codeforces.com/contest/465/problem/C","CF465-D2-C")</f>
        <v>CF465-D2-C</v>
      </c>
      <c r="C58" s="6">
        <v>1</v>
      </c>
      <c r="D58" s="6"/>
      <c r="E58" s="6"/>
      <c r="F58" s="6"/>
      <c r="G58" s="6"/>
      <c r="H58" s="6"/>
      <c r="I58" s="10">
        <f t="shared" si="0"/>
        <v>0</v>
      </c>
      <c r="J58" s="3"/>
      <c r="K58" s="3"/>
      <c r="L58" s="3"/>
      <c r="M58" s="3"/>
    </row>
    <row r="59" ht="12.75" spans="1:13">
      <c r="A59" s="15" t="s">
        <v>230</v>
      </c>
      <c r="B59" s="18" t="str">
        <f>HYPERLINK("http://codeforces.com/contest/466/problem/C","CF466-D2-C")</f>
        <v>CF466-D2-C</v>
      </c>
      <c r="C59" s="6">
        <v>1</v>
      </c>
      <c r="D59" s="6"/>
      <c r="E59" s="6"/>
      <c r="F59" s="6"/>
      <c r="G59" s="6"/>
      <c r="H59" s="6"/>
      <c r="I59" s="10">
        <f t="shared" si="0"/>
        <v>0</v>
      </c>
      <c r="J59" s="10"/>
      <c r="K59" s="10"/>
      <c r="L59" s="6"/>
      <c r="M59" s="18" t="str">
        <f>HYPERLINK("https://www.youtube.com/watch?v=8G06-YDc2-I","Video Solution - Solver to be (Java)")</f>
        <v>Video Solution - Solver to be (Java)</v>
      </c>
    </row>
    <row r="60" ht="12.75" spans="1:13">
      <c r="A60" s="15" t="s">
        <v>231</v>
      </c>
      <c r="B60" s="18" t="str">
        <f>HYPERLINK("http://codeforces.com/contest/527/problem/C","CF527-D2-C")</f>
        <v>CF527-D2-C</v>
      </c>
      <c r="C60" s="6">
        <v>1</v>
      </c>
      <c r="D60" s="6"/>
      <c r="E60" s="6"/>
      <c r="F60" s="6"/>
      <c r="G60" s="6"/>
      <c r="H60" s="6"/>
      <c r="I60" s="10">
        <f t="shared" si="0"/>
        <v>0</v>
      </c>
      <c r="J60" s="10"/>
      <c r="K60" s="10"/>
      <c r="L60" s="6"/>
      <c r="M60" s="15"/>
    </row>
    <row r="61" ht="12.75" spans="1:13">
      <c r="A61" s="15" t="s">
        <v>232</v>
      </c>
      <c r="B61" s="18" t="str">
        <f>HYPERLINK("http://codeforces.com/contest/567/problem/C","CF567-D2-C")</f>
        <v>CF567-D2-C</v>
      </c>
      <c r="C61" s="6">
        <v>1</v>
      </c>
      <c r="D61" s="6"/>
      <c r="E61" s="6"/>
      <c r="F61" s="6"/>
      <c r="G61" s="6"/>
      <c r="H61" s="6"/>
      <c r="I61" s="10">
        <f t="shared" si="0"/>
        <v>0</v>
      </c>
      <c r="J61" s="3"/>
      <c r="K61" s="3"/>
      <c r="L61" s="3"/>
      <c r="M61" s="3"/>
    </row>
    <row r="62" ht="12.75" spans="1:13">
      <c r="A62" s="15" t="s">
        <v>233</v>
      </c>
      <c r="B62" s="18" t="str">
        <f>HYPERLINK("http://codeforces.com/contest/672/problem/C","CF672-D2-C")</f>
        <v>CF672-D2-C</v>
      </c>
      <c r="C62" s="6">
        <v>1</v>
      </c>
      <c r="D62" s="6"/>
      <c r="E62" s="6"/>
      <c r="F62" s="6"/>
      <c r="G62" s="6"/>
      <c r="H62" s="6"/>
      <c r="I62" s="10">
        <f t="shared" si="0"/>
        <v>0</v>
      </c>
      <c r="J62" s="10"/>
      <c r="K62" s="10"/>
      <c r="L62" s="6"/>
      <c r="M62" s="15"/>
    </row>
    <row r="63" ht="12.75" spans="1:13">
      <c r="A63" s="15" t="s">
        <v>234</v>
      </c>
      <c r="B63" s="18" t="str">
        <f>HYPERLINK("http://www.spoj.com/problems/POUR1/","SPOJ POUR1")</f>
        <v>SPOJ POUR1</v>
      </c>
      <c r="C63" s="6">
        <v>1</v>
      </c>
      <c r="D63" s="6"/>
      <c r="E63" s="6"/>
      <c r="F63" s="6"/>
      <c r="G63" s="6"/>
      <c r="H63" s="6"/>
      <c r="I63" s="10">
        <f t="shared" si="0"/>
        <v>0</v>
      </c>
      <c r="J63" s="3"/>
      <c r="K63" s="3"/>
      <c r="L63" s="3"/>
      <c r="M63" s="23" t="str">
        <f>HYPERLINK("https://www.youtube.com/watch?v=dMacXPeTyak&amp;feature=youtu.be","Video Solution - Eng Moaz Rashad")</f>
        <v>Video Solution - Eng Moaz Rashad</v>
      </c>
    </row>
    <row r="64" customHeight="1" spans="3:3">
      <c r="C64">
        <f>SUM(C6:C63)</f>
        <v>49</v>
      </c>
    </row>
  </sheetData>
  <conditionalFormatting sqref="C3:C73">
    <cfRule type="cellIs" dxfId="4" priority="4" operator="equal">
      <formula>"AC"</formula>
    </cfRule>
    <cfRule type="containsText" dxfId="0" priority="6" operator="between" text="WA">
      <formula>NOT(ISERROR(SEARCH("WA",C3)))</formula>
    </cfRule>
    <cfRule type="containsText" dxfId="1" priority="8" operator="between" text="TLE">
      <formula>NOT(ISERROR(SEARCH("TLE",C3)))</formula>
    </cfRule>
    <cfRule type="containsText" dxfId="2" priority="10" operator="between" text="RTE">
      <formula>NOT(ISERROR(SEARCH("RTE",C3)))</formula>
    </cfRule>
    <cfRule type="containsText" dxfId="3" priority="12" operator="between" text="CS">
      <formula>NOT(ISERROR(SEARCH("CS",C3)))</formula>
    </cfRule>
  </conditionalFormatting>
  <conditionalFormatting sqref="C3:C63">
    <cfRule type="containsText" dxfId="0" priority="5" operator="between" text="WA">
      <formula>NOT(ISERROR(SEARCH("WA",C3)))</formula>
    </cfRule>
    <cfRule type="containsText" dxfId="1" priority="7" operator="between" text="TLE">
      <formula>NOT(ISERROR(SEARCH("TLE",C3)))</formula>
    </cfRule>
    <cfRule type="containsText" dxfId="2" priority="9" operator="between" text="RTE">
      <formula>NOT(ISERROR(SEARCH("RTE",C3)))</formula>
    </cfRule>
    <cfRule type="containsText" dxfId="3" priority="11" operator="between" text="CS">
      <formula>NOT(ISERROR(SEARCH("CS",C3)))</formula>
    </cfRule>
  </conditionalFormatting>
  <conditionalFormatting sqref="K3:K63">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17"/>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5" max="5" width="6.85714285714286" customWidth="1"/>
    <col min="6" max="6" width="7.71428571428571" customWidth="1"/>
    <col min="7" max="7" width="8.42857142857143" customWidth="1"/>
    <col min="8" max="8" width="8.71428571428571" customWidth="1"/>
    <col min="9" max="9" width="10" customWidth="1"/>
    <col min="10" max="11" width="8.57142857142857" customWidth="1"/>
    <col min="12" max="14" width="10" customWidth="1"/>
    <col min="15" max="15" width="68.7142857142857" customWidth="1"/>
  </cols>
  <sheetData>
    <row r="1" ht="25.5" spans="1:15">
      <c r="A1" s="1" t="s">
        <v>17</v>
      </c>
      <c r="B1" s="1" t="s">
        <v>235</v>
      </c>
      <c r="C1" s="1"/>
      <c r="D1" s="1"/>
      <c r="E1" s="2" t="s">
        <v>19</v>
      </c>
      <c r="F1" s="2" t="s">
        <v>20</v>
      </c>
      <c r="G1" s="2" t="s">
        <v>21</v>
      </c>
      <c r="H1" s="2" t="s">
        <v>22</v>
      </c>
      <c r="I1" s="2" t="s">
        <v>23</v>
      </c>
      <c r="J1" s="2" t="s">
        <v>24</v>
      </c>
      <c r="K1" s="2" t="s">
        <v>25</v>
      </c>
      <c r="L1" s="2" t="s">
        <v>26</v>
      </c>
      <c r="M1" s="2" t="s">
        <v>27</v>
      </c>
      <c r="N1" s="2" t="s">
        <v>28</v>
      </c>
      <c r="O1" s="7" t="s">
        <v>236</v>
      </c>
    </row>
    <row r="2" ht="12.75" spans="1:15">
      <c r="A2" s="3"/>
      <c r="B2" s="3" t="s">
        <v>30</v>
      </c>
      <c r="C2" s="3"/>
      <c r="D2" s="3"/>
      <c r="E2" s="4">
        <f>COUNTIF(E3:E10380,"AC")</f>
        <v>0</v>
      </c>
      <c r="F2" s="4" t="e">
        <f ca="1">ROUND(SUMPRODUCT(F3:F10380,INT(EQ(E3:E10380,"AC")))/MAX(1,E2),1)</f>
        <v>#NAME?</v>
      </c>
      <c r="G2" s="4">
        <v>0</v>
      </c>
      <c r="H2" s="4">
        <v>0</v>
      </c>
      <c r="I2" s="4">
        <v>0</v>
      </c>
      <c r="J2" s="4">
        <v>0</v>
      </c>
      <c r="K2" s="4">
        <v>0</v>
      </c>
      <c r="L2" s="4" t="e">
        <f ca="1">ROUND(SUMPRODUCT(L3:L10375,INT(EQ(E3:E10375,"AC")))/MAX(1,E2),1)</f>
        <v>#NAME?</v>
      </c>
      <c r="M2" s="4" t="e">
        <f ca="1">SUMPRODUCT(EQ(M3:M10380,"YES"),INT(EQ(E3:E10405,"AC")))</f>
        <v>#NAME?</v>
      </c>
      <c r="N2" s="8">
        <f ca="1">IFERROR(__xludf.DUMMYFUNCTION("COUNTA(FILTER(E3:E9872, NOT(REGEXMATCH(E3:E9872, ""AC""))))"),0)</f>
        <v>0</v>
      </c>
      <c r="O2" s="9"/>
    </row>
    <row r="3" ht="12.75" spans="1:15">
      <c r="A3" s="3"/>
      <c r="B3" s="5"/>
      <c r="C3" s="5"/>
      <c r="D3" s="5"/>
      <c r="E3" s="6"/>
      <c r="F3" s="6"/>
      <c r="G3" s="6"/>
      <c r="H3" s="6"/>
      <c r="I3" s="6"/>
      <c r="J3" s="6"/>
      <c r="K3" s="10">
        <f t="shared" ref="K3:K17" si="0">SUM(G3:J3)</f>
        <v>0</v>
      </c>
      <c r="L3" s="10"/>
      <c r="M3" s="10"/>
      <c r="N3" s="6"/>
      <c r="O3" s="3" t="s">
        <v>237</v>
      </c>
    </row>
    <row r="4" ht="12.75" spans="1:15">
      <c r="A4" s="3"/>
      <c r="B4" s="5"/>
      <c r="C4" s="5"/>
      <c r="D4" s="5"/>
      <c r="E4" s="6"/>
      <c r="F4" s="6"/>
      <c r="G4" s="6"/>
      <c r="H4" s="6"/>
      <c r="I4" s="6"/>
      <c r="J4" s="6"/>
      <c r="K4" s="10">
        <f t="shared" si="0"/>
        <v>0</v>
      </c>
      <c r="L4" s="10"/>
      <c r="M4" s="10"/>
      <c r="N4" s="6"/>
      <c r="O4" s="3" t="s">
        <v>238</v>
      </c>
    </row>
    <row r="5" ht="12.75" spans="1:14">
      <c r="A5" s="3"/>
      <c r="B5" s="5"/>
      <c r="C5" s="5"/>
      <c r="D5" s="5"/>
      <c r="E5" s="6"/>
      <c r="F5" s="6"/>
      <c r="G5" s="6"/>
      <c r="H5" s="6"/>
      <c r="I5" s="6"/>
      <c r="J5" s="6"/>
      <c r="K5" s="10">
        <f t="shared" si="0"/>
        <v>0</v>
      </c>
      <c r="L5" s="10"/>
      <c r="M5" s="10"/>
      <c r="N5" s="6"/>
    </row>
    <row r="6" ht="12.75" spans="1:14">
      <c r="A6" s="3"/>
      <c r="B6" s="5"/>
      <c r="C6" s="5"/>
      <c r="D6" s="5"/>
      <c r="E6" s="6"/>
      <c r="F6" s="6"/>
      <c r="G6" s="6"/>
      <c r="H6" s="6"/>
      <c r="I6" s="6"/>
      <c r="J6" s="6"/>
      <c r="K6" s="10">
        <f t="shared" si="0"/>
        <v>0</v>
      </c>
      <c r="L6" s="10"/>
      <c r="M6" s="10"/>
      <c r="N6" s="6"/>
    </row>
    <row r="7" ht="12.75" spans="1:14">
      <c r="A7" s="3"/>
      <c r="B7" s="5"/>
      <c r="C7" s="5"/>
      <c r="D7" s="5"/>
      <c r="E7" s="6"/>
      <c r="F7" s="6"/>
      <c r="G7" s="6"/>
      <c r="H7" s="6"/>
      <c r="I7" s="6"/>
      <c r="J7" s="6"/>
      <c r="K7" s="10">
        <f t="shared" si="0"/>
        <v>0</v>
      </c>
      <c r="L7" s="10"/>
      <c r="M7" s="10"/>
      <c r="N7" s="6"/>
    </row>
    <row r="8" ht="12.75" spans="1:14">
      <c r="A8" s="3"/>
      <c r="B8" s="5"/>
      <c r="C8" s="5"/>
      <c r="D8" s="5"/>
      <c r="E8" s="6"/>
      <c r="F8" s="6"/>
      <c r="G8" s="6"/>
      <c r="H8" s="6"/>
      <c r="I8" s="6"/>
      <c r="J8" s="6"/>
      <c r="K8" s="10">
        <f t="shared" si="0"/>
        <v>0</v>
      </c>
      <c r="L8" s="10"/>
      <c r="M8" s="10"/>
      <c r="N8" s="6"/>
    </row>
    <row r="9" ht="12.75" spans="1:14">
      <c r="A9" s="3"/>
      <c r="B9" s="5"/>
      <c r="C9" s="5"/>
      <c r="D9" s="5"/>
      <c r="E9" s="6"/>
      <c r="F9" s="6"/>
      <c r="G9" s="6"/>
      <c r="H9" s="6"/>
      <c r="I9" s="6"/>
      <c r="J9" s="6"/>
      <c r="K9" s="10">
        <f t="shared" si="0"/>
        <v>0</v>
      </c>
      <c r="L9" s="10"/>
      <c r="M9" s="10"/>
      <c r="N9" s="6"/>
    </row>
    <row r="10" ht="12.75" spans="1:15">
      <c r="A10" s="3"/>
      <c r="B10" s="5"/>
      <c r="C10" s="5"/>
      <c r="D10" s="5"/>
      <c r="E10" s="6"/>
      <c r="F10" s="6"/>
      <c r="G10" s="6"/>
      <c r="H10" s="6"/>
      <c r="I10" s="6"/>
      <c r="J10" s="6"/>
      <c r="K10" s="10">
        <f t="shared" si="0"/>
        <v>0</v>
      </c>
      <c r="L10" s="10"/>
      <c r="M10" s="10"/>
      <c r="N10" s="6"/>
      <c r="O10" s="3" t="s">
        <v>239</v>
      </c>
    </row>
    <row r="11" ht="12.75" spans="1:15">
      <c r="A11" s="3"/>
      <c r="B11" s="5"/>
      <c r="C11" s="5"/>
      <c r="D11" s="5"/>
      <c r="E11" s="6"/>
      <c r="F11" s="6"/>
      <c r="G11" s="6"/>
      <c r="H11" s="6"/>
      <c r="I11" s="6"/>
      <c r="J11" s="6"/>
      <c r="K11" s="10">
        <f t="shared" si="0"/>
        <v>0</v>
      </c>
      <c r="L11" s="10"/>
      <c r="M11" s="10"/>
      <c r="N11" s="6"/>
      <c r="O11" s="3" t="s">
        <v>240</v>
      </c>
    </row>
    <row r="12" ht="12.75" spans="1:15">
      <c r="A12" s="3"/>
      <c r="B12" s="5"/>
      <c r="C12" s="5"/>
      <c r="D12" s="5"/>
      <c r="E12" s="6"/>
      <c r="F12" s="6"/>
      <c r="G12" s="6"/>
      <c r="H12" s="6"/>
      <c r="I12" s="6"/>
      <c r="J12" s="6"/>
      <c r="K12" s="10">
        <f t="shared" si="0"/>
        <v>0</v>
      </c>
      <c r="L12" s="10"/>
      <c r="M12" s="10"/>
      <c r="N12" s="6"/>
      <c r="O12" s="11" t="s">
        <v>241</v>
      </c>
    </row>
    <row r="13" ht="12.75" spans="1:15">
      <c r="A13" s="3"/>
      <c r="B13" s="5"/>
      <c r="C13" s="5"/>
      <c r="D13" s="5"/>
      <c r="E13" s="6"/>
      <c r="F13" s="6"/>
      <c r="G13" s="6"/>
      <c r="H13" s="6"/>
      <c r="I13" s="6"/>
      <c r="J13" s="6"/>
      <c r="K13" s="10">
        <f t="shared" si="0"/>
        <v>0</v>
      </c>
      <c r="L13" s="10"/>
      <c r="M13" s="10"/>
      <c r="N13" s="6"/>
      <c r="O13" s="11" t="s">
        <v>242</v>
      </c>
    </row>
    <row r="14" ht="12.75" spans="1:15">
      <c r="A14" s="3"/>
      <c r="B14" s="5"/>
      <c r="C14" s="5"/>
      <c r="D14" s="5"/>
      <c r="E14" s="6"/>
      <c r="F14" s="6"/>
      <c r="G14" s="6"/>
      <c r="H14" s="6"/>
      <c r="I14" s="6"/>
      <c r="J14" s="6"/>
      <c r="K14" s="10">
        <f t="shared" si="0"/>
        <v>0</v>
      </c>
      <c r="L14" s="10"/>
      <c r="M14" s="10"/>
      <c r="N14" s="6"/>
      <c r="O14" s="12" t="s">
        <v>243</v>
      </c>
    </row>
    <row r="15" ht="12.75" spans="1:14">
      <c r="A15" s="3"/>
      <c r="B15" s="5"/>
      <c r="C15" s="5"/>
      <c r="D15" s="5"/>
      <c r="E15" s="6"/>
      <c r="F15" s="6"/>
      <c r="G15" s="6"/>
      <c r="H15" s="6"/>
      <c r="I15" s="6"/>
      <c r="J15" s="6"/>
      <c r="K15" s="10">
        <f t="shared" si="0"/>
        <v>0</v>
      </c>
      <c r="L15" s="10"/>
      <c r="M15" s="10"/>
      <c r="N15" s="6"/>
    </row>
    <row r="16" ht="12.75" spans="1:14">
      <c r="A16" s="3"/>
      <c r="B16" s="5"/>
      <c r="C16" s="5"/>
      <c r="D16" s="5"/>
      <c r="E16" s="6"/>
      <c r="F16" s="6"/>
      <c r="G16" s="6"/>
      <c r="H16" s="6"/>
      <c r="I16" s="6"/>
      <c r="J16" s="6"/>
      <c r="K16" s="10">
        <f t="shared" si="0"/>
        <v>0</v>
      </c>
      <c r="L16" s="10"/>
      <c r="M16" s="10"/>
      <c r="N16" s="6"/>
    </row>
    <row r="17" ht="12.75" spans="1:14">
      <c r="A17" s="3"/>
      <c r="B17" s="5"/>
      <c r="C17" s="5"/>
      <c r="D17" s="5"/>
      <c r="E17" s="6"/>
      <c r="F17" s="6"/>
      <c r="G17" s="6"/>
      <c r="H17" s="6"/>
      <c r="I17" s="6"/>
      <c r="J17" s="6"/>
      <c r="K17" s="10">
        <f t="shared" si="0"/>
        <v>0</v>
      </c>
      <c r="L17" s="10"/>
      <c r="M17" s="10"/>
      <c r="N17" s="6"/>
    </row>
  </sheetData>
  <conditionalFormatting sqref="E3:E17">
    <cfRule type="cellIs" dxfId="4" priority="4" operator="equal">
      <formula>"AC"</formula>
    </cfRule>
    <cfRule type="containsText" dxfId="0" priority="5" operator="between" text="WA">
      <formula>NOT(ISERROR(SEARCH("WA",E3)))</formula>
    </cfRule>
    <cfRule type="containsText" dxfId="0" priority="6" operator="between" text="WA">
      <formula>NOT(ISERROR(SEARCH("WA",E3)))</formula>
    </cfRule>
    <cfRule type="containsText" dxfId="1" priority="7" operator="between" text="TLE">
      <formula>NOT(ISERROR(SEARCH("TLE",E3)))</formula>
    </cfRule>
    <cfRule type="containsText" dxfId="1" priority="8" operator="between" text="TLE">
      <formula>NOT(ISERROR(SEARCH("TLE",E3)))</formula>
    </cfRule>
    <cfRule type="containsText" dxfId="2" priority="9" operator="between" text="RTE">
      <formula>NOT(ISERROR(SEARCH("RTE",E3)))</formula>
    </cfRule>
    <cfRule type="containsText" dxfId="2" priority="10" operator="between" text="RTE">
      <formula>NOT(ISERROR(SEARCH("RTE",E3)))</formula>
    </cfRule>
    <cfRule type="containsText" dxfId="3" priority="11" operator="between" text="CS">
      <formula>NOT(ISERROR(SEARCH("CS",E3)))</formula>
    </cfRule>
    <cfRule type="containsText" dxfId="3" priority="12" operator="between" text="CS">
      <formula>NOT(ISERROR(SEARCH("CS",E3)))</formula>
    </cfRule>
  </conditionalFormatting>
  <conditionalFormatting sqref="M3:M17">
    <cfRule type="cellIs" dxfId="5" priority="1" operator="equal">
      <formula>"No"</formula>
    </cfRule>
    <cfRule type="cellIs" dxfId="5" priority="2" operator="equal">
      <formula>"no"</formula>
    </cfRule>
    <cfRule type="cellIs" dxfId="5" priority="3" operator="equal">
      <formula>"NO"</formula>
    </cfRule>
  </conditionalFormatting>
  <hyperlinks>
    <hyperlink ref="O12" r:id="rId1" display="https://www.interviewbit.com/"/>
    <hyperlink ref="O13" r:id="rId2" display="https://leetcode.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Info</vt:lpstr>
      <vt:lpstr>Lev 1</vt:lpstr>
      <vt:lpstr>Lev 2</vt:lpstr>
      <vt:lpstr>Lev 3</vt:lpstr>
      <vt:lpstr>TODO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2019-12-12T12:57:00Z</dcterms:created>
  <dcterms:modified xsi:type="dcterms:W3CDTF">2020-05-19T21:36:52Z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