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josan\OneDrive - Nexus365\Desktop\"/>
    </mc:Choice>
  </mc:AlternateContent>
  <bookViews>
    <workbookView xWindow="-108" yWindow="-108" windowWidth="19416" windowHeight="10416" activeTab="1"/>
  </bookViews>
  <sheets>
    <sheet name="Type 1 ROP" sheetId="10" r:id="rId1"/>
    <sheet name="zone 1 ROP" sheetId="5" r:id="rId2"/>
  </sheet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10" l="1"/>
  <c r="AW11" i="10"/>
  <c r="O5" i="10"/>
  <c r="L5" i="10"/>
  <c r="K7" i="10"/>
  <c r="AG7" i="10"/>
  <c r="AN7" i="10"/>
  <c r="AW7" i="10"/>
  <c r="AZ7" i="10"/>
  <c r="K21" i="10"/>
  <c r="AT13" i="5" l="1"/>
  <c r="N13" i="5"/>
  <c r="L13" i="5"/>
  <c r="K13" i="5"/>
  <c r="J13" i="5" s="1"/>
  <c r="I13" i="5"/>
  <c r="BA29" i="10" l="1"/>
  <c r="AH29" i="10"/>
  <c r="AG29" i="10"/>
  <c r="K29" i="10"/>
  <c r="BA26" i="10"/>
  <c r="AW26" i="10"/>
  <c r="K26" i="10"/>
  <c r="AX27" i="10"/>
  <c r="AW27" i="10"/>
  <c r="AP27" i="10"/>
  <c r="AO27" i="10"/>
  <c r="AC27" i="10"/>
  <c r="K27" i="10"/>
  <c r="BA30" i="10"/>
  <c r="AX30" i="10"/>
  <c r="Z30" i="10"/>
  <c r="Y30" i="10"/>
  <c r="K30" i="10"/>
  <c r="BA25" i="10"/>
  <c r="AX25" i="10"/>
  <c r="AW25" i="10"/>
  <c r="K25" i="10"/>
  <c r="BA23" i="10"/>
  <c r="K23" i="10"/>
  <c r="BA24" i="10"/>
  <c r="AJ24" i="10"/>
  <c r="AH24" i="10"/>
  <c r="AG24" i="10"/>
  <c r="K24" i="10"/>
  <c r="J24" i="10"/>
  <c r="AY31" i="10"/>
  <c r="AX31" i="10"/>
  <c r="K31" i="10"/>
  <c r="J31" i="10"/>
  <c r="AZ22" i="10"/>
  <c r="AY22" i="10"/>
  <c r="AI22" i="10"/>
  <c r="K22" i="10"/>
  <c r="BA20" i="10"/>
  <c r="AZ20" i="10"/>
  <c r="AW20" i="10"/>
  <c r="AG20" i="10"/>
  <c r="AB20" i="10"/>
  <c r="Z20" i="10"/>
  <c r="K20" i="10"/>
  <c r="O18" i="10"/>
  <c r="M18" i="10"/>
  <c r="K18" i="10" s="1"/>
  <c r="K16" i="10"/>
  <c r="J16" i="10"/>
  <c r="AH19" i="10"/>
  <c r="O9" i="10"/>
  <c r="L9" i="10"/>
  <c r="K9" i="10"/>
  <c r="BA8" i="10"/>
  <c r="AZ8" i="10"/>
  <c r="AW8" i="10"/>
  <c r="K8" i="10"/>
  <c r="BA14" i="10"/>
  <c r="AF14" i="10"/>
  <c r="AC14" i="10"/>
  <c r="AB14" i="10"/>
  <c r="Y14" i="10"/>
  <c r="O14" i="10"/>
  <c r="K14" i="10"/>
  <c r="AZ13" i="10"/>
  <c r="K13" i="10"/>
  <c r="BA12" i="10"/>
  <c r="AZ12" i="10"/>
  <c r="AJ12" i="10"/>
  <c r="K12" i="10"/>
  <c r="BA4" i="10"/>
  <c r="AW4" i="10"/>
  <c r="K4" i="10"/>
  <c r="J4" i="10"/>
  <c r="K29" i="5"/>
  <c r="BA12" i="5" l="1"/>
  <c r="BA11" i="5"/>
  <c r="AJ11" i="5"/>
  <c r="AH11" i="5"/>
  <c r="AG11" i="5"/>
  <c r="J11" i="5"/>
  <c r="AT8" i="5"/>
  <c r="J8" i="5"/>
  <c r="AS7" i="5"/>
  <c r="J7" i="5"/>
  <c r="AT6" i="5"/>
  <c r="AS6" i="5"/>
  <c r="AC6" i="5"/>
  <c r="J6" i="5"/>
  <c r="AP5" i="5"/>
  <c r="J5" i="5"/>
  <c r="AS4" i="5"/>
  <c r="AP4" i="5"/>
  <c r="Z4" i="5"/>
  <c r="K16" i="5" l="1"/>
</calcChain>
</file>

<file path=xl/sharedStrings.xml><?xml version="1.0" encoding="utf-8"?>
<sst xmlns="http://schemas.openxmlformats.org/spreadsheetml/2006/main" count="1148" uniqueCount="294">
  <si>
    <t>-</t>
  </si>
  <si>
    <t>Primary endpoint</t>
  </si>
  <si>
    <t>Secondary Endpoints</t>
  </si>
  <si>
    <t>Types of AntiVEGF drug</t>
  </si>
  <si>
    <t>no of Eyes</t>
  </si>
  <si>
    <t>Baseline characteristics</t>
  </si>
  <si>
    <t xml:space="preserve">no of eyes
 requiring retreatment </t>
  </si>
  <si>
    <t xml:space="preserve">mean time to  2nd treatment 
(weeks) </t>
  </si>
  <si>
    <t>No of eyes with complete regression/ revasculation to periphery at final follow up</t>
  </si>
  <si>
    <t xml:space="preserve">mean time to complete regression (weeks)
</t>
  </si>
  <si>
    <t>mean spherical equivalent (D)</t>
  </si>
  <si>
    <t>Mean number of treatments</t>
  </si>
  <si>
    <t>Mean follow up 
(weeks)</t>
  </si>
  <si>
    <t>URL</t>
  </si>
  <si>
    <t>study</t>
  </si>
  <si>
    <t>treatment-Avastin</t>
  </si>
  <si>
    <t>treatment-Lucentis</t>
  </si>
  <si>
    <t>treatment-Eylea</t>
  </si>
  <si>
    <t>treatment-laser</t>
  </si>
  <si>
    <t xml:space="preserve">study design </t>
  </si>
  <si>
    <t>pt no</t>
  </si>
  <si>
    <t>total eyes</t>
  </si>
  <si>
    <t>no. Eyes-Avastin</t>
  </si>
  <si>
    <t>no. Eyes-Lucentis</t>
  </si>
  <si>
    <t>no. Eyes-Eylea</t>
  </si>
  <si>
    <t>no. Eyes-laser</t>
  </si>
  <si>
    <t>disease stage (zone 1/APROP)</t>
  </si>
  <si>
    <t>mean gestational age - Avastin (wks)</t>
  </si>
  <si>
    <t>mean gestational age - Lucentis (wks)</t>
  </si>
  <si>
    <t>mean gestational age - Eylea (wks)</t>
  </si>
  <si>
    <t>mean gestational age - Laser (wks)</t>
  </si>
  <si>
    <t>PMA at tx (weeks)</t>
  </si>
  <si>
    <t>mean birth weight (g)</t>
  </si>
  <si>
    <t>mean birth weight - Avastin (wks)</t>
  </si>
  <si>
    <t>mean birth weight - Lucentis (wks)</t>
  </si>
  <si>
    <t>mean birth weight - Eylea (wks)</t>
  </si>
  <si>
    <t>mean birth weight - Laser (wks)</t>
  </si>
  <si>
    <t>twin/multiple birth</t>
  </si>
  <si>
    <t>oxygen support</t>
  </si>
  <si>
    <t>race</t>
  </si>
  <si>
    <t>no. retreated-Avastin</t>
  </si>
  <si>
    <t>no. retreated-Lucentis</t>
  </si>
  <si>
    <t>no. retreated-Eylea</t>
  </si>
  <si>
    <t>no. retreated-laser</t>
  </si>
  <si>
    <t>Avastin</t>
  </si>
  <si>
    <t>Lucentis</t>
  </si>
  <si>
    <t>Eylea</t>
  </si>
  <si>
    <t>laser</t>
  </si>
  <si>
    <t>https://www.ncbi.nlm.nih.gov/pmc/articles/PMC7192269/</t>
  </si>
  <si>
    <t>Demir 2019</t>
  </si>
  <si>
    <t xml:space="preserve">IVB(0.625 mg/0.025ml) </t>
  </si>
  <si>
    <t>n/a</t>
  </si>
  <si>
    <t>laser photocoagulation</t>
  </si>
  <si>
    <t>r</t>
  </si>
  <si>
    <t>group 1: plus disease with any stage zone 1 (33 eyes: 25 IVB)
group 2: +diease in zone 2 stage 2/3
group 3: APROP
group 3: ARPOP (22 eyes, 21 IVB)</t>
  </si>
  <si>
    <t>36+02.4</t>
  </si>
  <si>
    <t>https://link.springer.com/article/10.1007%2Fs00417-021-05137-9</t>
  </si>
  <si>
    <t>Murakami 2021</t>
  </si>
  <si>
    <t>IVB (0.625 mg/0.025 ml)</t>
  </si>
  <si>
    <t xml:space="preserve">laser </t>
  </si>
  <si>
    <t>zone I and zone II</t>
  </si>
  <si>
    <t xml:space="preserve">	−0.04 ± 0.31</t>
  </si>
  <si>
    <t>−0.87 ± 3.14</t>
  </si>
  <si>
    <t>RCT</t>
  </si>
  <si>
    <t>https://www.ncbi.nlm.nih.gov/pmc/articles/PMC4414677/</t>
  </si>
  <si>
    <t>Hwang 2015</t>
  </si>
  <si>
    <t>IVB (0.625mg/0.025ml)</t>
  </si>
  <si>
    <t>laser PRP (32)</t>
  </si>
  <si>
    <t>type 1 ROP
zone 1: 16 eyes IVB, 6 eyes laser
posterior zone 2: 5 eyes IVB, 27 laser</t>
  </si>
  <si>
    <t xml:space="preserve">	668.1</t>
  </si>
  <si>
    <t>IVB, laser
black: 45%, 41%
white:27%, 35%
hispanic: 0%, 23%
asian: 18%.,0%
other: 9%. 0%</t>
  </si>
  <si>
    <t>22/22</t>
  </si>
  <si>
    <t>26/32</t>
  </si>
  <si>
    <t>5.5 ± 1.8 months</t>
  </si>
  <si>
    <t>−2.4 ± 3.5</t>
  </si>
  <si>
    <t>−5.3 ± 5.4</t>
  </si>
  <si>
    <t>IVB (0.625mg/0.025mL)</t>
  </si>
  <si>
    <t>https://www.journalor.com/index.php/OR/article/view/22157</t>
  </si>
  <si>
    <t>Kong 2015</t>
  </si>
  <si>
    <t>type 1 rop</t>
  </si>
  <si>
    <t>-1.22±2.95</t>
  </si>
  <si>
    <t>-5.61±4.50</t>
  </si>
  <si>
    <t>https://www.sciencedirect.com/science/article/pii/S1091853115000695?via%3Dihub</t>
  </si>
  <si>
    <t>Isaac 2015</t>
  </si>
  <si>
    <t>zone I or zone 2 posterior</t>
  </si>
  <si>
    <t>−3.57 ± 6.19</t>
  </si>
  <si>
    <t xml:space="preserve">−6.39 ± 4.41 </t>
  </si>
  <si>
    <t>na</t>
  </si>
  <si>
    <t>https://www.ncbi.nlm.nih.gov/pmc/articles/PMC3119530/</t>
  </si>
  <si>
    <t>Mintz Hittner 2011</t>
  </si>
  <si>
    <t>IVB(0.625mg/0.025mL)</t>
  </si>
  <si>
    <t xml:space="preserve">zone 1 and 2 ROP </t>
  </si>
  <si>
    <t xml:space="preserve">B:34.5±1.4
L:33.7±1.6	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</si>
  <si>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	zoneI:B:25 (76),L:	31 (91);zoneII:B:	33 (79),L:32 (78)	
</t>
    </r>
    <r>
      <rPr>
        <b/>
        <sz val="11"/>
        <color theme="1"/>
        <rFont val="Calibri"/>
        <family val="2"/>
        <scheme val="minor"/>
      </rPr>
      <t> </t>
    </r>
    <r>
      <rPr>
        <sz val="11"/>
        <color theme="1"/>
        <rFont val="Calibri"/>
        <family val="2"/>
        <scheme val="minor"/>
      </rPr>
      <t>2	zoneI:B:6 (18),L:	2 (6);zoneII:B:	8 (19),</t>
    </r>
    <r>
      <rPr>
        <b/>
        <sz val="11"/>
        <color theme="1"/>
        <rFont val="Calibri"/>
        <family val="2"/>
        <scheme val="minor"/>
      </rPr>
      <t>L:</t>
    </r>
    <r>
      <rPr>
        <sz val="11"/>
        <color theme="1"/>
        <rFont val="Calibri"/>
        <family val="2"/>
        <scheme val="minor"/>
      </rPr>
      <t xml:space="preserve">	8 (20)	
</t>
    </r>
    <r>
      <rPr>
        <b/>
        <sz val="11"/>
        <color theme="1"/>
        <rFont val="Calibri"/>
        <family val="2"/>
        <scheme val="minor"/>
      </rPr>
      <t> 3</t>
    </r>
    <r>
      <rPr>
        <sz val="11"/>
        <color theme="1"/>
        <rFont val="Calibri"/>
        <family val="2"/>
        <scheme val="minor"/>
      </rPr>
      <t xml:space="preserve">	zoneI:B:2 (6),L:	1 (3);zoneII:B:		1 (2),L:	1 (2)</t>
    </r>
  </si>
  <si>
    <t>intubation before randomisation
zoneI
B:12 (36)
L:8 (24)	0.29
zoneII
B:6 (14)	
L:7 (17)	0.77</t>
  </si>
  <si>
    <t xml:space="preserve">Mother’s race or ethnic group — no. (%)		
 White	zone I: B:7 (21), L:4 (12); zone II: B:6 (14)	L:11 (27)	
 Black	zone I: B:4 (12),L:10 (29); zone II: B: 8 (19), L:9 (22)	
 Hispanic: zoneI:B:22 (67),L:19 (56)	; zoneII:B:25 (60), L:19 (46)	
 Other: zoneI:b:0,L:1 (3); zoneII:B:3 (7),L:2 (5)	</t>
  </si>
  <si>
    <t>pdf</t>
  </si>
  <si>
    <t>Chen 2018a</t>
  </si>
  <si>
    <t xml:space="preserve">IVB(0.625 mg) </t>
  </si>
  <si>
    <t xml:space="preserve">diode laser photocoag </t>
  </si>
  <si>
    <t>zone 1 ROP stage 1,2,3
zone II no plus stage 1,2,3
zone II  stage 1,2,3
zone III+</t>
  </si>
  <si>
    <t>IVB  0.625 mg (0.025 ml)</t>
  </si>
  <si>
    <t>https://bjo.bmj.com/content/101/3/365</t>
  </si>
  <si>
    <t>Mueller 2017</t>
  </si>
  <si>
    <t>type I ROP (posterior ROP, n=33; peripheral zone II, n=21)</t>
  </si>
  <si>
    <t>https://pubmed.ncbi.nlm.nih.gov/27062023/</t>
  </si>
  <si>
    <t>Nicoara 2016</t>
  </si>
  <si>
    <t>APROP</t>
  </si>
  <si>
    <t xml:space="preserve">n/a </t>
  </si>
  <si>
    <t xml:space="preserve">IVR (0.2 mg) </t>
  </si>
  <si>
    <t>https://www.ncbi.nlm.nih.gov/pmc/articles/PMC5388026/</t>
  </si>
  <si>
    <t>Zhang 2017</t>
  </si>
  <si>
    <t>IVR (0.3mg/0.03mL)</t>
  </si>
  <si>
    <t>ROP in Zone II</t>
  </si>
  <si>
    <t>https://www.ncbi.nlm.nih.gov/pmc/articles/PMC7907336/</t>
  </si>
  <si>
    <t>Chmielarz-Czarnocińska 2021</t>
  </si>
  <si>
    <t>IVR (0.25 mg/0.025 m)</t>
  </si>
  <si>
    <t>APROP, zone I and zone II</t>
  </si>
  <si>
    <t>https://bmcophthalmol.biomedcentral.com/articles/10.1186/s12886-018-0973-1</t>
  </si>
  <si>
    <t>Leng 2018</t>
  </si>
  <si>
    <t>IVR (0.25mg)</t>
  </si>
  <si>
    <t>zone 2/3</t>
  </si>
  <si>
    <t>https://www.nature.com/articles/srep27082</t>
  </si>
  <si>
    <t>Chan 2016</t>
  </si>
  <si>
    <t xml:space="preserve">IVR (0.25 mg/0.025 ml) </t>
  </si>
  <si>
    <t>https://www.healio.com/ophthalmology/journals/jpos/2020-1-57-1/%7Bf0d7f49a-13b3-4f99-a27b-e5b0745b1cbc%7D/comparison-of-the-efficacy-between-intravitreal-aflibercept-and-laser-photocoagulation-in-the-treatment-of-retinopathy-of-prematurity</t>
  </si>
  <si>
    <t>Ekinci 2020</t>
  </si>
  <si>
    <t>IVA 1mg/0.025mL(24)</t>
  </si>
  <si>
    <t>laser(27)</t>
  </si>
  <si>
    <t xml:space="preserve"> zone I, zone 2
stage 2, 3
APROP</t>
  </si>
  <si>
    <t>*+1.5 ±2.41</t>
  </si>
  <si>
    <t>*+1.1 ±2.3</t>
  </si>
  <si>
    <t>https://pubmed.ncbi.nlm.nih.gov/30397793/</t>
  </si>
  <si>
    <t>Sukgen 2019</t>
  </si>
  <si>
    <t>IVR 0.25 mg/0.025 mL (54)</t>
  </si>
  <si>
    <t>IVA  1 mg/0.025 mL,(72)</t>
  </si>
  <si>
    <t>zone 1/ 2 posterior
type 1
threshold
aprop</t>
  </si>
  <si>
    <t>59.68 ± 9.91 wks</t>
  </si>
  <si>
    <t>68.36 ± 7.02wks</t>
  </si>
  <si>
    <t>lucentis: 125.1
eylea: 83.91</t>
  </si>
  <si>
    <t>IVA  1 mg/0.025 mL</t>
  </si>
  <si>
    <t>type 1 ROP</t>
  </si>
  <si>
    <t>https://www.tandfonline.com/doi/full/10.1080/02713683.2016.1264607</t>
  </si>
  <si>
    <t>Kabatas 2017</t>
  </si>
  <si>
    <t>IVR(0.25mg/0.025mL)</t>
  </si>
  <si>
    <t xml:space="preserve"> 73 ± 10.1</t>
  </si>
  <si>
    <t>61.8 ± 6.6</t>
  </si>
  <si>
    <t> −1.49 ± 3.04</t>
  </si>
  <si>
    <t>−1.79 ± 2.87</t>
  </si>
  <si>
    <t>−1.27 ± 2.8</t>
  </si>
  <si>
    <t>https://pubmed.ncbi.nlm.nih.gov/31800460/</t>
  </si>
  <si>
    <t>Ling 2020</t>
  </si>
  <si>
    <t>8.8 ± 3.9</t>
  </si>
  <si>
    <t xml:space="preserve"> 8.3 ± 1.6</t>
  </si>
  <si>
    <t xml:space="preserve">3.6 ± 1.4 </t>
  </si>
  <si>
    <t>https://www.tandfonline.com/doi/full/10.1080/02713683.2016.1196709</t>
  </si>
  <si>
    <t xml:space="preserve">IVB (0.625mg/0.025mL) </t>
  </si>
  <si>
    <t>IVR (0.25/0.025mL)</t>
  </si>
  <si>
    <t xml:space="preserve">−0.57 </t>
  </si>
  <si>
    <t>−0.81</t>
  </si>
  <si>
    <t>https://pubmed.ncbi.nlm.nih.gov/25768252/</t>
  </si>
  <si>
    <t>Wong 2015</t>
  </si>
  <si>
    <t>IVB (0.625 mg/0.025 mL)</t>
  </si>
  <si>
    <t>IVR ( 0.25 mg/0.025 mL)</t>
  </si>
  <si>
    <t>zone I or posterior II</t>
  </si>
  <si>
    <t>https://www.ncbi.nlm.nih.gov/pmc/articles/PMC6288015/</t>
  </si>
  <si>
    <t>Kang 2018</t>
  </si>
  <si>
    <t>IVR  (0.2 mg/0.02 mL)</t>
  </si>
  <si>
    <t>stage 2 and 3, zone 1,2,3, APROP,</t>
  </si>
  <si>
    <t>+0.10 ± 3.66</t>
  </si>
  <si>
    <t>+0.22 ± 3.00</t>
  </si>
  <si>
    <t>avastin: 123.6
lucentis: 55.6
total: 100.4</t>
  </si>
  <si>
    <t>https://www.hindawi.com/journals/joph/2018/4565216/</t>
  </si>
  <si>
    <t>Chen 2018b</t>
  </si>
  <si>
    <t>IVR (0.25 mg/0.025 mL)</t>
  </si>
  <si>
    <t>type 1 ROP
zone I and II</t>
  </si>
  <si>
    <t>−0.65 ± 3.83</t>
  </si>
  <si>
    <t>−0.12 ± 1.12</t>
  </si>
  <si>
    <t>https://pubmed.ncbi.nlm.nih.gov/26677033/</t>
  </si>
  <si>
    <t>Erol 2015</t>
  </si>
  <si>
    <t>IVB (0.625mg)</t>
  </si>
  <si>
    <t>type 1
zone I ROP with plus disease, 
zone I stage III ROP, and zone II stage 2-3 with plus disease 
APROP</t>
  </si>
  <si>
    <t xml:space="preserve"> https://www.karger.com/Article/Abstract/489023</t>
  </si>
  <si>
    <t>Kimyon 2018</t>
  </si>
  <si>
    <t>IVR (0.25mg/0.025mL)</t>
  </si>
  <si>
    <t>type 1 ROP in zone 1 with/without plus disease</t>
  </si>
  <si>
    <t>IVB:35.7+-3.3
IVR:35.5+-2.6</t>
  </si>
  <si>
    <t>IVB:1360.5+-372.1
IVR:1389+-406.3</t>
  </si>
  <si>
    <t>59.7±7.2</t>
  </si>
  <si>
    <t>57.9±4.9</t>
  </si>
  <si>
    <t>-1.49±2.38</t>
  </si>
  <si>
    <t>0.98±2.18</t>
  </si>
  <si>
    <t>https://bmcophthalmol.biomedcentral.com/articles/10.1186/s12886-019-1067-4#Sec2</t>
  </si>
  <si>
    <t>Lyu  2019</t>
  </si>
  <si>
    <t>type 1 ROP zone 2</t>
  </si>
  <si>
    <t>at least 24wks</t>
  </si>
  <si>
    <t>https://www.nature.com/articles/s41433-020-01321-z#Sec2</t>
  </si>
  <si>
    <t>Mori 2020</t>
  </si>
  <si>
    <t>Type 1 ROP</t>
  </si>
  <si>
    <t>key</t>
  </si>
  <si>
    <t>not reported</t>
  </si>
  <si>
    <t>retrospective study</t>
  </si>
  <si>
    <t>randomised controlled trial</t>
  </si>
  <si>
    <t xml:space="preserve"> not applicable</t>
  </si>
  <si>
    <t>IVB</t>
  </si>
  <si>
    <t>Bevacizumab/Avastin</t>
  </si>
  <si>
    <t>IVR</t>
  </si>
  <si>
    <t>Ranibizumab/Lucentis</t>
  </si>
  <si>
    <t>IVA</t>
  </si>
  <si>
    <t>Aflibercept/Eylea</t>
  </si>
  <si>
    <t>Secondary Endpoint</t>
  </si>
  <si>
    <t>no of eyes
 requiring retreatment /recurrence of ROP</t>
  </si>
  <si>
    <t xml:space="preserve">mean time to 2nd treatment 
(weeks) </t>
  </si>
  <si>
    <t xml:space="preserve">mean time to complete regression 
</t>
  </si>
  <si>
    <t>no. Eyes-total</t>
  </si>
  <si>
    <t>mean gestational age (wks)</t>
  </si>
  <si>
    <t xml:space="preserve">zone 1  
</t>
  </si>
  <si>
    <t>zone 1</t>
  </si>
  <si>
    <t xml:space="preserve">laser PRP </t>
  </si>
  <si>
    <t>IVB24.3
L:24.4</t>
  </si>
  <si>
    <t>IVB:34.9 ± 2.2
L:33.6 ± 0.8</t>
  </si>
  <si>
    <t>IVB:667.6 
L:697.7</t>
  </si>
  <si>
    <t xml:space="preserve">	−3.7 ± 3.3</t>
  </si>
  <si>
    <t>−10.1 ± 10.5</t>
  </si>
  <si>
    <t>IVB:76.4
laser: 154.4</t>
  </si>
  <si>
    <t>zone I</t>
  </si>
  <si>
    <t>zone 1 ROP</t>
  </si>
  <si>
    <t>B:24.2
L:24.3</t>
  </si>
  <si>
    <t xml:space="preserve">avastin:615.2
L:657.9
</t>
  </si>
  <si>
    <t>19.2±8.6</t>
  </si>
  <si>
    <t>IVB:29.3+-2.6
IVR: 30.1+-2.4</t>
  </si>
  <si>
    <t>IVA 1mg/0.025mL</t>
  </si>
  <si>
    <t>mean PMA at tx (weeks)- Avastin</t>
  </si>
  <si>
    <t>mean PMA at tx (weeks)- Lucentis</t>
  </si>
  <si>
    <t>mean PMA at tx (weeks)- Eylea</t>
  </si>
  <si>
    <t>mean PMA at tx (weeks)- Laser</t>
  </si>
  <si>
    <t>Gunay 2016</t>
  </si>
  <si>
    <t>https://journalretinavitreous.biomedcentral.com/articles/10.1186/s40942-021-00334-4</t>
  </si>
  <si>
    <t>location</t>
  </si>
  <si>
    <t>Riazi-esfahani 2021</t>
  </si>
  <si>
    <t>1119 </t>
  </si>
  <si>
    <t>Suren 2022</t>
  </si>
  <si>
    <t>turkey: antalya sep 2013 vs sep2017</t>
  </si>
  <si>
    <t>https://www.thieme-connect.com/products/ejournals/html/10.1055/s-0040-1710556</t>
  </si>
  <si>
    <t>https://link.springer.com/article/10.1007/s10792-021-02188-z</t>
  </si>
  <si>
    <t>Type 1 ROP or APROP</t>
  </si>
  <si>
    <t xml:space="preserve"> Sisli Etfal Training and Research Hospital, Istanbul, Turkey January 2012 and January 2017.</t>
  </si>
  <si>
    <t>University of Tsukuba Hospital.japan between October 2007 and October 2014.japan</t>
  </si>
  <si>
    <t xml:space="preserve"> January 2008 and December 2012 at Children’s Healthcare of Atlanta at Egleston Hospital and Emory Midtown Hospital in Atlanta, GA</t>
  </si>
  <si>
    <t xml:space="preserve">Baylor College of Medicine, Houston, Texas, </t>
  </si>
  <si>
    <t>Hospital for Sick Children, Toronto, January 2009 to May 2013</t>
  </si>
  <si>
    <t>University of Texas Health Science Center at HoustonMarch 13, 2008, and August 4, 2010</t>
  </si>
  <si>
    <t>Stanford Children’s Hospital  January 1, 2013, to June 30, 2015</t>
  </si>
  <si>
    <t xml:space="preserve">, Department of Ophthalmology, Charité Campus Virchow Klinikum, Augustenburger Platz 1, BerlinJune 2011 and January 2015 </t>
  </si>
  <si>
    <t>Iuliu Hatieganu University of Medicine and Pharmacy from Cluj-Napoca.  Romania January 1, 2006, and December 31, 2013,</t>
  </si>
  <si>
    <t xml:space="preserve">Department of Ophthalmology, University Medical Center, Greifswald, German Dec 31, 2015, and June 29, 2017, </t>
  </si>
  <si>
    <t>Shenzhen Eye Hospital,  January 2014 to December 2014;</t>
  </si>
  <si>
    <t xml:space="preserve"> Poznań University of Medical Sciences—from 1 January 2016 to 31 December 2019</t>
  </si>
  <si>
    <t>Guangzhou First People’s HospitalMarch 2013 to October 2017.</t>
  </si>
  <si>
    <t xml:space="preserve">Queen Elizabeth Hospital, Hong Kong from July 2012 to December 2013. </t>
  </si>
  <si>
    <t>Gazi Yasargil training and research hospital jan-april 2018</t>
  </si>
  <si>
    <t>farabi eye hosp/ iranThe study was conducted between 2012 and 2019 in the Farabi eye hospital</t>
  </si>
  <si>
    <t xml:space="preserve"> Adana Numune Training and Research Hospital  January 2015 and June 2017 </t>
  </si>
  <si>
    <t>turkey: October 2011 and October 2014 at Dr. Sami Ulus Maternity and Children Research and Education Hospital.</t>
  </si>
  <si>
    <t>March 2010 and February 2017 in Chang Gung Memorial Hospital, Linkou, Taiwan.</t>
  </si>
  <si>
    <t xml:space="preserve">Zeynep Kamil Maternity and Children’s Diseases Training and Research Hospital in Istanbul and Adana Numune Training and Research Hospital in Adana.December 2012 and August 2014. </t>
  </si>
  <si>
    <t>Ronald Reagan UCLA medical center Jan 2012-June 2014</t>
  </si>
  <si>
    <t>Severance Hospital and Gangnam Severance Hospital, affiliated with Yonsei University College of Medicine. June 2011 to January 2017</t>
  </si>
  <si>
    <t>Changhua Christian Hospital, Changhua, Taiwan, from April 2011 to April 2014</t>
  </si>
  <si>
    <t>August 2011 and February 2013 in Antalya Training and Research Hospital</t>
  </si>
  <si>
    <t>Gaziantep University July 2015- June 2016</t>
  </si>
  <si>
    <t>Xinhua hospital, School of Medicine, Shanghai Jiao Tong University, China. January 2012 and June 2016</t>
  </si>
  <si>
    <t>r- retrospective</t>
  </si>
  <si>
    <t>p-prospective</t>
  </si>
  <si>
    <t xml:space="preserve"> Kyushu University Hospital from October 2008 through March 2018</t>
  </si>
  <si>
    <t>NICU at Children's and Women's Hospital in Mobile, AL, from January 2009 through December 2016.</t>
  </si>
  <si>
    <t>Zayek 2021</t>
  </si>
  <si>
    <t>Type 1ROP</t>
  </si>
  <si>
    <t>Fleck 2022</t>
  </si>
  <si>
    <t>post-hoc analysis of RCT</t>
  </si>
  <si>
    <t>zone 1 only not APROP</t>
  </si>
  <si>
    <t>https://www.sciencedirect.com/science/article/pii/S2468653022000653?via%3Dihub#tbl3</t>
  </si>
  <si>
    <t xml:space="preserve">https://www.sciencedirect.com/science/article/pii/S2468653022000653?via%3Dihub#bib1 </t>
  </si>
  <si>
    <t>https://clinicaltrials.gov/ct2/show/results/NCT04004208</t>
  </si>
  <si>
    <t>IVA  0.4 mg (0.01 mL)</t>
  </si>
  <si>
    <t xml:space="preserve">−2.57 </t>
  </si>
  <si>
    <t>−7.11 </t>
  </si>
  <si>
    <t xml:space="preserve">Regarding the recurrence profile, all cases with disease recurrence had Zone I ROP before the IVI. </t>
  </si>
  <si>
    <t>retreat_time - Avastin</t>
  </si>
  <si>
    <t>retreat_time - Lucentis</t>
  </si>
  <si>
    <t>retreat_time - Eylea</t>
  </si>
  <si>
    <t>retreat_time - laser</t>
  </si>
  <si>
    <t>Stahl 2022</t>
  </si>
  <si>
    <t>https://jamanetwork.com/journals/jama/article-abstract/2794566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</si>
</sst>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color rgb="FF1C1C1C"/>
      <name val="Arial"/>
      <family val="2"/>
    </font>
    <font>
      <sz val="11"/>
      <name val="Calibri"/>
      <family val="2"/>
      <scheme val="minor"/>
    </font>
    <font>
      <sz val="8"/>
      <color rgb="FF333333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222222"/>
      <name val="-Apple-System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AEFF7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1" xfId="0" applyNumberFormat="1" applyBorder="1"/>
    <xf numFmtId="0" fontId="0" fillId="0" borderId="0" xfId="0" applyAlignment="1">
      <alignment wrapText="1"/>
    </xf>
    <xf numFmtId="0" fontId="2" fillId="0" borderId="0" xfId="1"/>
    <xf numFmtId="0" fontId="0" fillId="0" borderId="1" xfId="0" applyBorder="1" applyAlignment="1">
      <alignment wrapText="1"/>
    </xf>
    <xf numFmtId="0" fontId="3" fillId="0" borderId="1" xfId="0" applyFont="1" applyBorder="1"/>
    <xf numFmtId="0" fontId="4" fillId="0" borderId="0" xfId="0" applyFont="1"/>
    <xf numFmtId="0" fontId="5" fillId="0" borderId="1" xfId="0" applyFont="1" applyBorder="1"/>
    <xf numFmtId="17" fontId="0" fillId="0" borderId="0" xfId="0" applyNumberFormat="1"/>
    <xf numFmtId="2" fontId="0" fillId="0" borderId="1" xfId="0" applyNumberFormat="1" applyBorder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0" borderId="8" xfId="0" applyBorder="1"/>
    <xf numFmtId="0" fontId="0" fillId="0" borderId="4" xfId="0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5" fillId="5" borderId="1" xfId="0" applyFont="1" applyFill="1" applyBorder="1"/>
    <xf numFmtId="0" fontId="0" fillId="7" borderId="1" xfId="0" applyFill="1" applyBorder="1"/>
    <xf numFmtId="0" fontId="0" fillId="7" borderId="4" xfId="0" applyFill="1" applyBorder="1"/>
    <xf numFmtId="0" fontId="0" fillId="2" borderId="1" xfId="0" applyFill="1" applyBorder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0" fillId="0" borderId="7" xfId="0" applyBorder="1" applyAlignment="1">
      <alignment horizontal="center"/>
    </xf>
    <xf numFmtId="0" fontId="2" fillId="0" borderId="0" xfId="1" applyAlignment="1">
      <alignment horizontal="center"/>
    </xf>
    <xf numFmtId="0" fontId="0" fillId="3" borderId="7" xfId="0" applyFill="1" applyBorder="1" applyAlignment="1">
      <alignment horizontal="center"/>
    </xf>
    <xf numFmtId="0" fontId="6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horizontal="center" wrapText="1"/>
    </xf>
    <xf numFmtId="2" fontId="0" fillId="0" borderId="1" xfId="0" quotePrefix="1" applyNumberFormat="1" applyBorder="1"/>
    <xf numFmtId="0" fontId="0" fillId="0" borderId="1" xfId="0" applyBorder="1" applyAlignment="1">
      <alignment horizontal="center" wrapText="1"/>
    </xf>
    <xf numFmtId="9" fontId="0" fillId="0" borderId="0" xfId="0" applyNumberFormat="1" applyAlignment="1">
      <alignment wrapText="1"/>
    </xf>
    <xf numFmtId="0" fontId="0" fillId="3" borderId="4" xfId="0" applyFill="1" applyBorder="1"/>
    <xf numFmtId="0" fontId="8" fillId="0" borderId="0" xfId="1" applyFont="1"/>
    <xf numFmtId="0" fontId="0" fillId="3" borderId="1" xfId="0" applyFill="1" applyBorder="1" applyAlignment="1">
      <alignment horizontal="center"/>
    </xf>
    <xf numFmtId="2" fontId="3" fillId="0" borderId="0" xfId="0" applyNumberFormat="1" applyFont="1"/>
    <xf numFmtId="0" fontId="2" fillId="0" borderId="0" xfId="1" applyFill="1"/>
    <xf numFmtId="0" fontId="0" fillId="9" borderId="1" xfId="0" applyFill="1" applyBorder="1"/>
    <xf numFmtId="0" fontId="0" fillId="2" borderId="0" xfId="0" applyFill="1"/>
    <xf numFmtId="0" fontId="0" fillId="4" borderId="0" xfId="0" applyFill="1"/>
    <xf numFmtId="0" fontId="0" fillId="11" borderId="0" xfId="0" applyFill="1"/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1" xfId="0" applyFill="1" applyBorder="1" applyAlignment="1">
      <alignment horizontal="left"/>
    </xf>
    <xf numFmtId="0" fontId="0" fillId="0" borderId="7" xfId="0" applyBorder="1"/>
    <xf numFmtId="0" fontId="0" fillId="0" borderId="9" xfId="0" applyBorder="1"/>
    <xf numFmtId="0" fontId="0" fillId="0" borderId="1" xfId="0" applyFill="1" applyBorder="1" applyAlignment="1">
      <alignment wrapText="1"/>
    </xf>
    <xf numFmtId="0" fontId="9" fillId="1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12" borderId="0" xfId="0" applyFill="1"/>
    <xf numFmtId="0" fontId="0" fillId="9" borderId="0" xfId="0" applyFill="1"/>
    <xf numFmtId="0" fontId="0" fillId="0" borderId="8" xfId="0" applyBorder="1" applyAlignment="1">
      <alignment horizontal="center"/>
    </xf>
    <xf numFmtId="2" fontId="0" fillId="0" borderId="1" xfId="0" applyNumberFormat="1" applyFill="1" applyBorder="1"/>
    <xf numFmtId="0" fontId="0" fillId="0" borderId="1" xfId="0" quotePrefix="1" applyFill="1" applyBorder="1"/>
    <xf numFmtId="2" fontId="0" fillId="0" borderId="1" xfId="0" applyNumberFormat="1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1" xfId="0" quotePrefix="1" applyFill="1" applyBorder="1" applyAlignment="1">
      <alignment wrapText="1"/>
    </xf>
    <xf numFmtId="2" fontId="0" fillId="0" borderId="1" xfId="0" quotePrefix="1" applyNumberFormat="1" applyFill="1" applyBorder="1"/>
    <xf numFmtId="0" fontId="10" fillId="0" borderId="1" xfId="0" applyFont="1" applyFill="1" applyBorder="1"/>
    <xf numFmtId="2" fontId="0" fillId="0" borderId="0" xfId="0" applyNumberFormat="1" applyFill="1"/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0" fillId="0" borderId="4" xfId="0" applyFill="1" applyBorder="1"/>
    <xf numFmtId="0" fontId="0" fillId="0" borderId="4" xfId="0" applyFill="1" applyBorder="1" applyAlignment="1">
      <alignment wrapText="1"/>
    </xf>
    <xf numFmtId="0" fontId="3" fillId="0" borderId="1" xfId="0" applyFont="1" applyFill="1" applyBorder="1"/>
    <xf numFmtId="2" fontId="0" fillId="0" borderId="4" xfId="0" applyNumberFormat="1" applyFill="1" applyBorder="1"/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5" fillId="0" borderId="1" xfId="0" applyFont="1" applyFill="1" applyBorder="1"/>
    <xf numFmtId="17" fontId="0" fillId="0" borderId="0" xfId="0" applyNumberFormat="1" applyFill="1"/>
    <xf numFmtId="0" fontId="0" fillId="5" borderId="0" xfId="0" applyFill="1"/>
    <xf numFmtId="0" fontId="5" fillId="0" borderId="1" xfId="0" applyFont="1" applyBorder="1" applyAlignment="1">
      <alignment wrapText="1"/>
    </xf>
    <xf numFmtId="0" fontId="0" fillId="2" borderId="7" xfId="0" applyFill="1" applyBorder="1" applyAlignment="1">
      <alignment horizontal="center"/>
    </xf>
    <xf numFmtId="0" fontId="0" fillId="2" borderId="8" xfId="0" applyFill="1" applyBorder="1"/>
    <xf numFmtId="2" fontId="0" fillId="6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4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FF"/>
      <color rgb="FFFFFFFF"/>
      <color rgb="FF0AEF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2F0ABD1-2F27-4C82-9324-EF095F29B889}">
  <we:reference id="1404635f-823d-4566-959e-40c866451e89" version="1.0.0.49" store="EXCatalog" storeType="EXCatalog"/>
  <we:alternateReferences>
    <we:reference id="WA200000078" version="1.0.0.49" store="en-GB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xmlns=""/>
    </a:ext>
    <a:ext xmlns:a="http://schemas.openxmlformats.org/drawingml/2006/main" uri="{7C84B067-C214-45C3-A712-C9D94CD141B2}">
      <we:customFunctionIdList xmlns="">
        <we:customFunctionIds>_xldudf_IP_GLYTDBASEAMOUNT</we:customFunctionIds>
        <we:customFunctionIds>_xldudf_IP_GLYTDCCBASEAMOUNT</we:customFunctionIds>
        <we:customFunctionIds>_xldudf_IP_GLYTDDEPTBASEAMOUNT</we:customFunctionIds>
        <we:customFunctionIds>_xldudf_IP_GLYTDCCDEPTBASEAMOUNT</we:customFunctionIds>
        <we:customFunctionIds>_xldudf_IP_GLYTDPROJBASEAMOUNT</we:customFunctionIds>
        <we:customFunctionIds>_xldudf_IP_GLBASEAMOUNT</we:customFunctionIds>
        <we:customFunctionIds>_xldudf_IP_CPGLBASEAMOUNT</we:customFunctionIds>
        <we:customFunctionIds>_xldudf_IP_GLCCBASEAMOUNT</we:customFunctionIds>
        <we:customFunctionIds>_xldudf_IP_GLCCDEPTBASEAMOUNT</we:customFunctionIds>
        <we:customFunctionIds>_xldudf_IP_GLDEPTBASEAMOUNT</we:customFunctionIds>
        <we:customFunctionIds>_xldudf_IP_CONTACTACCBASEOUTSTANDING</we:customFunctionIds>
        <we:customFunctionIds>_xldudf_IP_GLGROUPBASEAMOUNT</we:customFunctionIds>
        <we:customFunctionIds>_xldudf_IP_CPGLGROUPBASEAMOUNT</we:customFunctionIds>
        <we:customFunctionIds>_xldudf_IP_GLGROUPYTPBASEAMOUNT</we:customFunctionIds>
        <we:customFunctionIds>_xldudf_IP_CPGLGROUPYTPBASEAMOUNT</we:customFunctionIds>
        <we:customFunctionIds>_xldudf_IP_GLYTPCCBASEAMOUNT</we:customFunctionIds>
        <we:customFunctionIds>_xldudf_IP_GLGROUPYTPCCBASEAMOUNT</we:customFunctionIds>
        <we:customFunctionIds>_xldudf_IP_GLYTPBASEAMOUNT</we:customFunctionIds>
        <we:customFunctionIds>_xldudf_IP_CPGLYTPBASEAMOUNT</we:customFunctionIds>
        <we:customFunctionIds>_xldudf_IP_GLYTPCCDEPTBASEAMOUNT</we:customFunctionIds>
        <we:customFunctionIds>_xldudf_IP_GLGROUPYTPCCDEPTBASEAMOUNT</we:customFunctionIds>
        <we:customFunctionIds>_xldudf_IP_GLYTPDEPTBASEAMOUNT</we:customFunctionIds>
        <we:customFunctionIds>_xldudf_IP_GLGROUPYTPDEPTBASEAMOUNT</we:customFunctionIds>
        <we:customFunctionIds>_xldudf_IP_GLGROUPYTDBASEAMOUNT</we:customFunctionIds>
        <we:customFunctionIds>_xldudf_IP_GLGROUPCCDEPTBASEAMOUNT</we:customFunctionIds>
        <we:customFunctionIds>_xldudf_IP_GLGROUPCCBASEAMOUNT</we:customFunctionIds>
        <we:customFunctionIds>_xldudf_IP_GLGROUPDEPTBASEAMOUNT</we:customFunctionIds>
        <we:customFunctionIds>_xldudf_IP_GLPROJBASEAMOUNT</we:customFunctionIds>
        <we:customFunctionIds>_xldudf_IP_GLPRODBASEAMOUNT</we:customFunctionIds>
        <we:customFunctionIds>_xldudf_IP_CPGLPRODBASEAMOUNT</we:customFunctionIds>
        <we:customFunctionIds>_xldudf_IP_ATTRIBUTEGETPROPERTY</we:customFunctionIds>
        <we:customFunctionIds>_xldudf_IP_CATALOGGETDESCRIPTION</we:customFunctionIds>
        <we:customFunctionIds>_xldudf_IP_PERIODDESC</we:customFunctionIds>
        <we:customFunctionIds>_xldudf_IP_LEGEDESC</we:customFunctionIds>
        <we:customFunctionIds>_xldudf_IP_GLACCDESC</we:customFunctionIds>
        <we:customFunctionIds>_xldudf_IP_CONTACTACCDESC</we:customFunctionIds>
        <we:customFunctionIds>_xldudf_IP_GLACCGROUPDESC</we:customFunctionIds>
        <we:customFunctionIds>_xldudf_IP_CCDESC</we:customFunctionIds>
        <we:customFunctionIds>_xldudf_IP_DEPTDESC</we:customFunctionIds>
        <we:customFunctionIds>_xldudf_IP_CONTACTACCADDRESS</we:customFunctionIds>
        <we:customFunctionIds>_xldudf_IP_PROJECTADDRESS</we:customFunctionIds>
        <we:customFunctionIds>_xldudf_IP_EXCHANGERATE</we:customFunctionIds>
        <we:customFunctionIds>_xldudf_IP_TEST</we:customFunctionIds>
        <we:customFunctionIds>_xldudf_IP_STREAMDOMAIN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andfonline.com/doi/full/10.1080/02713683.2016.1264607" TargetMode="External"/><Relationship Id="rId13" Type="http://schemas.openxmlformats.org/officeDocument/2006/relationships/hyperlink" Target="https://www.nature.com/articles/srep27082" TargetMode="External"/><Relationship Id="rId18" Type="http://schemas.openxmlformats.org/officeDocument/2006/relationships/hyperlink" Target="https://pubmed.ncbi.nlm.nih.gov/27062023/" TargetMode="External"/><Relationship Id="rId26" Type="http://schemas.openxmlformats.org/officeDocument/2006/relationships/hyperlink" Target="https://clinicaltrials.gov/ct2/show/results/NCT04004208" TargetMode="External"/><Relationship Id="rId3" Type="http://schemas.openxmlformats.org/officeDocument/2006/relationships/hyperlink" Target="https://www.healio.com/ophthalmology/journals/jpos/2020-1-57-1/%7Bf0d7f49a-13b3-4f99-a27b-e5b0745b1cbc%7D/comparison-of-the-efficacy-between-intravitreal-aflibercept-and-laser-photocoagulation-in-the-treatment-of-retinopathy-of-prematurity" TargetMode="External"/><Relationship Id="rId21" Type="http://schemas.openxmlformats.org/officeDocument/2006/relationships/hyperlink" Target="https://www.nature.com/articles/s41433-020-01321-z" TargetMode="External"/><Relationship Id="rId7" Type="http://schemas.openxmlformats.org/officeDocument/2006/relationships/hyperlink" Target="https://www.ncbi.nlm.nih.gov/pmc/articles/PMC6288015/" TargetMode="External"/><Relationship Id="rId12" Type="http://schemas.openxmlformats.org/officeDocument/2006/relationships/hyperlink" Target="https://pubmed.ncbi.nlm.nih.gov/26677033/" TargetMode="External"/><Relationship Id="rId17" Type="http://schemas.openxmlformats.org/officeDocument/2006/relationships/hyperlink" Target="https://www.ncbi.nlm.nih.gov/pmc/articles/PMC5388026/" TargetMode="External"/><Relationship Id="rId25" Type="http://schemas.openxmlformats.org/officeDocument/2006/relationships/hyperlink" Target="https://www.hindawi.com/journals/joph/2018/4565216/" TargetMode="External"/><Relationship Id="rId2" Type="http://schemas.openxmlformats.org/officeDocument/2006/relationships/hyperlink" Target="https://bmcophthalmol.biomedcentral.com/articles/10.1186/s12886-018-0973-1" TargetMode="External"/><Relationship Id="rId16" Type="http://schemas.openxmlformats.org/officeDocument/2006/relationships/hyperlink" Target="https://link.springer.com/article/10.1007%2Fs00417-021-05137-9" TargetMode="External"/><Relationship Id="rId20" Type="http://schemas.openxmlformats.org/officeDocument/2006/relationships/hyperlink" Target="https://bmcophthalmol.biomedcentral.com/articles/10.1186/s12886-019-1067-4" TargetMode="External"/><Relationship Id="rId29" Type="http://schemas.openxmlformats.org/officeDocument/2006/relationships/hyperlink" Target="https://www.ncbi.nlm.nih.gov/pmc/articles/PMC4414677/" TargetMode="External"/><Relationship Id="rId1" Type="http://schemas.openxmlformats.org/officeDocument/2006/relationships/hyperlink" Target="https://www.ncbi.nlm.nih.gov/pmc/articles/PMC3119530/" TargetMode="External"/><Relationship Id="rId6" Type="http://schemas.openxmlformats.org/officeDocument/2006/relationships/hyperlink" Target="https://www.tandfonline.com/doi/full/10.1080/02713683.2016.1196709" TargetMode="External"/><Relationship Id="rId11" Type="http://schemas.openxmlformats.org/officeDocument/2006/relationships/hyperlink" Target="https://www.sciencedirect.com/science/article/pii/S1091853115000695?via%3Dihub" TargetMode="External"/><Relationship Id="rId24" Type="http://schemas.openxmlformats.org/officeDocument/2006/relationships/hyperlink" Target="https://www.sciencedirect.com/science/article/pii/S2468653022000653?via%3Dihub" TargetMode="External"/><Relationship Id="rId5" Type="http://schemas.openxmlformats.org/officeDocument/2006/relationships/hyperlink" Target="https://www.karger.com/Article/Abstract/489023" TargetMode="External"/><Relationship Id="rId15" Type="http://schemas.openxmlformats.org/officeDocument/2006/relationships/hyperlink" Target="https://www.ncbi.nlm.nih.gov/pmc/articles/PMC7907336/" TargetMode="External"/><Relationship Id="rId23" Type="http://schemas.openxmlformats.org/officeDocument/2006/relationships/hyperlink" Target="https://journalretinavitreous.biomedcentral.com/articles/10.1186/s40942-021-00334-4" TargetMode="External"/><Relationship Id="rId28" Type="http://schemas.openxmlformats.org/officeDocument/2006/relationships/hyperlink" Target="https://www.thieme-connect.com/products/ejournals/html/10.1055/s-0040-1710556" TargetMode="External"/><Relationship Id="rId10" Type="http://schemas.openxmlformats.org/officeDocument/2006/relationships/hyperlink" Target="https://www.journalor.com/index.php/OR/article/view/22157" TargetMode="External"/><Relationship Id="rId19" Type="http://schemas.openxmlformats.org/officeDocument/2006/relationships/hyperlink" Target="https://bjo.bmj.com/content/101/3/365" TargetMode="External"/><Relationship Id="rId4" Type="http://schemas.openxmlformats.org/officeDocument/2006/relationships/hyperlink" Target="https://pubmed.ncbi.nlm.nih.gov/25768252/" TargetMode="External"/><Relationship Id="rId9" Type="http://schemas.openxmlformats.org/officeDocument/2006/relationships/hyperlink" Target="https://pubmed.ncbi.nlm.nih.gov/30397793/" TargetMode="External"/><Relationship Id="rId14" Type="http://schemas.openxmlformats.org/officeDocument/2006/relationships/hyperlink" Target="https://pubmed.ncbi.nlm.nih.gov/31800460/" TargetMode="External"/><Relationship Id="rId22" Type="http://schemas.openxmlformats.org/officeDocument/2006/relationships/hyperlink" Target="https://link.springer.com/article/10.1007/s10792-021-02188-z" TargetMode="External"/><Relationship Id="rId27" Type="http://schemas.openxmlformats.org/officeDocument/2006/relationships/hyperlink" Target="https://www.ncbi.nlm.nih.gov/pmc/articles/PMC7192269/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1800460/" TargetMode="External"/><Relationship Id="rId3" Type="http://schemas.openxmlformats.org/officeDocument/2006/relationships/hyperlink" Target="https://www.ncbi.nlm.nih.gov/pmc/articles/PMC4414677/" TargetMode="External"/><Relationship Id="rId7" Type="http://schemas.openxmlformats.org/officeDocument/2006/relationships/hyperlink" Target="https://www.tandfonline.com/doi/full/10.1080/02713683.2016.1264607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ncbi.nlm.nih.gov/pmc/articles/PMC7192269/" TargetMode="External"/><Relationship Id="rId1" Type="http://schemas.openxmlformats.org/officeDocument/2006/relationships/hyperlink" Target="https://www.ncbi.nlm.nih.gov/pmc/articles/PMC3119530/" TargetMode="External"/><Relationship Id="rId6" Type="http://schemas.openxmlformats.org/officeDocument/2006/relationships/hyperlink" Target="https://www.karger.com/Article/Abstract/489023" TargetMode="External"/><Relationship Id="rId11" Type="http://schemas.openxmlformats.org/officeDocument/2006/relationships/hyperlink" Target="https://jamanetwork.com/journals/jama/article-abstract/2794566" TargetMode="External"/><Relationship Id="rId5" Type="http://schemas.openxmlformats.org/officeDocument/2006/relationships/hyperlink" Target="https://www.sciencedirect.com/science/article/pii/S1091853115000695?via%3Dihub" TargetMode="External"/><Relationship Id="rId10" Type="http://schemas.openxmlformats.org/officeDocument/2006/relationships/hyperlink" Target="https://www.tandfonline.com/doi/full/10.1080/02713683.2016.1196709" TargetMode="External"/><Relationship Id="rId4" Type="http://schemas.openxmlformats.org/officeDocument/2006/relationships/hyperlink" Target="https://www.journalor.com/index.php/OR/article/view/22157" TargetMode="External"/><Relationship Id="rId9" Type="http://schemas.openxmlformats.org/officeDocument/2006/relationships/hyperlink" Target="https://www.sciencedirect.com/science/article/pii/S2468653022000653?via%3Di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54"/>
  <sheetViews>
    <sheetView topLeftCell="I1" zoomScale="70" zoomScaleNormal="70" workbookViewId="0">
      <selection activeCell="AF21" sqref="AF21"/>
    </sheetView>
  </sheetViews>
  <sheetFormatPr defaultRowHeight="14.4"/>
  <cols>
    <col min="4" max="5" width="26.88671875" customWidth="1"/>
    <col min="6" max="6" width="24.109375" customWidth="1"/>
    <col min="7" max="7" width="22.109375" customWidth="1"/>
    <col min="8" max="8" width="24" customWidth="1"/>
    <col min="9" max="9" width="11.5546875" customWidth="1"/>
    <col min="10" max="11" width="8.88671875" customWidth="1"/>
    <col min="12" max="12" width="15" customWidth="1"/>
    <col min="13" max="13" width="15.88671875" customWidth="1"/>
    <col min="14" max="14" width="14.109375" customWidth="1"/>
    <col min="15" max="15" width="14.5546875" customWidth="1"/>
    <col min="16" max="16" width="27.5546875" hidden="1" customWidth="1"/>
    <col min="17" max="17" width="25.44140625" hidden="1" customWidth="1"/>
    <col min="18" max="18" width="23.44140625" hidden="1" customWidth="1"/>
    <col min="19" max="19" width="23.109375" hidden="1" customWidth="1"/>
    <col min="20" max="20" width="22.109375" hidden="1" customWidth="1"/>
    <col min="21" max="24" width="11.88671875" hidden="1" customWidth="1"/>
    <col min="25" max="25" width="24.44140625" hidden="1" customWidth="1"/>
    <col min="26" max="26" width="29.109375" hidden="1" customWidth="1"/>
    <col min="27" max="27" width="26" hidden="1" customWidth="1"/>
    <col min="28" max="28" width="23.5546875" hidden="1" customWidth="1"/>
    <col min="29" max="32" width="7.109375" customWidth="1"/>
    <col min="33" max="33" width="10.44140625" customWidth="1"/>
    <col min="34" max="35" width="11.88671875" customWidth="1"/>
    <col min="36" max="37" width="8.88671875" customWidth="1"/>
    <col min="38" max="39" width="12.109375" customWidth="1"/>
    <col min="40" max="40" width="8.88671875" customWidth="1"/>
    <col min="41" max="42" width="9.5546875" customWidth="1"/>
    <col min="43" max="43" width="9.44140625" customWidth="1"/>
    <col min="44" max="44" width="5.88671875" customWidth="1"/>
    <col min="45" max="47" width="8.88671875" customWidth="1"/>
    <col min="48" max="48" width="9.5546875" customWidth="1"/>
    <col min="49" max="49" width="13.109375" bestFit="1" customWidth="1"/>
    <col min="52" max="52" width="10.88671875" customWidth="1"/>
    <col min="53" max="56" width="10.88671875" style="14" customWidth="1"/>
    <col min="57" max="61" width="12.44140625" customWidth="1"/>
    <col min="62" max="62" width="15.44140625" customWidth="1"/>
    <col min="69" max="69" width="12.44140625" customWidth="1"/>
    <col min="82" max="82" width="21.44140625" customWidth="1"/>
    <col min="83" max="83" width="17.5546875" customWidth="1"/>
    <col min="90" max="90" width="16.5546875" customWidth="1"/>
  </cols>
  <sheetData>
    <row r="1" spans="1:90"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6"/>
      <c r="AC1" s="89" t="s">
        <v>1</v>
      </c>
      <c r="AD1" s="90"/>
      <c r="AE1" s="90"/>
      <c r="AF1" s="90"/>
      <c r="AG1" s="90"/>
      <c r="AH1" s="90"/>
      <c r="AI1" s="90"/>
      <c r="AJ1" s="91"/>
      <c r="AK1" s="92" t="s">
        <v>2</v>
      </c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4"/>
      <c r="BB1"/>
      <c r="BC1"/>
      <c r="BD1"/>
      <c r="BF1" s="60"/>
      <c r="BG1" s="60"/>
      <c r="BH1" s="60"/>
      <c r="BI1" s="60"/>
    </row>
    <row r="2" spans="1:90" ht="43.5" customHeight="1">
      <c r="D2" s="23"/>
      <c r="E2" s="95" t="s">
        <v>3</v>
      </c>
      <c r="F2" s="95"/>
      <c r="G2" s="95"/>
      <c r="H2" s="95"/>
      <c r="I2" s="73"/>
      <c r="J2" s="73"/>
      <c r="K2" s="95" t="s">
        <v>4</v>
      </c>
      <c r="L2" s="95"/>
      <c r="M2" s="95"/>
      <c r="N2" s="95"/>
      <c r="O2" s="95"/>
      <c r="P2" s="95" t="s">
        <v>5</v>
      </c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1"/>
      <c r="AC2" s="96" t="s">
        <v>6</v>
      </c>
      <c r="AD2" s="96"/>
      <c r="AE2" s="96"/>
      <c r="AF2" s="96"/>
      <c r="AG2" s="96" t="s">
        <v>7</v>
      </c>
      <c r="AH2" s="96"/>
      <c r="AI2" s="96"/>
      <c r="AJ2" s="96"/>
      <c r="AK2" s="97" t="s">
        <v>8</v>
      </c>
      <c r="AL2" s="97"/>
      <c r="AM2" s="97"/>
      <c r="AN2" s="97"/>
      <c r="AO2" s="97" t="s">
        <v>9</v>
      </c>
      <c r="AP2" s="97"/>
      <c r="AQ2" s="97"/>
      <c r="AR2" s="97"/>
      <c r="AS2" s="97" t="s">
        <v>10</v>
      </c>
      <c r="AT2" s="97"/>
      <c r="AU2" s="97"/>
      <c r="AV2" s="97"/>
      <c r="AW2" s="87" t="s">
        <v>11</v>
      </c>
      <c r="AX2" s="87"/>
      <c r="AY2" s="87"/>
      <c r="AZ2" s="87"/>
      <c r="BA2" s="74" t="s">
        <v>12</v>
      </c>
      <c r="BB2"/>
      <c r="BC2"/>
      <c r="BD2"/>
      <c r="BG2" s="2"/>
      <c r="BH2" s="2"/>
      <c r="BI2" s="2"/>
      <c r="BJ2" s="3"/>
      <c r="BM2" s="33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</row>
    <row r="3" spans="1:90" ht="15" customHeight="1">
      <c r="A3" t="s">
        <v>238</v>
      </c>
      <c r="C3" t="s">
        <v>13</v>
      </c>
      <c r="D3" s="23" t="s">
        <v>14</v>
      </c>
      <c r="E3" s="20" t="s">
        <v>15</v>
      </c>
      <c r="F3" s="16" t="s">
        <v>16</v>
      </c>
      <c r="G3" s="17" t="s">
        <v>17</v>
      </c>
      <c r="H3" s="15" t="s">
        <v>18</v>
      </c>
      <c r="I3" s="23" t="s">
        <v>19</v>
      </c>
      <c r="J3" s="23" t="s">
        <v>20</v>
      </c>
      <c r="K3" s="23" t="s">
        <v>21</v>
      </c>
      <c r="L3" s="20" t="s">
        <v>22</v>
      </c>
      <c r="M3" s="16" t="s">
        <v>23</v>
      </c>
      <c r="N3" s="17" t="s">
        <v>24</v>
      </c>
      <c r="O3" s="15" t="s">
        <v>25</v>
      </c>
      <c r="P3" s="23" t="s">
        <v>26</v>
      </c>
      <c r="Q3" s="42" t="s">
        <v>27</v>
      </c>
      <c r="R3" s="16" t="s">
        <v>28</v>
      </c>
      <c r="S3" s="17" t="s">
        <v>29</v>
      </c>
      <c r="T3" s="15" t="s">
        <v>30</v>
      </c>
      <c r="U3" s="20" t="s">
        <v>232</v>
      </c>
      <c r="V3" s="16" t="s">
        <v>233</v>
      </c>
      <c r="W3" s="17" t="s">
        <v>234</v>
      </c>
      <c r="X3" s="15" t="s">
        <v>235</v>
      </c>
      <c r="Y3" s="42" t="s">
        <v>33</v>
      </c>
      <c r="Z3" s="16" t="s">
        <v>34</v>
      </c>
      <c r="AA3" s="17" t="s">
        <v>35</v>
      </c>
      <c r="AB3" s="15" t="s">
        <v>36</v>
      </c>
      <c r="AC3" s="20" t="s">
        <v>40</v>
      </c>
      <c r="AD3" s="16" t="s">
        <v>41</v>
      </c>
      <c r="AE3" s="17" t="s">
        <v>42</v>
      </c>
      <c r="AF3" s="15" t="s">
        <v>43</v>
      </c>
      <c r="AG3" s="20" t="s">
        <v>288</v>
      </c>
      <c r="AH3" s="16" t="s">
        <v>289</v>
      </c>
      <c r="AI3" s="17" t="s">
        <v>290</v>
      </c>
      <c r="AJ3" s="15" t="s">
        <v>291</v>
      </c>
      <c r="AK3" s="20" t="s">
        <v>44</v>
      </c>
      <c r="AL3" s="16" t="s">
        <v>45</v>
      </c>
      <c r="AM3" s="17" t="s">
        <v>46</v>
      </c>
      <c r="AN3" s="15" t="s">
        <v>47</v>
      </c>
      <c r="AO3" s="20" t="s">
        <v>44</v>
      </c>
      <c r="AP3" s="16" t="s">
        <v>45</v>
      </c>
      <c r="AQ3" s="17" t="s">
        <v>46</v>
      </c>
      <c r="AR3" s="15" t="s">
        <v>47</v>
      </c>
      <c r="AS3" s="20" t="s">
        <v>44</v>
      </c>
      <c r="AT3" s="16" t="s">
        <v>45</v>
      </c>
      <c r="AU3" s="17" t="s">
        <v>46</v>
      </c>
      <c r="AV3" s="15" t="s">
        <v>47</v>
      </c>
      <c r="AW3" s="20" t="s">
        <v>44</v>
      </c>
      <c r="AX3" s="16" t="s">
        <v>45</v>
      </c>
      <c r="AY3" s="17" t="s">
        <v>46</v>
      </c>
      <c r="AZ3" s="15" t="s">
        <v>47</v>
      </c>
      <c r="BA3" s="1"/>
      <c r="BX3" s="5"/>
    </row>
    <row r="4" spans="1:90" ht="15" customHeight="1">
      <c r="A4" t="s">
        <v>247</v>
      </c>
      <c r="B4" s="83">
        <v>1</v>
      </c>
      <c r="C4" s="6" t="s">
        <v>56</v>
      </c>
      <c r="D4" s="51" t="s">
        <v>57</v>
      </c>
      <c r="E4" s="20" t="s">
        <v>58</v>
      </c>
      <c r="F4" s="1" t="s">
        <v>51</v>
      </c>
      <c r="G4" s="1" t="s">
        <v>51</v>
      </c>
      <c r="H4" s="15" t="s">
        <v>59</v>
      </c>
      <c r="I4" s="1" t="s">
        <v>53</v>
      </c>
      <c r="J4" s="1">
        <f>14+12</f>
        <v>26</v>
      </c>
      <c r="K4" s="1">
        <f>L4+O4</f>
        <v>52</v>
      </c>
      <c r="L4" s="1">
        <v>24</v>
      </c>
      <c r="M4" s="1">
        <v>0</v>
      </c>
      <c r="N4" s="1">
        <v>0</v>
      </c>
      <c r="O4" s="1">
        <v>28</v>
      </c>
      <c r="P4" s="57" t="s">
        <v>60</v>
      </c>
      <c r="Q4" s="57">
        <v>26.8</v>
      </c>
      <c r="R4" s="51"/>
      <c r="S4" s="51"/>
      <c r="T4" s="51">
        <v>25.7</v>
      </c>
      <c r="U4" s="51" t="s">
        <v>51</v>
      </c>
      <c r="V4" s="51" t="s">
        <v>51</v>
      </c>
      <c r="W4" s="51" t="s">
        <v>51</v>
      </c>
      <c r="X4" s="51" t="s">
        <v>51</v>
      </c>
      <c r="Y4" s="57">
        <v>816</v>
      </c>
      <c r="Z4" s="57"/>
      <c r="AA4" s="57"/>
      <c r="AB4" s="57">
        <v>722</v>
      </c>
      <c r="AC4" s="51">
        <v>4</v>
      </c>
      <c r="AD4" s="51" t="s">
        <v>51</v>
      </c>
      <c r="AE4" s="51" t="s">
        <v>51</v>
      </c>
      <c r="AF4" s="51">
        <v>0</v>
      </c>
      <c r="AG4" s="51">
        <v>9</v>
      </c>
      <c r="AH4" s="51" t="s">
        <v>51</v>
      </c>
      <c r="AI4" s="51" t="s">
        <v>51</v>
      </c>
      <c r="AJ4" s="51" t="s">
        <v>51</v>
      </c>
      <c r="AK4" s="51" t="s">
        <v>0</v>
      </c>
      <c r="AL4" s="51" t="s">
        <v>51</v>
      </c>
      <c r="AM4" s="51" t="s">
        <v>51</v>
      </c>
      <c r="AN4" s="51" t="s">
        <v>0</v>
      </c>
      <c r="AO4" s="51" t="s">
        <v>0</v>
      </c>
      <c r="AP4" s="51" t="s">
        <v>51</v>
      </c>
      <c r="AQ4" s="51" t="s">
        <v>51</v>
      </c>
      <c r="AR4" s="51" t="s">
        <v>0</v>
      </c>
      <c r="AS4" s="51" t="s">
        <v>61</v>
      </c>
      <c r="AT4" s="65" t="s">
        <v>51</v>
      </c>
      <c r="AU4" s="65" t="s">
        <v>51</v>
      </c>
      <c r="AV4" s="51" t="s">
        <v>62</v>
      </c>
      <c r="AW4" s="65">
        <f>(6+4+20)/24</f>
        <v>1.25</v>
      </c>
      <c r="AX4" s="4" t="s">
        <v>51</v>
      </c>
      <c r="AY4" s="4" t="s">
        <v>51</v>
      </c>
      <c r="AZ4" s="4">
        <v>1</v>
      </c>
      <c r="BA4" s="1">
        <f>52*5</f>
        <v>260</v>
      </c>
      <c r="BJ4" s="5"/>
    </row>
    <row r="5" spans="1:90">
      <c r="A5" t="s">
        <v>275</v>
      </c>
      <c r="B5" s="83">
        <v>2</v>
      </c>
      <c r="C5" s="6" t="s">
        <v>243</v>
      </c>
      <c r="D5" s="51" t="s">
        <v>276</v>
      </c>
      <c r="E5" s="58" t="s">
        <v>76</v>
      </c>
      <c r="F5" s="1" t="s">
        <v>51</v>
      </c>
      <c r="G5" s="1" t="s">
        <v>51</v>
      </c>
      <c r="H5" s="15" t="s">
        <v>59</v>
      </c>
      <c r="I5" s="51" t="s">
        <v>53</v>
      </c>
      <c r="J5" s="51">
        <v>146</v>
      </c>
      <c r="K5" s="51">
        <v>292</v>
      </c>
      <c r="L5" s="51">
        <f>61*2</f>
        <v>122</v>
      </c>
      <c r="M5" s="51">
        <v>0</v>
      </c>
      <c r="N5" s="51">
        <v>0</v>
      </c>
      <c r="O5" s="51">
        <f>85*2</f>
        <v>170</v>
      </c>
      <c r="P5" s="51" t="s">
        <v>277</v>
      </c>
      <c r="Q5" s="16">
        <v>23</v>
      </c>
      <c r="R5" s="51"/>
      <c r="S5" s="51"/>
      <c r="T5" s="16">
        <v>24</v>
      </c>
      <c r="U5" s="51">
        <v>34</v>
      </c>
      <c r="V5" s="51"/>
      <c r="W5" s="51"/>
      <c r="X5" s="51">
        <v>35</v>
      </c>
      <c r="Y5" s="16">
        <v>481</v>
      </c>
      <c r="Z5" s="51"/>
      <c r="AA5" s="51"/>
      <c r="AB5" s="16">
        <v>545</v>
      </c>
      <c r="AC5" s="51">
        <v>20</v>
      </c>
      <c r="AD5" s="51"/>
      <c r="AE5" s="51"/>
      <c r="AF5" s="51">
        <v>4</v>
      </c>
      <c r="AG5" s="51">
        <v>8</v>
      </c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65"/>
      <c r="BB5" s="72"/>
      <c r="BC5" s="72"/>
    </row>
    <row r="6" spans="1:90" ht="15.6">
      <c r="A6" t="s">
        <v>274</v>
      </c>
      <c r="B6" s="83">
        <v>3</v>
      </c>
      <c r="C6" s="6" t="s">
        <v>196</v>
      </c>
      <c r="D6" s="51" t="s">
        <v>197</v>
      </c>
      <c r="E6" s="58" t="s">
        <v>76</v>
      </c>
      <c r="F6" s="1" t="s">
        <v>51</v>
      </c>
      <c r="G6" s="1" t="s">
        <v>51</v>
      </c>
      <c r="H6" s="15" t="s">
        <v>59</v>
      </c>
      <c r="I6" s="51" t="s">
        <v>53</v>
      </c>
      <c r="J6" s="51">
        <v>66</v>
      </c>
      <c r="K6" s="51">
        <v>132</v>
      </c>
      <c r="L6" s="51">
        <v>26</v>
      </c>
      <c r="M6" s="51">
        <v>0</v>
      </c>
      <c r="N6" s="51">
        <v>0</v>
      </c>
      <c r="O6" s="51">
        <v>106</v>
      </c>
      <c r="P6" s="51" t="s">
        <v>198</v>
      </c>
      <c r="Q6" s="71"/>
      <c r="R6" s="51"/>
      <c r="S6" s="51"/>
      <c r="T6" s="51"/>
      <c r="U6" s="51" t="s">
        <v>51</v>
      </c>
      <c r="V6" s="51" t="s">
        <v>51</v>
      </c>
      <c r="W6" s="51" t="s">
        <v>51</v>
      </c>
      <c r="X6" s="51" t="s">
        <v>51</v>
      </c>
      <c r="Y6" s="51"/>
      <c r="Z6" s="51"/>
      <c r="AA6" s="51"/>
      <c r="AB6" s="51"/>
      <c r="AC6" s="51">
        <v>12</v>
      </c>
      <c r="AD6" s="51" t="s">
        <v>51</v>
      </c>
      <c r="AE6" s="51" t="s">
        <v>51</v>
      </c>
      <c r="AF6" s="51">
        <v>8</v>
      </c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65">
        <v>52</v>
      </c>
      <c r="BB6" s="72"/>
      <c r="BC6" s="72"/>
    </row>
    <row r="7" spans="1:90" ht="15" customHeight="1">
      <c r="A7" t="s">
        <v>246</v>
      </c>
      <c r="B7" s="83">
        <v>4</v>
      </c>
      <c r="C7" s="6" t="s">
        <v>48</v>
      </c>
      <c r="D7" s="51" t="s">
        <v>49</v>
      </c>
      <c r="E7" s="20" t="s">
        <v>50</v>
      </c>
      <c r="F7" s="1" t="s">
        <v>51</v>
      </c>
      <c r="G7" s="1" t="s">
        <v>51</v>
      </c>
      <c r="H7" s="15" t="s">
        <v>52</v>
      </c>
      <c r="I7" s="1" t="s">
        <v>53</v>
      </c>
      <c r="J7" s="1">
        <v>65</v>
      </c>
      <c r="K7" s="1">
        <f>L7+O7</f>
        <v>121</v>
      </c>
      <c r="L7" s="1">
        <v>57</v>
      </c>
      <c r="M7" s="1">
        <v>0</v>
      </c>
      <c r="N7" s="1">
        <v>0</v>
      </c>
      <c r="O7" s="1">
        <v>64</v>
      </c>
      <c r="P7" s="57" t="s">
        <v>54</v>
      </c>
      <c r="Q7" s="51" t="s">
        <v>51</v>
      </c>
      <c r="R7" s="51" t="s">
        <v>51</v>
      </c>
      <c r="S7" s="51" t="s">
        <v>51</v>
      </c>
      <c r="T7" s="51" t="s">
        <v>51</v>
      </c>
      <c r="U7" s="51">
        <v>35.200000000000003</v>
      </c>
      <c r="V7" s="51" t="s">
        <v>51</v>
      </c>
      <c r="W7" s="51" t="s">
        <v>51</v>
      </c>
      <c r="X7" s="51">
        <v>36.299999999999997</v>
      </c>
      <c r="Y7" s="51"/>
      <c r="Z7" s="51"/>
      <c r="AA7" s="51"/>
      <c r="AB7" s="51"/>
      <c r="AC7" s="51">
        <v>9</v>
      </c>
      <c r="AD7" s="51" t="s">
        <v>51</v>
      </c>
      <c r="AE7" s="51" t="s">
        <v>51</v>
      </c>
      <c r="AF7" s="51">
        <v>17</v>
      </c>
      <c r="AG7" s="51">
        <f>38.1-35.2</f>
        <v>2.8999999999999986</v>
      </c>
      <c r="AH7" s="51" t="s">
        <v>51</v>
      </c>
      <c r="AI7" s="51" t="s">
        <v>51</v>
      </c>
      <c r="AJ7" s="51" t="s">
        <v>0</v>
      </c>
      <c r="AK7" s="51">
        <v>57</v>
      </c>
      <c r="AL7" s="51" t="s">
        <v>51</v>
      </c>
      <c r="AM7" s="51" t="s">
        <v>51</v>
      </c>
      <c r="AN7" s="51">
        <f>64-2-2</f>
        <v>60</v>
      </c>
      <c r="AO7" s="51" t="s">
        <v>0</v>
      </c>
      <c r="AP7" s="51" t="s">
        <v>51</v>
      </c>
      <c r="AQ7" s="51" t="s">
        <v>51</v>
      </c>
      <c r="AR7" s="51" t="s">
        <v>0</v>
      </c>
      <c r="AS7" s="51" t="s">
        <v>0</v>
      </c>
      <c r="AT7" s="65" t="s">
        <v>51</v>
      </c>
      <c r="AU7" s="65" t="s">
        <v>51</v>
      </c>
      <c r="AV7" s="65" t="s">
        <v>0</v>
      </c>
      <c r="AW7" s="65">
        <f>((57-11)+((1+2+4+2)*2)+(2*3))/57</f>
        <v>1.2280701754385965</v>
      </c>
      <c r="AX7" s="4" t="s">
        <v>51</v>
      </c>
      <c r="AY7" s="4" t="s">
        <v>51</v>
      </c>
      <c r="AZ7" s="4">
        <f>((64-21)+((3+12+2)*2)+(4*3))/64</f>
        <v>1.390625</v>
      </c>
      <c r="BA7" s="1">
        <v>44</v>
      </c>
      <c r="BJ7" s="5"/>
    </row>
    <row r="8" spans="1:90" ht="15" customHeight="1">
      <c r="A8" t="s">
        <v>252</v>
      </c>
      <c r="B8" s="83">
        <v>5</v>
      </c>
      <c r="C8" t="s">
        <v>96</v>
      </c>
      <c r="D8" s="51" t="s">
        <v>97</v>
      </c>
      <c r="E8" s="20" t="s">
        <v>98</v>
      </c>
      <c r="F8" s="1" t="s">
        <v>51</v>
      </c>
      <c r="G8" s="1" t="s">
        <v>51</v>
      </c>
      <c r="H8" s="15" t="s">
        <v>99</v>
      </c>
      <c r="I8" s="51" t="s">
        <v>53</v>
      </c>
      <c r="J8" s="51">
        <v>25</v>
      </c>
      <c r="K8" s="51">
        <f>L8+O8</f>
        <v>49</v>
      </c>
      <c r="L8" s="51">
        <v>29</v>
      </c>
      <c r="M8" s="51">
        <v>0</v>
      </c>
      <c r="N8" s="51">
        <v>0</v>
      </c>
      <c r="O8" s="51">
        <v>20</v>
      </c>
      <c r="P8" s="57" t="s">
        <v>100</v>
      </c>
      <c r="Q8" s="57">
        <v>24.98</v>
      </c>
      <c r="R8" s="51"/>
      <c r="S8" s="51"/>
      <c r="T8" s="51">
        <v>24.62</v>
      </c>
      <c r="U8" s="57">
        <v>34.71</v>
      </c>
      <c r="V8" s="57"/>
      <c r="W8" s="57"/>
      <c r="X8" s="57">
        <v>36.049999999999997</v>
      </c>
      <c r="Y8" s="57">
        <v>662.33</v>
      </c>
      <c r="Z8" s="57"/>
      <c r="AA8" s="57"/>
      <c r="AB8" s="57">
        <v>688.3</v>
      </c>
      <c r="AC8" s="57">
        <v>28</v>
      </c>
      <c r="AD8" s="57" t="s">
        <v>51</v>
      </c>
      <c r="AE8" s="57" t="s">
        <v>51</v>
      </c>
      <c r="AF8" s="57">
        <v>2</v>
      </c>
      <c r="AG8" s="67">
        <v>19</v>
      </c>
      <c r="AH8" s="57" t="s">
        <v>51</v>
      </c>
      <c r="AI8" s="51" t="s">
        <v>51</v>
      </c>
      <c r="AJ8" s="57">
        <v>1</v>
      </c>
      <c r="AK8" s="51" t="s">
        <v>0</v>
      </c>
      <c r="AL8" s="51" t="s">
        <v>51</v>
      </c>
      <c r="AM8" s="51" t="s">
        <v>51</v>
      </c>
      <c r="AN8" s="57" t="s">
        <v>0</v>
      </c>
      <c r="AO8" s="57" t="s">
        <v>0</v>
      </c>
      <c r="AP8" s="51" t="s">
        <v>51</v>
      </c>
      <c r="AQ8" s="51" t="s">
        <v>51</v>
      </c>
      <c r="AR8" s="57" t="s">
        <v>0</v>
      </c>
      <c r="AS8" s="57" t="s">
        <v>0</v>
      </c>
      <c r="AT8" s="57" t="s">
        <v>51</v>
      </c>
      <c r="AU8" s="57" t="s">
        <v>51</v>
      </c>
      <c r="AV8" s="57" t="s">
        <v>0</v>
      </c>
      <c r="AW8" s="67">
        <f>((2*28)+1)/29</f>
        <v>1.9655172413793103</v>
      </c>
      <c r="AX8" s="67" t="s">
        <v>51</v>
      </c>
      <c r="AY8" s="65" t="s">
        <v>51</v>
      </c>
      <c r="AZ8" s="67">
        <f>((2*2)+18)/20</f>
        <v>1.1000000000000001</v>
      </c>
      <c r="BA8" s="57">
        <f>20.4*4</f>
        <v>81.599999999999994</v>
      </c>
      <c r="BB8" s="72"/>
      <c r="BC8" s="72"/>
      <c r="BR8" s="31"/>
    </row>
    <row r="9" spans="1:90" ht="17.399999999999999" customHeight="1">
      <c r="A9" t="s">
        <v>253</v>
      </c>
      <c r="B9" s="83">
        <v>6</v>
      </c>
      <c r="C9" s="6" t="s">
        <v>102</v>
      </c>
      <c r="D9" s="51" t="s">
        <v>103</v>
      </c>
      <c r="E9" s="20" t="s">
        <v>101</v>
      </c>
      <c r="F9" s="1"/>
      <c r="G9" s="1"/>
      <c r="H9" s="15" t="s">
        <v>47</v>
      </c>
      <c r="I9" s="51" t="s">
        <v>53</v>
      </c>
      <c r="J9" s="51">
        <v>54</v>
      </c>
      <c r="K9" s="51">
        <f>54*2</f>
        <v>108</v>
      </c>
      <c r="L9" s="51">
        <f>37*2</f>
        <v>74</v>
      </c>
      <c r="M9" s="51">
        <v>0</v>
      </c>
      <c r="N9" s="51">
        <v>0</v>
      </c>
      <c r="O9" s="51">
        <f>17*2</f>
        <v>34</v>
      </c>
      <c r="P9" s="57" t="s">
        <v>104</v>
      </c>
      <c r="Q9" s="57"/>
      <c r="R9" s="51"/>
      <c r="S9" s="51"/>
      <c r="T9" s="51"/>
      <c r="U9" s="57">
        <v>33.700000000000003</v>
      </c>
      <c r="V9" s="57"/>
      <c r="W9" s="57"/>
      <c r="X9" s="57">
        <v>40.1</v>
      </c>
      <c r="Y9" s="57"/>
      <c r="Z9" s="57"/>
      <c r="AA9" s="57"/>
      <c r="AB9" s="57"/>
      <c r="AC9" s="51">
        <v>10</v>
      </c>
      <c r="AD9" s="51"/>
      <c r="AE9" s="51"/>
      <c r="AF9" s="51">
        <v>0</v>
      </c>
      <c r="AG9" s="51">
        <v>12.7</v>
      </c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65"/>
      <c r="AU9" s="65"/>
      <c r="AV9" s="51"/>
      <c r="AW9" s="65"/>
      <c r="AX9" s="65"/>
      <c r="AY9" s="65"/>
      <c r="AZ9" s="65"/>
      <c r="BA9" s="51"/>
      <c r="BB9" s="72"/>
      <c r="BC9" s="72"/>
      <c r="BJ9" s="40"/>
      <c r="BR9" s="60"/>
      <c r="CD9" s="5"/>
    </row>
    <row r="10" spans="1:90" ht="17.399999999999999" customHeight="1">
      <c r="A10" t="s">
        <v>254</v>
      </c>
      <c r="B10" s="83">
        <v>7</v>
      </c>
      <c r="C10" s="6" t="s">
        <v>105</v>
      </c>
      <c r="D10" s="51" t="s">
        <v>106</v>
      </c>
      <c r="E10" s="20" t="s">
        <v>101</v>
      </c>
      <c r="F10" s="1"/>
      <c r="G10" s="1"/>
      <c r="H10" s="15" t="s">
        <v>47</v>
      </c>
      <c r="I10" s="51" t="s">
        <v>53</v>
      </c>
      <c r="J10" s="51">
        <v>23</v>
      </c>
      <c r="K10" s="51">
        <v>46</v>
      </c>
      <c r="L10" s="51">
        <v>34</v>
      </c>
      <c r="M10" s="51">
        <v>0</v>
      </c>
      <c r="N10" s="51">
        <v>0</v>
      </c>
      <c r="O10" s="51">
        <v>12</v>
      </c>
      <c r="P10" s="57" t="s">
        <v>107</v>
      </c>
      <c r="Q10" s="57">
        <v>28.29</v>
      </c>
      <c r="R10" s="51"/>
      <c r="S10" s="51"/>
      <c r="T10" s="51">
        <v>29.83</v>
      </c>
      <c r="U10" s="57">
        <v>34.409999999999997</v>
      </c>
      <c r="V10" s="57"/>
      <c r="W10" s="57"/>
      <c r="X10" s="57">
        <v>36.33</v>
      </c>
      <c r="Y10" s="57">
        <v>1094.71</v>
      </c>
      <c r="Z10" s="57"/>
      <c r="AA10" s="57"/>
      <c r="AB10" s="57">
        <v>1198.33</v>
      </c>
      <c r="AC10" s="51">
        <v>3</v>
      </c>
      <c r="AD10" s="51"/>
      <c r="AE10" s="51"/>
      <c r="AF10" s="51">
        <v>2</v>
      </c>
      <c r="AG10" s="51"/>
      <c r="AH10" s="51"/>
      <c r="AI10" s="51"/>
      <c r="AJ10" s="51">
        <v>1</v>
      </c>
      <c r="AK10" s="51"/>
      <c r="AL10" s="51"/>
      <c r="AM10" s="51"/>
      <c r="AN10" s="51"/>
      <c r="AO10" s="51"/>
      <c r="AP10" s="51"/>
      <c r="AQ10" s="51"/>
      <c r="AR10" s="51"/>
      <c r="AS10" s="51"/>
      <c r="AT10" s="65"/>
      <c r="AU10" s="65"/>
      <c r="AV10" s="51"/>
      <c r="AW10" s="65"/>
      <c r="AX10" s="65"/>
      <c r="AY10" s="65"/>
      <c r="AZ10" s="65"/>
      <c r="BA10" s="51">
        <v>60</v>
      </c>
      <c r="BB10" s="72"/>
      <c r="BC10" s="72"/>
      <c r="BJ10" s="40"/>
      <c r="BR10" s="60"/>
      <c r="CD10" s="5"/>
    </row>
    <row r="11" spans="1:90" ht="15" customHeight="1">
      <c r="A11" t="s">
        <v>248</v>
      </c>
      <c r="B11" s="83">
        <v>8</v>
      </c>
      <c r="C11" s="6" t="s">
        <v>64</v>
      </c>
      <c r="D11" s="51" t="s">
        <v>65</v>
      </c>
      <c r="E11" s="20" t="s">
        <v>66</v>
      </c>
      <c r="F11" s="1" t="s">
        <v>51</v>
      </c>
      <c r="G11" s="1" t="s">
        <v>51</v>
      </c>
      <c r="H11" s="15" t="s">
        <v>67</v>
      </c>
      <c r="I11" s="1" t="s">
        <v>53</v>
      </c>
      <c r="J11" s="1">
        <v>28</v>
      </c>
      <c r="K11" s="1">
        <f>L11+O11</f>
        <v>54</v>
      </c>
      <c r="L11" s="1">
        <v>22</v>
      </c>
      <c r="M11" s="1">
        <v>0</v>
      </c>
      <c r="N11" s="1">
        <v>0</v>
      </c>
      <c r="O11" s="1">
        <v>32</v>
      </c>
      <c r="P11" s="57" t="s">
        <v>68</v>
      </c>
      <c r="Q11" s="57">
        <v>24.2</v>
      </c>
      <c r="R11" s="51"/>
      <c r="S11" s="51"/>
      <c r="T11" s="51">
        <v>24.8</v>
      </c>
      <c r="U11" s="57">
        <v>35.1</v>
      </c>
      <c r="V11" s="57" t="s">
        <v>51</v>
      </c>
      <c r="W11" s="57" t="s">
        <v>51</v>
      </c>
      <c r="X11" s="57">
        <v>36.1</v>
      </c>
      <c r="Y11" s="57" t="s">
        <v>69</v>
      </c>
      <c r="Z11" s="57"/>
      <c r="AA11" s="57"/>
      <c r="AB11" s="57">
        <v>701.4</v>
      </c>
      <c r="AC11" s="51">
        <v>3</v>
      </c>
      <c r="AD11" s="51" t="s">
        <v>51</v>
      </c>
      <c r="AE11" s="51" t="s">
        <v>51</v>
      </c>
      <c r="AF11" s="51">
        <v>1</v>
      </c>
      <c r="AG11" s="51">
        <v>9</v>
      </c>
      <c r="AH11" s="51" t="s">
        <v>51</v>
      </c>
      <c r="AI11" s="51" t="s">
        <v>51</v>
      </c>
      <c r="AJ11" s="51">
        <v>2.6</v>
      </c>
      <c r="AK11" s="51" t="s">
        <v>71</v>
      </c>
      <c r="AL11" s="51" t="s">
        <v>51</v>
      </c>
      <c r="AM11" s="51" t="s">
        <v>51</v>
      </c>
      <c r="AN11" s="51" t="s">
        <v>72</v>
      </c>
      <c r="AO11" s="51" t="s">
        <v>73</v>
      </c>
      <c r="AP11" s="51" t="s">
        <v>51</v>
      </c>
      <c r="AQ11" s="51" t="s">
        <v>51</v>
      </c>
      <c r="AR11" s="51" t="s">
        <v>0</v>
      </c>
      <c r="AS11" s="57" t="s">
        <v>74</v>
      </c>
      <c r="AT11" s="57" t="s">
        <v>51</v>
      </c>
      <c r="AU11" s="57" t="s">
        <v>51</v>
      </c>
      <c r="AV11" s="57" t="s">
        <v>75</v>
      </c>
      <c r="AW11" s="65">
        <f>((3*2)+19)/22</f>
        <v>1.1363636363636365</v>
      </c>
      <c r="AX11" s="4" t="s">
        <v>51</v>
      </c>
      <c r="AY11" s="4" t="s">
        <v>51</v>
      </c>
      <c r="AZ11" s="4">
        <v>1</v>
      </c>
      <c r="BA11" s="7">
        <v>86.8</v>
      </c>
      <c r="BJ11" s="36"/>
      <c r="BR11" s="5"/>
      <c r="BW11" s="5"/>
      <c r="BX11" s="5"/>
      <c r="BY11" s="5"/>
    </row>
    <row r="12" spans="1:90" ht="15" customHeight="1">
      <c r="A12" t="s">
        <v>249</v>
      </c>
      <c r="B12" s="83">
        <v>9</v>
      </c>
      <c r="C12" s="6" t="s">
        <v>77</v>
      </c>
      <c r="D12" s="51" t="s">
        <v>78</v>
      </c>
      <c r="E12" s="20" t="s">
        <v>76</v>
      </c>
      <c r="F12" s="1" t="s">
        <v>51</v>
      </c>
      <c r="G12" s="1" t="s">
        <v>51</v>
      </c>
      <c r="H12" s="15" t="s">
        <v>47</v>
      </c>
      <c r="I12" s="51" t="s">
        <v>53</v>
      </c>
      <c r="J12" s="51">
        <v>42</v>
      </c>
      <c r="K12" s="51">
        <f t="shared" ref="K12:K14" si="0">L12+O12</f>
        <v>80</v>
      </c>
      <c r="L12" s="51">
        <v>43</v>
      </c>
      <c r="M12" s="51">
        <v>0</v>
      </c>
      <c r="N12" s="51">
        <v>0</v>
      </c>
      <c r="O12" s="51">
        <v>37</v>
      </c>
      <c r="P12" s="51" t="s">
        <v>79</v>
      </c>
      <c r="Q12" s="57">
        <v>24.3</v>
      </c>
      <c r="R12" s="51"/>
      <c r="S12" s="51"/>
      <c r="T12" s="51">
        <v>24.8</v>
      </c>
      <c r="U12" s="57">
        <v>35.700000000000003</v>
      </c>
      <c r="V12" s="57"/>
      <c r="W12" s="57"/>
      <c r="X12" s="57">
        <v>37.4</v>
      </c>
      <c r="Y12" s="57">
        <v>645</v>
      </c>
      <c r="Z12" s="57"/>
      <c r="AA12" s="57"/>
      <c r="AB12" s="57">
        <v>669</v>
      </c>
      <c r="AC12" s="51">
        <v>3</v>
      </c>
      <c r="AD12" s="51" t="s">
        <v>51</v>
      </c>
      <c r="AE12" s="51" t="s">
        <v>51</v>
      </c>
      <c r="AF12" s="51">
        <v>4</v>
      </c>
      <c r="AG12" s="51">
        <v>8.86</v>
      </c>
      <c r="AH12" s="51" t="s">
        <v>51</v>
      </c>
      <c r="AI12" s="51" t="s">
        <v>51</v>
      </c>
      <c r="AJ12" s="65">
        <f>((53+53+44+44)/4)/7</f>
        <v>6.9285714285714288</v>
      </c>
      <c r="AK12" s="51" t="s">
        <v>0</v>
      </c>
      <c r="AL12" s="51" t="s">
        <v>51</v>
      </c>
      <c r="AM12" s="51" t="s">
        <v>51</v>
      </c>
      <c r="AN12" s="51" t="s">
        <v>0</v>
      </c>
      <c r="AO12" s="51" t="s">
        <v>0</v>
      </c>
      <c r="AP12" s="51" t="s">
        <v>51</v>
      </c>
      <c r="AQ12" s="51" t="s">
        <v>51</v>
      </c>
      <c r="AR12" s="51" t="s">
        <v>0</v>
      </c>
      <c r="AS12" s="66" t="s">
        <v>80</v>
      </c>
      <c r="AT12" s="57" t="s">
        <v>51</v>
      </c>
      <c r="AU12" s="57" t="s">
        <v>51</v>
      </c>
      <c r="AV12" s="66" t="s">
        <v>81</v>
      </c>
      <c r="AW12" s="65">
        <v>1</v>
      </c>
      <c r="AX12" s="65" t="s">
        <v>51</v>
      </c>
      <c r="AY12" s="65" t="s">
        <v>51</v>
      </c>
      <c r="AZ12" s="65">
        <f>6/4</f>
        <v>1.5</v>
      </c>
      <c r="BA12" s="51">
        <f>24*4</f>
        <v>96</v>
      </c>
      <c r="BB12" s="72"/>
      <c r="BC12" s="72"/>
      <c r="BV12" s="31"/>
      <c r="BX12" s="5"/>
      <c r="CL12" s="9"/>
    </row>
    <row r="13" spans="1:90" ht="15" customHeight="1">
      <c r="A13" t="s">
        <v>250</v>
      </c>
      <c r="B13" s="83">
        <v>10</v>
      </c>
      <c r="C13" s="6" t="s">
        <v>82</v>
      </c>
      <c r="D13" s="51" t="s">
        <v>83</v>
      </c>
      <c r="E13" s="20" t="s">
        <v>66</v>
      </c>
      <c r="F13" s="1" t="s">
        <v>51</v>
      </c>
      <c r="G13" s="1" t="s">
        <v>51</v>
      </c>
      <c r="H13" s="15" t="s">
        <v>59</v>
      </c>
      <c r="I13" s="51" t="s">
        <v>53</v>
      </c>
      <c r="J13" s="51">
        <v>25</v>
      </c>
      <c r="K13" s="51">
        <f t="shared" si="0"/>
        <v>45</v>
      </c>
      <c r="L13" s="51">
        <v>23</v>
      </c>
      <c r="M13" s="51">
        <v>0</v>
      </c>
      <c r="N13" s="51">
        <v>0</v>
      </c>
      <c r="O13" s="51">
        <v>22</v>
      </c>
      <c r="P13" s="51" t="s">
        <v>84</v>
      </c>
      <c r="Q13" s="57">
        <v>25.2</v>
      </c>
      <c r="R13" s="51"/>
      <c r="S13" s="51"/>
      <c r="T13" s="51">
        <v>25</v>
      </c>
      <c r="U13" s="57">
        <v>37.6</v>
      </c>
      <c r="V13" s="57"/>
      <c r="W13" s="57"/>
      <c r="X13" s="57">
        <v>36.700000000000003</v>
      </c>
      <c r="Y13" s="57">
        <v>722</v>
      </c>
      <c r="Z13" s="57"/>
      <c r="AA13" s="57"/>
      <c r="AB13" s="25">
        <v>674</v>
      </c>
      <c r="AC13" s="51">
        <v>0</v>
      </c>
      <c r="AD13" s="51" t="s">
        <v>51</v>
      </c>
      <c r="AE13" s="51" t="s">
        <v>51</v>
      </c>
      <c r="AF13" s="51">
        <v>1</v>
      </c>
      <c r="AG13" s="51" t="s">
        <v>51</v>
      </c>
      <c r="AH13" s="51" t="s">
        <v>51</v>
      </c>
      <c r="AI13" s="51" t="s">
        <v>51</v>
      </c>
      <c r="AJ13" s="51">
        <v>2</v>
      </c>
      <c r="AK13" s="51" t="s">
        <v>0</v>
      </c>
      <c r="AL13" s="51" t="s">
        <v>51</v>
      </c>
      <c r="AM13" s="51" t="s">
        <v>51</v>
      </c>
      <c r="AN13" s="51" t="s">
        <v>0</v>
      </c>
      <c r="AO13" s="51" t="s">
        <v>0</v>
      </c>
      <c r="AP13" s="51" t="s">
        <v>51</v>
      </c>
      <c r="AQ13" s="51" t="s">
        <v>51</v>
      </c>
      <c r="AR13" s="51" t="s">
        <v>0</v>
      </c>
      <c r="AS13" s="51" t="s">
        <v>85</v>
      </c>
      <c r="AT13" s="57" t="s">
        <v>51</v>
      </c>
      <c r="AU13" s="57" t="s">
        <v>51</v>
      </c>
      <c r="AV13" s="51" t="s">
        <v>86</v>
      </c>
      <c r="AW13" s="65">
        <v>1</v>
      </c>
      <c r="AX13" s="65" t="s">
        <v>87</v>
      </c>
      <c r="AY13" s="65" t="s">
        <v>51</v>
      </c>
      <c r="AZ13" s="65">
        <f>9/8</f>
        <v>1.125</v>
      </c>
      <c r="BA13" s="51">
        <v>36</v>
      </c>
      <c r="BB13" s="72"/>
      <c r="BC13" s="72"/>
      <c r="BR13" s="32"/>
      <c r="BU13" s="5"/>
      <c r="BX13" s="5"/>
      <c r="CA13" s="5"/>
    </row>
    <row r="14" spans="1:90" ht="16.5" customHeight="1">
      <c r="A14" t="s">
        <v>251</v>
      </c>
      <c r="B14" s="83">
        <v>11</v>
      </c>
      <c r="C14" s="6" t="s">
        <v>88</v>
      </c>
      <c r="D14" s="51" t="s">
        <v>89</v>
      </c>
      <c r="E14" s="20" t="s">
        <v>90</v>
      </c>
      <c r="F14" s="1" t="s">
        <v>51</v>
      </c>
      <c r="G14" s="1" t="s">
        <v>51</v>
      </c>
      <c r="H14" s="15" t="s">
        <v>47</v>
      </c>
      <c r="I14" s="51" t="s">
        <v>63</v>
      </c>
      <c r="J14" s="51">
        <v>143</v>
      </c>
      <c r="K14" s="51">
        <f t="shared" si="0"/>
        <v>286</v>
      </c>
      <c r="L14" s="51">
        <v>140</v>
      </c>
      <c r="M14" s="51">
        <v>0</v>
      </c>
      <c r="N14" s="51">
        <v>0</v>
      </c>
      <c r="O14" s="51">
        <f>73*2</f>
        <v>146</v>
      </c>
      <c r="P14" s="51" t="s">
        <v>91</v>
      </c>
      <c r="Q14" s="57">
        <v>24.2</v>
      </c>
      <c r="R14" s="51"/>
      <c r="S14" s="51"/>
      <c r="T14" s="51">
        <v>24.3</v>
      </c>
      <c r="U14" s="57">
        <v>34.5</v>
      </c>
      <c r="V14" s="57"/>
      <c r="W14" s="57"/>
      <c r="X14" s="57">
        <v>33.700000000000003</v>
      </c>
      <c r="Y14" s="57">
        <f>((615.2*33)+(689.2*42))/(33+42)</f>
        <v>656.64</v>
      </c>
      <c r="Z14" s="57"/>
      <c r="AA14" s="57"/>
      <c r="AB14" s="57">
        <f>((657.9*34)+(680.7*41))/(34+41)</f>
        <v>670.36400000000003</v>
      </c>
      <c r="AC14" s="51">
        <f>2+(2*2)</f>
        <v>6</v>
      </c>
      <c r="AD14" s="51" t="s">
        <v>51</v>
      </c>
      <c r="AE14" s="51" t="s">
        <v>51</v>
      </c>
      <c r="AF14" s="51">
        <f>5+18+1+8</f>
        <v>32</v>
      </c>
      <c r="AG14" s="57" t="s">
        <v>0</v>
      </c>
      <c r="AH14" s="51" t="s">
        <v>51</v>
      </c>
      <c r="AI14" s="51" t="s">
        <v>51</v>
      </c>
      <c r="AJ14" s="57" t="s">
        <v>0</v>
      </c>
      <c r="AK14" s="57" t="s">
        <v>0</v>
      </c>
      <c r="AL14" s="51" t="s">
        <v>51</v>
      </c>
      <c r="AM14" s="51" t="s">
        <v>51</v>
      </c>
      <c r="AN14" s="51" t="s">
        <v>0</v>
      </c>
      <c r="AO14" s="51" t="s">
        <v>0</v>
      </c>
      <c r="AP14" s="51" t="s">
        <v>51</v>
      </c>
      <c r="AQ14" s="51" t="s">
        <v>51</v>
      </c>
      <c r="AR14" s="51" t="s">
        <v>0</v>
      </c>
      <c r="AS14" s="65" t="s">
        <v>0</v>
      </c>
      <c r="AT14" s="57" t="s">
        <v>51</v>
      </c>
      <c r="AU14" s="57" t="s">
        <v>51</v>
      </c>
      <c r="AV14" s="51" t="s">
        <v>0</v>
      </c>
      <c r="AW14" s="65" t="s">
        <v>0</v>
      </c>
      <c r="AX14" s="65" t="s">
        <v>0</v>
      </c>
      <c r="AY14" s="65" t="s">
        <v>51</v>
      </c>
      <c r="AZ14" s="65" t="s">
        <v>0</v>
      </c>
      <c r="BA14" s="51">
        <f>13*4</f>
        <v>52</v>
      </c>
      <c r="BB14" s="72"/>
      <c r="BC14" s="72"/>
      <c r="BJ14" s="5"/>
      <c r="BO14" s="5"/>
      <c r="BU14" s="5"/>
      <c r="BV14" s="5"/>
      <c r="BW14" s="5"/>
      <c r="BY14" s="5"/>
    </row>
    <row r="15" spans="1:90">
      <c r="A15" s="44" t="s">
        <v>255</v>
      </c>
      <c r="B15" s="83">
        <v>12</v>
      </c>
      <c r="C15" s="6" t="s">
        <v>282</v>
      </c>
      <c r="D15" s="51" t="s">
        <v>278</v>
      </c>
      <c r="E15" s="1"/>
      <c r="F15" s="25" t="s">
        <v>109</v>
      </c>
      <c r="G15" s="61" t="s">
        <v>51</v>
      </c>
      <c r="H15" s="39" t="s">
        <v>59</v>
      </c>
      <c r="I15" s="51" t="s">
        <v>279</v>
      </c>
      <c r="J15" s="51">
        <v>142</v>
      </c>
      <c r="K15" s="51">
        <v>284</v>
      </c>
      <c r="L15" s="51">
        <v>0</v>
      </c>
      <c r="M15" s="51">
        <v>146</v>
      </c>
      <c r="N15" s="51">
        <v>0</v>
      </c>
      <c r="O15" s="51">
        <v>138</v>
      </c>
      <c r="P15" s="51" t="s">
        <v>198</v>
      </c>
      <c r="Q15" s="57"/>
      <c r="R15" s="51">
        <v>25</v>
      </c>
      <c r="S15" s="51"/>
      <c r="T15" s="51">
        <v>26</v>
      </c>
      <c r="U15" s="51"/>
      <c r="V15" s="57">
        <v>36.700000000000003</v>
      </c>
      <c r="W15" s="57"/>
      <c r="X15" s="57">
        <v>36.6</v>
      </c>
      <c r="Y15" s="57"/>
      <c r="Z15" s="57">
        <v>791</v>
      </c>
      <c r="AA15" s="57"/>
      <c r="AB15" s="57">
        <v>831</v>
      </c>
      <c r="AC15" s="51" t="s">
        <v>51</v>
      </c>
      <c r="AD15" s="51">
        <v>40</v>
      </c>
      <c r="AE15" s="51" t="s">
        <v>51</v>
      </c>
      <c r="AF15" s="51">
        <v>34</v>
      </c>
      <c r="AG15" s="51"/>
      <c r="AH15" s="51">
        <v>6.9</v>
      </c>
      <c r="AI15" s="51"/>
      <c r="AJ15" s="51">
        <v>2.2999999999999998</v>
      </c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65"/>
      <c r="BB15" s="72"/>
      <c r="BC15" s="72"/>
    </row>
    <row r="16" spans="1:90" ht="17.399999999999999" customHeight="1">
      <c r="A16" t="s">
        <v>257</v>
      </c>
      <c r="B16" s="83">
        <v>13</v>
      </c>
      <c r="C16" s="29" t="s">
        <v>114</v>
      </c>
      <c r="D16" s="59" t="s">
        <v>115</v>
      </c>
      <c r="E16" s="61" t="s">
        <v>51</v>
      </c>
      <c r="F16" s="25" t="s">
        <v>116</v>
      </c>
      <c r="G16" s="61" t="s">
        <v>51</v>
      </c>
      <c r="H16" s="39" t="s">
        <v>47</v>
      </c>
      <c r="I16" s="59" t="s">
        <v>53</v>
      </c>
      <c r="J16" s="51">
        <f>115+61</f>
        <v>176</v>
      </c>
      <c r="K16" s="51">
        <f>M16+O16</f>
        <v>346</v>
      </c>
      <c r="L16" s="51">
        <v>0</v>
      </c>
      <c r="M16" s="51">
        <v>120</v>
      </c>
      <c r="N16" s="51">
        <v>0</v>
      </c>
      <c r="O16" s="51">
        <v>226</v>
      </c>
      <c r="P16" s="51" t="s">
        <v>117</v>
      </c>
      <c r="Q16" s="51"/>
      <c r="R16" s="57"/>
      <c r="S16" s="51"/>
      <c r="T16" s="57"/>
      <c r="U16" s="57" t="s">
        <v>51</v>
      </c>
      <c r="V16" s="57" t="s">
        <v>51</v>
      </c>
      <c r="W16" s="57" t="s">
        <v>51</v>
      </c>
      <c r="X16" s="57" t="s">
        <v>51</v>
      </c>
      <c r="Y16" s="57"/>
      <c r="Z16" s="57"/>
      <c r="AA16" s="57"/>
      <c r="AB16" s="57"/>
      <c r="AC16" s="51" t="s">
        <v>51</v>
      </c>
      <c r="AD16" s="51">
        <v>80</v>
      </c>
      <c r="AE16" s="51" t="s">
        <v>51</v>
      </c>
      <c r="AF16" s="59">
        <v>46</v>
      </c>
      <c r="AG16" s="51"/>
      <c r="AH16" s="51" t="s">
        <v>0</v>
      </c>
      <c r="AI16" s="51" t="s">
        <v>51</v>
      </c>
      <c r="AJ16" s="59" t="s">
        <v>0</v>
      </c>
      <c r="AK16" s="57" t="s">
        <v>51</v>
      </c>
      <c r="AL16" s="57" t="s">
        <v>0</v>
      </c>
      <c r="AM16" s="51" t="s">
        <v>51</v>
      </c>
      <c r="AN16" s="68" t="s">
        <v>0</v>
      </c>
      <c r="AO16" s="51" t="s">
        <v>51</v>
      </c>
      <c r="AP16" s="51" t="s">
        <v>0</v>
      </c>
      <c r="AQ16" s="51" t="s">
        <v>51</v>
      </c>
      <c r="AR16" s="59" t="s">
        <v>0</v>
      </c>
      <c r="AS16" s="57" t="s">
        <v>51</v>
      </c>
      <c r="AT16" s="57" t="s">
        <v>0</v>
      </c>
      <c r="AU16" s="57" t="s">
        <v>51</v>
      </c>
      <c r="AV16" s="57" t="s">
        <v>0</v>
      </c>
      <c r="AW16" s="65" t="s">
        <v>51</v>
      </c>
      <c r="AX16" s="65" t="s">
        <v>0</v>
      </c>
      <c r="AY16" s="65" t="s">
        <v>51</v>
      </c>
      <c r="AZ16" s="65" t="s">
        <v>0</v>
      </c>
      <c r="BA16" s="59" t="s">
        <v>0</v>
      </c>
      <c r="BB16" s="72"/>
      <c r="BC16" s="72"/>
      <c r="BJ16" s="5"/>
      <c r="BQ16" s="60"/>
      <c r="BR16" s="32"/>
      <c r="BW16" s="5"/>
    </row>
    <row r="17" spans="1:83">
      <c r="A17" t="s">
        <v>271</v>
      </c>
      <c r="B17" s="83">
        <v>14</v>
      </c>
      <c r="C17" s="6" t="s">
        <v>192</v>
      </c>
      <c r="D17" s="51" t="s">
        <v>193</v>
      </c>
      <c r="E17" s="1" t="s">
        <v>51</v>
      </c>
      <c r="F17" s="16" t="s">
        <v>184</v>
      </c>
      <c r="G17" s="1" t="s">
        <v>51</v>
      </c>
      <c r="H17" s="15" t="s">
        <v>59</v>
      </c>
      <c r="I17" s="51" t="s">
        <v>53</v>
      </c>
      <c r="J17" s="51">
        <v>14</v>
      </c>
      <c r="K17" s="51">
        <v>27</v>
      </c>
      <c r="L17" s="51">
        <v>0</v>
      </c>
      <c r="M17" s="51">
        <v>17</v>
      </c>
      <c r="N17" s="51">
        <v>0</v>
      </c>
      <c r="O17" s="51">
        <v>10</v>
      </c>
      <c r="P17" s="51" t="s">
        <v>194</v>
      </c>
      <c r="Q17" s="51" t="s">
        <v>51</v>
      </c>
      <c r="R17" s="51">
        <v>29</v>
      </c>
      <c r="S17" s="51" t="s">
        <v>51</v>
      </c>
      <c r="T17" s="51">
        <v>28.8</v>
      </c>
      <c r="U17" s="51"/>
      <c r="V17" s="57">
        <v>40.799999999999997</v>
      </c>
      <c r="W17" s="51"/>
      <c r="X17" s="51">
        <v>42.6</v>
      </c>
      <c r="Y17" s="51" t="s">
        <v>51</v>
      </c>
      <c r="Z17" s="51">
        <v>1200.5</v>
      </c>
      <c r="AA17" s="51" t="s">
        <v>51</v>
      </c>
      <c r="AB17" s="51">
        <v>1275</v>
      </c>
      <c r="AC17" s="51" t="s">
        <v>51</v>
      </c>
      <c r="AD17" s="51">
        <v>2</v>
      </c>
      <c r="AE17" s="51" t="s">
        <v>51</v>
      </c>
      <c r="AF17" s="51">
        <v>3</v>
      </c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65" t="s">
        <v>195</v>
      </c>
      <c r="BB17" s="72"/>
      <c r="BC17" s="72"/>
    </row>
    <row r="18" spans="1:83" ht="18.899999999999999" customHeight="1">
      <c r="A18" t="s">
        <v>258</v>
      </c>
      <c r="B18" s="83">
        <v>15</v>
      </c>
      <c r="C18" s="6" t="s">
        <v>118</v>
      </c>
      <c r="D18" s="51" t="s">
        <v>119</v>
      </c>
      <c r="E18" s="1" t="s">
        <v>51</v>
      </c>
      <c r="F18" s="16" t="s">
        <v>120</v>
      </c>
      <c r="G18" s="1" t="s">
        <v>51</v>
      </c>
      <c r="H18" s="15" t="s">
        <v>59</v>
      </c>
      <c r="I18" s="51" t="s">
        <v>53</v>
      </c>
      <c r="J18" s="51">
        <v>61</v>
      </c>
      <c r="K18" s="51">
        <f>M18+O18</f>
        <v>122</v>
      </c>
      <c r="L18" s="51">
        <v>0</v>
      </c>
      <c r="M18" s="51">
        <f>12*2</f>
        <v>24</v>
      </c>
      <c r="N18" s="51">
        <v>0</v>
      </c>
      <c r="O18" s="51">
        <f>49*2</f>
        <v>98</v>
      </c>
      <c r="P18" s="51" t="s">
        <v>121</v>
      </c>
      <c r="Q18" s="57"/>
      <c r="R18" s="51">
        <v>28.76</v>
      </c>
      <c r="S18" s="51"/>
      <c r="T18" s="51">
        <v>31.37</v>
      </c>
      <c r="U18" s="51" t="s">
        <v>51</v>
      </c>
      <c r="V18" s="51" t="s">
        <v>51</v>
      </c>
      <c r="W18" s="51" t="s">
        <v>51</v>
      </c>
      <c r="X18" s="51" t="s">
        <v>51</v>
      </c>
      <c r="Y18" s="57"/>
      <c r="Z18" s="57">
        <v>1074</v>
      </c>
      <c r="AA18" s="57"/>
      <c r="AB18" s="57">
        <v>1566</v>
      </c>
      <c r="AC18" s="51" t="s">
        <v>51</v>
      </c>
      <c r="AD18" s="51">
        <v>10</v>
      </c>
      <c r="AE18" s="51" t="s">
        <v>51</v>
      </c>
      <c r="AF18" s="51">
        <v>42</v>
      </c>
      <c r="AG18" s="51" t="s">
        <v>51</v>
      </c>
      <c r="AH18" s="51" t="s">
        <v>0</v>
      </c>
      <c r="AI18" s="51" t="s">
        <v>51</v>
      </c>
      <c r="AJ18" s="51" t="s">
        <v>0</v>
      </c>
      <c r="AK18" s="57" t="s">
        <v>51</v>
      </c>
      <c r="AL18" s="51" t="s">
        <v>0</v>
      </c>
      <c r="AM18" s="51" t="s">
        <v>51</v>
      </c>
      <c r="AN18" s="51" t="s">
        <v>0</v>
      </c>
      <c r="AO18" s="51" t="s">
        <v>51</v>
      </c>
      <c r="AP18" s="51" t="s">
        <v>0</v>
      </c>
      <c r="AQ18" s="51" t="s">
        <v>51</v>
      </c>
      <c r="AR18" s="51" t="s">
        <v>0</v>
      </c>
      <c r="AS18" s="57" t="s">
        <v>51</v>
      </c>
      <c r="AT18" s="57" t="s">
        <v>0</v>
      </c>
      <c r="AU18" s="57" t="s">
        <v>51</v>
      </c>
      <c r="AV18" s="51" t="s">
        <v>0</v>
      </c>
      <c r="AW18" s="65" t="s">
        <v>0</v>
      </c>
      <c r="AX18" s="65" t="s">
        <v>0</v>
      </c>
      <c r="AY18" s="65" t="s">
        <v>51</v>
      </c>
      <c r="AZ18" s="65" t="s">
        <v>0</v>
      </c>
      <c r="BA18" s="51">
        <v>54</v>
      </c>
      <c r="BB18" s="72"/>
      <c r="BC18" s="72"/>
      <c r="BJ18" s="5"/>
    </row>
    <row r="19" spans="1:83" ht="16.5" customHeight="1">
      <c r="A19" t="s">
        <v>256</v>
      </c>
      <c r="B19" s="83">
        <v>16</v>
      </c>
      <c r="C19" s="6" t="s">
        <v>110</v>
      </c>
      <c r="D19" s="54" t="s">
        <v>111</v>
      </c>
      <c r="E19" s="61" t="s">
        <v>51</v>
      </c>
      <c r="F19" s="25" t="s">
        <v>112</v>
      </c>
      <c r="G19" s="61" t="s">
        <v>108</v>
      </c>
      <c r="H19" s="39" t="s">
        <v>47</v>
      </c>
      <c r="I19" s="54" t="s">
        <v>63</v>
      </c>
      <c r="J19" s="51">
        <v>50</v>
      </c>
      <c r="K19" s="51">
        <v>100</v>
      </c>
      <c r="L19" s="51">
        <v>0</v>
      </c>
      <c r="M19" s="57">
        <v>50</v>
      </c>
      <c r="N19" s="51">
        <v>0</v>
      </c>
      <c r="O19" s="51">
        <v>50</v>
      </c>
      <c r="P19" s="51" t="s">
        <v>113</v>
      </c>
      <c r="Q19" s="57" t="s">
        <v>51</v>
      </c>
      <c r="R19" s="51">
        <v>28.96</v>
      </c>
      <c r="S19" s="51"/>
      <c r="T19" s="51">
        <v>28.27</v>
      </c>
      <c r="U19" s="57" t="s">
        <v>51</v>
      </c>
      <c r="V19" s="57" t="s">
        <v>51</v>
      </c>
      <c r="W19" s="57" t="s">
        <v>51</v>
      </c>
      <c r="X19" s="57" t="s">
        <v>51</v>
      </c>
      <c r="Y19" s="57"/>
      <c r="Z19" s="57">
        <v>1220</v>
      </c>
      <c r="AA19" s="57"/>
      <c r="AB19" s="57">
        <v>1060</v>
      </c>
      <c r="AC19" s="51" t="s">
        <v>51</v>
      </c>
      <c r="AD19" s="57">
        <v>26</v>
      </c>
      <c r="AE19" s="51" t="s">
        <v>51</v>
      </c>
      <c r="AF19" s="59">
        <v>2</v>
      </c>
      <c r="AG19" s="51"/>
      <c r="AH19" s="51">
        <f>(7+7+10+9+7+4+9+5+7+13+13)/11</f>
        <v>8.2727272727272734</v>
      </c>
      <c r="AI19" s="51"/>
      <c r="AJ19" s="59"/>
      <c r="AK19" s="57"/>
      <c r="AL19" s="57"/>
      <c r="AM19" s="51"/>
      <c r="AN19" s="68"/>
      <c r="AO19" s="51"/>
      <c r="AP19" s="51"/>
      <c r="AQ19" s="51"/>
      <c r="AR19" s="59"/>
      <c r="AS19" s="57"/>
      <c r="AT19" s="57"/>
      <c r="AU19" s="57"/>
      <c r="AV19" s="57"/>
      <c r="AW19" s="65"/>
      <c r="AX19" s="65"/>
      <c r="AY19" s="65"/>
      <c r="AZ19" s="65"/>
      <c r="BA19" s="59">
        <v>49.94</v>
      </c>
      <c r="BB19" s="72"/>
      <c r="BC19" s="72"/>
      <c r="BJ19" s="5"/>
      <c r="BR19" s="60"/>
      <c r="BW19" s="5"/>
    </row>
    <row r="20" spans="1:83" ht="20.399999999999999" customHeight="1">
      <c r="A20" t="s">
        <v>259</v>
      </c>
      <c r="B20" s="83">
        <v>17</v>
      </c>
      <c r="C20" s="6" t="s">
        <v>122</v>
      </c>
      <c r="D20" s="51" t="s">
        <v>123</v>
      </c>
      <c r="E20" s="1" t="s">
        <v>51</v>
      </c>
      <c r="F20" s="16" t="s">
        <v>124</v>
      </c>
      <c r="G20" s="1"/>
      <c r="H20" s="15" t="s">
        <v>47</v>
      </c>
      <c r="I20" s="51" t="s">
        <v>53</v>
      </c>
      <c r="J20" s="51">
        <v>9</v>
      </c>
      <c r="K20" s="51">
        <f t="shared" ref="K20" si="1">M20+O20</f>
        <v>18</v>
      </c>
      <c r="L20" s="51">
        <v>0</v>
      </c>
      <c r="M20" s="51">
        <v>8</v>
      </c>
      <c r="N20" s="51">
        <v>0</v>
      </c>
      <c r="O20" s="51">
        <v>10</v>
      </c>
      <c r="P20" s="57" t="s">
        <v>107</v>
      </c>
      <c r="Q20" s="57"/>
      <c r="R20" s="51">
        <v>24</v>
      </c>
      <c r="S20" s="51"/>
      <c r="T20" s="51">
        <v>26.71</v>
      </c>
      <c r="U20" s="51"/>
      <c r="V20" s="51">
        <v>36</v>
      </c>
      <c r="W20" s="51"/>
      <c r="X20" s="51">
        <v>40</v>
      </c>
      <c r="Y20" s="51"/>
      <c r="Z20" s="51">
        <f>(540+540+605+605+720+720+505+505)/8</f>
        <v>592.5</v>
      </c>
      <c r="AA20" s="51"/>
      <c r="AB20" s="51">
        <f>(1180+1180+860+860+801+801+630+630+460+460)/10</f>
        <v>786.2</v>
      </c>
      <c r="AC20" s="51" t="s">
        <v>51</v>
      </c>
      <c r="AD20" s="51">
        <v>6</v>
      </c>
      <c r="AE20" s="51" t="s">
        <v>51</v>
      </c>
      <c r="AF20" s="51">
        <v>2</v>
      </c>
      <c r="AG20" s="51">
        <f>52/7</f>
        <v>7.4285714285714288</v>
      </c>
      <c r="AH20" s="51" t="s">
        <v>0</v>
      </c>
      <c r="AI20" s="51" t="s">
        <v>51</v>
      </c>
      <c r="AJ20" s="51" t="s">
        <v>0</v>
      </c>
      <c r="AK20" s="57" t="s">
        <v>51</v>
      </c>
      <c r="AL20" s="65">
        <v>6</v>
      </c>
      <c r="AM20" s="51" t="s">
        <v>51</v>
      </c>
      <c r="AN20" s="57">
        <v>8</v>
      </c>
      <c r="AO20" s="51" t="s">
        <v>51</v>
      </c>
      <c r="AP20" s="57" t="s">
        <v>0</v>
      </c>
      <c r="AQ20" s="51" t="s">
        <v>51</v>
      </c>
      <c r="AR20" s="51" t="s">
        <v>0</v>
      </c>
      <c r="AS20" s="57" t="s">
        <v>51</v>
      </c>
      <c r="AT20" s="57" t="s">
        <v>0</v>
      </c>
      <c r="AU20" s="57" t="s">
        <v>51</v>
      </c>
      <c r="AV20" s="51" t="s">
        <v>0</v>
      </c>
      <c r="AW20" s="65">
        <f>(2+8+6)/8</f>
        <v>2</v>
      </c>
      <c r="AX20" s="65" t="s">
        <v>0</v>
      </c>
      <c r="AY20" s="65" t="s">
        <v>51</v>
      </c>
      <c r="AZ20" s="65">
        <f>(8+6)/10</f>
        <v>1.4</v>
      </c>
      <c r="BA20" s="51">
        <f>21.6*4</f>
        <v>86.4</v>
      </c>
      <c r="BB20" s="72"/>
      <c r="BC20" s="72"/>
      <c r="BR20" s="5"/>
      <c r="BZ20" s="5"/>
    </row>
    <row r="21" spans="1:83">
      <c r="B21" s="83">
        <v>18</v>
      </c>
      <c r="C21" s="6" t="s">
        <v>283</v>
      </c>
      <c r="D21" s="16" t="s">
        <v>292</v>
      </c>
      <c r="E21" s="1"/>
      <c r="F21" s="1"/>
      <c r="G21" s="17" t="s">
        <v>284</v>
      </c>
      <c r="H21" s="39" t="s">
        <v>59</v>
      </c>
      <c r="I21" s="51" t="s">
        <v>63</v>
      </c>
      <c r="J21" s="16">
        <v>113</v>
      </c>
      <c r="K21" s="16">
        <f>N21+O21</f>
        <v>218</v>
      </c>
      <c r="L21" s="51">
        <v>0</v>
      </c>
      <c r="M21" s="51">
        <v>0</v>
      </c>
      <c r="N21" s="16">
        <v>146</v>
      </c>
      <c r="O21" s="16">
        <v>72</v>
      </c>
      <c r="P21" s="51" t="s">
        <v>198</v>
      </c>
      <c r="Q21" s="51"/>
      <c r="R21" s="51"/>
      <c r="S21" s="16">
        <v>26.43</v>
      </c>
      <c r="T21" s="16">
        <v>26</v>
      </c>
      <c r="U21" s="51"/>
      <c r="V21" s="51"/>
      <c r="W21" s="51"/>
      <c r="X21" s="51"/>
      <c r="Y21" s="51"/>
      <c r="Z21" s="51"/>
      <c r="AA21" s="16">
        <v>820</v>
      </c>
      <c r="AB21" s="16">
        <v>790</v>
      </c>
      <c r="AC21" s="51" t="s">
        <v>51</v>
      </c>
      <c r="AD21" s="51" t="s">
        <v>51</v>
      </c>
      <c r="AE21" s="16">
        <v>33</v>
      </c>
      <c r="AF21" s="16">
        <v>13</v>
      </c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65"/>
      <c r="BB21" s="72"/>
      <c r="BC21" s="72"/>
    </row>
    <row r="22" spans="1:83" ht="21.9" customHeight="1">
      <c r="A22" t="s">
        <v>260</v>
      </c>
      <c r="B22" s="83">
        <v>19</v>
      </c>
      <c r="C22" s="6" t="s">
        <v>125</v>
      </c>
      <c r="D22" s="51" t="s">
        <v>126</v>
      </c>
      <c r="E22" s="1" t="s">
        <v>51</v>
      </c>
      <c r="F22" s="1" t="s">
        <v>51</v>
      </c>
      <c r="G22" s="17" t="s">
        <v>127</v>
      </c>
      <c r="H22" s="15" t="s">
        <v>128</v>
      </c>
      <c r="I22" s="51" t="s">
        <v>53</v>
      </c>
      <c r="J22" s="51">
        <v>27</v>
      </c>
      <c r="K22" s="51">
        <f>N22+O22</f>
        <v>51</v>
      </c>
      <c r="L22" s="51">
        <v>0</v>
      </c>
      <c r="M22" s="51">
        <v>0</v>
      </c>
      <c r="N22" s="51">
        <v>24</v>
      </c>
      <c r="O22" s="51">
        <v>27</v>
      </c>
      <c r="P22" s="57" t="s">
        <v>129</v>
      </c>
      <c r="Q22" s="57"/>
      <c r="R22" s="51"/>
      <c r="S22" s="51">
        <v>27.3</v>
      </c>
      <c r="T22" s="51">
        <v>28.7</v>
      </c>
      <c r="U22" s="57"/>
      <c r="V22" s="57"/>
      <c r="W22" s="57">
        <v>34.200000000000003</v>
      </c>
      <c r="X22" s="57">
        <v>37.6</v>
      </c>
      <c r="Y22" s="57"/>
      <c r="Z22" s="57"/>
      <c r="AA22" s="57">
        <v>1095</v>
      </c>
      <c r="AB22" s="57">
        <v>1281</v>
      </c>
      <c r="AC22" s="51" t="s">
        <v>51</v>
      </c>
      <c r="AD22" s="51" t="s">
        <v>51</v>
      </c>
      <c r="AE22" s="51">
        <v>6</v>
      </c>
      <c r="AF22" s="51">
        <v>2</v>
      </c>
      <c r="AG22" s="51" t="s">
        <v>51</v>
      </c>
      <c r="AH22" s="51" t="s">
        <v>51</v>
      </c>
      <c r="AI22" s="51">
        <f>48.2-34.2</f>
        <v>14</v>
      </c>
      <c r="AJ22" s="51">
        <v>1</v>
      </c>
      <c r="AK22" s="57" t="s">
        <v>51</v>
      </c>
      <c r="AL22" s="51" t="s">
        <v>51</v>
      </c>
      <c r="AM22" s="51">
        <v>24</v>
      </c>
      <c r="AN22" s="57">
        <v>25</v>
      </c>
      <c r="AO22" s="51" t="s">
        <v>51</v>
      </c>
      <c r="AP22" s="57" t="s">
        <v>51</v>
      </c>
      <c r="AQ22" s="51" t="s">
        <v>0</v>
      </c>
      <c r="AR22" s="51" t="s">
        <v>0</v>
      </c>
      <c r="AS22" s="57" t="s">
        <v>51</v>
      </c>
      <c r="AT22" s="57" t="s">
        <v>51</v>
      </c>
      <c r="AU22" s="57" t="s">
        <v>130</v>
      </c>
      <c r="AV22" s="57" t="s">
        <v>131</v>
      </c>
      <c r="AW22" s="65" t="s">
        <v>51</v>
      </c>
      <c r="AX22" s="65" t="s">
        <v>51</v>
      </c>
      <c r="AY22" s="65">
        <f>(20+(24-10))/24</f>
        <v>1.4166666666666667</v>
      </c>
      <c r="AZ22" s="65">
        <f>(4+23)/25</f>
        <v>1.08</v>
      </c>
      <c r="BA22" s="57">
        <v>45.2</v>
      </c>
      <c r="BB22" s="72"/>
      <c r="BC22" s="72"/>
      <c r="BJ22" s="5"/>
      <c r="BR22" s="27"/>
      <c r="BX22" s="5"/>
    </row>
    <row r="23" spans="1:83">
      <c r="A23" s="45" t="s">
        <v>264</v>
      </c>
      <c r="B23" s="83">
        <v>20</v>
      </c>
      <c r="C23" s="41" t="s">
        <v>150</v>
      </c>
      <c r="D23" s="51" t="s">
        <v>151</v>
      </c>
      <c r="E23" s="20" t="s">
        <v>90</v>
      </c>
      <c r="F23" s="16" t="s">
        <v>144</v>
      </c>
      <c r="G23" s="1" t="s">
        <v>51</v>
      </c>
      <c r="H23" s="15" t="s">
        <v>47</v>
      </c>
      <c r="I23" s="51" t="s">
        <v>53</v>
      </c>
      <c r="J23" s="51">
        <v>176</v>
      </c>
      <c r="K23" s="51">
        <f>L23+M23+O23</f>
        <v>340</v>
      </c>
      <c r="L23" s="51">
        <v>231</v>
      </c>
      <c r="M23" s="51">
        <v>48</v>
      </c>
      <c r="N23" s="51">
        <v>0</v>
      </c>
      <c r="O23" s="51">
        <v>61</v>
      </c>
      <c r="P23" s="57" t="s">
        <v>141</v>
      </c>
      <c r="Q23" s="51">
        <v>26.4</v>
      </c>
      <c r="R23" s="51">
        <v>26.2</v>
      </c>
      <c r="S23" s="51"/>
      <c r="T23" s="51">
        <v>26.5</v>
      </c>
      <c r="U23" s="51">
        <v>36.200000000000003</v>
      </c>
      <c r="V23" s="51">
        <v>36</v>
      </c>
      <c r="W23" s="51"/>
      <c r="X23" s="51">
        <v>36.299999999999997</v>
      </c>
      <c r="Y23" s="51">
        <v>851.6</v>
      </c>
      <c r="Z23" s="51">
        <v>827.9</v>
      </c>
      <c r="AA23" s="51"/>
      <c r="AB23" s="51">
        <v>902.4</v>
      </c>
      <c r="AC23" s="51">
        <v>23</v>
      </c>
      <c r="AD23" s="51">
        <v>10</v>
      </c>
      <c r="AE23" s="51" t="s">
        <v>51</v>
      </c>
      <c r="AF23" s="51">
        <v>11</v>
      </c>
      <c r="AG23" s="51">
        <v>8.8000000000000007</v>
      </c>
      <c r="AH23" s="51">
        <v>8.3000000000000007</v>
      </c>
      <c r="AI23" s="57" t="s">
        <v>51</v>
      </c>
      <c r="AJ23" s="51">
        <v>3.6</v>
      </c>
      <c r="AK23" s="51" t="s">
        <v>0</v>
      </c>
      <c r="AL23" s="51" t="s">
        <v>0</v>
      </c>
      <c r="AM23" s="51" t="s">
        <v>51</v>
      </c>
      <c r="AN23" s="51" t="s">
        <v>0</v>
      </c>
      <c r="AO23" s="51" t="s">
        <v>0</v>
      </c>
      <c r="AP23" s="51" t="s">
        <v>0</v>
      </c>
      <c r="AQ23" s="51" t="s">
        <v>51</v>
      </c>
      <c r="AR23" s="51" t="s">
        <v>0</v>
      </c>
      <c r="AS23" s="57" t="s">
        <v>0</v>
      </c>
      <c r="AT23" s="57" t="s">
        <v>0</v>
      </c>
      <c r="AU23" s="57" t="s">
        <v>51</v>
      </c>
      <c r="AV23" s="57" t="s">
        <v>0</v>
      </c>
      <c r="AW23" s="65"/>
      <c r="AX23" s="65"/>
      <c r="AY23" s="57" t="s">
        <v>51</v>
      </c>
      <c r="AZ23" s="65"/>
      <c r="BA23" s="51">
        <f>197.3</f>
        <v>197.3</v>
      </c>
      <c r="BB23" s="72"/>
      <c r="BC23" s="72"/>
      <c r="BJ23" s="5"/>
      <c r="BO23" s="5"/>
    </row>
    <row r="24" spans="1:83" ht="18.899999999999999" customHeight="1">
      <c r="A24" t="s">
        <v>263</v>
      </c>
      <c r="B24" s="83">
        <v>21</v>
      </c>
      <c r="C24" s="6" t="s">
        <v>142</v>
      </c>
      <c r="D24" s="51" t="s">
        <v>143</v>
      </c>
      <c r="E24" s="20" t="s">
        <v>90</v>
      </c>
      <c r="F24" s="16" t="s">
        <v>144</v>
      </c>
      <c r="G24" s="1" t="s">
        <v>51</v>
      </c>
      <c r="H24" s="15" t="s">
        <v>47</v>
      </c>
      <c r="I24" s="51" t="s">
        <v>53</v>
      </c>
      <c r="J24" s="51">
        <f>12+6+36</f>
        <v>54</v>
      </c>
      <c r="K24" s="51">
        <f>L24+M24+O24</f>
        <v>108</v>
      </c>
      <c r="L24" s="51">
        <v>24</v>
      </c>
      <c r="M24" s="51">
        <v>12</v>
      </c>
      <c r="N24" s="51">
        <v>0</v>
      </c>
      <c r="O24" s="51">
        <v>72</v>
      </c>
      <c r="P24" s="57" t="s">
        <v>141</v>
      </c>
      <c r="Q24" s="57">
        <v>26.1</v>
      </c>
      <c r="R24" s="51">
        <v>26</v>
      </c>
      <c r="S24" s="51"/>
      <c r="T24" s="51">
        <v>27.7</v>
      </c>
      <c r="U24" s="57">
        <v>35</v>
      </c>
      <c r="V24" s="57">
        <v>34.299999999999997</v>
      </c>
      <c r="W24" s="57"/>
      <c r="X24" s="57">
        <v>36.5</v>
      </c>
      <c r="Y24" s="57">
        <v>841</v>
      </c>
      <c r="Z24" s="57">
        <v>840</v>
      </c>
      <c r="AA24" s="57"/>
      <c r="AB24" s="57">
        <v>1112</v>
      </c>
      <c r="AC24" s="57">
        <v>2</v>
      </c>
      <c r="AD24" s="57">
        <v>2</v>
      </c>
      <c r="AE24" s="51" t="s">
        <v>51</v>
      </c>
      <c r="AF24" s="57">
        <v>10</v>
      </c>
      <c r="AG24" s="57">
        <f>52-35</f>
        <v>17</v>
      </c>
      <c r="AH24" s="57">
        <f>48-34.3</f>
        <v>13.700000000000003</v>
      </c>
      <c r="AI24" s="57" t="s">
        <v>51</v>
      </c>
      <c r="AJ24" s="67">
        <f>10/7</f>
        <v>1.4285714285714286</v>
      </c>
      <c r="AK24" s="51" t="s">
        <v>0</v>
      </c>
      <c r="AL24" s="51" t="s">
        <v>0</v>
      </c>
      <c r="AM24" s="51" t="s">
        <v>51</v>
      </c>
      <c r="AN24" s="51" t="s">
        <v>0</v>
      </c>
      <c r="AO24" s="51" t="s">
        <v>145</v>
      </c>
      <c r="AP24" s="51" t="s">
        <v>146</v>
      </c>
      <c r="AQ24" s="51" t="s">
        <v>51</v>
      </c>
      <c r="AR24" s="57" t="s">
        <v>0</v>
      </c>
      <c r="AS24" s="57" t="s">
        <v>147</v>
      </c>
      <c r="AT24" s="57" t="s">
        <v>148</v>
      </c>
      <c r="AU24" s="57" t="s">
        <v>51</v>
      </c>
      <c r="AV24" s="57" t="s">
        <v>149</v>
      </c>
      <c r="AW24" s="67" t="s">
        <v>0</v>
      </c>
      <c r="AX24" s="67" t="s">
        <v>0</v>
      </c>
      <c r="AY24" s="57" t="s">
        <v>51</v>
      </c>
      <c r="AZ24" s="67" t="s">
        <v>0</v>
      </c>
      <c r="BA24" s="57">
        <f>18*4</f>
        <v>72</v>
      </c>
      <c r="BB24" s="72"/>
      <c r="BC24" s="72"/>
      <c r="BJ24" s="5"/>
      <c r="BV24" s="5"/>
      <c r="BY24" s="5"/>
      <c r="BZ24" s="5"/>
    </row>
    <row r="25" spans="1:83" ht="13.95" customHeight="1">
      <c r="A25" t="s">
        <v>265</v>
      </c>
      <c r="B25" s="83">
        <v>22</v>
      </c>
      <c r="C25" s="6" t="s">
        <v>155</v>
      </c>
      <c r="D25" s="51" t="s">
        <v>236</v>
      </c>
      <c r="E25" s="20" t="s">
        <v>156</v>
      </c>
      <c r="F25" s="16" t="s">
        <v>157</v>
      </c>
      <c r="G25" s="1" t="s">
        <v>51</v>
      </c>
      <c r="H25" s="15" t="s">
        <v>59</v>
      </c>
      <c r="I25" s="51" t="s">
        <v>53</v>
      </c>
      <c r="J25" s="51">
        <v>134</v>
      </c>
      <c r="K25" s="51">
        <f>L25+M25+O25</f>
        <v>264</v>
      </c>
      <c r="L25" s="51">
        <v>107</v>
      </c>
      <c r="M25" s="51">
        <v>44</v>
      </c>
      <c r="N25" s="51">
        <v>0</v>
      </c>
      <c r="O25" s="51">
        <v>113</v>
      </c>
      <c r="P25" s="51" t="s">
        <v>91</v>
      </c>
      <c r="Q25" s="57">
        <v>27.31</v>
      </c>
      <c r="R25" s="51">
        <v>27.95</v>
      </c>
      <c r="S25" s="51"/>
      <c r="T25" s="51">
        <v>28.23</v>
      </c>
      <c r="U25" s="57">
        <v>34.75</v>
      </c>
      <c r="V25" s="57">
        <v>35.590000000000003</v>
      </c>
      <c r="W25" s="57"/>
      <c r="X25" s="57">
        <v>36.03</v>
      </c>
      <c r="Y25" s="57">
        <v>1005.29</v>
      </c>
      <c r="Z25" s="57">
        <v>1195.9000000000001</v>
      </c>
      <c r="AA25" s="57"/>
      <c r="AB25" s="57">
        <v>1119.47</v>
      </c>
      <c r="AC25" s="51">
        <v>6</v>
      </c>
      <c r="AD25" s="51">
        <v>6</v>
      </c>
      <c r="AE25" s="51" t="s">
        <v>51</v>
      </c>
      <c r="AF25" s="51">
        <v>0</v>
      </c>
      <c r="AG25" s="51">
        <v>14</v>
      </c>
      <c r="AH25" s="51">
        <v>8.75</v>
      </c>
      <c r="AI25" s="57" t="s">
        <v>51</v>
      </c>
      <c r="AJ25" s="51" t="s">
        <v>51</v>
      </c>
      <c r="AK25" s="51">
        <v>107</v>
      </c>
      <c r="AL25" s="51">
        <v>44</v>
      </c>
      <c r="AM25" s="51" t="s">
        <v>51</v>
      </c>
      <c r="AN25" s="57">
        <v>112</v>
      </c>
      <c r="AO25" s="57" t="s">
        <v>0</v>
      </c>
      <c r="AP25" s="57" t="s">
        <v>0</v>
      </c>
      <c r="AQ25" s="51" t="s">
        <v>51</v>
      </c>
      <c r="AR25" s="51" t="s">
        <v>0</v>
      </c>
      <c r="AS25" s="57" t="s">
        <v>158</v>
      </c>
      <c r="AT25" s="51">
        <v>0.78</v>
      </c>
      <c r="AU25" s="57" t="s">
        <v>51</v>
      </c>
      <c r="AV25" s="57" t="s">
        <v>159</v>
      </c>
      <c r="AW25" s="65">
        <f>((2*6)+101)/107</f>
        <v>1.0560747663551402</v>
      </c>
      <c r="AX25" s="65">
        <f>((6*2)+(44-6))/44</f>
        <v>1.1363636363636365</v>
      </c>
      <c r="AY25" s="57" t="s">
        <v>51</v>
      </c>
      <c r="AZ25" s="65">
        <v>1</v>
      </c>
      <c r="BA25" s="51">
        <f>1.5*12*4</f>
        <v>72</v>
      </c>
      <c r="BB25" s="72"/>
      <c r="BC25" s="72"/>
      <c r="BJ25" s="5"/>
      <c r="BN25" s="5"/>
      <c r="BR25" s="5"/>
      <c r="BY25" s="5"/>
      <c r="CB25" s="5"/>
    </row>
    <row r="26" spans="1:83" ht="13.5" customHeight="1">
      <c r="A26" t="s">
        <v>268</v>
      </c>
      <c r="B26" s="83">
        <v>23</v>
      </c>
      <c r="C26" s="6" t="s">
        <v>172</v>
      </c>
      <c r="D26" s="51" t="s">
        <v>173</v>
      </c>
      <c r="E26" s="21" t="s">
        <v>162</v>
      </c>
      <c r="F26" s="16" t="s">
        <v>174</v>
      </c>
      <c r="G26" s="1" t="s">
        <v>51</v>
      </c>
      <c r="H26" s="1" t="s">
        <v>51</v>
      </c>
      <c r="I26" s="51" t="s">
        <v>53</v>
      </c>
      <c r="J26" s="51">
        <v>36</v>
      </c>
      <c r="K26" s="51">
        <f>L26+M26</f>
        <v>66</v>
      </c>
      <c r="L26" s="51">
        <v>40</v>
      </c>
      <c r="M26" s="51">
        <v>26</v>
      </c>
      <c r="N26" s="51">
        <v>0</v>
      </c>
      <c r="O26" s="51">
        <v>0</v>
      </c>
      <c r="P26" s="57" t="s">
        <v>175</v>
      </c>
      <c r="Q26" s="57">
        <v>27.06</v>
      </c>
      <c r="R26" s="51">
        <v>26.54</v>
      </c>
      <c r="S26" s="51"/>
      <c r="T26" s="51"/>
      <c r="U26" s="57">
        <v>37.19</v>
      </c>
      <c r="V26" s="57">
        <v>36.119999999999997</v>
      </c>
      <c r="W26" s="57"/>
      <c r="X26" s="57"/>
      <c r="Y26" s="57">
        <v>911.08</v>
      </c>
      <c r="Z26" s="57">
        <v>856.15</v>
      </c>
      <c r="AA26" s="57"/>
      <c r="AB26" s="57"/>
      <c r="AC26" s="51">
        <v>4</v>
      </c>
      <c r="AD26" s="51">
        <v>0</v>
      </c>
      <c r="AE26" s="51" t="s">
        <v>51</v>
      </c>
      <c r="AF26" s="51" t="s">
        <v>51</v>
      </c>
      <c r="AG26" s="51">
        <v>2.5</v>
      </c>
      <c r="AH26" s="51" t="s">
        <v>51</v>
      </c>
      <c r="AI26" s="57" t="s">
        <v>51</v>
      </c>
      <c r="AJ26" s="51" t="s">
        <v>51</v>
      </c>
      <c r="AK26" s="51">
        <v>36</v>
      </c>
      <c r="AL26" s="51">
        <v>26</v>
      </c>
      <c r="AM26" s="51" t="s">
        <v>51</v>
      </c>
      <c r="AN26" s="51" t="s">
        <v>51</v>
      </c>
      <c r="AO26" s="51" t="s">
        <v>0</v>
      </c>
      <c r="AP26" s="51" t="s">
        <v>0</v>
      </c>
      <c r="AQ26" s="51" t="s">
        <v>51</v>
      </c>
      <c r="AR26" s="51" t="s">
        <v>51</v>
      </c>
      <c r="AS26" s="65" t="s">
        <v>176</v>
      </c>
      <c r="AT26" s="51" t="s">
        <v>177</v>
      </c>
      <c r="AU26" s="51" t="s">
        <v>51</v>
      </c>
      <c r="AV26" s="51" t="s">
        <v>51</v>
      </c>
      <c r="AW26" s="65">
        <f>(8+36)/40</f>
        <v>1.1000000000000001</v>
      </c>
      <c r="AX26" s="65">
        <v>1</v>
      </c>
      <c r="AY26" s="57" t="s">
        <v>51</v>
      </c>
      <c r="AZ26" s="65" t="s">
        <v>51</v>
      </c>
      <c r="BA26" s="51">
        <f>3*12*4</f>
        <v>144</v>
      </c>
      <c r="BB26" s="72"/>
      <c r="BC26" s="72"/>
      <c r="BJ26" s="5"/>
      <c r="BY26" s="5"/>
      <c r="CB26" s="5"/>
      <c r="CE26" s="5"/>
    </row>
    <row r="27" spans="1:83" ht="18" customHeight="1">
      <c r="A27" s="63" t="s">
        <v>267</v>
      </c>
      <c r="B27" s="83">
        <v>24</v>
      </c>
      <c r="C27" s="6" t="s">
        <v>165</v>
      </c>
      <c r="D27" s="51" t="s">
        <v>166</v>
      </c>
      <c r="E27" s="20" t="s">
        <v>162</v>
      </c>
      <c r="F27" s="16" t="s">
        <v>167</v>
      </c>
      <c r="G27" s="1" t="s">
        <v>51</v>
      </c>
      <c r="H27" s="1" t="s">
        <v>51</v>
      </c>
      <c r="I27" s="51" t="s">
        <v>53</v>
      </c>
      <c r="J27" s="51">
        <v>83</v>
      </c>
      <c r="K27" s="51">
        <f t="shared" ref="K27:K29" si="2">L27+M27</f>
        <v>153</v>
      </c>
      <c r="L27" s="51">
        <v>101</v>
      </c>
      <c r="M27" s="51">
        <v>52</v>
      </c>
      <c r="N27" s="51">
        <v>0</v>
      </c>
      <c r="O27" s="51">
        <v>0</v>
      </c>
      <c r="P27" s="57" t="s">
        <v>168</v>
      </c>
      <c r="Q27" s="57">
        <v>26.9</v>
      </c>
      <c r="R27" s="51">
        <v>28.1</v>
      </c>
      <c r="S27" s="51"/>
      <c r="T27" s="51"/>
      <c r="U27" s="57">
        <v>40.4</v>
      </c>
      <c r="V27" s="57">
        <v>39.200000000000003</v>
      </c>
      <c r="W27" s="57"/>
      <c r="X27" s="57"/>
      <c r="Y27" s="57">
        <v>941.8</v>
      </c>
      <c r="Z27" s="57">
        <v>1257.7</v>
      </c>
      <c r="AA27" s="57"/>
      <c r="AB27" s="57"/>
      <c r="AC27" s="51">
        <f>1+1+4+2</f>
        <v>8</v>
      </c>
      <c r="AD27" s="51">
        <v>7</v>
      </c>
      <c r="AE27" s="51" t="s">
        <v>51</v>
      </c>
      <c r="AF27" s="51" t="s">
        <v>51</v>
      </c>
      <c r="AG27" s="51" t="s">
        <v>51</v>
      </c>
      <c r="AH27" s="51" t="s">
        <v>0</v>
      </c>
      <c r="AI27" s="57" t="s">
        <v>51</v>
      </c>
      <c r="AJ27" s="57" t="s">
        <v>51</v>
      </c>
      <c r="AK27" s="57">
        <v>96</v>
      </c>
      <c r="AL27" s="57">
        <v>34</v>
      </c>
      <c r="AM27" s="51" t="s">
        <v>51</v>
      </c>
      <c r="AN27" s="51" t="s">
        <v>51</v>
      </c>
      <c r="AO27" s="51">
        <f>2.8*12*4</f>
        <v>134.39999999999998</v>
      </c>
      <c r="AP27" s="51">
        <f>1.3*12*4</f>
        <v>62.400000000000006</v>
      </c>
      <c r="AQ27" s="51" t="s">
        <v>51</v>
      </c>
      <c r="AR27" s="51" t="s">
        <v>51</v>
      </c>
      <c r="AS27" s="69" t="s">
        <v>169</v>
      </c>
      <c r="AT27" s="69" t="s">
        <v>170</v>
      </c>
      <c r="AU27" s="57" t="s">
        <v>51</v>
      </c>
      <c r="AV27" s="57" t="s">
        <v>51</v>
      </c>
      <c r="AW27" s="65">
        <f>(16+(101-8))/101</f>
        <v>1.0792079207920793</v>
      </c>
      <c r="AX27" s="65">
        <f>(14+(52-7))/52</f>
        <v>1.1346153846153846</v>
      </c>
      <c r="AY27" s="57" t="s">
        <v>51</v>
      </c>
      <c r="AZ27" s="65" t="s">
        <v>51</v>
      </c>
      <c r="BA27" s="57" t="s">
        <v>171</v>
      </c>
      <c r="BB27" s="72"/>
      <c r="BC27" s="72"/>
      <c r="BJ27" s="5"/>
      <c r="BN27" s="5"/>
      <c r="BW27" s="5"/>
      <c r="BX27" s="5"/>
      <c r="BY27" s="5"/>
      <c r="BZ27" s="5"/>
      <c r="CA27" s="5"/>
      <c r="CC27" s="5"/>
    </row>
    <row r="28" spans="1:83" ht="22.5" customHeight="1">
      <c r="A28" t="s">
        <v>270</v>
      </c>
      <c r="B28" s="83">
        <v>25</v>
      </c>
      <c r="C28" s="38" t="s">
        <v>182</v>
      </c>
      <c r="D28" s="51" t="s">
        <v>183</v>
      </c>
      <c r="E28" s="20" t="s">
        <v>76</v>
      </c>
      <c r="F28" s="16" t="s">
        <v>184</v>
      </c>
      <c r="G28" s="1" t="s">
        <v>51</v>
      </c>
      <c r="H28" s="1" t="s">
        <v>51</v>
      </c>
      <c r="I28" s="51" t="s">
        <v>53</v>
      </c>
      <c r="J28" s="51">
        <v>37</v>
      </c>
      <c r="K28" s="51">
        <v>68</v>
      </c>
      <c r="L28" s="51">
        <v>40</v>
      </c>
      <c r="M28" s="51">
        <v>28</v>
      </c>
      <c r="N28" s="51">
        <v>0</v>
      </c>
      <c r="O28" s="51">
        <v>0</v>
      </c>
      <c r="P28" s="51" t="s">
        <v>185</v>
      </c>
      <c r="Q28" s="57">
        <v>29.3</v>
      </c>
      <c r="R28" s="51">
        <v>30.1</v>
      </c>
      <c r="S28" s="51"/>
      <c r="T28" s="51"/>
      <c r="U28" s="57">
        <v>35.700000000000003</v>
      </c>
      <c r="V28" s="57">
        <v>35.5</v>
      </c>
      <c r="W28" s="57"/>
      <c r="X28" s="57"/>
      <c r="Y28" s="57">
        <v>1360.5</v>
      </c>
      <c r="Z28" s="57">
        <v>1389</v>
      </c>
      <c r="AA28" s="57"/>
      <c r="AB28" s="57"/>
      <c r="AC28" s="51">
        <v>4</v>
      </c>
      <c r="AD28" s="51">
        <v>2</v>
      </c>
      <c r="AE28" s="51" t="s">
        <v>51</v>
      </c>
      <c r="AF28" s="51" t="s">
        <v>51</v>
      </c>
      <c r="AG28" s="51" t="s">
        <v>51</v>
      </c>
      <c r="AH28" s="51" t="s">
        <v>0</v>
      </c>
      <c r="AI28" s="57" t="s">
        <v>51</v>
      </c>
      <c r="AJ28" s="51" t="s">
        <v>0</v>
      </c>
      <c r="AK28" s="51">
        <v>21</v>
      </c>
      <c r="AL28" s="51">
        <v>14</v>
      </c>
      <c r="AM28" s="51" t="s">
        <v>51</v>
      </c>
      <c r="AN28" s="51" t="s">
        <v>51</v>
      </c>
      <c r="AO28" s="51" t="s">
        <v>188</v>
      </c>
      <c r="AP28" s="51" t="s">
        <v>189</v>
      </c>
      <c r="AQ28" s="51" t="s">
        <v>51</v>
      </c>
      <c r="AR28" s="51" t="s">
        <v>51</v>
      </c>
      <c r="AS28" s="70" t="s">
        <v>190</v>
      </c>
      <c r="AT28" s="51" t="s">
        <v>191</v>
      </c>
      <c r="AU28" s="51" t="s">
        <v>51</v>
      </c>
      <c r="AV28" s="51" t="s">
        <v>51</v>
      </c>
      <c r="AW28" s="65" t="s">
        <v>0</v>
      </c>
      <c r="AX28" s="65" t="s">
        <v>0</v>
      </c>
      <c r="AY28" s="57" t="s">
        <v>51</v>
      </c>
      <c r="AZ28" s="65" t="s">
        <v>51</v>
      </c>
      <c r="BA28" s="51">
        <v>52</v>
      </c>
      <c r="BB28" s="72"/>
      <c r="BC28" s="72"/>
      <c r="BJ28" s="5"/>
      <c r="BY28" s="5"/>
    </row>
    <row r="29" spans="1:83" ht="18.600000000000001" customHeight="1">
      <c r="A29" s="50" t="s">
        <v>269</v>
      </c>
      <c r="B29" s="83">
        <v>26</v>
      </c>
      <c r="C29" s="6" t="s">
        <v>178</v>
      </c>
      <c r="D29" s="51" t="s">
        <v>179</v>
      </c>
      <c r="E29" s="20" t="s">
        <v>180</v>
      </c>
      <c r="F29" s="16" t="s">
        <v>120</v>
      </c>
      <c r="G29" s="1" t="s">
        <v>51</v>
      </c>
      <c r="H29" s="1" t="s">
        <v>51</v>
      </c>
      <c r="I29" s="51" t="s">
        <v>53</v>
      </c>
      <c r="J29" s="51">
        <v>20</v>
      </c>
      <c r="K29" s="51">
        <f t="shared" si="2"/>
        <v>36</v>
      </c>
      <c r="L29" s="51">
        <v>21</v>
      </c>
      <c r="M29" s="51">
        <v>15</v>
      </c>
      <c r="N29" s="51">
        <v>0</v>
      </c>
      <c r="O29" s="51">
        <v>0</v>
      </c>
      <c r="P29" s="57" t="s">
        <v>181</v>
      </c>
      <c r="Q29" s="57">
        <v>27.1</v>
      </c>
      <c r="R29" s="51">
        <v>26.2</v>
      </c>
      <c r="S29" s="51"/>
      <c r="T29" s="51"/>
      <c r="U29" s="57">
        <v>35.299999999999997</v>
      </c>
      <c r="V29" s="57">
        <v>34.4</v>
      </c>
      <c r="W29" s="57"/>
      <c r="X29" s="57"/>
      <c r="Y29" s="57">
        <v>925</v>
      </c>
      <c r="Z29" s="57">
        <v>853</v>
      </c>
      <c r="AA29" s="57"/>
      <c r="AB29" s="57"/>
      <c r="AC29" s="51">
        <v>2</v>
      </c>
      <c r="AD29" s="51">
        <v>4</v>
      </c>
      <c r="AE29" s="51" t="s">
        <v>51</v>
      </c>
      <c r="AF29" s="51" t="s">
        <v>51</v>
      </c>
      <c r="AG29" s="51">
        <f>50-35.3</f>
        <v>14.700000000000003</v>
      </c>
      <c r="AH29" s="51">
        <f>41-34.3</f>
        <v>6.7000000000000028</v>
      </c>
      <c r="AI29" s="57" t="s">
        <v>51</v>
      </c>
      <c r="AJ29" s="51" t="s">
        <v>51</v>
      </c>
      <c r="AK29" s="51" t="s">
        <v>0</v>
      </c>
      <c r="AL29" s="51" t="s">
        <v>0</v>
      </c>
      <c r="AM29" s="51" t="s">
        <v>51</v>
      </c>
      <c r="AN29" s="51" t="s">
        <v>51</v>
      </c>
      <c r="AO29" s="51" t="s">
        <v>0</v>
      </c>
      <c r="AP29" s="51" t="s">
        <v>0</v>
      </c>
      <c r="AQ29" s="51" t="s">
        <v>51</v>
      </c>
      <c r="AR29" s="51" t="s">
        <v>51</v>
      </c>
      <c r="AS29" s="65" t="s">
        <v>0</v>
      </c>
      <c r="AT29" s="65" t="s">
        <v>0</v>
      </c>
      <c r="AU29" s="57" t="s">
        <v>51</v>
      </c>
      <c r="AV29" s="57" t="s">
        <v>51</v>
      </c>
      <c r="AW29" s="65" t="s">
        <v>0</v>
      </c>
      <c r="AX29" s="65" t="s">
        <v>0</v>
      </c>
      <c r="AY29" s="57" t="s">
        <v>51</v>
      </c>
      <c r="AZ29" s="65" t="s">
        <v>0</v>
      </c>
      <c r="BA29" s="51">
        <f>20*4</f>
        <v>80</v>
      </c>
      <c r="BB29" s="72"/>
      <c r="BC29" s="72"/>
      <c r="BJ29" s="5"/>
      <c r="BO29" s="5"/>
      <c r="BZ29" s="5"/>
      <c r="CA29" s="5"/>
      <c r="CB29" s="11"/>
    </row>
    <row r="30" spans="1:83">
      <c r="A30" t="s">
        <v>266</v>
      </c>
      <c r="B30" s="83">
        <v>27</v>
      </c>
      <c r="C30" s="41" t="s">
        <v>160</v>
      </c>
      <c r="D30" s="51" t="s">
        <v>161</v>
      </c>
      <c r="E30" s="20" t="s">
        <v>162</v>
      </c>
      <c r="F30" s="16" t="s">
        <v>163</v>
      </c>
      <c r="G30" s="1" t="s">
        <v>51</v>
      </c>
      <c r="H30" s="1" t="s">
        <v>51</v>
      </c>
      <c r="I30" s="51" t="s">
        <v>53</v>
      </c>
      <c r="J30" s="51">
        <v>6</v>
      </c>
      <c r="K30" s="51">
        <f>L30+M30</f>
        <v>10</v>
      </c>
      <c r="L30" s="51">
        <v>4</v>
      </c>
      <c r="M30" s="51">
        <v>6</v>
      </c>
      <c r="N30" s="51">
        <v>0</v>
      </c>
      <c r="O30" s="51">
        <v>0</v>
      </c>
      <c r="P30" s="51" t="s">
        <v>164</v>
      </c>
      <c r="Q30" s="51">
        <v>22.72</v>
      </c>
      <c r="R30" s="51">
        <v>23.93</v>
      </c>
      <c r="S30" s="51"/>
      <c r="T30" s="51"/>
      <c r="U30" s="51">
        <v>33.43</v>
      </c>
      <c r="V30" s="51">
        <v>35.72</v>
      </c>
      <c r="W30" s="51"/>
      <c r="X30" s="51"/>
      <c r="Y30" s="51">
        <f>(555+555+670+670)/4</f>
        <v>612.5</v>
      </c>
      <c r="Z30" s="51">
        <f>(500+690+690+640+665+665)/6</f>
        <v>641.66666666666663</v>
      </c>
      <c r="AA30" s="51"/>
      <c r="AB30" s="51"/>
      <c r="AC30" s="51">
        <v>0</v>
      </c>
      <c r="AD30" s="51">
        <v>3</v>
      </c>
      <c r="AE30" s="51" t="s">
        <v>51</v>
      </c>
      <c r="AF30" s="51" t="s">
        <v>51</v>
      </c>
      <c r="AG30" s="51" t="s">
        <v>51</v>
      </c>
      <c r="AH30" s="51">
        <v>5.9</v>
      </c>
      <c r="AI30" s="57" t="s">
        <v>51</v>
      </c>
      <c r="AJ30" s="51" t="s">
        <v>51</v>
      </c>
      <c r="AK30" s="51" t="s">
        <v>0</v>
      </c>
      <c r="AL30" s="51" t="s">
        <v>0</v>
      </c>
      <c r="AM30" s="51" t="s">
        <v>51</v>
      </c>
      <c r="AN30" s="51" t="s">
        <v>51</v>
      </c>
      <c r="AO30" s="51" t="s">
        <v>0</v>
      </c>
      <c r="AP30" s="51" t="s">
        <v>0</v>
      </c>
      <c r="AQ30" s="51" t="s">
        <v>51</v>
      </c>
      <c r="AR30" s="51" t="s">
        <v>51</v>
      </c>
      <c r="AS30" s="57" t="s">
        <v>0</v>
      </c>
      <c r="AT30" s="57" t="s">
        <v>0</v>
      </c>
      <c r="AU30" s="57" t="s">
        <v>51</v>
      </c>
      <c r="AV30" s="57" t="s">
        <v>51</v>
      </c>
      <c r="AW30" s="65">
        <v>1</v>
      </c>
      <c r="AX30" s="65">
        <f>11/6</f>
        <v>1.8333333333333333</v>
      </c>
      <c r="AY30" s="57" t="s">
        <v>51</v>
      </c>
      <c r="AZ30" s="65" t="s">
        <v>51</v>
      </c>
      <c r="BA30" s="51">
        <f>((9+16+16+10+10+9+10+10+9+9)/10)*4</f>
        <v>43.2</v>
      </c>
      <c r="BB30" s="72"/>
      <c r="BC30" s="72"/>
      <c r="BJ30" s="5"/>
    </row>
    <row r="31" spans="1:83" ht="20.399999999999999" customHeight="1">
      <c r="A31" s="62" t="s">
        <v>262</v>
      </c>
      <c r="B31" s="83">
        <v>28</v>
      </c>
      <c r="C31" s="6" t="s">
        <v>132</v>
      </c>
      <c r="D31" s="51" t="s">
        <v>133</v>
      </c>
      <c r="E31" s="1" t="s">
        <v>51</v>
      </c>
      <c r="F31" s="16" t="s">
        <v>134</v>
      </c>
      <c r="G31" s="17" t="s">
        <v>135</v>
      </c>
      <c r="H31" s="1" t="s">
        <v>51</v>
      </c>
      <c r="I31" s="51" t="s">
        <v>53</v>
      </c>
      <c r="J31" s="51">
        <f>27+36</f>
        <v>63</v>
      </c>
      <c r="K31" s="51">
        <f>M31+N31+O31</f>
        <v>126</v>
      </c>
      <c r="L31" s="51">
        <v>0</v>
      </c>
      <c r="M31" s="51">
        <v>54</v>
      </c>
      <c r="N31" s="51">
        <v>72</v>
      </c>
      <c r="O31" s="51">
        <v>0</v>
      </c>
      <c r="P31" s="57" t="s">
        <v>136</v>
      </c>
      <c r="Q31" s="57"/>
      <c r="R31" s="51">
        <v>28.35</v>
      </c>
      <c r="S31" s="51">
        <v>28.3</v>
      </c>
      <c r="T31" s="51"/>
      <c r="U31" s="57"/>
      <c r="V31" s="57">
        <v>35.299999999999997</v>
      </c>
      <c r="W31" s="57">
        <v>34.700000000000003</v>
      </c>
      <c r="X31" s="57"/>
      <c r="Y31" s="57"/>
      <c r="Z31" s="57">
        <v>1126.7</v>
      </c>
      <c r="AA31" s="57">
        <v>1157.5999999999999</v>
      </c>
      <c r="AB31" s="57"/>
      <c r="AC31" s="51" t="s">
        <v>51</v>
      </c>
      <c r="AD31" s="51">
        <v>12</v>
      </c>
      <c r="AE31" s="51">
        <v>6</v>
      </c>
      <c r="AF31" s="51" t="s">
        <v>51</v>
      </c>
      <c r="AG31" s="51" t="s">
        <v>51</v>
      </c>
      <c r="AH31" s="51">
        <v>7.34</v>
      </c>
      <c r="AI31" s="51">
        <v>16.46</v>
      </c>
      <c r="AJ31" s="51" t="s">
        <v>51</v>
      </c>
      <c r="AK31" s="51" t="s">
        <v>51</v>
      </c>
      <c r="AL31" s="51" t="s">
        <v>0</v>
      </c>
      <c r="AM31" s="51" t="s">
        <v>0</v>
      </c>
      <c r="AN31" s="51" t="s">
        <v>51</v>
      </c>
      <c r="AO31" s="51" t="s">
        <v>51</v>
      </c>
      <c r="AP31" s="51" t="s">
        <v>137</v>
      </c>
      <c r="AQ31" s="51" t="s">
        <v>138</v>
      </c>
      <c r="AR31" s="51" t="s">
        <v>51</v>
      </c>
      <c r="AS31" s="57" t="s">
        <v>51</v>
      </c>
      <c r="AT31" s="57" t="s">
        <v>0</v>
      </c>
      <c r="AU31" s="57" t="s">
        <v>0</v>
      </c>
      <c r="AV31" s="57" t="s">
        <v>51</v>
      </c>
      <c r="AW31" s="65" t="s">
        <v>51</v>
      </c>
      <c r="AX31" s="65">
        <f>(24+(54-12))/54</f>
        <v>1.2222222222222223</v>
      </c>
      <c r="AY31" s="65">
        <f>(12+(72-6))/72</f>
        <v>1.0833333333333333</v>
      </c>
      <c r="AZ31" s="65" t="s">
        <v>51</v>
      </c>
      <c r="BA31" s="57" t="s">
        <v>139</v>
      </c>
      <c r="BB31" s="72"/>
      <c r="BC31" s="72"/>
      <c r="BJ31" s="13"/>
      <c r="BN31" s="5"/>
      <c r="BO31" s="5"/>
      <c r="BR31" s="5"/>
      <c r="BU31" s="26"/>
      <c r="BW31" s="5"/>
      <c r="CA31" s="5"/>
    </row>
    <row r="32" spans="1:83" ht="21.9" customHeight="1">
      <c r="A32" s="43" t="s">
        <v>261</v>
      </c>
      <c r="B32" s="83">
        <v>29</v>
      </c>
      <c r="C32" s="6" t="s">
        <v>237</v>
      </c>
      <c r="D32" s="51" t="s">
        <v>239</v>
      </c>
      <c r="E32" s="20" t="s">
        <v>90</v>
      </c>
      <c r="F32" s="1" t="s">
        <v>51</v>
      </c>
      <c r="G32" s="17" t="s">
        <v>231</v>
      </c>
      <c r="H32" s="51" t="s">
        <v>51</v>
      </c>
      <c r="I32" s="51" t="s">
        <v>53</v>
      </c>
      <c r="J32" s="51">
        <v>453</v>
      </c>
      <c r="K32" s="51">
        <v>889</v>
      </c>
      <c r="L32" s="51">
        <v>865</v>
      </c>
      <c r="M32" s="51">
        <v>0</v>
      </c>
      <c r="N32" s="51">
        <v>24</v>
      </c>
      <c r="O32" s="51">
        <v>0</v>
      </c>
      <c r="P32" s="57" t="s">
        <v>198</v>
      </c>
      <c r="Q32" s="57">
        <v>28.2</v>
      </c>
      <c r="R32" s="51"/>
      <c r="S32" s="51">
        <v>28.7</v>
      </c>
      <c r="T32" s="51"/>
      <c r="U32" s="51" t="s">
        <v>51</v>
      </c>
      <c r="V32" s="51" t="s">
        <v>51</v>
      </c>
      <c r="W32" s="51" t="s">
        <v>51</v>
      </c>
      <c r="X32" s="51" t="s">
        <v>51</v>
      </c>
      <c r="Y32" s="57" t="s">
        <v>240</v>
      </c>
      <c r="Z32" s="57"/>
      <c r="AA32" s="57">
        <v>1205</v>
      </c>
      <c r="AB32" s="57"/>
      <c r="AC32" s="51">
        <v>34</v>
      </c>
      <c r="AD32" s="51" t="s">
        <v>51</v>
      </c>
      <c r="AE32" s="51">
        <v>14</v>
      </c>
      <c r="AF32" s="51" t="s">
        <v>51</v>
      </c>
      <c r="AG32" s="51"/>
      <c r="AH32" s="51"/>
      <c r="AI32" s="51"/>
      <c r="AJ32" s="51"/>
      <c r="AK32" s="57"/>
      <c r="AL32" s="51"/>
      <c r="AM32" s="51"/>
      <c r="AN32" s="57"/>
      <c r="AO32" s="51"/>
      <c r="AP32" s="57"/>
      <c r="AQ32" s="51"/>
      <c r="AR32" s="51"/>
      <c r="AS32" s="57"/>
      <c r="AT32" s="57"/>
      <c r="AU32" s="57"/>
      <c r="AV32" s="57"/>
      <c r="AW32" s="65"/>
      <c r="AX32" s="65"/>
      <c r="AY32" s="65"/>
      <c r="AZ32" s="65"/>
      <c r="BA32" s="57"/>
      <c r="BB32" s="72"/>
      <c r="BC32" s="72"/>
      <c r="BJ32" s="5"/>
      <c r="BR32" s="27"/>
      <c r="BX32" s="5"/>
    </row>
    <row r="33" spans="1:79" ht="20.399999999999999" customHeight="1">
      <c r="A33" s="50" t="s">
        <v>242</v>
      </c>
      <c r="B33" s="83">
        <v>30</v>
      </c>
      <c r="C33" s="6" t="s">
        <v>244</v>
      </c>
      <c r="D33" s="51" t="s">
        <v>241</v>
      </c>
      <c r="E33" s="20" t="s">
        <v>90</v>
      </c>
      <c r="F33" s="16" t="s">
        <v>144</v>
      </c>
      <c r="G33" s="17" t="s">
        <v>140</v>
      </c>
      <c r="H33" s="1" t="s">
        <v>51</v>
      </c>
      <c r="I33" s="51" t="s">
        <v>53</v>
      </c>
      <c r="J33" s="51">
        <v>111</v>
      </c>
      <c r="K33" s="51">
        <v>187</v>
      </c>
      <c r="L33" s="51">
        <v>54</v>
      </c>
      <c r="M33" s="51">
        <v>77</v>
      </c>
      <c r="N33" s="51">
        <v>56</v>
      </c>
      <c r="O33" s="51">
        <v>0</v>
      </c>
      <c r="P33" s="57" t="s">
        <v>245</v>
      </c>
      <c r="Q33" s="57">
        <v>27</v>
      </c>
      <c r="R33" s="51">
        <v>28</v>
      </c>
      <c r="S33" s="51">
        <v>27</v>
      </c>
      <c r="T33" s="51"/>
      <c r="U33" s="51">
        <v>36</v>
      </c>
      <c r="V33" s="51">
        <v>36</v>
      </c>
      <c r="W33" s="51">
        <v>36</v>
      </c>
      <c r="X33" s="51" t="s">
        <v>51</v>
      </c>
      <c r="Y33" s="57">
        <v>1060</v>
      </c>
      <c r="Z33" s="57">
        <v>1066</v>
      </c>
      <c r="AA33" s="57">
        <v>984</v>
      </c>
      <c r="AB33" s="57"/>
      <c r="AC33" s="51">
        <v>8</v>
      </c>
      <c r="AD33" s="51">
        <v>19</v>
      </c>
      <c r="AE33" s="51">
        <v>8</v>
      </c>
      <c r="AF33" s="51" t="s">
        <v>51</v>
      </c>
      <c r="AG33" s="51">
        <v>13</v>
      </c>
      <c r="AH33" s="51">
        <v>8</v>
      </c>
      <c r="AI33" s="51">
        <v>12</v>
      </c>
      <c r="AJ33" s="51"/>
      <c r="AK33" s="51"/>
      <c r="AL33" s="51"/>
      <c r="AM33" s="51"/>
      <c r="AN33" s="51"/>
      <c r="AO33" s="51"/>
      <c r="AP33" s="51"/>
      <c r="AQ33" s="51"/>
      <c r="AR33" s="51"/>
      <c r="AS33" s="57"/>
      <c r="AT33" s="57"/>
      <c r="AU33" s="57"/>
      <c r="AV33" s="57"/>
      <c r="AW33" s="65"/>
      <c r="AX33" s="65"/>
      <c r="AY33" s="65"/>
      <c r="AZ33" s="65"/>
      <c r="BA33" s="57"/>
      <c r="BB33" s="72"/>
      <c r="BC33" s="72"/>
      <c r="BJ33" s="13"/>
      <c r="BN33" s="5"/>
      <c r="BO33" s="5"/>
      <c r="BR33" s="5"/>
      <c r="BU33" s="26"/>
      <c r="BW33" s="5"/>
      <c r="CA33" s="5"/>
    </row>
    <row r="34" spans="1:79"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82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72"/>
      <c r="BB34" s="72"/>
      <c r="BC34" s="72"/>
    </row>
    <row r="35" spans="1:79">
      <c r="K35" s="50"/>
    </row>
    <row r="39" spans="1:79">
      <c r="I39" t="s">
        <v>272</v>
      </c>
    </row>
    <row r="40" spans="1:79">
      <c r="I40" t="s">
        <v>273</v>
      </c>
    </row>
    <row r="41" spans="1:79">
      <c r="I41" t="s">
        <v>63</v>
      </c>
    </row>
    <row r="47" spans="1:79">
      <c r="E47" s="1" t="s">
        <v>199</v>
      </c>
      <c r="F47" s="1"/>
    </row>
    <row r="48" spans="1:79">
      <c r="E48" s="1" t="s">
        <v>0</v>
      </c>
      <c r="F48" s="1" t="s">
        <v>200</v>
      </c>
    </row>
    <row r="49" spans="5:6">
      <c r="E49" s="1" t="s">
        <v>53</v>
      </c>
      <c r="F49" s="1" t="s">
        <v>201</v>
      </c>
    </row>
    <row r="50" spans="5:6">
      <c r="E50" s="1" t="s">
        <v>63</v>
      </c>
      <c r="F50" s="1" t="s">
        <v>202</v>
      </c>
    </row>
    <row r="51" spans="5:6">
      <c r="E51" s="1" t="s">
        <v>51</v>
      </c>
      <c r="F51" s="1" t="s">
        <v>203</v>
      </c>
    </row>
    <row r="52" spans="5:6">
      <c r="E52" s="1" t="s">
        <v>204</v>
      </c>
      <c r="F52" s="1" t="s">
        <v>205</v>
      </c>
    </row>
    <row r="53" spans="5:6">
      <c r="E53" s="1" t="s">
        <v>206</v>
      </c>
      <c r="F53" s="1" t="s">
        <v>207</v>
      </c>
    </row>
    <row r="54" spans="5:6">
      <c r="E54" s="1" t="s">
        <v>208</v>
      </c>
      <c r="F54" s="1" t="s">
        <v>209</v>
      </c>
    </row>
  </sheetData>
  <mergeCells count="12">
    <mergeCell ref="AW2:AZ2"/>
    <mergeCell ref="BN2:CH2"/>
    <mergeCell ref="AC1:AJ1"/>
    <mergeCell ref="AK1:BA1"/>
    <mergeCell ref="E2:H2"/>
    <mergeCell ref="K2:O2"/>
    <mergeCell ref="P2:AA2"/>
    <mergeCell ref="AC2:AF2"/>
    <mergeCell ref="AG2:AJ2"/>
    <mergeCell ref="AK2:AN2"/>
    <mergeCell ref="AO2:AR2"/>
    <mergeCell ref="AS2:AV2"/>
  </mergeCells>
  <hyperlinks>
    <hyperlink ref="C14" r:id="rId1"/>
    <hyperlink ref="C18" r:id="rId2"/>
    <hyperlink ref="C22" r:id="rId3"/>
    <hyperlink ref="C30" r:id="rId4"/>
    <hyperlink ref="C28" r:id="rId5" display="https://www.karger.com/Article/Abstract/489023"/>
    <hyperlink ref="C25" r:id="rId6"/>
    <hyperlink ref="C27" r:id="rId7"/>
    <hyperlink ref="C24" r:id="rId8"/>
    <hyperlink ref="C31" r:id="rId9"/>
    <hyperlink ref="C12" r:id="rId10"/>
    <hyperlink ref="C13" r:id="rId11"/>
    <hyperlink ref="C29" r:id="rId12"/>
    <hyperlink ref="C20" r:id="rId13"/>
    <hyperlink ref="C23" r:id="rId14"/>
    <hyperlink ref="C16" r:id="rId15"/>
    <hyperlink ref="C4" r:id="rId16"/>
    <hyperlink ref="C19" r:id="rId17"/>
    <hyperlink ref="C10" r:id="rId18"/>
    <hyperlink ref="C9" r:id="rId19"/>
    <hyperlink ref="C17" r:id="rId20" location="Sec2"/>
    <hyperlink ref="C6" r:id="rId21" location="Sec2"/>
    <hyperlink ref="C33" r:id="rId22"/>
    <hyperlink ref="C32" r:id="rId23"/>
    <hyperlink ref="C15" r:id="rId24" location="bib1 "/>
    <hyperlink ref="C26" r:id="rId25"/>
    <hyperlink ref="C21" r:id="rId26"/>
    <hyperlink ref="C7" r:id="rId27"/>
    <hyperlink ref="C5" r:id="rId28"/>
    <hyperlink ref="C11" r:id="rId29"/>
  </hyperlinks>
  <pageMargins left="0.7" right="0.7" top="0.75" bottom="0.75" header="0.3" footer="0.3"/>
  <pageSetup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9"/>
  <sheetViews>
    <sheetView tabSelected="1" topLeftCell="H2" zoomScale="85" zoomScaleNormal="85" workbookViewId="0">
      <selection activeCell="C14" sqref="C14"/>
    </sheetView>
  </sheetViews>
  <sheetFormatPr defaultRowHeight="14.4"/>
  <cols>
    <col min="3" max="3" width="26.88671875" bestFit="1" customWidth="1"/>
    <col min="4" max="4" width="26.88671875" customWidth="1"/>
    <col min="5" max="5" width="24.109375" customWidth="1"/>
    <col min="6" max="6" width="22.109375" customWidth="1"/>
    <col min="7" max="7" width="24" customWidth="1"/>
    <col min="8" max="8" width="11.5546875" customWidth="1"/>
    <col min="9" max="15" width="8.88671875" customWidth="1"/>
    <col min="16" max="16" width="14.44140625" customWidth="1"/>
    <col min="17" max="17" width="11.88671875" customWidth="1"/>
    <col min="18" max="18" width="13.44140625" customWidth="1"/>
    <col min="19" max="19" width="15.109375" customWidth="1"/>
    <col min="20" max="20" width="8.88671875" customWidth="1"/>
    <col min="21" max="29" width="7.109375" customWidth="1"/>
    <col min="30" max="30" width="10.44140625" customWidth="1"/>
    <col min="31" max="32" width="11.88671875" customWidth="1"/>
    <col min="33" max="34" width="8.88671875" customWidth="1"/>
    <col min="35" max="36" width="12.109375" customWidth="1"/>
    <col min="37" max="37" width="8.88671875" customWidth="1"/>
    <col min="38" max="39" width="9.44140625" bestFit="1" customWidth="1"/>
    <col min="40" max="40" width="9.44140625" customWidth="1"/>
    <col min="41" max="41" width="5.88671875" customWidth="1"/>
    <col min="45" max="45" width="9.5546875" customWidth="1"/>
    <col min="49" max="49" width="10.88671875" customWidth="1"/>
    <col min="50" max="53" width="10.88671875" style="14" customWidth="1"/>
    <col min="54" max="58" width="12.44140625" customWidth="1"/>
    <col min="59" max="59" width="15.44140625" customWidth="1"/>
    <col min="79" max="79" width="21.44140625" customWidth="1"/>
    <col min="80" max="80" width="17.5546875" customWidth="1"/>
    <col min="87" max="87" width="16.5546875" customWidth="1"/>
  </cols>
  <sheetData>
    <row r="1" spans="1:83"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9"/>
      <c r="V1" s="98" t="s">
        <v>1</v>
      </c>
      <c r="W1" s="99"/>
      <c r="X1" s="99"/>
      <c r="Y1" s="99"/>
      <c r="Z1" s="99"/>
      <c r="AA1" s="99"/>
      <c r="AB1" s="99"/>
      <c r="AC1" s="99"/>
      <c r="AD1" s="100" t="s">
        <v>210</v>
      </c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X1"/>
      <c r="AY1"/>
      <c r="AZ1"/>
      <c r="BA1"/>
      <c r="BC1" s="49"/>
      <c r="BD1" s="49"/>
      <c r="BE1" s="49"/>
      <c r="BF1" s="49"/>
    </row>
    <row r="2" spans="1:83" ht="43.35" customHeight="1">
      <c r="C2" s="23"/>
      <c r="D2" s="101" t="s">
        <v>3</v>
      </c>
      <c r="E2" s="102"/>
      <c r="F2" s="103"/>
      <c r="G2" s="23"/>
      <c r="H2" s="47"/>
      <c r="I2" s="47"/>
      <c r="J2" s="95" t="s">
        <v>4</v>
      </c>
      <c r="K2" s="95"/>
      <c r="L2" s="95"/>
      <c r="M2" s="95"/>
      <c r="N2" s="95"/>
      <c r="O2" s="101" t="s">
        <v>5</v>
      </c>
      <c r="P2" s="102"/>
      <c r="Q2" s="102"/>
      <c r="R2" s="102"/>
      <c r="S2" s="102"/>
      <c r="T2" s="102"/>
      <c r="U2" s="102"/>
      <c r="V2" s="96" t="s">
        <v>211</v>
      </c>
      <c r="W2" s="104"/>
      <c r="X2" s="104"/>
      <c r="Y2" s="104"/>
      <c r="Z2" s="96" t="s">
        <v>212</v>
      </c>
      <c r="AA2" s="104"/>
      <c r="AB2" s="104"/>
      <c r="AC2" s="105"/>
      <c r="AD2" s="97" t="s">
        <v>8</v>
      </c>
      <c r="AE2" s="100"/>
      <c r="AF2" s="100"/>
      <c r="AG2" s="100"/>
      <c r="AH2" s="97" t="s">
        <v>213</v>
      </c>
      <c r="AI2" s="100"/>
      <c r="AJ2" s="100"/>
      <c r="AK2" s="100"/>
      <c r="AL2" s="97" t="s">
        <v>10</v>
      </c>
      <c r="AM2" s="97"/>
      <c r="AN2" s="97"/>
      <c r="AO2" s="97"/>
      <c r="AP2" s="87" t="s">
        <v>11</v>
      </c>
      <c r="AQ2" s="87"/>
      <c r="AR2" s="87"/>
      <c r="AS2" s="87"/>
      <c r="AT2" s="48" t="s">
        <v>12</v>
      </c>
      <c r="AU2" s="14"/>
      <c r="AV2" s="14"/>
      <c r="AW2" s="14"/>
      <c r="AY2"/>
      <c r="AZ2"/>
      <c r="BA2"/>
      <c r="BD2" s="2"/>
      <c r="BE2" s="2"/>
      <c r="BF2" s="2"/>
      <c r="BG2" s="3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</row>
    <row r="3" spans="1:83" ht="15" customHeight="1">
      <c r="B3" t="s">
        <v>13</v>
      </c>
      <c r="C3" s="23" t="s">
        <v>14</v>
      </c>
      <c r="D3" s="20" t="s">
        <v>15</v>
      </c>
      <c r="E3" s="16" t="s">
        <v>16</v>
      </c>
      <c r="F3" s="17" t="s">
        <v>17</v>
      </c>
      <c r="G3" s="15" t="s">
        <v>18</v>
      </c>
      <c r="H3" s="23" t="s">
        <v>19</v>
      </c>
      <c r="I3" s="23" t="s">
        <v>20</v>
      </c>
      <c r="J3" s="23" t="s">
        <v>214</v>
      </c>
      <c r="K3" s="20" t="s">
        <v>22</v>
      </c>
      <c r="L3" s="16" t="s">
        <v>23</v>
      </c>
      <c r="M3" s="17" t="s">
        <v>24</v>
      </c>
      <c r="N3" s="15" t="s">
        <v>25</v>
      </c>
      <c r="O3" s="23" t="s">
        <v>26</v>
      </c>
      <c r="P3" s="23" t="s">
        <v>215</v>
      </c>
      <c r="Q3" s="23" t="s">
        <v>31</v>
      </c>
      <c r="R3" s="23" t="s">
        <v>32</v>
      </c>
      <c r="S3" s="23" t="s">
        <v>37</v>
      </c>
      <c r="T3" s="23" t="s">
        <v>38</v>
      </c>
      <c r="U3" s="24" t="s">
        <v>39</v>
      </c>
      <c r="V3" s="20" t="s">
        <v>40</v>
      </c>
      <c r="W3" s="16" t="s">
        <v>41</v>
      </c>
      <c r="X3" s="17" t="s">
        <v>42</v>
      </c>
      <c r="Y3" s="15" t="s">
        <v>43</v>
      </c>
      <c r="Z3" s="20" t="s">
        <v>288</v>
      </c>
      <c r="AA3" s="16" t="s">
        <v>289</v>
      </c>
      <c r="AB3" s="17" t="s">
        <v>290</v>
      </c>
      <c r="AC3" s="37" t="s">
        <v>291</v>
      </c>
      <c r="AD3" s="20" t="s">
        <v>44</v>
      </c>
      <c r="AE3" s="16" t="s">
        <v>45</v>
      </c>
      <c r="AF3" s="17" t="s">
        <v>46</v>
      </c>
      <c r="AG3" s="15" t="s">
        <v>47</v>
      </c>
      <c r="AH3" s="20" t="s">
        <v>44</v>
      </c>
      <c r="AI3" s="16" t="s">
        <v>45</v>
      </c>
      <c r="AJ3" s="17" t="s">
        <v>46</v>
      </c>
      <c r="AK3" s="15" t="s">
        <v>47</v>
      </c>
      <c r="AL3" s="20" t="s">
        <v>44</v>
      </c>
      <c r="AM3" s="16" t="s">
        <v>45</v>
      </c>
      <c r="AN3" s="17" t="s">
        <v>46</v>
      </c>
      <c r="AO3" s="15" t="s">
        <v>47</v>
      </c>
      <c r="AP3" s="20" t="s">
        <v>44</v>
      </c>
      <c r="AQ3" s="16" t="s">
        <v>45</v>
      </c>
      <c r="AR3" s="17" t="s">
        <v>46</v>
      </c>
      <c r="AS3" s="15" t="s">
        <v>47</v>
      </c>
      <c r="AT3" s="1"/>
      <c r="AU3" s="14"/>
      <c r="AV3" s="14"/>
      <c r="AW3" s="14"/>
      <c r="AY3"/>
      <c r="AZ3"/>
      <c r="BA3"/>
      <c r="BQ3" s="5"/>
    </row>
    <row r="4" spans="1:83" ht="43.2">
      <c r="A4" s="83">
        <v>1</v>
      </c>
      <c r="B4" s="6" t="s">
        <v>48</v>
      </c>
      <c r="C4" s="1" t="s">
        <v>49</v>
      </c>
      <c r="D4" s="20" t="s">
        <v>50</v>
      </c>
      <c r="E4" s="1" t="s">
        <v>51</v>
      </c>
      <c r="F4" s="1" t="s">
        <v>51</v>
      </c>
      <c r="G4" s="15" t="s">
        <v>52</v>
      </c>
      <c r="H4" s="1" t="s">
        <v>53</v>
      </c>
      <c r="I4" s="51" t="s">
        <v>0</v>
      </c>
      <c r="J4" s="51">
        <v>33</v>
      </c>
      <c r="K4" s="51">
        <v>25</v>
      </c>
      <c r="L4" s="51">
        <v>0</v>
      </c>
      <c r="M4" s="51">
        <v>0</v>
      </c>
      <c r="N4" s="51">
        <v>8</v>
      </c>
      <c r="O4" s="57" t="s">
        <v>216</v>
      </c>
      <c r="P4" s="51" t="s">
        <v>0</v>
      </c>
      <c r="Q4" s="51" t="s">
        <v>55</v>
      </c>
      <c r="R4" s="51">
        <v>1159</v>
      </c>
      <c r="S4" s="51"/>
      <c r="T4" s="51"/>
      <c r="U4" s="75"/>
      <c r="V4" s="51">
        <v>1</v>
      </c>
      <c r="W4" s="51" t="s">
        <v>51</v>
      </c>
      <c r="X4" s="51" t="s">
        <v>51</v>
      </c>
      <c r="Y4" s="51">
        <v>3</v>
      </c>
      <c r="Z4" s="51">
        <f>38.1-35.2</f>
        <v>2.8999999999999986</v>
      </c>
      <c r="AA4" s="51" t="s">
        <v>51</v>
      </c>
      <c r="AB4" s="51" t="s">
        <v>51</v>
      </c>
      <c r="AC4" s="75" t="s">
        <v>0</v>
      </c>
      <c r="AD4" s="51" t="s">
        <v>0</v>
      </c>
      <c r="AE4" s="51" t="s">
        <v>51</v>
      </c>
      <c r="AF4" s="1" t="s">
        <v>51</v>
      </c>
      <c r="AG4" s="1" t="s">
        <v>0</v>
      </c>
      <c r="AH4" s="1" t="s">
        <v>0</v>
      </c>
      <c r="AI4" s="1" t="s">
        <v>51</v>
      </c>
      <c r="AJ4" s="1" t="s">
        <v>51</v>
      </c>
      <c r="AK4" s="1" t="s">
        <v>0</v>
      </c>
      <c r="AL4" s="1" t="s">
        <v>0</v>
      </c>
      <c r="AM4" s="4" t="s">
        <v>51</v>
      </c>
      <c r="AN4" s="4" t="s">
        <v>51</v>
      </c>
      <c r="AO4" s="1" t="s">
        <v>0</v>
      </c>
      <c r="AP4" s="4">
        <f>(2+24)/25</f>
        <v>1.04</v>
      </c>
      <c r="AQ4" s="4" t="s">
        <v>51</v>
      </c>
      <c r="AR4" s="4" t="s">
        <v>51</v>
      </c>
      <c r="AS4" s="4">
        <f>(4+3+5)/8</f>
        <v>1.5</v>
      </c>
      <c r="AT4" s="1">
        <v>44</v>
      </c>
      <c r="AU4" s="14"/>
      <c r="AV4" s="14"/>
      <c r="AW4" s="14"/>
      <c r="AY4"/>
      <c r="AZ4"/>
      <c r="BA4"/>
      <c r="BC4" s="5"/>
    </row>
    <row r="5" spans="1:83" ht="15" customHeight="1">
      <c r="A5" s="83">
        <v>2</v>
      </c>
      <c r="B5" s="6" t="s">
        <v>64</v>
      </c>
      <c r="C5" s="10" t="s">
        <v>65</v>
      </c>
      <c r="D5" s="20" t="s">
        <v>66</v>
      </c>
      <c r="E5" s="1" t="s">
        <v>51</v>
      </c>
      <c r="F5" s="1" t="s">
        <v>51</v>
      </c>
      <c r="G5" s="15" t="s">
        <v>218</v>
      </c>
      <c r="H5" s="1" t="s">
        <v>53</v>
      </c>
      <c r="I5" s="51">
        <v>11</v>
      </c>
      <c r="J5" s="51">
        <f>K5+N5</f>
        <v>21</v>
      </c>
      <c r="K5" s="51">
        <v>16</v>
      </c>
      <c r="L5" s="51">
        <v>0</v>
      </c>
      <c r="M5" s="51">
        <v>0</v>
      </c>
      <c r="N5" s="51">
        <v>5</v>
      </c>
      <c r="O5" s="57" t="s">
        <v>217</v>
      </c>
      <c r="P5" s="57" t="s">
        <v>219</v>
      </c>
      <c r="Q5" s="57" t="s">
        <v>220</v>
      </c>
      <c r="R5" s="57" t="s">
        <v>221</v>
      </c>
      <c r="S5" s="51" t="s">
        <v>0</v>
      </c>
      <c r="T5" s="51" t="s">
        <v>0</v>
      </c>
      <c r="U5" s="76" t="s">
        <v>70</v>
      </c>
      <c r="V5" s="51">
        <v>3</v>
      </c>
      <c r="W5" s="51" t="s">
        <v>51</v>
      </c>
      <c r="X5" s="51" t="s">
        <v>51</v>
      </c>
      <c r="Y5" s="51">
        <v>1</v>
      </c>
      <c r="Z5" s="51">
        <v>9</v>
      </c>
      <c r="AA5" s="51" t="s">
        <v>51</v>
      </c>
      <c r="AB5" s="51" t="s">
        <v>51</v>
      </c>
      <c r="AC5" s="75">
        <v>2.6</v>
      </c>
      <c r="AD5" s="77" t="s">
        <v>0</v>
      </c>
      <c r="AE5" s="51" t="s">
        <v>51</v>
      </c>
      <c r="AF5" s="1" t="s">
        <v>51</v>
      </c>
      <c r="AG5" s="8" t="s">
        <v>0</v>
      </c>
      <c r="AH5" s="1" t="s">
        <v>0</v>
      </c>
      <c r="AI5" s="1" t="s">
        <v>51</v>
      </c>
      <c r="AJ5" s="1" t="s">
        <v>51</v>
      </c>
      <c r="AK5" s="1" t="s">
        <v>0</v>
      </c>
      <c r="AL5" s="7" t="s">
        <v>222</v>
      </c>
      <c r="AM5" s="7" t="s">
        <v>51</v>
      </c>
      <c r="AN5" s="7" t="s">
        <v>51</v>
      </c>
      <c r="AO5" s="7" t="s">
        <v>223</v>
      </c>
      <c r="AP5" s="4">
        <f>((3*2)+13)/16</f>
        <v>1.1875</v>
      </c>
      <c r="AQ5" s="4" t="s">
        <v>51</v>
      </c>
      <c r="AR5" s="4" t="s">
        <v>51</v>
      </c>
      <c r="AS5" s="4">
        <v>1</v>
      </c>
      <c r="AT5" s="7" t="s">
        <v>224</v>
      </c>
      <c r="AU5" s="14"/>
      <c r="AV5" s="14"/>
      <c r="AW5" s="14"/>
      <c r="AY5"/>
      <c r="AZ5"/>
      <c r="BA5"/>
      <c r="BC5" s="36"/>
      <c r="BP5" s="5"/>
      <c r="BQ5" s="5"/>
      <c r="BR5" s="5"/>
    </row>
    <row r="6" spans="1:83" ht="15" customHeight="1">
      <c r="A6" s="83">
        <v>3</v>
      </c>
      <c r="B6" s="6" t="s">
        <v>77</v>
      </c>
      <c r="C6" s="1" t="s">
        <v>78</v>
      </c>
      <c r="D6" s="20" t="s">
        <v>76</v>
      </c>
      <c r="E6" s="1" t="s">
        <v>51</v>
      </c>
      <c r="F6" s="1" t="s">
        <v>51</v>
      </c>
      <c r="G6" s="15" t="s">
        <v>47</v>
      </c>
      <c r="H6" s="1" t="s">
        <v>53</v>
      </c>
      <c r="I6" s="51" t="s">
        <v>0</v>
      </c>
      <c r="J6" s="51">
        <f>K6+N6</f>
        <v>11</v>
      </c>
      <c r="K6" s="51">
        <v>7</v>
      </c>
      <c r="L6" s="51">
        <v>0</v>
      </c>
      <c r="M6" s="51">
        <v>0</v>
      </c>
      <c r="N6" s="51">
        <v>4</v>
      </c>
      <c r="O6" s="51" t="s">
        <v>217</v>
      </c>
      <c r="P6" s="57" t="s">
        <v>0</v>
      </c>
      <c r="Q6" s="57" t="s">
        <v>0</v>
      </c>
      <c r="R6" s="57" t="s">
        <v>0</v>
      </c>
      <c r="S6" s="51" t="s">
        <v>0</v>
      </c>
      <c r="T6" s="57" t="s">
        <v>0</v>
      </c>
      <c r="U6" s="75" t="s">
        <v>0</v>
      </c>
      <c r="V6" s="51">
        <v>0</v>
      </c>
      <c r="W6" s="51" t="s">
        <v>51</v>
      </c>
      <c r="X6" s="51" t="s">
        <v>51</v>
      </c>
      <c r="Y6" s="51">
        <v>2</v>
      </c>
      <c r="Z6" s="51" t="s">
        <v>51</v>
      </c>
      <c r="AA6" s="51" t="s">
        <v>51</v>
      </c>
      <c r="AB6" s="51" t="s">
        <v>51</v>
      </c>
      <c r="AC6" s="78">
        <f>53/7</f>
        <v>7.5714285714285712</v>
      </c>
      <c r="AD6" s="51" t="s">
        <v>0</v>
      </c>
      <c r="AE6" s="51" t="s">
        <v>51</v>
      </c>
      <c r="AF6" s="1" t="s">
        <v>51</v>
      </c>
      <c r="AG6" s="1" t="s">
        <v>0</v>
      </c>
      <c r="AH6" s="1" t="s">
        <v>0</v>
      </c>
      <c r="AI6" s="1" t="s">
        <v>51</v>
      </c>
      <c r="AJ6" s="1" t="s">
        <v>51</v>
      </c>
      <c r="AK6" s="1" t="s">
        <v>0</v>
      </c>
      <c r="AL6" s="1" t="s">
        <v>0</v>
      </c>
      <c r="AM6" s="4" t="s">
        <v>51</v>
      </c>
      <c r="AN6" s="4" t="s">
        <v>51</v>
      </c>
      <c r="AO6" s="8" t="s">
        <v>0</v>
      </c>
      <c r="AP6" s="4">
        <v>1</v>
      </c>
      <c r="AQ6" s="4" t="s">
        <v>51</v>
      </c>
      <c r="AR6" s="4" t="s">
        <v>51</v>
      </c>
      <c r="AS6" s="4">
        <f>6/4</f>
        <v>1.5</v>
      </c>
      <c r="AT6" s="1">
        <f>24*4</f>
        <v>96</v>
      </c>
      <c r="AU6" s="14"/>
      <c r="AV6" s="14"/>
      <c r="AW6" s="14"/>
      <c r="AY6"/>
      <c r="AZ6"/>
      <c r="BA6"/>
      <c r="BQ6" s="5"/>
      <c r="CE6" s="9"/>
    </row>
    <row r="7" spans="1:83" ht="15" customHeight="1">
      <c r="A7" s="83">
        <v>4</v>
      </c>
      <c r="B7" s="6" t="s">
        <v>82</v>
      </c>
      <c r="C7" s="51" t="s">
        <v>83</v>
      </c>
      <c r="D7" s="20" t="s">
        <v>66</v>
      </c>
      <c r="E7" s="1" t="s">
        <v>51</v>
      </c>
      <c r="F7" s="1" t="s">
        <v>51</v>
      </c>
      <c r="G7" s="15" t="s">
        <v>59</v>
      </c>
      <c r="H7" s="1" t="s">
        <v>53</v>
      </c>
      <c r="I7" s="51" t="s">
        <v>0</v>
      </c>
      <c r="J7" s="51">
        <f>K7+N7</f>
        <v>16</v>
      </c>
      <c r="K7" s="51">
        <v>8</v>
      </c>
      <c r="L7" s="51">
        <v>0</v>
      </c>
      <c r="M7" s="51">
        <v>0</v>
      </c>
      <c r="N7" s="51">
        <v>8</v>
      </c>
      <c r="O7" s="51" t="s">
        <v>225</v>
      </c>
      <c r="P7" s="57" t="s">
        <v>0</v>
      </c>
      <c r="Q7" s="57" t="s">
        <v>0</v>
      </c>
      <c r="R7" s="57" t="s">
        <v>0</v>
      </c>
      <c r="S7" s="51" t="s">
        <v>0</v>
      </c>
      <c r="T7" s="51" t="s">
        <v>0</v>
      </c>
      <c r="U7" s="75" t="s">
        <v>0</v>
      </c>
      <c r="V7" s="51">
        <v>0</v>
      </c>
      <c r="W7" s="51" t="s">
        <v>51</v>
      </c>
      <c r="X7" s="51" t="s">
        <v>51</v>
      </c>
      <c r="Y7" s="51">
        <v>1</v>
      </c>
      <c r="Z7" s="51" t="s">
        <v>51</v>
      </c>
      <c r="AA7" s="51" t="s">
        <v>51</v>
      </c>
      <c r="AB7" s="51" t="s">
        <v>51</v>
      </c>
      <c r="AC7" s="75">
        <v>2</v>
      </c>
      <c r="AD7" s="51" t="s">
        <v>0</v>
      </c>
      <c r="AE7" s="51" t="s">
        <v>51</v>
      </c>
      <c r="AF7" s="1" t="s">
        <v>51</v>
      </c>
      <c r="AG7" s="1" t="s">
        <v>0</v>
      </c>
      <c r="AH7" s="1" t="s">
        <v>0</v>
      </c>
      <c r="AI7" s="1" t="s">
        <v>51</v>
      </c>
      <c r="AJ7" s="1" t="s">
        <v>51</v>
      </c>
      <c r="AK7" s="1" t="s">
        <v>0</v>
      </c>
      <c r="AL7" s="8" t="s">
        <v>0</v>
      </c>
      <c r="AM7" s="8" t="s">
        <v>51</v>
      </c>
      <c r="AN7" s="8" t="s">
        <v>51</v>
      </c>
      <c r="AO7" s="8" t="s">
        <v>0</v>
      </c>
      <c r="AP7" s="4">
        <v>1</v>
      </c>
      <c r="AQ7" s="4" t="s">
        <v>87</v>
      </c>
      <c r="AR7" s="4" t="s">
        <v>51</v>
      </c>
      <c r="AS7" s="4">
        <f>9/8</f>
        <v>1.125</v>
      </c>
      <c r="AT7" s="8">
        <v>36</v>
      </c>
      <c r="AU7" s="14"/>
      <c r="AV7" s="14"/>
      <c r="AW7" s="14"/>
      <c r="AY7"/>
      <c r="AZ7"/>
      <c r="BA7"/>
      <c r="BQ7" s="5"/>
      <c r="BT7" s="5"/>
    </row>
    <row r="8" spans="1:83" ht="16.5" customHeight="1">
      <c r="A8" s="83">
        <v>5</v>
      </c>
      <c r="B8" s="6" t="s">
        <v>88</v>
      </c>
      <c r="C8" s="51" t="s">
        <v>89</v>
      </c>
      <c r="D8" s="20" t="s">
        <v>90</v>
      </c>
      <c r="E8" s="1" t="s">
        <v>51</v>
      </c>
      <c r="F8" s="1" t="s">
        <v>51</v>
      </c>
      <c r="G8" s="15" t="s">
        <v>47</v>
      </c>
      <c r="H8" s="1" t="s">
        <v>63</v>
      </c>
      <c r="I8" s="51">
        <v>64</v>
      </c>
      <c r="J8" s="51">
        <f>K8+N8</f>
        <v>128</v>
      </c>
      <c r="K8" s="51">
        <v>62</v>
      </c>
      <c r="L8" s="51">
        <v>0</v>
      </c>
      <c r="M8" s="51">
        <v>0</v>
      </c>
      <c r="N8" s="51">
        <v>66</v>
      </c>
      <c r="O8" s="51" t="s">
        <v>226</v>
      </c>
      <c r="P8" s="57" t="s">
        <v>227</v>
      </c>
      <c r="Q8" s="57" t="s">
        <v>92</v>
      </c>
      <c r="R8" s="57" t="s">
        <v>228</v>
      </c>
      <c r="S8" s="57" t="s">
        <v>93</v>
      </c>
      <c r="T8" s="57" t="s">
        <v>94</v>
      </c>
      <c r="U8" s="76" t="s">
        <v>95</v>
      </c>
      <c r="V8" s="51">
        <v>2</v>
      </c>
      <c r="W8" s="51" t="s">
        <v>51</v>
      </c>
      <c r="X8" s="51" t="s">
        <v>51</v>
      </c>
      <c r="Y8" s="51">
        <v>23</v>
      </c>
      <c r="Z8" s="57" t="s">
        <v>229</v>
      </c>
      <c r="AA8" s="51" t="s">
        <v>51</v>
      </c>
      <c r="AB8" s="51" t="s">
        <v>51</v>
      </c>
      <c r="AC8" s="76">
        <v>6.4</v>
      </c>
      <c r="AD8" s="57" t="s">
        <v>0</v>
      </c>
      <c r="AE8" s="51" t="s">
        <v>51</v>
      </c>
      <c r="AF8" s="1" t="s">
        <v>51</v>
      </c>
      <c r="AG8" s="1" t="s">
        <v>0</v>
      </c>
      <c r="AH8" s="1" t="s">
        <v>0</v>
      </c>
      <c r="AI8" s="1" t="s">
        <v>51</v>
      </c>
      <c r="AJ8" s="1" t="s">
        <v>51</v>
      </c>
      <c r="AK8" s="1" t="s">
        <v>0</v>
      </c>
      <c r="AL8" s="4" t="s">
        <v>0</v>
      </c>
      <c r="AM8" s="4" t="s">
        <v>51</v>
      </c>
      <c r="AN8" s="4" t="s">
        <v>51</v>
      </c>
      <c r="AO8" s="4" t="s">
        <v>0</v>
      </c>
      <c r="AP8" s="4" t="s">
        <v>0</v>
      </c>
      <c r="AQ8" s="4" t="s">
        <v>0</v>
      </c>
      <c r="AR8" s="4" t="s">
        <v>51</v>
      </c>
      <c r="AS8" s="4" t="s">
        <v>0</v>
      </c>
      <c r="AT8" s="1">
        <f>13*4</f>
        <v>52</v>
      </c>
      <c r="AU8" s="14"/>
      <c r="AV8" s="14"/>
      <c r="AW8" s="14"/>
      <c r="AY8"/>
      <c r="AZ8"/>
      <c r="BA8"/>
      <c r="BC8" s="5"/>
      <c r="BH8" s="5"/>
      <c r="BP8" s="5"/>
      <c r="BR8" s="5"/>
    </row>
    <row r="9" spans="1:83" ht="16.5" customHeight="1">
      <c r="A9" s="83">
        <v>6</v>
      </c>
      <c r="B9" s="29" t="s">
        <v>281</v>
      </c>
      <c r="C9" s="59" t="s">
        <v>278</v>
      </c>
      <c r="D9" s="28"/>
      <c r="E9" s="25" t="s">
        <v>109</v>
      </c>
      <c r="F9" s="64"/>
      <c r="G9" s="30" t="s">
        <v>59</v>
      </c>
      <c r="H9" s="28" t="s">
        <v>63</v>
      </c>
      <c r="I9" s="51"/>
      <c r="J9" s="51">
        <v>73</v>
      </c>
      <c r="K9" s="51">
        <v>0</v>
      </c>
      <c r="L9" s="57">
        <v>35</v>
      </c>
      <c r="M9" s="51">
        <v>0</v>
      </c>
      <c r="N9" s="79">
        <v>38</v>
      </c>
      <c r="O9" s="51"/>
      <c r="P9" s="57"/>
      <c r="Q9" s="57"/>
      <c r="R9" s="57"/>
      <c r="S9" s="57"/>
      <c r="T9" s="57"/>
      <c r="U9" s="76"/>
      <c r="V9" s="51" t="s">
        <v>51</v>
      </c>
      <c r="W9" s="57">
        <v>8</v>
      </c>
      <c r="X9" s="51" t="s">
        <v>51</v>
      </c>
      <c r="Y9" s="79">
        <v>11</v>
      </c>
      <c r="Z9" s="52"/>
      <c r="AA9" s="51"/>
      <c r="AB9" s="51"/>
      <c r="AC9" s="80"/>
      <c r="AD9" s="57"/>
      <c r="AE9" s="57"/>
      <c r="AF9" s="1"/>
      <c r="AG9" s="35"/>
      <c r="AH9" s="1"/>
      <c r="AI9" s="1"/>
      <c r="AJ9" s="1"/>
      <c r="AK9" s="61"/>
      <c r="AL9" s="7"/>
      <c r="AM9" s="7"/>
      <c r="AN9" s="7"/>
      <c r="AO9" s="7"/>
      <c r="AP9" s="4"/>
      <c r="AQ9" s="4"/>
      <c r="AR9" s="4"/>
      <c r="AS9" s="4"/>
      <c r="AT9" s="61"/>
      <c r="AU9" s="14"/>
      <c r="AV9" s="14"/>
      <c r="AW9" s="14"/>
      <c r="AY9"/>
      <c r="AZ9"/>
      <c r="BA9"/>
      <c r="BC9" s="5"/>
      <c r="BP9" s="5"/>
    </row>
    <row r="10" spans="1:83" ht="22.5" customHeight="1">
      <c r="A10" s="83">
        <v>7</v>
      </c>
      <c r="B10" s="6" t="s">
        <v>96</v>
      </c>
      <c r="C10" s="51" t="s">
        <v>183</v>
      </c>
      <c r="D10" s="22" t="s">
        <v>76</v>
      </c>
      <c r="E10" s="16" t="s">
        <v>184</v>
      </c>
      <c r="F10" s="18" t="s">
        <v>51</v>
      </c>
      <c r="G10" s="18" t="s">
        <v>51</v>
      </c>
      <c r="H10" s="1" t="s">
        <v>53</v>
      </c>
      <c r="I10" s="51">
        <v>37</v>
      </c>
      <c r="J10" s="51">
        <v>68</v>
      </c>
      <c r="K10" s="51">
        <v>40</v>
      </c>
      <c r="L10" s="51">
        <v>28</v>
      </c>
      <c r="M10" s="51">
        <v>0</v>
      </c>
      <c r="N10" s="51">
        <v>0</v>
      </c>
      <c r="O10" s="51" t="s">
        <v>217</v>
      </c>
      <c r="P10" s="57" t="s">
        <v>230</v>
      </c>
      <c r="Q10" s="57" t="s">
        <v>186</v>
      </c>
      <c r="R10" s="57" t="s">
        <v>187</v>
      </c>
      <c r="S10" s="51" t="s">
        <v>0</v>
      </c>
      <c r="T10" s="51" t="s">
        <v>0</v>
      </c>
      <c r="U10" s="75" t="s">
        <v>0</v>
      </c>
      <c r="V10" s="51">
        <v>4</v>
      </c>
      <c r="W10" s="51">
        <v>2</v>
      </c>
      <c r="X10" s="81" t="s">
        <v>51</v>
      </c>
      <c r="Y10" s="51" t="s">
        <v>51</v>
      </c>
      <c r="Z10" s="51" t="s">
        <v>0</v>
      </c>
      <c r="AA10" s="51" t="s">
        <v>0</v>
      </c>
      <c r="AB10" s="57" t="s">
        <v>51</v>
      </c>
      <c r="AC10" s="75" t="s">
        <v>0</v>
      </c>
      <c r="AD10" s="51">
        <v>21</v>
      </c>
      <c r="AE10" s="51">
        <v>14</v>
      </c>
      <c r="AF10" s="1" t="s">
        <v>51</v>
      </c>
      <c r="AG10" s="1" t="s">
        <v>51</v>
      </c>
      <c r="AH10" s="1" t="s">
        <v>188</v>
      </c>
      <c r="AI10" s="1" t="s">
        <v>189</v>
      </c>
      <c r="AJ10" s="1" t="s">
        <v>51</v>
      </c>
      <c r="AK10" s="1" t="s">
        <v>51</v>
      </c>
      <c r="AL10" s="34" t="s">
        <v>190</v>
      </c>
      <c r="AM10" s="1" t="s">
        <v>191</v>
      </c>
      <c r="AN10" s="1" t="s">
        <v>51</v>
      </c>
      <c r="AO10" s="1" t="s">
        <v>51</v>
      </c>
      <c r="AP10" s="4" t="s">
        <v>0</v>
      </c>
      <c r="AQ10" s="4" t="s">
        <v>0</v>
      </c>
      <c r="AR10" s="7" t="s">
        <v>51</v>
      </c>
      <c r="AS10" s="4" t="s">
        <v>51</v>
      </c>
      <c r="AT10" s="1">
        <v>52</v>
      </c>
      <c r="AU10" s="14"/>
      <c r="AV10" s="14"/>
      <c r="AW10" s="14"/>
      <c r="AY10"/>
      <c r="AZ10"/>
      <c r="BA10"/>
      <c r="BC10" s="5"/>
      <c r="BR10" s="5"/>
    </row>
    <row r="11" spans="1:83" ht="18.899999999999999" customHeight="1">
      <c r="A11" s="83">
        <v>8</v>
      </c>
      <c r="B11" s="6" t="s">
        <v>142</v>
      </c>
      <c r="C11" s="51" t="s">
        <v>143</v>
      </c>
      <c r="D11" s="20" t="s">
        <v>90</v>
      </c>
      <c r="E11" s="16" t="s">
        <v>144</v>
      </c>
      <c r="F11" s="1" t="s">
        <v>51</v>
      </c>
      <c r="G11" s="15" t="s">
        <v>47</v>
      </c>
      <c r="H11" s="1" t="s">
        <v>53</v>
      </c>
      <c r="I11" s="51">
        <v>8</v>
      </c>
      <c r="J11" s="51">
        <f>K11+L11+N11</f>
        <v>16</v>
      </c>
      <c r="K11" s="51">
        <v>4</v>
      </c>
      <c r="L11" s="51">
        <v>4</v>
      </c>
      <c r="M11" s="53">
        <v>0</v>
      </c>
      <c r="N11" s="51">
        <v>8</v>
      </c>
      <c r="O11" s="57" t="s">
        <v>217</v>
      </c>
      <c r="P11" s="57" t="s">
        <v>0</v>
      </c>
      <c r="Q11" s="50" t="s">
        <v>0</v>
      </c>
      <c r="R11" s="50"/>
      <c r="S11" s="50" t="s">
        <v>0</v>
      </c>
      <c r="T11" s="57" t="s">
        <v>0</v>
      </c>
      <c r="U11" s="57" t="s">
        <v>0</v>
      </c>
      <c r="V11" s="57">
        <v>2</v>
      </c>
      <c r="W11" s="57">
        <v>2</v>
      </c>
      <c r="X11" s="51" t="s">
        <v>51</v>
      </c>
      <c r="Y11" s="57">
        <v>8</v>
      </c>
      <c r="Z11" s="51" t="s">
        <v>0</v>
      </c>
      <c r="AA11" s="51" t="s">
        <v>0</v>
      </c>
      <c r="AB11" s="51" t="s">
        <v>0</v>
      </c>
      <c r="AC11" s="57">
        <v>2</v>
      </c>
      <c r="AD11" s="57">
        <v>2</v>
      </c>
      <c r="AE11" s="51" t="s">
        <v>51</v>
      </c>
      <c r="AF11" s="7">
        <v>10</v>
      </c>
      <c r="AG11" s="7">
        <f>52-35</f>
        <v>17</v>
      </c>
      <c r="AH11" s="7">
        <f>48-34.3</f>
        <v>13.700000000000003</v>
      </c>
      <c r="AI11" s="7" t="s">
        <v>51</v>
      </c>
      <c r="AJ11" s="12">
        <f>10/7</f>
        <v>1.4285714285714286</v>
      </c>
      <c r="AK11" s="1" t="s">
        <v>0</v>
      </c>
      <c r="AL11" s="1" t="s">
        <v>0</v>
      </c>
      <c r="AM11" s="1" t="s">
        <v>51</v>
      </c>
      <c r="AN11" s="1" t="s">
        <v>0</v>
      </c>
      <c r="AO11" s="1" t="s">
        <v>145</v>
      </c>
      <c r="AP11" s="1" t="s">
        <v>146</v>
      </c>
      <c r="AQ11" s="1" t="s">
        <v>51</v>
      </c>
      <c r="AR11" s="7" t="s">
        <v>0</v>
      </c>
      <c r="AS11" s="7" t="s">
        <v>147</v>
      </c>
      <c r="AT11" s="7" t="s">
        <v>148</v>
      </c>
      <c r="AU11" s="7" t="s">
        <v>51</v>
      </c>
      <c r="AV11" s="7" t="s">
        <v>149</v>
      </c>
      <c r="AW11" s="12" t="s">
        <v>0</v>
      </c>
      <c r="AX11" s="12" t="s">
        <v>0</v>
      </c>
      <c r="AY11" s="7" t="s">
        <v>51</v>
      </c>
      <c r="AZ11" s="12" t="s">
        <v>0</v>
      </c>
      <c r="BA11" s="7">
        <f>18*4</f>
        <v>72</v>
      </c>
      <c r="BB11" s="14"/>
      <c r="BC11" s="14"/>
      <c r="BD11" s="14"/>
      <c r="BJ11" s="5"/>
      <c r="BV11" s="5"/>
      <c r="BY11" s="5"/>
      <c r="BZ11" s="5"/>
    </row>
    <row r="12" spans="1:83" ht="17.399999999999999" customHeight="1">
      <c r="A12" s="83">
        <v>9</v>
      </c>
      <c r="B12" s="41" t="s">
        <v>150</v>
      </c>
      <c r="C12" s="51" t="s">
        <v>151</v>
      </c>
      <c r="D12" s="20" t="s">
        <v>90</v>
      </c>
      <c r="E12" s="16" t="s">
        <v>144</v>
      </c>
      <c r="F12" s="1" t="s">
        <v>51</v>
      </c>
      <c r="G12" s="15" t="s">
        <v>47</v>
      </c>
      <c r="H12" s="1" t="s">
        <v>53</v>
      </c>
      <c r="I12" s="51"/>
      <c r="J12" s="51">
        <v>39</v>
      </c>
      <c r="K12" s="51">
        <v>27</v>
      </c>
      <c r="L12" s="51">
        <v>5</v>
      </c>
      <c r="M12" s="53">
        <v>0</v>
      </c>
      <c r="N12" s="51">
        <v>7</v>
      </c>
      <c r="O12" s="57" t="s">
        <v>141</v>
      </c>
      <c r="P12" s="50" t="s">
        <v>0</v>
      </c>
      <c r="Q12" s="50" t="s">
        <v>0</v>
      </c>
      <c r="R12" s="50" t="s">
        <v>0</v>
      </c>
      <c r="S12" s="50" t="s">
        <v>0</v>
      </c>
      <c r="T12" s="51"/>
      <c r="U12" s="51"/>
      <c r="V12" s="51">
        <v>7</v>
      </c>
      <c r="W12" s="51">
        <v>3</v>
      </c>
      <c r="X12" s="51"/>
      <c r="Y12" s="51">
        <v>3</v>
      </c>
      <c r="Z12" s="51"/>
      <c r="AA12" s="51"/>
      <c r="AB12" s="51"/>
      <c r="AC12" s="51">
        <v>23</v>
      </c>
      <c r="AD12" s="51">
        <v>10</v>
      </c>
      <c r="AE12" s="51" t="s">
        <v>51</v>
      </c>
      <c r="AF12" s="1">
        <v>11</v>
      </c>
      <c r="AG12" s="1" t="s">
        <v>152</v>
      </c>
      <c r="AH12" s="1" t="s">
        <v>153</v>
      </c>
      <c r="AI12" s="7" t="s">
        <v>51</v>
      </c>
      <c r="AJ12" s="1" t="s">
        <v>154</v>
      </c>
      <c r="AK12" s="1" t="s">
        <v>0</v>
      </c>
      <c r="AL12" s="1" t="s">
        <v>0</v>
      </c>
      <c r="AM12" s="1" t="s">
        <v>51</v>
      </c>
      <c r="AN12" s="1" t="s">
        <v>0</v>
      </c>
      <c r="AO12" s="1" t="s">
        <v>0</v>
      </c>
      <c r="AP12" s="1" t="s">
        <v>0</v>
      </c>
      <c r="AQ12" s="1" t="s">
        <v>51</v>
      </c>
      <c r="AR12" s="1" t="s">
        <v>0</v>
      </c>
      <c r="AS12" s="7" t="s">
        <v>0</v>
      </c>
      <c r="AT12" s="7" t="s">
        <v>0</v>
      </c>
      <c r="AU12" s="7" t="s">
        <v>51</v>
      </c>
      <c r="AV12" s="7" t="s">
        <v>0</v>
      </c>
      <c r="AW12" s="4"/>
      <c r="AX12" s="4"/>
      <c r="AY12" s="7" t="s">
        <v>51</v>
      </c>
      <c r="AZ12" s="4"/>
      <c r="BA12" s="1">
        <f>197.3</f>
        <v>197.3</v>
      </c>
      <c r="BB12" s="14"/>
      <c r="BC12" s="14"/>
      <c r="BD12" s="14"/>
      <c r="BJ12" s="5"/>
      <c r="BO12" s="5"/>
    </row>
    <row r="13" spans="1:83" ht="14.4" customHeight="1">
      <c r="A13" s="83">
        <v>10</v>
      </c>
      <c r="B13" s="6" t="s">
        <v>155</v>
      </c>
      <c r="C13" s="1" t="s">
        <v>236</v>
      </c>
      <c r="D13" s="20" t="s">
        <v>76</v>
      </c>
      <c r="E13" s="16" t="s">
        <v>157</v>
      </c>
      <c r="F13" s="18" t="s">
        <v>51</v>
      </c>
      <c r="G13" s="15" t="s">
        <v>59</v>
      </c>
      <c r="H13" s="1" t="s">
        <v>53</v>
      </c>
      <c r="I13" s="1">
        <f>21+14+7</f>
        <v>42</v>
      </c>
      <c r="J13" s="1">
        <f>K13+L13+N13</f>
        <v>84</v>
      </c>
      <c r="K13" s="1">
        <f>21*2</f>
        <v>42</v>
      </c>
      <c r="L13" s="1">
        <f>14*2</f>
        <v>28</v>
      </c>
      <c r="M13" s="1">
        <v>0</v>
      </c>
      <c r="N13" s="1">
        <f>7*2</f>
        <v>14</v>
      </c>
      <c r="O13" s="1" t="s">
        <v>217</v>
      </c>
      <c r="P13" s="7" t="s">
        <v>0</v>
      </c>
      <c r="Q13" s="7" t="s">
        <v>0</v>
      </c>
      <c r="R13" s="7" t="s">
        <v>0</v>
      </c>
      <c r="S13" s="1" t="s">
        <v>0</v>
      </c>
      <c r="T13" s="1" t="s">
        <v>0</v>
      </c>
      <c r="U13" s="19" t="s">
        <v>0</v>
      </c>
      <c r="V13" s="51">
        <v>6</v>
      </c>
      <c r="W13" s="81">
        <v>6</v>
      </c>
      <c r="X13" s="81" t="s">
        <v>51</v>
      </c>
      <c r="Y13" s="10">
        <v>0</v>
      </c>
      <c r="Z13" s="1" t="s">
        <v>0</v>
      </c>
      <c r="AA13" s="1" t="s">
        <v>0</v>
      </c>
      <c r="AB13" s="7" t="s">
        <v>51</v>
      </c>
      <c r="AC13" s="19" t="s">
        <v>0</v>
      </c>
      <c r="AD13" s="10" t="s">
        <v>0</v>
      </c>
      <c r="AE13" s="10" t="s">
        <v>0</v>
      </c>
      <c r="AF13" s="10" t="s">
        <v>51</v>
      </c>
      <c r="AG13" s="84" t="s">
        <v>0</v>
      </c>
      <c r="AH13" s="7" t="s">
        <v>0</v>
      </c>
      <c r="AI13" s="7" t="s">
        <v>0</v>
      </c>
      <c r="AJ13" s="1" t="s">
        <v>51</v>
      </c>
      <c r="AK13" s="1" t="s">
        <v>0</v>
      </c>
      <c r="AL13" s="4" t="s">
        <v>285</v>
      </c>
      <c r="AM13" s="1">
        <v>0.64</v>
      </c>
      <c r="AN13" s="4" t="s">
        <v>51</v>
      </c>
      <c r="AO13" s="1" t="s">
        <v>286</v>
      </c>
      <c r="AP13" s="4" t="s">
        <v>0</v>
      </c>
      <c r="AQ13" s="4" t="s">
        <v>0</v>
      </c>
      <c r="AR13" s="4" t="s">
        <v>51</v>
      </c>
      <c r="AS13" s="4" t="s">
        <v>0</v>
      </c>
      <c r="AT13" s="1">
        <f>1.5*12*4</f>
        <v>72</v>
      </c>
      <c r="AU13" s="14" t="s">
        <v>287</v>
      </c>
      <c r="AV13" s="14"/>
      <c r="AW13" s="14"/>
      <c r="AY13"/>
      <c r="AZ13"/>
      <c r="BA13"/>
      <c r="BC13" s="5"/>
      <c r="BG13" s="5"/>
      <c r="BR13" s="5"/>
      <c r="BU13" s="5"/>
    </row>
    <row r="14" spans="1:83">
      <c r="A14" s="83">
        <v>11</v>
      </c>
      <c r="B14" s="6" t="s">
        <v>293</v>
      </c>
      <c r="C14" s="86" t="s">
        <v>292</v>
      </c>
      <c r="D14" s="1" t="s">
        <v>51</v>
      </c>
      <c r="E14" s="1" t="s">
        <v>51</v>
      </c>
      <c r="F14" s="17" t="s">
        <v>284</v>
      </c>
      <c r="G14" s="39" t="s">
        <v>59</v>
      </c>
      <c r="H14" s="28" t="s">
        <v>63</v>
      </c>
      <c r="I14" s="51">
        <v>22</v>
      </c>
      <c r="J14" s="51">
        <v>43</v>
      </c>
      <c r="K14" s="51"/>
      <c r="L14" s="57"/>
      <c r="M14" s="16">
        <v>30</v>
      </c>
      <c r="N14" s="85">
        <v>13</v>
      </c>
      <c r="O14" s="51" t="s">
        <v>217</v>
      </c>
      <c r="P14" s="57"/>
      <c r="Q14" s="57"/>
      <c r="R14" s="57"/>
      <c r="S14" s="57"/>
      <c r="T14" s="57"/>
      <c r="U14" s="57"/>
      <c r="V14" s="51"/>
      <c r="W14" s="57"/>
      <c r="X14" s="16">
        <v>14</v>
      </c>
      <c r="Y14" s="85">
        <v>6</v>
      </c>
      <c r="Z14" s="52"/>
      <c r="AA14" s="51"/>
      <c r="AB14" s="51"/>
      <c r="AC14" s="80"/>
      <c r="AD14" s="57"/>
      <c r="AE14" s="57"/>
      <c r="AF14" s="1"/>
      <c r="AG14" s="35"/>
      <c r="AH14" s="1"/>
      <c r="AI14" s="1"/>
      <c r="AJ14" s="1"/>
      <c r="AK14" s="46"/>
      <c r="AL14" s="7"/>
      <c r="AM14" s="7"/>
      <c r="AN14" s="7"/>
      <c r="AO14" s="7"/>
      <c r="AP14" s="4"/>
      <c r="AQ14" s="4"/>
      <c r="AR14" s="4"/>
      <c r="AS14" s="4"/>
      <c r="AT14" s="46"/>
    </row>
    <row r="16" spans="1:83">
      <c r="B16" s="1" t="s">
        <v>199</v>
      </c>
      <c r="C16" s="1"/>
      <c r="K16">
        <f>K13+L13+M13+N13</f>
        <v>84</v>
      </c>
    </row>
    <row r="17" spans="2:11">
      <c r="B17" s="1" t="s">
        <v>0</v>
      </c>
      <c r="C17" s="1" t="s">
        <v>200</v>
      </c>
    </row>
    <row r="18" spans="2:11">
      <c r="B18" s="1" t="s">
        <v>53</v>
      </c>
      <c r="C18" s="1" t="s">
        <v>201</v>
      </c>
    </row>
    <row r="19" spans="2:11">
      <c r="B19" s="1" t="s">
        <v>63</v>
      </c>
      <c r="C19" s="1" t="s">
        <v>202</v>
      </c>
    </row>
    <row r="20" spans="2:11">
      <c r="B20" s="1" t="s">
        <v>51</v>
      </c>
      <c r="C20" s="1" t="s">
        <v>203</v>
      </c>
    </row>
    <row r="21" spans="2:11">
      <c r="B21" s="1" t="s">
        <v>204</v>
      </c>
      <c r="C21" s="1" t="s">
        <v>205</v>
      </c>
    </row>
    <row r="22" spans="2:11">
      <c r="B22" s="1" t="s">
        <v>206</v>
      </c>
      <c r="C22" s="1" t="s">
        <v>207</v>
      </c>
    </row>
    <row r="23" spans="2:11">
      <c r="B23" s="1" t="s">
        <v>208</v>
      </c>
      <c r="C23" s="1" t="s">
        <v>209</v>
      </c>
    </row>
    <row r="24" spans="2:11">
      <c r="E24" t="s">
        <v>280</v>
      </c>
    </row>
    <row r="29" spans="2:11">
      <c r="K29">
        <f>22+6+6+1</f>
        <v>35</v>
      </c>
    </row>
  </sheetData>
  <mergeCells count="12">
    <mergeCell ref="BK2:CE2"/>
    <mergeCell ref="AL2:AO2"/>
    <mergeCell ref="AH2:AK2"/>
    <mergeCell ref="V2:Y2"/>
    <mergeCell ref="Z2:AC2"/>
    <mergeCell ref="AP2:AS2"/>
    <mergeCell ref="V1:AC1"/>
    <mergeCell ref="AD1:AT1"/>
    <mergeCell ref="D2:F2"/>
    <mergeCell ref="J2:N2"/>
    <mergeCell ref="O2:U2"/>
    <mergeCell ref="AD2:AG2"/>
  </mergeCells>
  <hyperlinks>
    <hyperlink ref="B8" r:id="rId1"/>
    <hyperlink ref="B4" r:id="rId2"/>
    <hyperlink ref="B5" r:id="rId3"/>
    <hyperlink ref="B6" r:id="rId4"/>
    <hyperlink ref="B7" r:id="rId5"/>
    <hyperlink ref="B10" r:id="rId6" display="https://www.karger.com/Article/Abstract/489023"/>
    <hyperlink ref="B11" r:id="rId7"/>
    <hyperlink ref="B12" r:id="rId8"/>
    <hyperlink ref="B9" r:id="rId9" location="tbl3"/>
    <hyperlink ref="B13" r:id="rId10"/>
    <hyperlink ref="B14" r:id="rId11"/>
  </hyperlinks>
  <pageMargins left="0.7" right="0.7" top="0.75" bottom="0.75" header="0.3" footer="0.3"/>
  <pageSetup orientation="portrait" r:id="rId1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F7D3F9D1B64409154E1E407AC05AD" ma:contentTypeVersion="13" ma:contentTypeDescription="Create a new document." ma:contentTypeScope="" ma:versionID="e685173cde78464a179d8a4bd75abe76">
  <xsd:schema xmlns:xsd="http://www.w3.org/2001/XMLSchema" xmlns:xs="http://www.w3.org/2001/XMLSchema" xmlns:p="http://schemas.microsoft.com/office/2006/metadata/properties" xmlns:ns3="f6480f2d-baa2-4fca-a740-edd2b143be4f" xmlns:ns4="655b343a-d1dd-464d-a9f4-e2225f0b2192" targetNamespace="http://schemas.microsoft.com/office/2006/metadata/properties" ma:root="true" ma:fieldsID="e781495b73bf79a53e03b174ec42c365" ns3:_="" ns4:_="">
    <xsd:import namespace="f6480f2d-baa2-4fca-a740-edd2b143be4f"/>
    <xsd:import namespace="655b343a-d1dd-464d-a9f4-e2225f0b219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480f2d-baa2-4fca-a740-edd2b143be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5b343a-d1dd-464d-a9f4-e2225f0b21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F73B91-C51D-411C-A6D8-4A07444B9716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terms/"/>
    <ds:schemaRef ds:uri="655b343a-d1dd-464d-a9f4-e2225f0b2192"/>
    <ds:schemaRef ds:uri="http://purl.org/dc/dcmitype/"/>
    <ds:schemaRef ds:uri="http://schemas.microsoft.com/office/infopath/2007/PartnerControls"/>
    <ds:schemaRef ds:uri="f6480f2d-baa2-4fca-a740-edd2b143be4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5DFC82E-8E10-4E1F-B8C0-01A3C072ED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F4BD3C-CC1A-450B-BA92-EDB841372F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480f2d-baa2-4fca-a740-edd2b143be4f"/>
    <ds:schemaRef ds:uri="655b343a-d1dd-464d-a9f4-e2225f0b21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 1 ROP</vt:lpstr>
      <vt:lpstr>zone 1 ROP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Emer Chang</dc:creator>
  <cp:keywords/>
  <dc:description/>
  <cp:lastModifiedBy>Amandeep Josan</cp:lastModifiedBy>
  <cp:revision/>
  <cp:lastPrinted>2022-03-15T16:26:45Z</cp:lastPrinted>
  <dcterms:created xsi:type="dcterms:W3CDTF">2021-03-29T18:27:27Z</dcterms:created>
  <dcterms:modified xsi:type="dcterms:W3CDTF">2022-12-30T23:26:12Z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0x010100F8DF7D3F9D1B64409154E1E407AC05AD</vt:lpwstr>
  </property>
</Properties>
</file>