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omments1.xml" ContentType="application/vnd.openxmlformats-officedocument.spreadsheetml.comments+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ou/Desktop/"/>
    </mc:Choice>
  </mc:AlternateContent>
  <xr:revisionPtr revIDLastSave="0" documentId="13_ncr:1_{FE053B92-3A15-E849-AC27-DB174B79EA57}" xr6:coauthVersionLast="47" xr6:coauthVersionMax="47" xr10:uidLastSave="{00000000-0000-0000-0000-000000000000}"/>
  <bookViews>
    <workbookView xWindow="6460" yWindow="620" windowWidth="28800" windowHeight="16280" activeTab="1" xr2:uid="{00000000-000D-0000-FFFF-FFFF00000000}"/>
  </bookViews>
  <sheets>
    <sheet name="Sheet2" sheetId="10" r:id="rId1"/>
    <sheet name="SLBs" sheetId="1" r:id="rId2"/>
    <sheet name="CBs" sheetId="2" r:id="rId3"/>
    <sheet name="Pairs" sheetId="3" r:id="rId4"/>
    <sheet name="All SLBs Pivot" sheetId="4" state="hidden" r:id="rId5"/>
    <sheet name="slb RAW" sheetId="5" state="hidden" r:id="rId6"/>
    <sheet name="CBs RAW" sheetId="6" state="hidden" r:id="rId7"/>
    <sheet name="Refinitiv SLB" sheetId="7" state="hidden" r:id="rId8"/>
    <sheet name="CB old" sheetId="8" state="hidden" r:id="rId9"/>
  </sheets>
  <definedNames>
    <definedName name="_xlnm._FilterDatabase" localSheetId="4" hidden="1">'All SLBs Pivot'!$D$43:$E$50</definedName>
    <definedName name="_xlnm._FilterDatabase" localSheetId="8" hidden="1">'CB old'!$A$1:$U$427</definedName>
    <definedName name="_xlnm._FilterDatabase" localSheetId="2" hidden="1">CBs!$A$1:$Z$427</definedName>
    <definedName name="_xlnm._FilterDatabase" localSheetId="3" hidden="1">Pairs!$H$1:$M$57</definedName>
    <definedName name="_xlnm._FilterDatabase" localSheetId="0" hidden="1">Sheet2!$C$12:$F$19</definedName>
    <definedName name="_xlnm._FilterDatabase" localSheetId="1" hidden="1">SLBs!$A$1:$AR$293</definedName>
  </definedNames>
  <calcPr calcId="191029"/>
  <pivotCaches>
    <pivotCache cacheId="6" r:id="rId10"/>
    <pivotCache cacheId="49"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g8HQMZ6yKrYn+KZLUMli4bfRQ+Yw=="/>
    </ext>
  </extLst>
</workbook>
</file>

<file path=xl/calcChain.xml><?xml version="1.0" encoding="utf-8"?>
<calcChain xmlns="http://schemas.openxmlformats.org/spreadsheetml/2006/main">
  <c r="D5" i="10" l="1"/>
  <c r="D6" i="10"/>
  <c r="D7" i="10"/>
  <c r="D8" i="10"/>
  <c r="D4" i="10"/>
  <c r="L22" i="10"/>
  <c r="L21" i="10"/>
  <c r="AI284" i="1" a="1"/>
  <c r="AI284" i="1" s="1"/>
  <c r="AI285" i="1" a="1"/>
  <c r="AI285" i="1"/>
  <c r="AI286" i="1" a="1"/>
  <c r="AI286" i="1" s="1"/>
  <c r="AI287" i="1" a="1"/>
  <c r="AI287" i="1"/>
  <c r="AI288" i="1" a="1"/>
  <c r="AI288" i="1" s="1"/>
  <c r="AI289" i="1" a="1"/>
  <c r="AI289" i="1"/>
  <c r="AI290" i="1" a="1"/>
  <c r="AI290" i="1" s="1"/>
  <c r="AI291" i="1" a="1"/>
  <c r="AI291" i="1"/>
  <c r="AI292" i="1" a="1"/>
  <c r="AI292" i="1" s="1"/>
  <c r="AI293" i="1" a="1"/>
  <c r="AI293" i="1"/>
  <c r="AI11" i="1" a="1"/>
  <c r="AI11" i="1" s="1"/>
  <c r="AI272" i="1" a="1"/>
  <c r="AI272" i="1" s="1"/>
  <c r="AI273" i="1" a="1"/>
  <c r="AI273" i="1"/>
  <c r="AI274" i="1" a="1"/>
  <c r="AI274" i="1" s="1"/>
  <c r="AI275" i="1" a="1"/>
  <c r="AI275" i="1"/>
  <c r="AI276" i="1" a="1"/>
  <c r="AI276" i="1" s="1"/>
  <c r="AI277" i="1" a="1"/>
  <c r="AI277" i="1"/>
  <c r="AI278" i="1" a="1"/>
  <c r="AI278" i="1" s="1"/>
  <c r="AI279" i="1" a="1"/>
  <c r="AI279" i="1"/>
  <c r="AI280" i="1" a="1"/>
  <c r="AI280" i="1" s="1"/>
  <c r="AI281" i="1" a="1"/>
  <c r="AI281" i="1"/>
  <c r="AI282" i="1" a="1"/>
  <c r="AI282" i="1" s="1"/>
  <c r="AI283" i="1" a="1"/>
  <c r="AI283" i="1"/>
  <c r="AI271" i="1" a="1"/>
  <c r="AI271" i="1" s="1"/>
  <c r="AI268" i="1" a="1"/>
  <c r="AI268" i="1" s="1"/>
  <c r="AI267" i="1" a="1"/>
  <c r="AI267" i="1" s="1"/>
  <c r="AI257" i="1" a="1"/>
  <c r="AI257" i="1" s="1"/>
  <c r="AI258" i="1" a="1"/>
  <c r="AI258" i="1"/>
  <c r="AI259" i="1" a="1"/>
  <c r="AI259" i="1" s="1"/>
  <c r="AI260" i="1" a="1"/>
  <c r="AI260" i="1"/>
  <c r="AI261" i="1" a="1"/>
  <c r="AI261" i="1" s="1"/>
  <c r="AI262" i="1" a="1"/>
  <c r="AI262" i="1"/>
  <c r="AI263" i="1" a="1"/>
  <c r="AI263" i="1" s="1"/>
  <c r="AI256" i="1" a="1"/>
  <c r="AI256" i="1" s="1"/>
  <c r="AI206" i="1" a="1"/>
  <c r="AI206" i="1"/>
  <c r="AI207" i="1" a="1"/>
  <c r="AI207" i="1" s="1"/>
  <c r="AI208" i="1" a="1"/>
  <c r="AI208" i="1"/>
  <c r="AI209" i="1" a="1"/>
  <c r="AI209" i="1" s="1"/>
  <c r="AI210" i="1" a="1"/>
  <c r="AI210" i="1"/>
  <c r="AI211" i="1" a="1"/>
  <c r="AI211" i="1" s="1"/>
  <c r="AI212" i="1" a="1"/>
  <c r="AI212" i="1"/>
  <c r="AI213" i="1" a="1"/>
  <c r="AI213" i="1" s="1"/>
  <c r="AI214" i="1" a="1"/>
  <c r="AI214" i="1"/>
  <c r="AI215" i="1" a="1"/>
  <c r="AI215" i="1" s="1"/>
  <c r="AI216" i="1" a="1"/>
  <c r="AI216" i="1"/>
  <c r="AI217" i="1" a="1"/>
  <c r="AI217" i="1" s="1"/>
  <c r="AI218" i="1" a="1"/>
  <c r="AI218" i="1"/>
  <c r="AI219" i="1" a="1"/>
  <c r="AI219" i="1" s="1"/>
  <c r="AI220" i="1" a="1"/>
  <c r="AI220" i="1"/>
  <c r="AI221" i="1" a="1"/>
  <c r="AI221" i="1" s="1"/>
  <c r="AI222" i="1" a="1"/>
  <c r="AI222" i="1"/>
  <c r="AI223" i="1" a="1"/>
  <c r="AI223" i="1" s="1"/>
  <c r="AI224" i="1" a="1"/>
  <c r="AI224" i="1"/>
  <c r="AI225" i="1" a="1"/>
  <c r="AI225" i="1" s="1"/>
  <c r="AI226" i="1" a="1"/>
  <c r="AI226" i="1"/>
  <c r="AI227" i="1" a="1"/>
  <c r="AI227" i="1" s="1"/>
  <c r="AI228" i="1" a="1"/>
  <c r="AI228" i="1"/>
  <c r="AI229" i="1" a="1"/>
  <c r="AI229" i="1" s="1"/>
  <c r="AI230" i="1" a="1"/>
  <c r="AI230" i="1"/>
  <c r="AI231" i="1" a="1"/>
  <c r="AI231" i="1" s="1"/>
  <c r="AI232" i="1" a="1"/>
  <c r="AI232" i="1"/>
  <c r="AI233" i="1" a="1"/>
  <c r="AI233" i="1" s="1"/>
  <c r="AI234" i="1" a="1"/>
  <c r="AI234" i="1"/>
  <c r="AI235" i="1" a="1"/>
  <c r="AI235" i="1" s="1"/>
  <c r="AI236" i="1" a="1"/>
  <c r="AI236" i="1"/>
  <c r="AI237" i="1" a="1"/>
  <c r="AI237" i="1" s="1"/>
  <c r="AI238" i="1" a="1"/>
  <c r="AI238" i="1"/>
  <c r="AI239" i="1" a="1"/>
  <c r="AI239" i="1" s="1"/>
  <c r="AI240" i="1" a="1"/>
  <c r="AI240" i="1"/>
  <c r="AI241" i="1" a="1"/>
  <c r="AI241" i="1" s="1"/>
  <c r="AI242" i="1" a="1"/>
  <c r="AI242" i="1"/>
  <c r="AI243" i="1" a="1"/>
  <c r="AI243" i="1" s="1"/>
  <c r="AI244" i="1" a="1"/>
  <c r="AI244" i="1"/>
  <c r="AI245" i="1" a="1"/>
  <c r="AI245" i="1" s="1"/>
  <c r="AI246" i="1" a="1"/>
  <c r="AI246" i="1"/>
  <c r="AI247" i="1" a="1"/>
  <c r="AI247" i="1" s="1"/>
  <c r="AI248" i="1" a="1"/>
  <c r="AI248" i="1"/>
  <c r="AI249" i="1" a="1"/>
  <c r="AI249" i="1" s="1"/>
  <c r="AI250" i="1" a="1"/>
  <c r="AI250" i="1"/>
  <c r="AI251" i="1" a="1"/>
  <c r="AI251" i="1" s="1"/>
  <c r="AI252" i="1" a="1"/>
  <c r="AI252" i="1"/>
  <c r="AI253" i="1" a="1"/>
  <c r="AI253" i="1" s="1"/>
  <c r="AI205" i="1" a="1"/>
  <c r="AI205" i="1" s="1"/>
  <c r="AI186" i="1" a="1"/>
  <c r="AI186" i="1" s="1"/>
  <c r="AI187" i="1" a="1"/>
  <c r="AI187" i="1"/>
  <c r="AI188" i="1" a="1"/>
  <c r="AI188" i="1" s="1"/>
  <c r="AI189" i="1" a="1"/>
  <c r="AI189" i="1"/>
  <c r="AI190" i="1" a="1"/>
  <c r="AI190" i="1" s="1"/>
  <c r="AI191" i="1" a="1"/>
  <c r="AI191" i="1"/>
  <c r="AI192" i="1" a="1"/>
  <c r="AI192" i="1" s="1"/>
  <c r="AI193" i="1" a="1"/>
  <c r="AI193" i="1"/>
  <c r="AI194" i="1" a="1"/>
  <c r="AI194" i="1" s="1"/>
  <c r="AI195" i="1" a="1"/>
  <c r="AI195" i="1"/>
  <c r="AI196" i="1" a="1"/>
  <c r="AI196" i="1" s="1"/>
  <c r="AI197" i="1" a="1"/>
  <c r="AI197" i="1"/>
  <c r="AI198" i="1" a="1"/>
  <c r="AI198" i="1" s="1"/>
  <c r="AI199" i="1" a="1"/>
  <c r="AI199" i="1"/>
  <c r="AI185" i="1" a="1"/>
  <c r="AI185" i="1" s="1"/>
  <c r="AI155" i="1" a="1"/>
  <c r="AI155" i="1" s="1"/>
  <c r="AI156" i="1" a="1"/>
  <c r="AI156" i="1"/>
  <c r="AI157" i="1" a="1"/>
  <c r="AI157" i="1" s="1"/>
  <c r="AI158" i="1" a="1"/>
  <c r="AI158" i="1"/>
  <c r="AI159" i="1" a="1"/>
  <c r="AI159" i="1" s="1"/>
  <c r="AI160" i="1" a="1"/>
  <c r="AI160" i="1"/>
  <c r="AI161" i="1" a="1"/>
  <c r="AI161" i="1" s="1"/>
  <c r="AI162" i="1" a="1"/>
  <c r="AI162" i="1"/>
  <c r="AI163" i="1" a="1"/>
  <c r="AI163" i="1" s="1"/>
  <c r="AI164" i="1" a="1"/>
  <c r="AI164" i="1"/>
  <c r="AI165" i="1" a="1"/>
  <c r="AI165" i="1" s="1"/>
  <c r="AI166" i="1" a="1"/>
  <c r="AI166" i="1"/>
  <c r="AI167" i="1" a="1"/>
  <c r="AI167" i="1" s="1"/>
  <c r="AI168" i="1" a="1"/>
  <c r="AI168" i="1"/>
  <c r="AI169" i="1" a="1"/>
  <c r="AI169" i="1" s="1"/>
  <c r="AI170" i="1" a="1"/>
  <c r="AI170" i="1"/>
  <c r="AI171" i="1" a="1"/>
  <c r="AI171" i="1" s="1"/>
  <c r="AI172" i="1" a="1"/>
  <c r="AI172" i="1"/>
  <c r="AI173" i="1" a="1"/>
  <c r="AI173" i="1" s="1"/>
  <c r="AI174" i="1" a="1"/>
  <c r="AI174" i="1"/>
  <c r="AI175" i="1" a="1"/>
  <c r="AI175" i="1" s="1"/>
  <c r="AI176" i="1" a="1"/>
  <c r="AI176" i="1"/>
  <c r="AI177" i="1" a="1"/>
  <c r="AI177" i="1" s="1"/>
  <c r="AI178" i="1" a="1"/>
  <c r="AI178" i="1"/>
  <c r="AI179" i="1" a="1"/>
  <c r="AI179" i="1" s="1"/>
  <c r="AI180" i="1" a="1"/>
  <c r="AI180" i="1"/>
  <c r="AI181" i="1" a="1"/>
  <c r="AI181" i="1" s="1"/>
  <c r="AI182" i="1" a="1"/>
  <c r="AI182" i="1"/>
  <c r="AI183" i="1" a="1"/>
  <c r="AI183" i="1" s="1"/>
  <c r="AI154" i="1" a="1"/>
  <c r="AI154" i="1" s="1"/>
  <c r="AI129" i="1" a="1"/>
  <c r="AI129" i="1"/>
  <c r="AI130" i="1" a="1"/>
  <c r="AI130" i="1" s="1"/>
  <c r="AI131" i="1" a="1"/>
  <c r="AI131" i="1"/>
  <c r="AI132" i="1" a="1"/>
  <c r="AI132" i="1" s="1"/>
  <c r="AI133" i="1" a="1"/>
  <c r="AI133" i="1"/>
  <c r="AI134" i="1" a="1"/>
  <c r="AI134" i="1" s="1"/>
  <c r="AI135" i="1" a="1"/>
  <c r="AI135" i="1"/>
  <c r="AI136" i="1" a="1"/>
  <c r="AI136" i="1" s="1"/>
  <c r="AI137" i="1" a="1"/>
  <c r="AI137" i="1"/>
  <c r="AI138" i="1" a="1"/>
  <c r="AI138" i="1" s="1"/>
  <c r="AI139" i="1" a="1"/>
  <c r="AI139" i="1"/>
  <c r="AI140" i="1" a="1"/>
  <c r="AI140" i="1" s="1"/>
  <c r="AI141" i="1" a="1"/>
  <c r="AI141" i="1"/>
  <c r="AI142" i="1" a="1"/>
  <c r="AI142" i="1" s="1"/>
  <c r="AI143" i="1" a="1"/>
  <c r="AI143" i="1"/>
  <c r="AI144" i="1" a="1"/>
  <c r="AI144" i="1" s="1"/>
  <c r="AI145" i="1" a="1"/>
  <c r="AI145" i="1"/>
  <c r="AI146" i="1" a="1"/>
  <c r="AI146" i="1" s="1"/>
  <c r="AI147" i="1" a="1"/>
  <c r="AI147" i="1"/>
  <c r="AI148" i="1" a="1"/>
  <c r="AI148" i="1" s="1"/>
  <c r="AI149" i="1" a="1"/>
  <c r="AI149" i="1"/>
  <c r="AI150" i="1" a="1"/>
  <c r="AI150" i="1" s="1"/>
  <c r="AI151" i="1" a="1"/>
  <c r="AI151" i="1"/>
  <c r="AI152" i="1" a="1"/>
  <c r="AI152" i="1" s="1"/>
  <c r="AI128" i="1" a="1"/>
  <c r="AI128" i="1" s="1"/>
  <c r="AI109" i="1" a="1"/>
  <c r="AI109" i="1" s="1"/>
  <c r="AI110" i="1" a="1"/>
  <c r="AI110" i="1"/>
  <c r="AI111" i="1" a="1"/>
  <c r="AI111" i="1" s="1"/>
  <c r="AI112" i="1" a="1"/>
  <c r="AI112" i="1"/>
  <c r="AI113" i="1" a="1"/>
  <c r="AI113" i="1" s="1"/>
  <c r="AI114" i="1" a="1"/>
  <c r="AI114" i="1"/>
  <c r="AI115" i="1" a="1"/>
  <c r="AI115" i="1" s="1"/>
  <c r="AI116" i="1" a="1"/>
  <c r="AI116" i="1"/>
  <c r="AI117" i="1" a="1"/>
  <c r="AI117" i="1" s="1"/>
  <c r="AI118" i="1" a="1"/>
  <c r="AI118" i="1"/>
  <c r="AI119" i="1" a="1"/>
  <c r="AI119" i="1" s="1"/>
  <c r="AI120" i="1" a="1"/>
  <c r="AI120" i="1"/>
  <c r="AI121" i="1" a="1"/>
  <c r="AI121" i="1" s="1"/>
  <c r="AI122" i="1" a="1"/>
  <c r="AI122" i="1"/>
  <c r="AI123" i="1" a="1"/>
  <c r="AI123" i="1" s="1"/>
  <c r="AI124" i="1" a="1"/>
  <c r="AI124" i="1"/>
  <c r="AI125" i="1" a="1"/>
  <c r="AI125" i="1" s="1"/>
  <c r="AI126" i="1" a="1"/>
  <c r="AI126" i="1"/>
  <c r="AI54" i="1" a="1"/>
  <c r="AI54" i="1"/>
  <c r="AI55" i="1" a="1"/>
  <c r="AI55" i="1" s="1"/>
  <c r="AI56" i="1" a="1"/>
  <c r="AI56" i="1"/>
  <c r="AI57" i="1" a="1"/>
  <c r="AI57" i="1" s="1"/>
  <c r="AI58" i="1" a="1"/>
  <c r="AI58" i="1"/>
  <c r="AI59" i="1" a="1"/>
  <c r="AI59" i="1" s="1"/>
  <c r="AI60" i="1" a="1"/>
  <c r="AI60" i="1"/>
  <c r="AI61" i="1" a="1"/>
  <c r="AI61" i="1" s="1"/>
  <c r="AI62" i="1" a="1"/>
  <c r="AI62" i="1"/>
  <c r="AI63" i="1" a="1"/>
  <c r="AI63" i="1" s="1"/>
  <c r="AI64" i="1" a="1"/>
  <c r="AI64" i="1"/>
  <c r="AI65" i="1" a="1"/>
  <c r="AI65" i="1" s="1"/>
  <c r="AI66" i="1" a="1"/>
  <c r="AI66" i="1"/>
  <c r="AI67" i="1" a="1"/>
  <c r="AI67" i="1" s="1"/>
  <c r="AI68" i="1" a="1"/>
  <c r="AI68" i="1"/>
  <c r="AI69" i="1" a="1"/>
  <c r="AI69" i="1" s="1"/>
  <c r="AI70" i="1" a="1"/>
  <c r="AI70" i="1"/>
  <c r="AI71" i="1" a="1"/>
  <c r="AI71" i="1" s="1"/>
  <c r="AI72" i="1" a="1"/>
  <c r="AI72" i="1"/>
  <c r="AI73" i="1" a="1"/>
  <c r="AI73" i="1" s="1"/>
  <c r="AI74" i="1" a="1"/>
  <c r="AI74" i="1"/>
  <c r="AI75" i="1" a="1"/>
  <c r="AI75" i="1" s="1"/>
  <c r="AI76" i="1" a="1"/>
  <c r="AI76" i="1"/>
  <c r="AI77" i="1" a="1"/>
  <c r="AI77" i="1" s="1"/>
  <c r="AI78" i="1" a="1"/>
  <c r="AI78" i="1"/>
  <c r="AI79" i="1" a="1"/>
  <c r="AI79" i="1" s="1"/>
  <c r="AI80" i="1" a="1"/>
  <c r="AI80" i="1"/>
  <c r="AI81" i="1" a="1"/>
  <c r="AI81" i="1" s="1"/>
  <c r="AI82" i="1" a="1"/>
  <c r="AI82" i="1"/>
  <c r="AI83" i="1" a="1"/>
  <c r="AI83" i="1" s="1"/>
  <c r="AI84" i="1" a="1"/>
  <c r="AI84" i="1"/>
  <c r="AI85" i="1" a="1"/>
  <c r="AI85" i="1" s="1"/>
  <c r="AI86" i="1" a="1"/>
  <c r="AI86" i="1"/>
  <c r="AI87" i="1" a="1"/>
  <c r="AI87" i="1" s="1"/>
  <c r="AI88" i="1" a="1"/>
  <c r="AI88" i="1"/>
  <c r="AI89" i="1" a="1"/>
  <c r="AI89" i="1" s="1"/>
  <c r="AI90" i="1" a="1"/>
  <c r="AI90" i="1"/>
  <c r="AI91" i="1" a="1"/>
  <c r="AI91" i="1" s="1"/>
  <c r="AI92" i="1" a="1"/>
  <c r="AI92" i="1"/>
  <c r="AI93" i="1" a="1"/>
  <c r="AI93" i="1" s="1"/>
  <c r="AI94" i="1" a="1"/>
  <c r="AI94" i="1"/>
  <c r="AI95" i="1" a="1"/>
  <c r="AI95" i="1" s="1"/>
  <c r="AI96" i="1" a="1"/>
  <c r="AI96" i="1"/>
  <c r="AI97" i="1" a="1"/>
  <c r="AI97" i="1" s="1"/>
  <c r="AI98" i="1" a="1"/>
  <c r="AI98" i="1"/>
  <c r="AI99" i="1" a="1"/>
  <c r="AI99" i="1" s="1"/>
  <c r="AI100" i="1" a="1"/>
  <c r="AI100" i="1"/>
  <c r="AI101" i="1" a="1"/>
  <c r="AI101" i="1" s="1"/>
  <c r="AI102" i="1" a="1"/>
  <c r="AI102" i="1"/>
  <c r="AI103" i="1" a="1"/>
  <c r="AI103" i="1" s="1"/>
  <c r="AI104" i="1" a="1"/>
  <c r="AI104" i="1"/>
  <c r="AI105" i="1" a="1"/>
  <c r="AI105" i="1" s="1"/>
  <c r="AI106" i="1" a="1"/>
  <c r="AI106" i="1"/>
  <c r="AI107" i="1" a="1"/>
  <c r="AI107" i="1" s="1"/>
  <c r="AI108" i="1" a="1"/>
  <c r="AI108" i="1"/>
  <c r="AI53" i="1" a="1"/>
  <c r="AI53" i="1" s="1"/>
  <c r="AI33" i="1" a="1"/>
  <c r="AI33" i="1" s="1"/>
  <c r="AI34" i="1" a="1"/>
  <c r="AI34" i="1"/>
  <c r="AI35" i="1" a="1"/>
  <c r="AI35" i="1" s="1"/>
  <c r="AI36" i="1" a="1"/>
  <c r="AI36" i="1"/>
  <c r="AI37" i="1" a="1"/>
  <c r="AI37" i="1" s="1"/>
  <c r="AI38" i="1" a="1"/>
  <c r="AI38" i="1"/>
  <c r="AI39" i="1" a="1"/>
  <c r="AI39" i="1" s="1"/>
  <c r="AI41" i="1" a="1"/>
  <c r="AI41" i="1" s="1"/>
  <c r="AI42" i="1" a="1"/>
  <c r="AI42" i="1"/>
  <c r="AI44" i="1" a="1"/>
  <c r="AI44" i="1"/>
  <c r="AI32" i="1" a="1"/>
  <c r="AI32" i="1" s="1"/>
  <c r="AI21" i="1" a="1"/>
  <c r="AI21" i="1" s="1"/>
  <c r="AI22" i="1" a="1"/>
  <c r="AI22" i="1"/>
  <c r="AI23" i="1" a="1"/>
  <c r="AI23" i="1" s="1"/>
  <c r="AI24" i="1" a="1"/>
  <c r="AI24" i="1"/>
  <c r="AI25" i="1" a="1"/>
  <c r="AI25" i="1" s="1"/>
  <c r="AI27" i="1" a="1"/>
  <c r="AI27" i="1" s="1"/>
  <c r="AI28" i="1" a="1"/>
  <c r="AI28" i="1"/>
  <c r="AI19" i="1" a="1"/>
  <c r="AI19" i="1" s="1"/>
  <c r="AI18" i="1" a="1"/>
  <c r="AI18" i="1" s="1"/>
  <c r="AI17" i="1" a="1"/>
  <c r="AI17" i="1" s="1"/>
  <c r="AI16" i="1" a="1"/>
  <c r="AI16" i="1" s="1"/>
  <c r="AI15" i="1" a="1"/>
  <c r="AI15" i="1" s="1"/>
  <c r="AI14" i="1" a="1"/>
  <c r="AI14" i="1" s="1"/>
  <c r="AI3" i="1" a="1"/>
  <c r="AI3" i="1" s="1"/>
  <c r="AI4" i="1" a="1"/>
  <c r="AI4" i="1"/>
  <c r="AI5" i="1" a="1"/>
  <c r="AI5" i="1" s="1"/>
  <c r="AI6" i="1" a="1"/>
  <c r="AI6" i="1"/>
  <c r="AI7" i="1" a="1"/>
  <c r="AI7" i="1" s="1"/>
  <c r="AI8" i="1" a="1"/>
  <c r="AI8" i="1"/>
  <c r="AI9" i="1" a="1"/>
  <c r="AI9" i="1" s="1"/>
  <c r="AI10" i="1" a="1"/>
  <c r="AI10" i="1"/>
  <c r="AI2" i="1" a="1"/>
  <c r="AI2" i="1" s="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3" i="1"/>
  <c r="J4" i="1"/>
  <c r="J5" i="1"/>
  <c r="J6" i="1"/>
  <c r="J7" i="1"/>
  <c r="J8" i="1"/>
  <c r="J9" i="1"/>
  <c r="J10" i="1"/>
  <c r="J2" i="1"/>
  <c r="S179" i="7"/>
  <c r="S178" i="7"/>
  <c r="S177" i="7"/>
  <c r="S176" i="7"/>
  <c r="S175" i="7"/>
  <c r="S174" i="7"/>
  <c r="S173" i="7"/>
  <c r="S172" i="7"/>
  <c r="S171" i="7"/>
  <c r="S170" i="7"/>
  <c r="S169" i="7"/>
  <c r="S168" i="7"/>
  <c r="S167" i="7"/>
  <c r="S166" i="7"/>
  <c r="S165" i="7"/>
  <c r="S164" i="7"/>
  <c r="S163" i="7"/>
  <c r="S162" i="7"/>
  <c r="S161" i="7"/>
  <c r="S160" i="7"/>
  <c r="S159" i="7"/>
  <c r="S158" i="7"/>
  <c r="S157" i="7"/>
  <c r="S156" i="7"/>
  <c r="S155" i="7"/>
  <c r="S154" i="7"/>
  <c r="S153" i="7"/>
  <c r="S152" i="7"/>
  <c r="S151" i="7"/>
  <c r="S150" i="7"/>
  <c r="S149" i="7"/>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S2" i="7"/>
  <c r="E109" i="4"/>
  <c r="F108" i="4" s="1"/>
  <c r="F106" i="4"/>
  <c r="F105" i="4"/>
  <c r="F104" i="4"/>
  <c r="B27" i="4"/>
  <c r="F106" i="3"/>
  <c r="P106" i="3" s="1"/>
  <c r="F105" i="3"/>
  <c r="F104" i="3"/>
  <c r="F103" i="3"/>
  <c r="P103" i="3" s="1"/>
  <c r="F102" i="3"/>
  <c r="F101" i="3"/>
  <c r="F100" i="3"/>
  <c r="F99" i="3"/>
  <c r="F98" i="3"/>
  <c r="F97" i="3"/>
  <c r="F96" i="3"/>
  <c r="F95" i="3"/>
  <c r="F94" i="3"/>
  <c r="F93" i="3"/>
  <c r="F92" i="3"/>
  <c r="F91" i="3"/>
  <c r="F90" i="3"/>
  <c r="P90" i="3" s="1"/>
  <c r="F89" i="3"/>
  <c r="F88" i="3"/>
  <c r="F87" i="3"/>
  <c r="F86" i="3"/>
  <c r="F85" i="3"/>
  <c r="F84" i="3"/>
  <c r="F83" i="3"/>
  <c r="F82" i="3"/>
  <c r="F81" i="3"/>
  <c r="O81" i="3" s="1"/>
  <c r="F80" i="3"/>
  <c r="F79" i="3"/>
  <c r="F78" i="3"/>
  <c r="F77" i="3"/>
  <c r="F76" i="3"/>
  <c r="F75" i="3"/>
  <c r="F74" i="3"/>
  <c r="F73" i="3"/>
  <c r="P73" i="3" s="1"/>
  <c r="F72" i="3"/>
  <c r="F71" i="3"/>
  <c r="P71" i="3" s="1"/>
  <c r="F70" i="3"/>
  <c r="F69" i="3"/>
  <c r="F68" i="3"/>
  <c r="F67" i="3"/>
  <c r="F66" i="3"/>
  <c r="F65" i="3"/>
  <c r="F64" i="3"/>
  <c r="F63" i="3"/>
  <c r="F62" i="3"/>
  <c r="F61" i="3"/>
  <c r="F60" i="3"/>
  <c r="F59" i="3"/>
  <c r="F58" i="3"/>
  <c r="F57" i="3"/>
  <c r="E57" i="3"/>
  <c r="F56" i="3"/>
  <c r="P56" i="3" s="1"/>
  <c r="E56" i="3"/>
  <c r="F55" i="3"/>
  <c r="E55" i="3"/>
  <c r="F54" i="3"/>
  <c r="E54" i="3"/>
  <c r="F53" i="3"/>
  <c r="E53" i="3"/>
  <c r="F52" i="3"/>
  <c r="E52" i="3"/>
  <c r="F51" i="3"/>
  <c r="E51" i="3"/>
  <c r="F50" i="3"/>
  <c r="E50" i="3"/>
  <c r="F49" i="3"/>
  <c r="E49" i="3"/>
  <c r="F48" i="3"/>
  <c r="E48" i="3"/>
  <c r="F47" i="3"/>
  <c r="E47" i="3"/>
  <c r="F46" i="3"/>
  <c r="E46" i="3"/>
  <c r="F45" i="3"/>
  <c r="E45" i="3"/>
  <c r="F44" i="3"/>
  <c r="E44" i="3"/>
  <c r="F43" i="3"/>
  <c r="E43" i="3"/>
  <c r="F42" i="3"/>
  <c r="E42" i="3"/>
  <c r="F41" i="3"/>
  <c r="E41" i="3"/>
  <c r="F40" i="3"/>
  <c r="E40" i="3"/>
  <c r="F39" i="3"/>
  <c r="E39" i="3"/>
  <c r="F38" i="3"/>
  <c r="E38" i="3"/>
  <c r="F37" i="3"/>
  <c r="E37" i="3"/>
  <c r="F36" i="3"/>
  <c r="E36" i="3"/>
  <c r="F35" i="3"/>
  <c r="E35" i="3"/>
  <c r="F34" i="3"/>
  <c r="E34" i="3"/>
  <c r="F33" i="3"/>
  <c r="E33" i="3"/>
  <c r="F32" i="3"/>
  <c r="E32" i="3"/>
  <c r="F31" i="3"/>
  <c r="E31" i="3"/>
  <c r="F30" i="3"/>
  <c r="E30" i="3"/>
  <c r="F29" i="3"/>
  <c r="E29" i="3"/>
  <c r="F28" i="3"/>
  <c r="E28" i="3"/>
  <c r="F27" i="3"/>
  <c r="E27" i="3"/>
  <c r="F26" i="3"/>
  <c r="O26" i="3" s="1"/>
  <c r="E26" i="3"/>
  <c r="F25" i="3"/>
  <c r="E25" i="3"/>
  <c r="F24" i="3"/>
  <c r="E24" i="3"/>
  <c r="F23" i="3"/>
  <c r="P23" i="3" s="1"/>
  <c r="E23" i="3"/>
  <c r="F22" i="3"/>
  <c r="E22" i="3"/>
  <c r="F21" i="3"/>
  <c r="E21" i="3"/>
  <c r="F20" i="3"/>
  <c r="E20" i="3"/>
  <c r="F19" i="3"/>
  <c r="E19" i="3"/>
  <c r="F18" i="3"/>
  <c r="E18" i="3"/>
  <c r="F17" i="3"/>
  <c r="E17" i="3"/>
  <c r="F16" i="3"/>
  <c r="E16" i="3"/>
  <c r="F15" i="3"/>
  <c r="E15" i="3"/>
  <c r="F14" i="3"/>
  <c r="E14" i="3"/>
  <c r="F13" i="3"/>
  <c r="E13" i="3"/>
  <c r="F12" i="3"/>
  <c r="E12" i="3"/>
  <c r="F11" i="3"/>
  <c r="O11" i="3" s="1"/>
  <c r="E11" i="3"/>
  <c r="F10" i="3"/>
  <c r="O10" i="3" s="1"/>
  <c r="E10" i="3"/>
  <c r="F9" i="3"/>
  <c r="E9" i="3"/>
  <c r="F8" i="3"/>
  <c r="E8" i="3"/>
  <c r="F7" i="3"/>
  <c r="P7" i="3" s="1"/>
  <c r="E7" i="3"/>
  <c r="F6" i="3"/>
  <c r="E6" i="3"/>
  <c r="F5" i="3"/>
  <c r="E5" i="3"/>
  <c r="F4" i="3"/>
  <c r="E4" i="3"/>
  <c r="F3" i="3"/>
  <c r="E3" i="3"/>
  <c r="F2" i="3"/>
  <c r="O2" i="3" s="1"/>
  <c r="E2" i="3"/>
  <c r="AR235" i="1" s="1"/>
  <c r="Z427" i="2"/>
  <c r="X427" i="2"/>
  <c r="Y427" i="2" s="1"/>
  <c r="Q427" i="2"/>
  <c r="E427" i="2"/>
  <c r="Z426" i="2"/>
  <c r="Y426" i="2"/>
  <c r="X426" i="2"/>
  <c r="Q426" i="2"/>
  <c r="E426" i="2"/>
  <c r="Z425" i="2"/>
  <c r="X425" i="2"/>
  <c r="Y425" i="2" s="1"/>
  <c r="Q425" i="2"/>
  <c r="E425" i="2"/>
  <c r="Z424" i="2"/>
  <c r="Y424" i="2"/>
  <c r="X424" i="2"/>
  <c r="Q424" i="2"/>
  <c r="E424" i="2"/>
  <c r="Z423" i="2"/>
  <c r="X423" i="2"/>
  <c r="Q423" i="2"/>
  <c r="E423" i="2"/>
  <c r="Z422" i="2"/>
  <c r="X422" i="2"/>
  <c r="Q422" i="2"/>
  <c r="E422" i="2"/>
  <c r="Y422" i="2" s="1"/>
  <c r="Z421" i="2"/>
  <c r="X421" i="2"/>
  <c r="Y421" i="2" s="1"/>
  <c r="Q421" i="2"/>
  <c r="E421" i="2"/>
  <c r="Z420" i="2"/>
  <c r="X420" i="2"/>
  <c r="Y420" i="2" s="1"/>
  <c r="Q420" i="2"/>
  <c r="E420" i="2"/>
  <c r="Z419" i="2"/>
  <c r="X419" i="2"/>
  <c r="Y419" i="2" s="1"/>
  <c r="Q419" i="2"/>
  <c r="E419" i="2"/>
  <c r="Z418" i="2"/>
  <c r="Y418" i="2"/>
  <c r="X418" i="2"/>
  <c r="Q418" i="2"/>
  <c r="E418" i="2"/>
  <c r="Z417" i="2"/>
  <c r="X417" i="2"/>
  <c r="Y417" i="2" s="1"/>
  <c r="Q417" i="2"/>
  <c r="E417" i="2"/>
  <c r="Z416" i="2"/>
  <c r="X416" i="2"/>
  <c r="Y416" i="2" s="1"/>
  <c r="Q416" i="2"/>
  <c r="E416" i="2"/>
  <c r="Z415" i="2"/>
  <c r="X415" i="2"/>
  <c r="Y415" i="2" s="1"/>
  <c r="Q415" i="2"/>
  <c r="E415" i="2"/>
  <c r="Z414" i="2"/>
  <c r="Y414" i="2"/>
  <c r="X414" i="2"/>
  <c r="Q414" i="2"/>
  <c r="E414" i="2"/>
  <c r="Z413" i="2"/>
  <c r="X413" i="2"/>
  <c r="Y413" i="2" s="1"/>
  <c r="Q413" i="2"/>
  <c r="E413" i="2"/>
  <c r="Z412" i="2"/>
  <c r="Y412" i="2"/>
  <c r="X412" i="2"/>
  <c r="Q412" i="2"/>
  <c r="E412" i="2"/>
  <c r="Z411" i="2"/>
  <c r="X411" i="2"/>
  <c r="Y411" i="2" s="1"/>
  <c r="Q411" i="2"/>
  <c r="E411" i="2"/>
  <c r="Z410" i="2"/>
  <c r="Y410" i="2"/>
  <c r="X410" i="2"/>
  <c r="Q410" i="2"/>
  <c r="E410" i="2"/>
  <c r="Z409" i="2"/>
  <c r="X409" i="2"/>
  <c r="Q409" i="2"/>
  <c r="E409" i="2"/>
  <c r="Z408" i="2"/>
  <c r="X408" i="2"/>
  <c r="Y408" i="2" s="1"/>
  <c r="Q408" i="2"/>
  <c r="E408" i="2"/>
  <c r="Z407" i="2"/>
  <c r="Y407" i="2"/>
  <c r="X407" i="2"/>
  <c r="Q407" i="2"/>
  <c r="E407" i="2"/>
  <c r="Z406" i="2"/>
  <c r="Y406" i="2"/>
  <c r="X406" i="2"/>
  <c r="Q406" i="2"/>
  <c r="E406" i="2"/>
  <c r="Z405" i="2"/>
  <c r="X405" i="2"/>
  <c r="Y405" i="2" s="1"/>
  <c r="Q405" i="2"/>
  <c r="E405" i="2"/>
  <c r="Z404" i="2"/>
  <c r="X404" i="2"/>
  <c r="Y404" i="2" s="1"/>
  <c r="Q404" i="2"/>
  <c r="E404" i="2"/>
  <c r="Z403" i="2"/>
  <c r="X403" i="2"/>
  <c r="Y403" i="2" s="1"/>
  <c r="Q403" i="2"/>
  <c r="E403" i="2"/>
  <c r="Z402" i="2"/>
  <c r="Y402" i="2"/>
  <c r="X402" i="2"/>
  <c r="Q402" i="2"/>
  <c r="E402" i="2"/>
  <c r="Z401" i="2"/>
  <c r="X401" i="2"/>
  <c r="Y401" i="2" s="1"/>
  <c r="Q401" i="2"/>
  <c r="E401" i="2"/>
  <c r="Z400" i="2"/>
  <c r="X400" i="2"/>
  <c r="Q400" i="2"/>
  <c r="E400" i="2"/>
  <c r="Z399" i="2"/>
  <c r="X399" i="2"/>
  <c r="Y399" i="2" s="1"/>
  <c r="Q399" i="2"/>
  <c r="E399" i="2"/>
  <c r="Z398" i="2"/>
  <c r="Y398" i="2"/>
  <c r="X398" i="2"/>
  <c r="Q398" i="2"/>
  <c r="E398" i="2"/>
  <c r="Z397" i="2"/>
  <c r="X397" i="2"/>
  <c r="Y397" i="2" s="1"/>
  <c r="Q397" i="2"/>
  <c r="E397" i="2"/>
  <c r="Z396" i="2"/>
  <c r="Y396" i="2"/>
  <c r="X396" i="2"/>
  <c r="Q396" i="2"/>
  <c r="E396" i="2"/>
  <c r="Z395" i="2"/>
  <c r="X395" i="2"/>
  <c r="Y395" i="2" s="1"/>
  <c r="Q395" i="2"/>
  <c r="E395" i="2"/>
  <c r="Z394" i="2"/>
  <c r="Y394" i="2"/>
  <c r="X394" i="2"/>
  <c r="Q394" i="2"/>
  <c r="E394" i="2"/>
  <c r="Z393" i="2"/>
  <c r="X393" i="2"/>
  <c r="Y393" i="2" s="1"/>
  <c r="Q393" i="2"/>
  <c r="E393" i="2"/>
  <c r="Z392" i="2"/>
  <c r="X392" i="2"/>
  <c r="Y392" i="2" s="1"/>
  <c r="Q392" i="2"/>
  <c r="E392" i="2"/>
  <c r="Z391" i="2"/>
  <c r="Y391" i="2"/>
  <c r="X391" i="2"/>
  <c r="Q391" i="2"/>
  <c r="E391" i="2"/>
  <c r="Z390" i="2"/>
  <c r="Y390" i="2"/>
  <c r="X390" i="2"/>
  <c r="Q390" i="2"/>
  <c r="E390" i="2"/>
  <c r="Z389" i="2"/>
  <c r="X389" i="2"/>
  <c r="Y389" i="2" s="1"/>
  <c r="Q389" i="2"/>
  <c r="E389" i="2"/>
  <c r="Z388" i="2"/>
  <c r="X388" i="2"/>
  <c r="Y388" i="2" s="1"/>
  <c r="Q388" i="2"/>
  <c r="E388" i="2"/>
  <c r="Z387" i="2"/>
  <c r="X387" i="2"/>
  <c r="Y387" i="2" s="1"/>
  <c r="Q387" i="2"/>
  <c r="E387" i="2"/>
  <c r="Z386" i="2"/>
  <c r="Y386" i="2"/>
  <c r="X386" i="2"/>
  <c r="Q386" i="2"/>
  <c r="E386" i="2"/>
  <c r="Z385" i="2"/>
  <c r="X385" i="2"/>
  <c r="Q385" i="2"/>
  <c r="E385" i="2"/>
  <c r="Z384" i="2"/>
  <c r="X384" i="2"/>
  <c r="Y384" i="2" s="1"/>
  <c r="Q384" i="2"/>
  <c r="E384" i="2"/>
  <c r="Z383" i="2"/>
  <c r="X383" i="2"/>
  <c r="Y383" i="2" s="1"/>
  <c r="Q383" i="2"/>
  <c r="E383" i="2"/>
  <c r="Z382" i="2"/>
  <c r="Y382" i="2"/>
  <c r="X382" i="2"/>
  <c r="Q382" i="2"/>
  <c r="E382" i="2"/>
  <c r="Z381" i="2"/>
  <c r="X381" i="2"/>
  <c r="Y381" i="2" s="1"/>
  <c r="Q381" i="2"/>
  <c r="E381" i="2"/>
  <c r="Z380" i="2"/>
  <c r="Y380" i="2"/>
  <c r="X380" i="2"/>
  <c r="Q380" i="2"/>
  <c r="E380" i="2"/>
  <c r="Z379" i="2"/>
  <c r="X379" i="2"/>
  <c r="Y379" i="2" s="1"/>
  <c r="Q379" i="2"/>
  <c r="E379" i="2"/>
  <c r="Z378" i="2"/>
  <c r="Y378" i="2"/>
  <c r="X378" i="2"/>
  <c r="Q378" i="2"/>
  <c r="E378" i="2"/>
  <c r="Z377" i="2"/>
  <c r="X377" i="2"/>
  <c r="Y377" i="2" s="1"/>
  <c r="Q377" i="2"/>
  <c r="E377" i="2"/>
  <c r="Z376" i="2"/>
  <c r="X376" i="2"/>
  <c r="Y376" i="2" s="1"/>
  <c r="Q376" i="2"/>
  <c r="E376" i="2"/>
  <c r="Z375" i="2"/>
  <c r="Y375" i="2"/>
  <c r="X375" i="2"/>
  <c r="Q375" i="2"/>
  <c r="E375" i="2"/>
  <c r="Z374" i="2"/>
  <c r="Y374" i="2"/>
  <c r="X374" i="2"/>
  <c r="Q374" i="2"/>
  <c r="E374" i="2"/>
  <c r="Z373" i="2"/>
  <c r="X373" i="2"/>
  <c r="Y373" i="2" s="1"/>
  <c r="Q373" i="2"/>
  <c r="E373" i="2"/>
  <c r="Z372" i="2"/>
  <c r="X372" i="2"/>
  <c r="Y372" i="2" s="1"/>
  <c r="Q372" i="2"/>
  <c r="E372" i="2"/>
  <c r="Z371" i="2"/>
  <c r="X371" i="2"/>
  <c r="Y371" i="2" s="1"/>
  <c r="Q371" i="2"/>
  <c r="E371" i="2"/>
  <c r="Z370" i="2"/>
  <c r="Y370" i="2"/>
  <c r="X370" i="2"/>
  <c r="Q370" i="2"/>
  <c r="E370" i="2"/>
  <c r="Z369" i="2"/>
  <c r="X369" i="2"/>
  <c r="Q369" i="2"/>
  <c r="E369" i="2"/>
  <c r="Z368" i="2"/>
  <c r="X368" i="2"/>
  <c r="Y368" i="2" s="1"/>
  <c r="Q368" i="2"/>
  <c r="E368" i="2"/>
  <c r="Z367" i="2"/>
  <c r="X367" i="2"/>
  <c r="Q367" i="2"/>
  <c r="E367" i="2"/>
  <c r="Z366" i="2"/>
  <c r="Y366" i="2"/>
  <c r="X366" i="2"/>
  <c r="Q366" i="2"/>
  <c r="E366" i="2"/>
  <c r="Z365" i="2"/>
  <c r="X365" i="2"/>
  <c r="Y365" i="2" s="1"/>
  <c r="Q365" i="2"/>
  <c r="E365" i="2"/>
  <c r="Z364" i="2"/>
  <c r="Y364" i="2"/>
  <c r="X364" i="2"/>
  <c r="Q364" i="2"/>
  <c r="E364" i="2"/>
  <c r="Z363" i="2"/>
  <c r="X363" i="2"/>
  <c r="Y363" i="2" s="1"/>
  <c r="Q363" i="2"/>
  <c r="E363" i="2"/>
  <c r="Z362" i="2"/>
  <c r="Y362" i="2"/>
  <c r="X362" i="2"/>
  <c r="Q362" i="2"/>
  <c r="E362" i="2"/>
  <c r="Z361" i="2"/>
  <c r="X361" i="2"/>
  <c r="Y361" i="2" s="1"/>
  <c r="Q361" i="2"/>
  <c r="E361" i="2"/>
  <c r="Z360" i="2"/>
  <c r="X360" i="2"/>
  <c r="Y360" i="2" s="1"/>
  <c r="Q360" i="2"/>
  <c r="E360" i="2"/>
  <c r="Z359" i="2"/>
  <c r="Y359" i="2"/>
  <c r="X359" i="2"/>
  <c r="Q359" i="2"/>
  <c r="E359" i="2"/>
  <c r="Z358" i="2"/>
  <c r="X358" i="2"/>
  <c r="Q358" i="2"/>
  <c r="E358" i="2"/>
  <c r="Y358" i="2" s="1"/>
  <c r="Z357" i="2"/>
  <c r="X357" i="2"/>
  <c r="Y357" i="2" s="1"/>
  <c r="Q357" i="2"/>
  <c r="E357" i="2"/>
  <c r="Z356" i="2"/>
  <c r="X356" i="2"/>
  <c r="Y356" i="2" s="1"/>
  <c r="Q356" i="2"/>
  <c r="E356" i="2"/>
  <c r="Z355" i="2"/>
  <c r="X355" i="2"/>
  <c r="Y355" i="2" s="1"/>
  <c r="Q355" i="2"/>
  <c r="E355" i="2"/>
  <c r="Z354" i="2"/>
  <c r="Y354" i="2"/>
  <c r="X354" i="2"/>
  <c r="Q354" i="2"/>
  <c r="E354" i="2"/>
  <c r="Z353" i="2"/>
  <c r="X353" i="2"/>
  <c r="Y353" i="2" s="1"/>
  <c r="Q353" i="2"/>
  <c r="E353" i="2"/>
  <c r="Z352" i="2"/>
  <c r="X352" i="2"/>
  <c r="Y352" i="2" s="1"/>
  <c r="Q352" i="2"/>
  <c r="E352" i="2"/>
  <c r="Z351" i="2"/>
  <c r="X351" i="2"/>
  <c r="Y351" i="2" s="1"/>
  <c r="Q351" i="2"/>
  <c r="E351" i="2"/>
  <c r="Z350" i="2"/>
  <c r="Y350" i="2"/>
  <c r="X350" i="2"/>
  <c r="Q350" i="2"/>
  <c r="E350" i="2"/>
  <c r="Z349" i="2"/>
  <c r="X349" i="2"/>
  <c r="Y349" i="2" s="1"/>
  <c r="Q349" i="2"/>
  <c r="E349" i="2"/>
  <c r="Z348" i="2"/>
  <c r="Y348" i="2"/>
  <c r="X348" i="2"/>
  <c r="Q348" i="2"/>
  <c r="E348" i="2"/>
  <c r="Z347" i="2"/>
  <c r="X347" i="2"/>
  <c r="Y347" i="2" s="1"/>
  <c r="Q347" i="2"/>
  <c r="E347" i="2"/>
  <c r="Z346" i="2"/>
  <c r="Y346" i="2"/>
  <c r="X346" i="2"/>
  <c r="Q346" i="2"/>
  <c r="E346" i="2"/>
  <c r="Z345" i="2"/>
  <c r="X345" i="2"/>
  <c r="Y345" i="2" s="1"/>
  <c r="Q345" i="2"/>
  <c r="E345" i="2"/>
  <c r="Z344" i="2"/>
  <c r="X344" i="2"/>
  <c r="Y344" i="2" s="1"/>
  <c r="Q344" i="2"/>
  <c r="E344" i="2"/>
  <c r="Z343" i="2"/>
  <c r="Y343" i="2"/>
  <c r="X343" i="2"/>
  <c r="Q343" i="2"/>
  <c r="E343" i="2"/>
  <c r="Z342" i="2"/>
  <c r="Y342" i="2"/>
  <c r="X342" i="2"/>
  <c r="Q342" i="2"/>
  <c r="E342" i="2"/>
  <c r="Z341" i="2"/>
  <c r="X341" i="2"/>
  <c r="Y341" i="2" s="1"/>
  <c r="Q341" i="2"/>
  <c r="E341" i="2"/>
  <c r="Z340" i="2"/>
  <c r="X340" i="2"/>
  <c r="Y340" i="2" s="1"/>
  <c r="Q340" i="2"/>
  <c r="E340" i="2"/>
  <c r="Z339" i="2"/>
  <c r="X339" i="2"/>
  <c r="Y339" i="2" s="1"/>
  <c r="Q339" i="2"/>
  <c r="E339" i="2"/>
  <c r="Z338" i="2"/>
  <c r="Y338" i="2"/>
  <c r="X338" i="2"/>
  <c r="Q338" i="2"/>
  <c r="E338" i="2"/>
  <c r="Z337" i="2"/>
  <c r="X337" i="2"/>
  <c r="Y337" i="2" s="1"/>
  <c r="Q337" i="2"/>
  <c r="E337" i="2"/>
  <c r="Z336" i="2"/>
  <c r="X336" i="2"/>
  <c r="Y336" i="2" s="1"/>
  <c r="Q336" i="2"/>
  <c r="E336" i="2"/>
  <c r="Z335" i="2"/>
  <c r="X335" i="2"/>
  <c r="Q335" i="2"/>
  <c r="E335" i="2"/>
  <c r="Z334" i="2"/>
  <c r="Y334" i="2"/>
  <c r="X334" i="2"/>
  <c r="Q334" i="2"/>
  <c r="E334" i="2"/>
  <c r="Z333" i="2"/>
  <c r="X333" i="2"/>
  <c r="Y333" i="2" s="1"/>
  <c r="Q333" i="2"/>
  <c r="E333" i="2"/>
  <c r="Z332" i="2"/>
  <c r="Y332" i="2"/>
  <c r="X332" i="2"/>
  <c r="Q332" i="2"/>
  <c r="E332" i="2"/>
  <c r="Z331" i="2"/>
  <c r="X331" i="2"/>
  <c r="Y331" i="2" s="1"/>
  <c r="Q331" i="2"/>
  <c r="E331" i="2"/>
  <c r="Z330" i="2"/>
  <c r="Y330" i="2"/>
  <c r="X330" i="2"/>
  <c r="Q330" i="2"/>
  <c r="E330" i="2"/>
  <c r="Z329" i="2"/>
  <c r="X329" i="2"/>
  <c r="Y329" i="2" s="1"/>
  <c r="Q329" i="2"/>
  <c r="E329" i="2"/>
  <c r="Z328" i="2"/>
  <c r="X328" i="2"/>
  <c r="Y328" i="2" s="1"/>
  <c r="Q328" i="2"/>
  <c r="E328" i="2"/>
  <c r="Z327" i="2"/>
  <c r="Y327" i="2"/>
  <c r="X327" i="2"/>
  <c r="Q327" i="2"/>
  <c r="E327" i="2"/>
  <c r="Z326" i="2"/>
  <c r="X326" i="2"/>
  <c r="Q326" i="2"/>
  <c r="E326" i="2"/>
  <c r="Y326" i="2" s="1"/>
  <c r="Z325" i="2"/>
  <c r="X325" i="2"/>
  <c r="Q325" i="2"/>
  <c r="E325" i="2"/>
  <c r="Z324" i="2"/>
  <c r="X324" i="2"/>
  <c r="Y324" i="2" s="1"/>
  <c r="Q324" i="2"/>
  <c r="E324" i="2"/>
  <c r="Z323" i="2"/>
  <c r="X323" i="2"/>
  <c r="Y323" i="2" s="1"/>
  <c r="Q323" i="2"/>
  <c r="E323" i="2"/>
  <c r="Z322" i="2"/>
  <c r="Y322" i="2"/>
  <c r="X322" i="2"/>
  <c r="Q322" i="2"/>
  <c r="E322" i="2"/>
  <c r="Z321" i="2"/>
  <c r="X321" i="2"/>
  <c r="Q321" i="2"/>
  <c r="E321" i="2"/>
  <c r="Z320" i="2"/>
  <c r="X320" i="2"/>
  <c r="Y320" i="2" s="1"/>
  <c r="Q320" i="2"/>
  <c r="E320" i="2"/>
  <c r="Z319" i="2"/>
  <c r="X319" i="2"/>
  <c r="Y319" i="2" s="1"/>
  <c r="Q319" i="2"/>
  <c r="E319" i="2"/>
  <c r="Z318" i="2"/>
  <c r="Y318" i="2"/>
  <c r="X318" i="2"/>
  <c r="Q318" i="2"/>
  <c r="E318" i="2"/>
  <c r="Z317" i="2"/>
  <c r="X317" i="2"/>
  <c r="Y317" i="2" s="1"/>
  <c r="Q317" i="2"/>
  <c r="E317" i="2"/>
  <c r="Z316" i="2"/>
  <c r="Y316" i="2"/>
  <c r="X316" i="2"/>
  <c r="Q316" i="2"/>
  <c r="E316" i="2"/>
  <c r="Z315" i="2"/>
  <c r="X315" i="2"/>
  <c r="Y315" i="2" s="1"/>
  <c r="Q315" i="2"/>
  <c r="E315" i="2"/>
  <c r="Z314" i="2"/>
  <c r="Y314" i="2"/>
  <c r="X314" i="2"/>
  <c r="Q314" i="2"/>
  <c r="E314" i="2"/>
  <c r="Z313" i="2"/>
  <c r="X313" i="2"/>
  <c r="Y313" i="2" s="1"/>
  <c r="Q313" i="2"/>
  <c r="E313" i="2"/>
  <c r="Z312" i="2"/>
  <c r="Y312" i="2"/>
  <c r="X312" i="2"/>
  <c r="Q312" i="2"/>
  <c r="E312" i="2"/>
  <c r="Z311" i="2"/>
  <c r="X311" i="2"/>
  <c r="Y311" i="2" s="1"/>
  <c r="Q311" i="2"/>
  <c r="E311" i="2"/>
  <c r="Z310" i="2"/>
  <c r="X310" i="2"/>
  <c r="Q310" i="2"/>
  <c r="E310" i="2"/>
  <c r="Z309" i="2"/>
  <c r="X309" i="2"/>
  <c r="Q309" i="2"/>
  <c r="E309" i="2"/>
  <c r="Z308" i="2"/>
  <c r="Y308" i="2"/>
  <c r="X308" i="2"/>
  <c r="Q308" i="2"/>
  <c r="E308" i="2"/>
  <c r="Z307" i="2"/>
  <c r="X307" i="2"/>
  <c r="Y307" i="2" s="1"/>
  <c r="Q307" i="2"/>
  <c r="E307" i="2"/>
  <c r="Z306" i="2"/>
  <c r="X306" i="2"/>
  <c r="Y306" i="2" s="1"/>
  <c r="Q306" i="2"/>
  <c r="E306" i="2"/>
  <c r="Z305" i="2"/>
  <c r="X305" i="2"/>
  <c r="Y305" i="2" s="1"/>
  <c r="Q305" i="2"/>
  <c r="E305" i="2"/>
  <c r="Z304" i="2"/>
  <c r="Y304" i="2"/>
  <c r="X304" i="2"/>
  <c r="Q304" i="2"/>
  <c r="E304" i="2"/>
  <c r="Z303" i="2"/>
  <c r="X303" i="2"/>
  <c r="Y303" i="2" s="1"/>
  <c r="Q303" i="2"/>
  <c r="E303" i="2"/>
  <c r="Z302" i="2"/>
  <c r="X302" i="2"/>
  <c r="Y302" i="2" s="1"/>
  <c r="Q302" i="2"/>
  <c r="E302" i="2"/>
  <c r="Z301" i="2"/>
  <c r="X301" i="2"/>
  <c r="Q301" i="2"/>
  <c r="E301" i="2"/>
  <c r="Z300" i="2"/>
  <c r="Y300" i="2"/>
  <c r="X300" i="2"/>
  <c r="Q300" i="2"/>
  <c r="E300" i="2"/>
  <c r="Z299" i="2"/>
  <c r="X299" i="2"/>
  <c r="Y299" i="2" s="1"/>
  <c r="Q299" i="2"/>
  <c r="E299" i="2"/>
  <c r="Z298" i="2"/>
  <c r="X298" i="2"/>
  <c r="Y298" i="2" s="1"/>
  <c r="Q298" i="2"/>
  <c r="E298" i="2"/>
  <c r="Z297" i="2"/>
  <c r="X297" i="2"/>
  <c r="Q297" i="2"/>
  <c r="E297" i="2"/>
  <c r="Z296" i="2"/>
  <c r="Y296" i="2"/>
  <c r="X296" i="2"/>
  <c r="Q296" i="2"/>
  <c r="E296" i="2"/>
  <c r="Z295" i="2"/>
  <c r="X295" i="2"/>
  <c r="Y295" i="2" s="1"/>
  <c r="Q295" i="2"/>
  <c r="E295" i="2"/>
  <c r="Z294" i="2"/>
  <c r="X294" i="2"/>
  <c r="Y294" i="2" s="1"/>
  <c r="Q294" i="2"/>
  <c r="E294" i="2"/>
  <c r="Z293" i="2"/>
  <c r="X293" i="2"/>
  <c r="Y293" i="2" s="1"/>
  <c r="Q293" i="2"/>
  <c r="E293" i="2"/>
  <c r="Z292" i="2"/>
  <c r="Y292" i="2"/>
  <c r="X292" i="2"/>
  <c r="Q292" i="2"/>
  <c r="E292" i="2"/>
  <c r="Z291" i="2"/>
  <c r="X291" i="2"/>
  <c r="Y291" i="2" s="1"/>
  <c r="Q291" i="2"/>
  <c r="E291" i="2"/>
  <c r="Z290" i="2"/>
  <c r="X290" i="2"/>
  <c r="Y290" i="2" s="1"/>
  <c r="Q290" i="2"/>
  <c r="E290" i="2"/>
  <c r="Z289" i="2"/>
  <c r="X289" i="2"/>
  <c r="Y289" i="2" s="1"/>
  <c r="Q289" i="2"/>
  <c r="E289" i="2"/>
  <c r="Z288" i="2"/>
  <c r="Y288" i="2"/>
  <c r="X288" i="2"/>
  <c r="Q288" i="2"/>
  <c r="E288" i="2"/>
  <c r="Z287" i="2"/>
  <c r="X287" i="2"/>
  <c r="Y287" i="2" s="1"/>
  <c r="Q287" i="2"/>
  <c r="E287" i="2"/>
  <c r="Z286" i="2"/>
  <c r="X286" i="2"/>
  <c r="Y286" i="2" s="1"/>
  <c r="Q286" i="2"/>
  <c r="E286" i="2"/>
  <c r="Z285" i="2"/>
  <c r="X285" i="2"/>
  <c r="Y285" i="2" s="1"/>
  <c r="Q285" i="2"/>
  <c r="E285" i="2"/>
  <c r="Z284" i="2"/>
  <c r="Y284" i="2"/>
  <c r="X284" i="2"/>
  <c r="Q284" i="2"/>
  <c r="E284" i="2"/>
  <c r="Z283" i="2"/>
  <c r="X283" i="2"/>
  <c r="Y283" i="2" s="1"/>
  <c r="Q283" i="2"/>
  <c r="E283" i="2"/>
  <c r="Z282" i="2"/>
  <c r="X282" i="2"/>
  <c r="Y282" i="2" s="1"/>
  <c r="Q282" i="2"/>
  <c r="E282" i="2"/>
  <c r="Z281" i="2"/>
  <c r="X281" i="2"/>
  <c r="Q281" i="2"/>
  <c r="E281" i="2"/>
  <c r="Z280" i="2"/>
  <c r="Y280" i="2"/>
  <c r="X280" i="2"/>
  <c r="Q280" i="2"/>
  <c r="E280" i="2"/>
  <c r="Z279" i="2"/>
  <c r="X279" i="2"/>
  <c r="Y279" i="2" s="1"/>
  <c r="Q279" i="2"/>
  <c r="E279" i="2"/>
  <c r="Z278" i="2"/>
  <c r="X278" i="2"/>
  <c r="Y278" i="2" s="1"/>
  <c r="Q278" i="2"/>
  <c r="E278" i="2"/>
  <c r="Z277" i="2"/>
  <c r="X277" i="2"/>
  <c r="Y277" i="2" s="1"/>
  <c r="Q277" i="2"/>
  <c r="E277" i="2"/>
  <c r="Z276" i="2"/>
  <c r="Y276" i="2"/>
  <c r="X276" i="2"/>
  <c r="Q276" i="2"/>
  <c r="E276" i="2"/>
  <c r="Z275" i="2"/>
  <c r="X275" i="2"/>
  <c r="Y275" i="2" s="1"/>
  <c r="Q275" i="2"/>
  <c r="E275" i="2"/>
  <c r="Z274" i="2"/>
  <c r="X274" i="2"/>
  <c r="Y274" i="2" s="1"/>
  <c r="Q274" i="2"/>
  <c r="E274" i="2"/>
  <c r="Z273" i="2"/>
  <c r="X273" i="2"/>
  <c r="Y273" i="2" s="1"/>
  <c r="Q273" i="2"/>
  <c r="E273" i="2"/>
  <c r="Z272" i="2"/>
  <c r="Y272" i="2"/>
  <c r="X272" i="2"/>
  <c r="Q272" i="2"/>
  <c r="E272" i="2"/>
  <c r="Z271" i="2"/>
  <c r="X271" i="2"/>
  <c r="Y271" i="2" s="1"/>
  <c r="Q271" i="2"/>
  <c r="E271" i="2"/>
  <c r="Z270" i="2"/>
  <c r="X270" i="2"/>
  <c r="Y270" i="2" s="1"/>
  <c r="Q270" i="2"/>
  <c r="E270" i="2"/>
  <c r="Z269" i="2"/>
  <c r="X269" i="2"/>
  <c r="Q269" i="2"/>
  <c r="E269" i="2"/>
  <c r="Z268" i="2"/>
  <c r="Y268" i="2"/>
  <c r="X268" i="2"/>
  <c r="Q268" i="2"/>
  <c r="E268" i="2"/>
  <c r="Z267" i="2"/>
  <c r="X267" i="2"/>
  <c r="Y267" i="2" s="1"/>
  <c r="Q267" i="2"/>
  <c r="E267" i="2"/>
  <c r="Z266" i="2"/>
  <c r="X266" i="2"/>
  <c r="Y266" i="2" s="1"/>
  <c r="Q266" i="2"/>
  <c r="E266" i="2"/>
  <c r="Z265" i="2"/>
  <c r="X265" i="2"/>
  <c r="Y265" i="2" s="1"/>
  <c r="Q265" i="2"/>
  <c r="E265" i="2"/>
  <c r="Z264" i="2"/>
  <c r="Y264" i="2"/>
  <c r="X264" i="2"/>
  <c r="Q264" i="2"/>
  <c r="E264" i="2"/>
  <c r="Z263" i="2"/>
  <c r="X263" i="2"/>
  <c r="Y263" i="2" s="1"/>
  <c r="Q263" i="2"/>
  <c r="E263" i="2"/>
  <c r="Z262" i="2"/>
  <c r="X262" i="2"/>
  <c r="Y262" i="2" s="1"/>
  <c r="Q262" i="2"/>
  <c r="E262" i="2"/>
  <c r="Z261" i="2"/>
  <c r="X261" i="2"/>
  <c r="Y261" i="2" s="1"/>
  <c r="Q261" i="2"/>
  <c r="E261" i="2"/>
  <c r="Z260" i="2"/>
  <c r="Y260" i="2"/>
  <c r="X260" i="2"/>
  <c r="Q260" i="2"/>
  <c r="E260" i="2"/>
  <c r="Z259" i="2"/>
  <c r="X259" i="2"/>
  <c r="Y259" i="2" s="1"/>
  <c r="Q259" i="2"/>
  <c r="E259" i="2"/>
  <c r="Z258" i="2"/>
  <c r="X258" i="2"/>
  <c r="Y258" i="2" s="1"/>
  <c r="Q258" i="2"/>
  <c r="E258" i="2"/>
  <c r="Z257" i="2"/>
  <c r="X257" i="2"/>
  <c r="Y257" i="2" s="1"/>
  <c r="Q257" i="2"/>
  <c r="E257" i="2"/>
  <c r="Z256" i="2"/>
  <c r="Y256" i="2"/>
  <c r="X256" i="2"/>
  <c r="Q256" i="2"/>
  <c r="E256" i="2"/>
  <c r="Z255" i="2"/>
  <c r="X255" i="2"/>
  <c r="Y255" i="2" s="1"/>
  <c r="Q255" i="2"/>
  <c r="E255" i="2"/>
  <c r="Z254" i="2"/>
  <c r="X254" i="2"/>
  <c r="Y254" i="2" s="1"/>
  <c r="Q254" i="2"/>
  <c r="E254" i="2"/>
  <c r="Z253" i="2"/>
  <c r="X253" i="2"/>
  <c r="Y253" i="2" s="1"/>
  <c r="Q253" i="2"/>
  <c r="E253" i="2"/>
  <c r="Z252" i="2"/>
  <c r="Y252" i="2"/>
  <c r="X252" i="2"/>
  <c r="Q252" i="2"/>
  <c r="E252" i="2"/>
  <c r="Z251" i="2"/>
  <c r="X251" i="2"/>
  <c r="Y251" i="2" s="1"/>
  <c r="Q251" i="2"/>
  <c r="E251" i="2"/>
  <c r="Z250" i="2"/>
  <c r="X250" i="2"/>
  <c r="Q250" i="2"/>
  <c r="E250" i="2"/>
  <c r="Z249" i="2"/>
  <c r="X249" i="2"/>
  <c r="Q249" i="2"/>
  <c r="E249" i="2"/>
  <c r="Z248" i="2"/>
  <c r="Y248" i="2"/>
  <c r="X248" i="2"/>
  <c r="Q248" i="2"/>
  <c r="E248" i="2"/>
  <c r="Z247" i="2"/>
  <c r="X247" i="2"/>
  <c r="Y247" i="2" s="1"/>
  <c r="Q247" i="2"/>
  <c r="E247" i="2"/>
  <c r="Z246" i="2"/>
  <c r="Y246" i="2"/>
  <c r="X246" i="2"/>
  <c r="Q246" i="2"/>
  <c r="E246" i="2"/>
  <c r="Z245" i="2"/>
  <c r="X245" i="2"/>
  <c r="Y245" i="2" s="1"/>
  <c r="Q245" i="2"/>
  <c r="E245" i="2"/>
  <c r="Z244" i="2"/>
  <c r="Y244" i="2"/>
  <c r="X244" i="2"/>
  <c r="Q244" i="2"/>
  <c r="E244" i="2"/>
  <c r="Z243" i="2"/>
  <c r="X243" i="2"/>
  <c r="Y243" i="2" s="1"/>
  <c r="Q243" i="2"/>
  <c r="E243" i="2"/>
  <c r="Z242" i="2"/>
  <c r="Y242" i="2"/>
  <c r="X242" i="2"/>
  <c r="Q242" i="2"/>
  <c r="E242" i="2"/>
  <c r="Z241" i="2"/>
  <c r="X241" i="2"/>
  <c r="Y241" i="2" s="1"/>
  <c r="Q241" i="2"/>
  <c r="E241" i="2"/>
  <c r="Z240" i="2"/>
  <c r="Y240" i="2"/>
  <c r="X240" i="2"/>
  <c r="Q240" i="2"/>
  <c r="E240" i="2"/>
  <c r="Z239" i="2"/>
  <c r="X239" i="2"/>
  <c r="Y239" i="2" s="1"/>
  <c r="Q239" i="2"/>
  <c r="E239" i="2"/>
  <c r="Z238" i="2"/>
  <c r="Y238" i="2"/>
  <c r="X238" i="2"/>
  <c r="Q238" i="2"/>
  <c r="E238" i="2"/>
  <c r="Z237" i="2"/>
  <c r="X237" i="2"/>
  <c r="Y237" i="2" s="1"/>
  <c r="Q237" i="2"/>
  <c r="E237" i="2"/>
  <c r="Z236" i="2"/>
  <c r="Y236" i="2"/>
  <c r="X236" i="2"/>
  <c r="Q236" i="2"/>
  <c r="E236" i="2"/>
  <c r="Z235" i="2"/>
  <c r="X235" i="2"/>
  <c r="Y235" i="2" s="1"/>
  <c r="Q235" i="2"/>
  <c r="E235" i="2"/>
  <c r="Z234" i="2"/>
  <c r="Y234" i="2"/>
  <c r="X234" i="2"/>
  <c r="Q234" i="2"/>
  <c r="E234" i="2"/>
  <c r="Z233" i="2"/>
  <c r="X233" i="2"/>
  <c r="Q233" i="2"/>
  <c r="E233" i="2"/>
  <c r="Z232" i="2"/>
  <c r="Y232" i="2"/>
  <c r="X232" i="2"/>
  <c r="Q232" i="2"/>
  <c r="E232" i="2"/>
  <c r="Z231" i="2"/>
  <c r="X231" i="2"/>
  <c r="Y231" i="2" s="1"/>
  <c r="Q231" i="2"/>
  <c r="E231" i="2"/>
  <c r="Z230" i="2"/>
  <c r="Y230" i="2"/>
  <c r="X230" i="2"/>
  <c r="Q230" i="2"/>
  <c r="E230" i="2"/>
  <c r="Z229" i="2"/>
  <c r="X229" i="2"/>
  <c r="Y229" i="2" s="1"/>
  <c r="Q229" i="2"/>
  <c r="E229" i="2"/>
  <c r="Z228" i="2"/>
  <c r="Y228" i="2"/>
  <c r="X228" i="2"/>
  <c r="Q228" i="2"/>
  <c r="E228" i="2"/>
  <c r="Z227" i="2"/>
  <c r="X227" i="2"/>
  <c r="Y227" i="2" s="1"/>
  <c r="Q227" i="2"/>
  <c r="E227" i="2"/>
  <c r="Z226" i="2"/>
  <c r="Y226" i="2"/>
  <c r="X226" i="2"/>
  <c r="Q226" i="2"/>
  <c r="E226" i="2"/>
  <c r="Z225" i="2"/>
  <c r="X225" i="2"/>
  <c r="Y225" i="2" s="1"/>
  <c r="Q225" i="2"/>
  <c r="E225" i="2"/>
  <c r="Z224" i="2"/>
  <c r="Y224" i="2"/>
  <c r="X224" i="2"/>
  <c r="Q224" i="2"/>
  <c r="E224" i="2"/>
  <c r="Z223" i="2"/>
  <c r="X223" i="2"/>
  <c r="Y223" i="2" s="1"/>
  <c r="Q223" i="2"/>
  <c r="E223" i="2"/>
  <c r="Z222" i="2"/>
  <c r="Y222" i="2"/>
  <c r="X222" i="2"/>
  <c r="Q222" i="2"/>
  <c r="E222" i="2"/>
  <c r="Z221" i="2"/>
  <c r="X221" i="2"/>
  <c r="Y221" i="2" s="1"/>
  <c r="Q221" i="2"/>
  <c r="E221" i="2"/>
  <c r="Z220" i="2"/>
  <c r="Y220" i="2"/>
  <c r="X220" i="2"/>
  <c r="Q220" i="2"/>
  <c r="E220" i="2"/>
  <c r="Z219" i="2"/>
  <c r="X219" i="2"/>
  <c r="Y219" i="2" s="1"/>
  <c r="Q219" i="2"/>
  <c r="E219" i="2"/>
  <c r="Z218" i="2"/>
  <c r="Y218" i="2"/>
  <c r="X218" i="2"/>
  <c r="Q218" i="2"/>
  <c r="E218" i="2"/>
  <c r="Z217" i="2"/>
  <c r="X217" i="2"/>
  <c r="Y217" i="2" s="1"/>
  <c r="Q217" i="2"/>
  <c r="E217" i="2"/>
  <c r="Z216" i="2"/>
  <c r="Y216" i="2"/>
  <c r="X216" i="2"/>
  <c r="Q216" i="2"/>
  <c r="E216" i="2"/>
  <c r="Z215" i="2"/>
  <c r="X215" i="2"/>
  <c r="Y215" i="2" s="1"/>
  <c r="Q215" i="2"/>
  <c r="E215" i="2"/>
  <c r="Z214" i="2"/>
  <c r="Y214" i="2"/>
  <c r="X214" i="2"/>
  <c r="Q214" i="2"/>
  <c r="E214" i="2"/>
  <c r="Z213" i="2"/>
  <c r="X213" i="2"/>
  <c r="Y213" i="2" s="1"/>
  <c r="Q213" i="2"/>
  <c r="E213" i="2"/>
  <c r="Z212" i="2"/>
  <c r="Y212" i="2"/>
  <c r="X212" i="2"/>
  <c r="Q212" i="2"/>
  <c r="E212" i="2"/>
  <c r="Z211" i="2"/>
  <c r="X211" i="2"/>
  <c r="Y211" i="2" s="1"/>
  <c r="Q211" i="2"/>
  <c r="E211" i="2"/>
  <c r="Z210" i="2"/>
  <c r="Y210" i="2"/>
  <c r="X210" i="2"/>
  <c r="Q210" i="2"/>
  <c r="E210" i="2"/>
  <c r="Z209" i="2"/>
  <c r="X209" i="2"/>
  <c r="Y209" i="2" s="1"/>
  <c r="Q209" i="2"/>
  <c r="E209" i="2"/>
  <c r="Z208" i="2"/>
  <c r="Y208" i="2"/>
  <c r="X208" i="2"/>
  <c r="Q208" i="2"/>
  <c r="E208" i="2"/>
  <c r="Z207" i="2"/>
  <c r="X207" i="2"/>
  <c r="Y207" i="2" s="1"/>
  <c r="Q207" i="2"/>
  <c r="E207" i="2"/>
  <c r="Z206" i="2"/>
  <c r="Y206" i="2"/>
  <c r="X206" i="2"/>
  <c r="Q206" i="2"/>
  <c r="E206" i="2"/>
  <c r="Z205" i="2"/>
  <c r="X205" i="2"/>
  <c r="Y205" i="2" s="1"/>
  <c r="Q205" i="2"/>
  <c r="E205" i="2"/>
  <c r="Z204" i="2"/>
  <c r="Y204" i="2"/>
  <c r="X204" i="2"/>
  <c r="Q204" i="2"/>
  <c r="E204" i="2"/>
  <c r="Z203" i="2"/>
  <c r="X203" i="2"/>
  <c r="Y203" i="2" s="1"/>
  <c r="Q203" i="2"/>
  <c r="E203" i="2"/>
  <c r="Z202" i="2"/>
  <c r="Y202" i="2"/>
  <c r="X202" i="2"/>
  <c r="Q202" i="2"/>
  <c r="E202" i="2"/>
  <c r="Z201" i="2"/>
  <c r="X201" i="2"/>
  <c r="Q201" i="2"/>
  <c r="E201" i="2"/>
  <c r="Z200" i="2"/>
  <c r="Y200" i="2"/>
  <c r="X200" i="2"/>
  <c r="Q200" i="2"/>
  <c r="E200" i="2"/>
  <c r="Z199" i="2"/>
  <c r="X199" i="2"/>
  <c r="Q199" i="2"/>
  <c r="E199" i="2"/>
  <c r="Z198" i="2"/>
  <c r="Y198" i="2"/>
  <c r="X198" i="2"/>
  <c r="Q198" i="2"/>
  <c r="E198" i="2"/>
  <c r="Z197" i="2"/>
  <c r="X197" i="2"/>
  <c r="Y197" i="2" s="1"/>
  <c r="Q197" i="2"/>
  <c r="E197" i="2"/>
  <c r="Z196" i="2"/>
  <c r="Y196" i="2"/>
  <c r="X196" i="2"/>
  <c r="Q196" i="2"/>
  <c r="E196" i="2"/>
  <c r="Z195" i="2"/>
  <c r="X195" i="2"/>
  <c r="Y195" i="2" s="1"/>
  <c r="Q195" i="2"/>
  <c r="E195" i="2"/>
  <c r="Z194" i="2"/>
  <c r="Y194" i="2"/>
  <c r="X194" i="2"/>
  <c r="Q194" i="2"/>
  <c r="E194" i="2"/>
  <c r="Z193" i="2"/>
  <c r="X193" i="2"/>
  <c r="Q193" i="2"/>
  <c r="E193" i="2"/>
  <c r="Z192" i="2"/>
  <c r="Y192" i="2"/>
  <c r="X192" i="2"/>
  <c r="Q192" i="2"/>
  <c r="E192" i="2"/>
  <c r="Z191" i="2"/>
  <c r="X191" i="2"/>
  <c r="Y191" i="2" s="1"/>
  <c r="Q191" i="2"/>
  <c r="E191" i="2"/>
  <c r="Z190" i="2"/>
  <c r="Y190" i="2"/>
  <c r="X190" i="2"/>
  <c r="Q190" i="2"/>
  <c r="E190" i="2"/>
  <c r="Z189" i="2"/>
  <c r="X189" i="2"/>
  <c r="Y189" i="2" s="1"/>
  <c r="Q189" i="2"/>
  <c r="E189" i="2"/>
  <c r="Z188" i="2"/>
  <c r="Y188" i="2"/>
  <c r="X188" i="2"/>
  <c r="Q188" i="2"/>
  <c r="E188" i="2"/>
  <c r="Z187" i="2"/>
  <c r="X187" i="2"/>
  <c r="Y187" i="2" s="1"/>
  <c r="Q187" i="2"/>
  <c r="E187" i="2"/>
  <c r="Z186" i="2"/>
  <c r="Y186" i="2"/>
  <c r="X186" i="2"/>
  <c r="Q186" i="2"/>
  <c r="E186" i="2"/>
  <c r="Z185" i="2"/>
  <c r="X185" i="2"/>
  <c r="Y185" i="2" s="1"/>
  <c r="Q185" i="2"/>
  <c r="E185" i="2"/>
  <c r="Z184" i="2"/>
  <c r="Y184" i="2"/>
  <c r="X184" i="2"/>
  <c r="Q184" i="2"/>
  <c r="E184" i="2"/>
  <c r="Z183" i="2"/>
  <c r="X183" i="2"/>
  <c r="Y183" i="2" s="1"/>
  <c r="Q183" i="2"/>
  <c r="E183" i="2"/>
  <c r="Z182" i="2"/>
  <c r="Y182" i="2"/>
  <c r="X182" i="2"/>
  <c r="Q182" i="2"/>
  <c r="E182" i="2"/>
  <c r="Z181" i="2"/>
  <c r="X181" i="2"/>
  <c r="Y181" i="2" s="1"/>
  <c r="Q181" i="2"/>
  <c r="E181" i="2"/>
  <c r="Z180" i="2"/>
  <c r="Y180" i="2"/>
  <c r="X180" i="2"/>
  <c r="Q180" i="2"/>
  <c r="E180" i="2"/>
  <c r="Z179" i="2"/>
  <c r="X179" i="2"/>
  <c r="Y179" i="2" s="1"/>
  <c r="Q179" i="2"/>
  <c r="E179" i="2"/>
  <c r="Z178" i="2"/>
  <c r="Y178" i="2"/>
  <c r="X178" i="2"/>
  <c r="Q178" i="2"/>
  <c r="E178" i="2"/>
  <c r="Z177" i="2"/>
  <c r="X177" i="2"/>
  <c r="Y177" i="2" s="1"/>
  <c r="Q177" i="2"/>
  <c r="E177" i="2"/>
  <c r="Z176" i="2"/>
  <c r="Y176" i="2"/>
  <c r="X176" i="2"/>
  <c r="Q176" i="2"/>
  <c r="E176" i="2"/>
  <c r="Z175" i="2"/>
  <c r="X175" i="2"/>
  <c r="Y175" i="2" s="1"/>
  <c r="Q175" i="2"/>
  <c r="E175" i="2"/>
  <c r="Z174" i="2"/>
  <c r="Y174" i="2"/>
  <c r="X174" i="2"/>
  <c r="Q174" i="2"/>
  <c r="E174" i="2"/>
  <c r="Z173" i="2"/>
  <c r="X173" i="2"/>
  <c r="Y173" i="2" s="1"/>
  <c r="Q173" i="2"/>
  <c r="E173" i="2"/>
  <c r="Z172" i="2"/>
  <c r="Y172" i="2"/>
  <c r="X172" i="2"/>
  <c r="Q172" i="2"/>
  <c r="E172" i="2"/>
  <c r="Z171" i="2"/>
  <c r="X171" i="2"/>
  <c r="Y171" i="2" s="1"/>
  <c r="Q171" i="2"/>
  <c r="E171" i="2"/>
  <c r="Z170" i="2"/>
  <c r="Y170" i="2"/>
  <c r="X170" i="2"/>
  <c r="Q170" i="2"/>
  <c r="E170" i="2"/>
  <c r="Z169" i="2"/>
  <c r="X169" i="2"/>
  <c r="Q169" i="2"/>
  <c r="E169" i="2"/>
  <c r="Z168" i="2"/>
  <c r="Y168" i="2"/>
  <c r="X168" i="2"/>
  <c r="Q168" i="2"/>
  <c r="E168" i="2"/>
  <c r="Z167" i="2"/>
  <c r="X167" i="2"/>
  <c r="Y167" i="2" s="1"/>
  <c r="Q167" i="2"/>
  <c r="E167" i="2"/>
  <c r="Z166" i="2"/>
  <c r="Y166" i="2"/>
  <c r="X166" i="2"/>
  <c r="Q166" i="2"/>
  <c r="E166" i="2"/>
  <c r="Z165" i="2"/>
  <c r="X165" i="2"/>
  <c r="Y165" i="2" s="1"/>
  <c r="Q165" i="2"/>
  <c r="E165" i="2"/>
  <c r="Z164" i="2"/>
  <c r="Y164" i="2"/>
  <c r="X164" i="2"/>
  <c r="Q164" i="2"/>
  <c r="E164" i="2"/>
  <c r="Z163" i="2"/>
  <c r="X163" i="2"/>
  <c r="Q163" i="2"/>
  <c r="E163" i="2"/>
  <c r="Z162" i="2"/>
  <c r="Y162" i="2"/>
  <c r="X162" i="2"/>
  <c r="Q162" i="2"/>
  <c r="E162" i="2"/>
  <c r="Z161" i="2"/>
  <c r="X161" i="2"/>
  <c r="Y161" i="2" s="1"/>
  <c r="Q161" i="2"/>
  <c r="E161" i="2"/>
  <c r="Z160" i="2"/>
  <c r="Y160" i="2"/>
  <c r="X160" i="2"/>
  <c r="Q160" i="2"/>
  <c r="E160" i="2"/>
  <c r="Z159" i="2"/>
  <c r="X159" i="2"/>
  <c r="Y159" i="2" s="1"/>
  <c r="Q159" i="2"/>
  <c r="E159" i="2"/>
  <c r="Z158" i="2"/>
  <c r="Y158" i="2"/>
  <c r="X158" i="2"/>
  <c r="Q158" i="2"/>
  <c r="E158" i="2"/>
  <c r="Z157" i="2"/>
  <c r="X157" i="2"/>
  <c r="Q157" i="2"/>
  <c r="E157" i="2"/>
  <c r="Z156" i="2"/>
  <c r="Y156" i="2"/>
  <c r="X156" i="2"/>
  <c r="Q156" i="2"/>
  <c r="E156" i="2"/>
  <c r="Z155" i="2"/>
  <c r="X155" i="2"/>
  <c r="Y155" i="2" s="1"/>
  <c r="Q155" i="2"/>
  <c r="E155" i="2"/>
  <c r="Z154" i="2"/>
  <c r="Y154" i="2"/>
  <c r="X154" i="2"/>
  <c r="Q154" i="2"/>
  <c r="E154" i="2"/>
  <c r="Z153" i="2"/>
  <c r="X153" i="2"/>
  <c r="Y153" i="2" s="1"/>
  <c r="Q153" i="2"/>
  <c r="E153" i="2"/>
  <c r="Z152" i="2"/>
  <c r="X152" i="2"/>
  <c r="Y152" i="2" s="1"/>
  <c r="Q152" i="2"/>
  <c r="E152" i="2"/>
  <c r="Z151" i="2"/>
  <c r="Y151" i="2"/>
  <c r="X151" i="2"/>
  <c r="Q151" i="2"/>
  <c r="E151" i="2"/>
  <c r="Z150" i="2"/>
  <c r="Y150" i="2"/>
  <c r="X150" i="2"/>
  <c r="Q150" i="2"/>
  <c r="E150" i="2"/>
  <c r="Z149" i="2"/>
  <c r="X149" i="2"/>
  <c r="Y149" i="2" s="1"/>
  <c r="Q149" i="2"/>
  <c r="E149" i="2"/>
  <c r="Z148" i="2"/>
  <c r="X148" i="2"/>
  <c r="Y148" i="2" s="1"/>
  <c r="Q148" i="2"/>
  <c r="E148" i="2"/>
  <c r="Z147" i="2"/>
  <c r="Y147" i="2"/>
  <c r="X147" i="2"/>
  <c r="Q147" i="2"/>
  <c r="E147" i="2"/>
  <c r="Z146" i="2"/>
  <c r="X146" i="2"/>
  <c r="Q146" i="2"/>
  <c r="E146" i="2"/>
  <c r="Y146" i="2" s="1"/>
  <c r="Z145" i="2"/>
  <c r="X145" i="2"/>
  <c r="Y145" i="2" s="1"/>
  <c r="Q145" i="2"/>
  <c r="E145" i="2"/>
  <c r="Z144" i="2"/>
  <c r="X144" i="2"/>
  <c r="Y144" i="2" s="1"/>
  <c r="Q144" i="2"/>
  <c r="E144" i="2"/>
  <c r="Z143" i="2"/>
  <c r="Y143" i="2"/>
  <c r="X143" i="2"/>
  <c r="Q143" i="2"/>
  <c r="E143" i="2"/>
  <c r="Z142" i="2"/>
  <c r="Y142" i="2"/>
  <c r="X142" i="2"/>
  <c r="Q142" i="2"/>
  <c r="E142" i="2"/>
  <c r="Z141" i="2"/>
  <c r="X141" i="2"/>
  <c r="Y141" i="2" s="1"/>
  <c r="Q141" i="2"/>
  <c r="E141" i="2"/>
  <c r="Z140" i="2"/>
  <c r="X140" i="2"/>
  <c r="Y140" i="2" s="1"/>
  <c r="Q140" i="2"/>
  <c r="E140" i="2"/>
  <c r="Z139" i="2"/>
  <c r="Y139" i="2"/>
  <c r="X139" i="2"/>
  <c r="Q139" i="2"/>
  <c r="E139" i="2"/>
  <c r="Z138" i="2"/>
  <c r="Y138" i="2"/>
  <c r="X138" i="2"/>
  <c r="Q138" i="2"/>
  <c r="E138" i="2"/>
  <c r="Z137" i="2"/>
  <c r="X137" i="2"/>
  <c r="Y137" i="2" s="1"/>
  <c r="Q137" i="2"/>
  <c r="E137" i="2"/>
  <c r="Z136" i="2"/>
  <c r="X136" i="2"/>
  <c r="Q136" i="2"/>
  <c r="E136" i="2"/>
  <c r="Z135" i="2"/>
  <c r="Y135" i="2"/>
  <c r="X135" i="2"/>
  <c r="Q135" i="2"/>
  <c r="E135" i="2"/>
  <c r="Z134" i="2"/>
  <c r="Y134" i="2"/>
  <c r="X134" i="2"/>
  <c r="Q134" i="2"/>
  <c r="E134" i="2"/>
  <c r="Z133" i="2"/>
  <c r="X133" i="2"/>
  <c r="Y133" i="2" s="1"/>
  <c r="Q133" i="2"/>
  <c r="E133" i="2"/>
  <c r="Z132" i="2"/>
  <c r="X132" i="2"/>
  <c r="Y132" i="2" s="1"/>
  <c r="Q132" i="2"/>
  <c r="E132" i="2"/>
  <c r="Z131" i="2"/>
  <c r="Y131" i="2"/>
  <c r="X131" i="2"/>
  <c r="Q131" i="2"/>
  <c r="E131" i="2"/>
  <c r="Z130" i="2"/>
  <c r="X130" i="2"/>
  <c r="Q130" i="2"/>
  <c r="E130" i="2"/>
  <c r="Y130" i="2" s="1"/>
  <c r="Z129" i="2"/>
  <c r="X129" i="2"/>
  <c r="Y129" i="2" s="1"/>
  <c r="Q129" i="2"/>
  <c r="E129" i="2"/>
  <c r="Z128" i="2"/>
  <c r="X128" i="2"/>
  <c r="Y128" i="2" s="1"/>
  <c r="Q128" i="2"/>
  <c r="E128" i="2"/>
  <c r="Z127" i="2"/>
  <c r="Y127" i="2"/>
  <c r="X127" i="2"/>
  <c r="Q127" i="2"/>
  <c r="E127" i="2"/>
  <c r="Z126" i="2"/>
  <c r="X126" i="2"/>
  <c r="Q126" i="2"/>
  <c r="E126" i="2"/>
  <c r="Y126" i="2" s="1"/>
  <c r="Z125" i="2"/>
  <c r="X125" i="2"/>
  <c r="Y125" i="2" s="1"/>
  <c r="Q125" i="2"/>
  <c r="E125" i="2"/>
  <c r="Z124" i="2"/>
  <c r="X124" i="2"/>
  <c r="Y124" i="2" s="1"/>
  <c r="Q124" i="2"/>
  <c r="E124" i="2"/>
  <c r="Z123" i="2"/>
  <c r="Y123" i="2"/>
  <c r="X123" i="2"/>
  <c r="Q123" i="2"/>
  <c r="E123" i="2"/>
  <c r="Z122" i="2"/>
  <c r="X122" i="2"/>
  <c r="Q122" i="2"/>
  <c r="E122" i="2"/>
  <c r="Y122" i="2" s="1"/>
  <c r="Z121" i="2"/>
  <c r="X121" i="2"/>
  <c r="Y121" i="2" s="1"/>
  <c r="Q121" i="2"/>
  <c r="E121" i="2"/>
  <c r="Z120" i="2"/>
  <c r="X120" i="2"/>
  <c r="Q120" i="2"/>
  <c r="E120" i="2"/>
  <c r="Z119" i="2"/>
  <c r="Y119" i="2"/>
  <c r="X119" i="2"/>
  <c r="Q119" i="2"/>
  <c r="E119" i="2"/>
  <c r="Z118" i="2"/>
  <c r="X118" i="2"/>
  <c r="P6" i="3" s="1"/>
  <c r="Q118" i="2"/>
  <c r="E118" i="2"/>
  <c r="Y118" i="2" s="1"/>
  <c r="Z117" i="2"/>
  <c r="X117" i="2"/>
  <c r="Y117" i="2" s="1"/>
  <c r="Q117" i="2"/>
  <c r="E117" i="2"/>
  <c r="Z116" i="2"/>
  <c r="X116" i="2"/>
  <c r="Y116" i="2" s="1"/>
  <c r="Q116" i="2"/>
  <c r="E116" i="2"/>
  <c r="Z115" i="2"/>
  <c r="Y115" i="2"/>
  <c r="X115" i="2"/>
  <c r="Q115" i="2"/>
  <c r="E115" i="2"/>
  <c r="Z114" i="2"/>
  <c r="Y114" i="2"/>
  <c r="X114" i="2"/>
  <c r="Q114" i="2"/>
  <c r="E114" i="2"/>
  <c r="Z113" i="2"/>
  <c r="X113" i="2"/>
  <c r="Y113" i="2" s="1"/>
  <c r="Q113" i="2"/>
  <c r="E113" i="2"/>
  <c r="Z112" i="2"/>
  <c r="X112" i="2"/>
  <c r="Y112" i="2" s="1"/>
  <c r="Q112" i="2"/>
  <c r="E112" i="2"/>
  <c r="Z111" i="2"/>
  <c r="Y111" i="2"/>
  <c r="X111" i="2"/>
  <c r="Q111" i="2"/>
  <c r="E111" i="2"/>
  <c r="Z110" i="2"/>
  <c r="Y110" i="2"/>
  <c r="X110" i="2"/>
  <c r="Q110" i="2"/>
  <c r="E110" i="2"/>
  <c r="Z109" i="2"/>
  <c r="X109" i="2"/>
  <c r="Y109" i="2" s="1"/>
  <c r="Q109" i="2"/>
  <c r="E109" i="2"/>
  <c r="Z108" i="2"/>
  <c r="X108" i="2"/>
  <c r="Y108" i="2" s="1"/>
  <c r="Q108" i="2"/>
  <c r="E108" i="2"/>
  <c r="Z107" i="2"/>
  <c r="Y107" i="2"/>
  <c r="X107" i="2"/>
  <c r="Q107" i="2"/>
  <c r="E107" i="2"/>
  <c r="Z106" i="2"/>
  <c r="X106" i="2"/>
  <c r="Q106" i="2"/>
  <c r="E106" i="2"/>
  <c r="Y106" i="2" s="1"/>
  <c r="Z105" i="2"/>
  <c r="X105" i="2"/>
  <c r="Y105" i="2" s="1"/>
  <c r="Q105" i="2"/>
  <c r="E105" i="2"/>
  <c r="Z104" i="2"/>
  <c r="X104" i="2"/>
  <c r="Y104" i="2" s="1"/>
  <c r="Q104" i="2"/>
  <c r="E104" i="2"/>
  <c r="Z103" i="2"/>
  <c r="Y103" i="2"/>
  <c r="X103" i="2"/>
  <c r="Q103" i="2"/>
  <c r="E103" i="2"/>
  <c r="Z102" i="2"/>
  <c r="Y102" i="2"/>
  <c r="X102" i="2"/>
  <c r="Q102" i="2"/>
  <c r="E102" i="2"/>
  <c r="Z101" i="2"/>
  <c r="X101" i="2"/>
  <c r="Y101" i="2" s="1"/>
  <c r="Q101" i="2"/>
  <c r="E101" i="2"/>
  <c r="Z100" i="2"/>
  <c r="X100" i="2"/>
  <c r="Y100" i="2" s="1"/>
  <c r="Q100" i="2"/>
  <c r="E100" i="2"/>
  <c r="Z99" i="2"/>
  <c r="Y99" i="2"/>
  <c r="X99" i="2"/>
  <c r="Q99" i="2"/>
  <c r="E99" i="2"/>
  <c r="Z98" i="2"/>
  <c r="X98" i="2"/>
  <c r="Q98" i="2"/>
  <c r="E98" i="2"/>
  <c r="Y98" i="2" s="1"/>
  <c r="Z97" i="2"/>
  <c r="X97" i="2"/>
  <c r="Y97" i="2" s="1"/>
  <c r="Q97" i="2"/>
  <c r="E97" i="2"/>
  <c r="Z96" i="2"/>
  <c r="X96" i="2"/>
  <c r="Y96" i="2" s="1"/>
  <c r="Q96" i="2"/>
  <c r="E96" i="2"/>
  <c r="Z95" i="2"/>
  <c r="Y95" i="2"/>
  <c r="X95" i="2"/>
  <c r="Q95" i="2"/>
  <c r="E95" i="2"/>
  <c r="Z94" i="2"/>
  <c r="Y94" i="2"/>
  <c r="X94" i="2"/>
  <c r="Q94" i="2"/>
  <c r="E94" i="2"/>
  <c r="Z93" i="2"/>
  <c r="X93" i="2"/>
  <c r="Y93" i="2" s="1"/>
  <c r="Q93" i="2"/>
  <c r="E93" i="2"/>
  <c r="Z92" i="2"/>
  <c r="X92" i="2"/>
  <c r="Y92" i="2" s="1"/>
  <c r="Q92" i="2"/>
  <c r="E92" i="2"/>
  <c r="Z91" i="2"/>
  <c r="Y91" i="2"/>
  <c r="X91" i="2"/>
  <c r="Q91" i="2"/>
  <c r="E91" i="2"/>
  <c r="Z90" i="2"/>
  <c r="X90" i="2"/>
  <c r="Q90" i="2"/>
  <c r="E90" i="2"/>
  <c r="Y90" i="2" s="1"/>
  <c r="Z89" i="2"/>
  <c r="X89" i="2"/>
  <c r="Y89" i="2" s="1"/>
  <c r="Q89" i="2"/>
  <c r="E89" i="2"/>
  <c r="Z88" i="2"/>
  <c r="X88" i="2"/>
  <c r="Y88" i="2" s="1"/>
  <c r="Q88" i="2"/>
  <c r="E88" i="2"/>
  <c r="Z87" i="2"/>
  <c r="Y87" i="2"/>
  <c r="X87" i="2"/>
  <c r="Q87" i="2"/>
  <c r="E87" i="2"/>
  <c r="Z86" i="2"/>
  <c r="X86" i="2"/>
  <c r="Q86" i="2"/>
  <c r="E86" i="2"/>
  <c r="Y86" i="2" s="1"/>
  <c r="Z85" i="2"/>
  <c r="X85" i="2"/>
  <c r="Y85" i="2" s="1"/>
  <c r="Q85" i="2"/>
  <c r="E85" i="2"/>
  <c r="Z84" i="2"/>
  <c r="X84" i="2"/>
  <c r="Y84" i="2" s="1"/>
  <c r="Q84" i="2"/>
  <c r="E84" i="2"/>
  <c r="Z83" i="2"/>
  <c r="Y83" i="2"/>
  <c r="X83" i="2"/>
  <c r="Q83" i="2"/>
  <c r="E83" i="2"/>
  <c r="Z82" i="2"/>
  <c r="Y82" i="2"/>
  <c r="X82" i="2"/>
  <c r="Q82" i="2"/>
  <c r="E82" i="2"/>
  <c r="Z81" i="2"/>
  <c r="X81" i="2"/>
  <c r="Y81" i="2" s="1"/>
  <c r="Q81" i="2"/>
  <c r="E81" i="2"/>
  <c r="Z80" i="2"/>
  <c r="X80" i="2"/>
  <c r="Y80" i="2" s="1"/>
  <c r="Q80" i="2"/>
  <c r="E80" i="2"/>
  <c r="Z79" i="2"/>
  <c r="Y79" i="2"/>
  <c r="X79" i="2"/>
  <c r="Q79" i="2"/>
  <c r="E79" i="2"/>
  <c r="Z78" i="2"/>
  <c r="X78" i="2"/>
  <c r="Q78" i="2"/>
  <c r="E78" i="2"/>
  <c r="Y78" i="2" s="1"/>
  <c r="Z77" i="2"/>
  <c r="X77" i="2"/>
  <c r="Y77" i="2" s="1"/>
  <c r="Q77" i="2"/>
  <c r="E77" i="2"/>
  <c r="Z76" i="2"/>
  <c r="X76" i="2"/>
  <c r="Y76" i="2" s="1"/>
  <c r="Q76" i="2"/>
  <c r="E76" i="2"/>
  <c r="Z75" i="2"/>
  <c r="Y75" i="2"/>
  <c r="X75" i="2"/>
  <c r="Q75" i="2"/>
  <c r="E75" i="2"/>
  <c r="Z74" i="2"/>
  <c r="X74" i="2"/>
  <c r="Q74" i="2"/>
  <c r="E74" i="2"/>
  <c r="Y74" i="2" s="1"/>
  <c r="Z73" i="2"/>
  <c r="X73" i="2"/>
  <c r="Y73" i="2" s="1"/>
  <c r="Q73" i="2"/>
  <c r="E73" i="2"/>
  <c r="Z72" i="2"/>
  <c r="X72" i="2"/>
  <c r="Y72" i="2" s="1"/>
  <c r="Q72" i="2"/>
  <c r="E72" i="2"/>
  <c r="Z71" i="2"/>
  <c r="Y71" i="2"/>
  <c r="X71" i="2"/>
  <c r="Q71" i="2"/>
  <c r="E71" i="2"/>
  <c r="Z70" i="2"/>
  <c r="X70" i="2"/>
  <c r="Q70" i="2"/>
  <c r="E70" i="2"/>
  <c r="Y70" i="2" s="1"/>
  <c r="Z69" i="2"/>
  <c r="X69" i="2"/>
  <c r="Y69" i="2" s="1"/>
  <c r="Q69" i="2"/>
  <c r="E69" i="2"/>
  <c r="Z68" i="2"/>
  <c r="X68" i="2"/>
  <c r="Y68" i="2" s="1"/>
  <c r="Q68" i="2"/>
  <c r="E68" i="2"/>
  <c r="Z67" i="2"/>
  <c r="Y67" i="2"/>
  <c r="X67" i="2"/>
  <c r="Q67" i="2"/>
  <c r="E67" i="2"/>
  <c r="Z66" i="2"/>
  <c r="Y66" i="2"/>
  <c r="X66" i="2"/>
  <c r="Q66" i="2"/>
  <c r="E66" i="2"/>
  <c r="Z65" i="2"/>
  <c r="X65" i="2"/>
  <c r="Y65" i="2" s="1"/>
  <c r="Q65" i="2"/>
  <c r="E65" i="2"/>
  <c r="Z64" i="2"/>
  <c r="X64" i="2"/>
  <c r="Y64" i="2" s="1"/>
  <c r="Q64" i="2"/>
  <c r="E64" i="2"/>
  <c r="Z63" i="2"/>
  <c r="Y63" i="2"/>
  <c r="X63" i="2"/>
  <c r="Q63" i="2"/>
  <c r="E63" i="2"/>
  <c r="Z62" i="2"/>
  <c r="X62" i="2"/>
  <c r="Q62" i="2"/>
  <c r="E62" i="2"/>
  <c r="Y62" i="2" s="1"/>
  <c r="Z61" i="2"/>
  <c r="X61" i="2"/>
  <c r="Y61" i="2" s="1"/>
  <c r="Q61" i="2"/>
  <c r="E61" i="2"/>
  <c r="Z60" i="2"/>
  <c r="X60" i="2"/>
  <c r="Y60" i="2" s="1"/>
  <c r="Q60" i="2"/>
  <c r="E60" i="2"/>
  <c r="Z59" i="2"/>
  <c r="Y59" i="2"/>
  <c r="X59" i="2"/>
  <c r="Q59" i="2"/>
  <c r="E59" i="2"/>
  <c r="Z58" i="2"/>
  <c r="X58" i="2"/>
  <c r="Q58" i="2"/>
  <c r="E58" i="2"/>
  <c r="Y58" i="2" s="1"/>
  <c r="Z57" i="2"/>
  <c r="X57" i="2"/>
  <c r="Y57" i="2" s="1"/>
  <c r="Q57" i="2"/>
  <c r="E57" i="2"/>
  <c r="Z56" i="2"/>
  <c r="X56" i="2"/>
  <c r="Y56" i="2" s="1"/>
  <c r="Q56" i="2"/>
  <c r="E56" i="2"/>
  <c r="Z55" i="2"/>
  <c r="Y55" i="2"/>
  <c r="X55" i="2"/>
  <c r="Q55" i="2"/>
  <c r="E55" i="2"/>
  <c r="Z54" i="2"/>
  <c r="X54" i="2"/>
  <c r="Q54" i="2"/>
  <c r="E54" i="2"/>
  <c r="Y54" i="2" s="1"/>
  <c r="Z53" i="2"/>
  <c r="X53" i="2"/>
  <c r="Y53" i="2" s="1"/>
  <c r="Q53" i="2"/>
  <c r="E53" i="2"/>
  <c r="Z52" i="2"/>
  <c r="X52" i="2"/>
  <c r="Y52" i="2" s="1"/>
  <c r="Q52" i="2"/>
  <c r="E52" i="2"/>
  <c r="Z51" i="2"/>
  <c r="Y51" i="2"/>
  <c r="X51" i="2"/>
  <c r="Q51" i="2"/>
  <c r="E51" i="2"/>
  <c r="Z50" i="2"/>
  <c r="Y50" i="2"/>
  <c r="X50" i="2"/>
  <c r="Q50" i="2"/>
  <c r="E50" i="2"/>
  <c r="Z49" i="2"/>
  <c r="X49" i="2"/>
  <c r="Y49" i="2" s="1"/>
  <c r="Q49" i="2"/>
  <c r="E49" i="2"/>
  <c r="Z48" i="2"/>
  <c r="X48" i="2"/>
  <c r="Y48" i="2" s="1"/>
  <c r="Q48" i="2"/>
  <c r="E48" i="2"/>
  <c r="Z47" i="2"/>
  <c r="Y47" i="2"/>
  <c r="X47" i="2"/>
  <c r="Q47" i="2"/>
  <c r="E47" i="2"/>
  <c r="Z46" i="2"/>
  <c r="X46" i="2"/>
  <c r="Q46" i="2"/>
  <c r="E46" i="2"/>
  <c r="Y46" i="2" s="1"/>
  <c r="Z45" i="2"/>
  <c r="X45" i="2"/>
  <c r="Y45" i="2" s="1"/>
  <c r="Q45" i="2"/>
  <c r="E45" i="2"/>
  <c r="Z44" i="2"/>
  <c r="X44" i="2"/>
  <c r="Y44" i="2" s="1"/>
  <c r="Q44" i="2"/>
  <c r="E44" i="2"/>
  <c r="Z43" i="2"/>
  <c r="Y43" i="2"/>
  <c r="X43" i="2"/>
  <c r="Q43" i="2"/>
  <c r="E43" i="2"/>
  <c r="Z42" i="2"/>
  <c r="Y42" i="2"/>
  <c r="X42" i="2"/>
  <c r="Q42" i="2"/>
  <c r="E42" i="2"/>
  <c r="Z41" i="2"/>
  <c r="X41" i="2"/>
  <c r="Y41" i="2" s="1"/>
  <c r="Q41" i="2"/>
  <c r="E41" i="2"/>
  <c r="Z40" i="2"/>
  <c r="X40" i="2"/>
  <c r="Y40" i="2" s="1"/>
  <c r="Q40" i="2"/>
  <c r="E40" i="2"/>
  <c r="Z39" i="2"/>
  <c r="Y39" i="2"/>
  <c r="X39" i="2"/>
  <c r="Q39" i="2"/>
  <c r="E39" i="2"/>
  <c r="Z38" i="2"/>
  <c r="Y38" i="2"/>
  <c r="X38" i="2"/>
  <c r="Q38" i="2"/>
  <c r="E38" i="2"/>
  <c r="Z37" i="2"/>
  <c r="X37" i="2"/>
  <c r="Y37" i="2" s="1"/>
  <c r="Q37" i="2"/>
  <c r="E37" i="2"/>
  <c r="Z36" i="2"/>
  <c r="X36" i="2"/>
  <c r="Y36" i="2" s="1"/>
  <c r="Q36" i="2"/>
  <c r="E36" i="2"/>
  <c r="Z35" i="2"/>
  <c r="Y35" i="2"/>
  <c r="X35" i="2"/>
  <c r="Q35" i="2"/>
  <c r="E35" i="2"/>
  <c r="Z34" i="2"/>
  <c r="Y34" i="2"/>
  <c r="X34" i="2"/>
  <c r="Q34" i="2"/>
  <c r="E34" i="2"/>
  <c r="Z33" i="2"/>
  <c r="X33" i="2"/>
  <c r="Y33" i="2" s="1"/>
  <c r="Q33" i="2"/>
  <c r="E33" i="2"/>
  <c r="Z32" i="2"/>
  <c r="X32" i="2"/>
  <c r="Y32" i="2" s="1"/>
  <c r="Q32" i="2"/>
  <c r="E32" i="2"/>
  <c r="Z31" i="2"/>
  <c r="Y31" i="2"/>
  <c r="X31" i="2"/>
  <c r="Q31" i="2"/>
  <c r="E31" i="2"/>
  <c r="Z30" i="2"/>
  <c r="X30" i="2"/>
  <c r="Q30" i="2"/>
  <c r="E30" i="2"/>
  <c r="Y30" i="2" s="1"/>
  <c r="Z29" i="2"/>
  <c r="X29" i="2"/>
  <c r="Y29" i="2" s="1"/>
  <c r="Q29" i="2"/>
  <c r="E29" i="2"/>
  <c r="Z28" i="2"/>
  <c r="X28" i="2"/>
  <c r="Y28" i="2" s="1"/>
  <c r="Q28" i="2"/>
  <c r="E28" i="2"/>
  <c r="Z27" i="2"/>
  <c r="Y27" i="2"/>
  <c r="X27" i="2"/>
  <c r="Q27" i="2"/>
  <c r="E27" i="2"/>
  <c r="Z26" i="2"/>
  <c r="X26" i="2"/>
  <c r="Q26" i="2"/>
  <c r="E26" i="2"/>
  <c r="Y26" i="2" s="1"/>
  <c r="Z25" i="2"/>
  <c r="X25" i="2"/>
  <c r="Y25" i="2" s="1"/>
  <c r="Q25" i="2"/>
  <c r="E25" i="2"/>
  <c r="Z24" i="2"/>
  <c r="X24" i="2"/>
  <c r="Y24" i="2" s="1"/>
  <c r="Q24" i="2"/>
  <c r="E24" i="2"/>
  <c r="Z23" i="2"/>
  <c r="Y23" i="2"/>
  <c r="X23" i="2"/>
  <c r="Q23" i="2"/>
  <c r="E23" i="2"/>
  <c r="Z22" i="2"/>
  <c r="X22" i="2"/>
  <c r="Q22" i="2"/>
  <c r="E22" i="2"/>
  <c r="Y22" i="2" s="1"/>
  <c r="Z21" i="2"/>
  <c r="X21" i="2"/>
  <c r="Y21" i="2" s="1"/>
  <c r="Q21" i="2"/>
  <c r="E21" i="2"/>
  <c r="Z20" i="2"/>
  <c r="X20" i="2"/>
  <c r="Y20" i="2" s="1"/>
  <c r="Q20" i="2"/>
  <c r="E20" i="2"/>
  <c r="Z19" i="2"/>
  <c r="Y19" i="2"/>
  <c r="X19" i="2"/>
  <c r="Q19" i="2"/>
  <c r="E19" i="2"/>
  <c r="Z18" i="2"/>
  <c r="Y18" i="2"/>
  <c r="X18" i="2"/>
  <c r="Q18" i="2"/>
  <c r="E18" i="2"/>
  <c r="Z17" i="2"/>
  <c r="X17" i="2"/>
  <c r="Y17" i="2" s="1"/>
  <c r="Q17" i="2"/>
  <c r="E17" i="2"/>
  <c r="Z16" i="2"/>
  <c r="X16" i="2"/>
  <c r="Y16" i="2" s="1"/>
  <c r="Q16" i="2"/>
  <c r="E16" i="2"/>
  <c r="Z15" i="2"/>
  <c r="Y15" i="2"/>
  <c r="X15" i="2"/>
  <c r="Q15" i="2"/>
  <c r="E15" i="2"/>
  <c r="Z14" i="2"/>
  <c r="Y14" i="2"/>
  <c r="X14" i="2"/>
  <c r="Q14" i="2"/>
  <c r="E14" i="2"/>
  <c r="Z13" i="2"/>
  <c r="X13" i="2"/>
  <c r="Y13" i="2" s="1"/>
  <c r="Q13" i="2"/>
  <c r="E13" i="2"/>
  <c r="Z12" i="2"/>
  <c r="X12" i="2"/>
  <c r="Y12" i="2" s="1"/>
  <c r="Q12" i="2"/>
  <c r="E12" i="2"/>
  <c r="Z11" i="2"/>
  <c r="Y11" i="2"/>
  <c r="X11" i="2"/>
  <c r="Q11" i="2"/>
  <c r="E11" i="2"/>
  <c r="Z10" i="2"/>
  <c r="Y10" i="2"/>
  <c r="X10" i="2"/>
  <c r="Q10" i="2"/>
  <c r="E10" i="2"/>
  <c r="Z9" i="2"/>
  <c r="X9" i="2"/>
  <c r="Y9" i="2" s="1"/>
  <c r="Q9" i="2"/>
  <c r="E9" i="2"/>
  <c r="Z8" i="2"/>
  <c r="X8" i="2"/>
  <c r="P4" i="3" s="1"/>
  <c r="Q8" i="2"/>
  <c r="E8" i="2"/>
  <c r="Z7" i="2"/>
  <c r="Y7" i="2"/>
  <c r="X7" i="2"/>
  <c r="Q7" i="2"/>
  <c r="E7" i="2"/>
  <c r="Z6" i="2"/>
  <c r="Y6" i="2"/>
  <c r="X6" i="2"/>
  <c r="Q6" i="2"/>
  <c r="E6" i="2"/>
  <c r="Z5" i="2"/>
  <c r="X5" i="2"/>
  <c r="Y5" i="2" s="1"/>
  <c r="Q5" i="2"/>
  <c r="E5" i="2"/>
  <c r="Z4" i="2"/>
  <c r="X4" i="2"/>
  <c r="Y4" i="2" s="1"/>
  <c r="Q4" i="2"/>
  <c r="E4" i="2"/>
  <c r="Z3" i="2"/>
  <c r="Y3" i="2"/>
  <c r="X3" i="2"/>
  <c r="Q3" i="2"/>
  <c r="E3" i="2"/>
  <c r="Z2" i="2"/>
  <c r="Y2" i="2"/>
  <c r="X2" i="2"/>
  <c r="Q2" i="2"/>
  <c r="E2" i="2"/>
  <c r="AQ293" i="1"/>
  <c r="AN293" i="1"/>
  <c r="AM293" i="1"/>
  <c r="AH293" i="1"/>
  <c r="C293" i="1"/>
  <c r="AO293" i="1" s="1"/>
  <c r="AQ292" i="1"/>
  <c r="AN292" i="1"/>
  <c r="AM292" i="1"/>
  <c r="AH292" i="1"/>
  <c r="C292" i="1"/>
  <c r="AO292" i="1" s="1"/>
  <c r="AQ291" i="1"/>
  <c r="AN291" i="1"/>
  <c r="AM291" i="1"/>
  <c r="AH291" i="1"/>
  <c r="C291" i="1"/>
  <c r="AO291" i="1" s="1"/>
  <c r="AQ290" i="1"/>
  <c r="AN290" i="1"/>
  <c r="AM290" i="1"/>
  <c r="AH290" i="1"/>
  <c r="C290" i="1"/>
  <c r="AO290" i="1" s="1"/>
  <c r="AQ289" i="1"/>
  <c r="AN289" i="1"/>
  <c r="AM289" i="1"/>
  <c r="AH289" i="1"/>
  <c r="C289" i="1"/>
  <c r="AO289" i="1" s="1"/>
  <c r="AQ288" i="1"/>
  <c r="AN288" i="1"/>
  <c r="AM288" i="1"/>
  <c r="AH288" i="1"/>
  <c r="C288" i="1"/>
  <c r="AO288" i="1" s="1"/>
  <c r="AQ287" i="1"/>
  <c r="AN287" i="1"/>
  <c r="AP287" i="1" s="1"/>
  <c r="AM287" i="1"/>
  <c r="AH287" i="1"/>
  <c r="C287" i="1"/>
  <c r="AO287" i="1" s="1"/>
  <c r="AQ286" i="1"/>
  <c r="AN286" i="1"/>
  <c r="AP286" i="1" s="1"/>
  <c r="AM286" i="1"/>
  <c r="AH286" i="1"/>
  <c r="C286" i="1"/>
  <c r="AO286" i="1" s="1"/>
  <c r="AQ285" i="1"/>
  <c r="AN285" i="1"/>
  <c r="AM285" i="1"/>
  <c r="AH285" i="1"/>
  <c r="C285" i="1"/>
  <c r="AO285" i="1" s="1"/>
  <c r="AQ284" i="1"/>
  <c r="AN284" i="1"/>
  <c r="AM284" i="1"/>
  <c r="AH284" i="1"/>
  <c r="C284" i="1"/>
  <c r="AO284" i="1" s="1"/>
  <c r="AQ283" i="1"/>
  <c r="AN283" i="1"/>
  <c r="AM283" i="1"/>
  <c r="AH283" i="1"/>
  <c r="C283" i="1"/>
  <c r="AO283" i="1" s="1"/>
  <c r="AQ282" i="1"/>
  <c r="AN282" i="1"/>
  <c r="AM282" i="1"/>
  <c r="AH282" i="1"/>
  <c r="C282" i="1"/>
  <c r="AO282" i="1" s="1"/>
  <c r="AQ281" i="1"/>
  <c r="AN281" i="1"/>
  <c r="AM281" i="1"/>
  <c r="AH281" i="1"/>
  <c r="C281" i="1"/>
  <c r="AO281" i="1" s="1"/>
  <c r="AQ280" i="1"/>
  <c r="AN280" i="1"/>
  <c r="AM280" i="1"/>
  <c r="AH280" i="1"/>
  <c r="C280" i="1"/>
  <c r="AO280" i="1" s="1"/>
  <c r="AQ279" i="1"/>
  <c r="AN279" i="1"/>
  <c r="AM279" i="1"/>
  <c r="AH279" i="1"/>
  <c r="C279" i="1"/>
  <c r="AO279" i="1" s="1"/>
  <c r="AQ278" i="1"/>
  <c r="AN278" i="1"/>
  <c r="AP278" i="1" s="1"/>
  <c r="AM278" i="1"/>
  <c r="AH278" i="1"/>
  <c r="C278" i="1"/>
  <c r="AO278" i="1" s="1"/>
  <c r="AQ277" i="1"/>
  <c r="AN277" i="1"/>
  <c r="AP277" i="1" s="1"/>
  <c r="AM277" i="1"/>
  <c r="AH277" i="1"/>
  <c r="C277" i="1"/>
  <c r="AO277" i="1" s="1"/>
  <c r="AQ276" i="1"/>
  <c r="AN276" i="1"/>
  <c r="AP276" i="1" s="1"/>
  <c r="AM276" i="1"/>
  <c r="AH276" i="1"/>
  <c r="C276" i="1"/>
  <c r="AO276" i="1" s="1"/>
  <c r="AQ275" i="1"/>
  <c r="AN275" i="1"/>
  <c r="AM275" i="1"/>
  <c r="AH275" i="1"/>
  <c r="C275" i="1"/>
  <c r="AO275" i="1" s="1"/>
  <c r="AQ274" i="1"/>
  <c r="AN274" i="1"/>
  <c r="AM274" i="1"/>
  <c r="AH274" i="1"/>
  <c r="C274" i="1"/>
  <c r="AO274" i="1" s="1"/>
  <c r="AQ273" i="1"/>
  <c r="AN273" i="1"/>
  <c r="AM273" i="1"/>
  <c r="AH273" i="1"/>
  <c r="C273" i="1"/>
  <c r="AO273" i="1" s="1"/>
  <c r="AQ272" i="1"/>
  <c r="AN272" i="1"/>
  <c r="AM272" i="1"/>
  <c r="AH272" i="1"/>
  <c r="C272" i="1"/>
  <c r="AO272" i="1" s="1"/>
  <c r="AQ271" i="1"/>
  <c r="AN271" i="1"/>
  <c r="AM271" i="1"/>
  <c r="AH271" i="1"/>
  <c r="C271" i="1"/>
  <c r="AO271" i="1" s="1"/>
  <c r="AQ270" i="1"/>
  <c r="AN270" i="1"/>
  <c r="AM270" i="1"/>
  <c r="AH270" i="1"/>
  <c r="C270" i="1"/>
  <c r="AO270" i="1" s="1"/>
  <c r="AQ269" i="1"/>
  <c r="AN269" i="1"/>
  <c r="AM269" i="1"/>
  <c r="AH269" i="1"/>
  <c r="C269" i="1"/>
  <c r="AO269" i="1" s="1"/>
  <c r="AQ268" i="1"/>
  <c r="AN268" i="1"/>
  <c r="AP268" i="1" s="1"/>
  <c r="AM268" i="1"/>
  <c r="AH268" i="1"/>
  <c r="C268" i="1"/>
  <c r="AO268" i="1" s="1"/>
  <c r="AQ267" i="1"/>
  <c r="AN267" i="1"/>
  <c r="AM267" i="1"/>
  <c r="AH267" i="1"/>
  <c r="C267" i="1"/>
  <c r="AO267" i="1" s="1"/>
  <c r="AQ266" i="1"/>
  <c r="AN266" i="1"/>
  <c r="AM266" i="1"/>
  <c r="AH266" i="1"/>
  <c r="C266" i="1"/>
  <c r="AO266" i="1" s="1"/>
  <c r="AQ265" i="1"/>
  <c r="AN265" i="1"/>
  <c r="AM265" i="1"/>
  <c r="AH265" i="1"/>
  <c r="C265" i="1"/>
  <c r="AO265" i="1" s="1"/>
  <c r="AQ264" i="1"/>
  <c r="AN264" i="1"/>
  <c r="AM264" i="1"/>
  <c r="AH264" i="1"/>
  <c r="C264" i="1"/>
  <c r="AO264" i="1" s="1"/>
  <c r="AQ263" i="1"/>
  <c r="AN263" i="1"/>
  <c r="AM263" i="1"/>
  <c r="AH263" i="1"/>
  <c r="C263" i="1"/>
  <c r="AO263" i="1" s="1"/>
  <c r="AQ262" i="1"/>
  <c r="AN262" i="1"/>
  <c r="AM262" i="1"/>
  <c r="AH262" i="1"/>
  <c r="C262" i="1"/>
  <c r="AO262" i="1" s="1"/>
  <c r="AQ261" i="1"/>
  <c r="AN261" i="1"/>
  <c r="AM261" i="1"/>
  <c r="AH261" i="1"/>
  <c r="C261" i="1"/>
  <c r="AO261" i="1" s="1"/>
  <c r="AQ260" i="1"/>
  <c r="AN260" i="1"/>
  <c r="AM260" i="1"/>
  <c r="AH260" i="1"/>
  <c r="C260" i="1"/>
  <c r="AO260" i="1" s="1"/>
  <c r="AQ259" i="1"/>
  <c r="AN259" i="1"/>
  <c r="AM259" i="1"/>
  <c r="AH259" i="1"/>
  <c r="C259" i="1"/>
  <c r="AO259" i="1" s="1"/>
  <c r="AQ258" i="1"/>
  <c r="AN258" i="1"/>
  <c r="AM258" i="1"/>
  <c r="AH258" i="1"/>
  <c r="C258" i="1"/>
  <c r="AO258" i="1" s="1"/>
  <c r="AQ257" i="1"/>
  <c r="AN257" i="1"/>
  <c r="AM257" i="1"/>
  <c r="AH257" i="1"/>
  <c r="C257" i="1"/>
  <c r="AO257" i="1" s="1"/>
  <c r="AQ256" i="1"/>
  <c r="AN256" i="1"/>
  <c r="AM256" i="1"/>
  <c r="AH256" i="1"/>
  <c r="C256" i="1"/>
  <c r="AO256" i="1" s="1"/>
  <c r="AQ255" i="1"/>
  <c r="AN255" i="1"/>
  <c r="AM255" i="1"/>
  <c r="AH255" i="1"/>
  <c r="C255" i="1"/>
  <c r="AO255" i="1" s="1"/>
  <c r="AQ254" i="1"/>
  <c r="AN254" i="1"/>
  <c r="AM254" i="1"/>
  <c r="AH254" i="1"/>
  <c r="C254" i="1"/>
  <c r="AO254" i="1" s="1"/>
  <c r="AQ253" i="1"/>
  <c r="AN253" i="1"/>
  <c r="AP253" i="1" s="1"/>
  <c r="AM253" i="1"/>
  <c r="AH253" i="1"/>
  <c r="C253" i="1"/>
  <c r="AO253" i="1" s="1"/>
  <c r="AQ252" i="1"/>
  <c r="AN252" i="1"/>
  <c r="AP252" i="1" s="1"/>
  <c r="AM252" i="1"/>
  <c r="AH252" i="1"/>
  <c r="C252" i="1"/>
  <c r="AO252" i="1" s="1"/>
  <c r="AQ251" i="1"/>
  <c r="AN251" i="1"/>
  <c r="AM251" i="1"/>
  <c r="H25" i="3" s="1"/>
  <c r="AH251" i="1"/>
  <c r="C251" i="1"/>
  <c r="AO251" i="1" s="1"/>
  <c r="AQ250" i="1"/>
  <c r="AN250" i="1"/>
  <c r="AM250" i="1"/>
  <c r="AH250" i="1"/>
  <c r="C250" i="1"/>
  <c r="AO250" i="1" s="1"/>
  <c r="AQ249" i="1"/>
  <c r="AN249" i="1"/>
  <c r="AM249" i="1"/>
  <c r="AH249" i="1"/>
  <c r="C249" i="1"/>
  <c r="AO249" i="1" s="1"/>
  <c r="AQ248" i="1"/>
  <c r="AN248" i="1"/>
  <c r="AP248" i="1" s="1"/>
  <c r="AM248" i="1"/>
  <c r="AH248" i="1"/>
  <c r="C248" i="1"/>
  <c r="AO248" i="1" s="1"/>
  <c r="AQ247" i="1"/>
  <c r="AN247" i="1"/>
  <c r="AM247" i="1"/>
  <c r="AH247" i="1"/>
  <c r="C247" i="1"/>
  <c r="AO247" i="1" s="1"/>
  <c r="AQ246" i="1"/>
  <c r="AN246" i="1"/>
  <c r="AP246" i="1" s="1"/>
  <c r="AM246" i="1"/>
  <c r="AH246" i="1"/>
  <c r="C246" i="1"/>
  <c r="AO246" i="1" s="1"/>
  <c r="AQ245" i="1"/>
  <c r="AN245" i="1"/>
  <c r="AP245" i="1" s="1"/>
  <c r="AM245" i="1"/>
  <c r="AH245" i="1"/>
  <c r="C245" i="1"/>
  <c r="AO245" i="1" s="1"/>
  <c r="AQ244" i="1"/>
  <c r="AN244" i="1"/>
  <c r="AM244" i="1"/>
  <c r="AH244" i="1"/>
  <c r="C244" i="1"/>
  <c r="AO244" i="1" s="1"/>
  <c r="AQ243" i="1"/>
  <c r="AN243" i="1"/>
  <c r="AP243" i="1" s="1"/>
  <c r="AM243" i="1"/>
  <c r="AH243" i="1"/>
  <c r="C243" i="1"/>
  <c r="AO243" i="1" s="1"/>
  <c r="AQ242" i="1"/>
  <c r="AN242" i="1"/>
  <c r="AP242" i="1" s="1"/>
  <c r="AM242" i="1"/>
  <c r="AH242" i="1"/>
  <c r="C242" i="1"/>
  <c r="AO242" i="1" s="1"/>
  <c r="AQ241" i="1"/>
  <c r="AN241" i="1"/>
  <c r="AP241" i="1" s="1"/>
  <c r="AM241" i="1"/>
  <c r="AH241" i="1"/>
  <c r="C241" i="1"/>
  <c r="AO241" i="1" s="1"/>
  <c r="AQ240" i="1"/>
  <c r="AN240" i="1"/>
  <c r="AM240" i="1"/>
  <c r="AH240" i="1"/>
  <c r="C240" i="1"/>
  <c r="AO240" i="1" s="1"/>
  <c r="AQ239" i="1"/>
  <c r="AN239" i="1"/>
  <c r="AP239" i="1" s="1"/>
  <c r="AM239" i="1"/>
  <c r="AH239" i="1"/>
  <c r="C239" i="1"/>
  <c r="AO239" i="1" s="1"/>
  <c r="AQ238" i="1"/>
  <c r="AN238" i="1"/>
  <c r="AM238" i="1"/>
  <c r="AH238" i="1"/>
  <c r="C238" i="1"/>
  <c r="AO238" i="1" s="1"/>
  <c r="AQ237" i="1"/>
  <c r="AN237" i="1"/>
  <c r="AP237" i="1" s="1"/>
  <c r="AM237" i="1"/>
  <c r="AH237" i="1"/>
  <c r="C237" i="1"/>
  <c r="AO237" i="1" s="1"/>
  <c r="AQ236" i="1"/>
  <c r="AN236" i="1"/>
  <c r="AM236" i="1"/>
  <c r="AH236" i="1"/>
  <c r="C236" i="1"/>
  <c r="AO236" i="1" s="1"/>
  <c r="AQ235" i="1"/>
  <c r="AN235" i="1"/>
  <c r="AM235" i="1"/>
  <c r="AH235" i="1"/>
  <c r="C235" i="1"/>
  <c r="AO235" i="1" s="1"/>
  <c r="AQ234" i="1"/>
  <c r="AN234" i="1"/>
  <c r="AM234" i="1"/>
  <c r="AH234" i="1"/>
  <c r="C234" i="1"/>
  <c r="AO234" i="1" s="1"/>
  <c r="AQ233" i="1"/>
  <c r="AN233" i="1"/>
  <c r="AM233" i="1"/>
  <c r="AH233" i="1"/>
  <c r="C233" i="1"/>
  <c r="AO233" i="1" s="1"/>
  <c r="AQ232" i="1"/>
  <c r="AN232" i="1"/>
  <c r="AP232" i="1" s="1"/>
  <c r="AM232" i="1"/>
  <c r="AH232" i="1"/>
  <c r="C232" i="1"/>
  <c r="AO232" i="1" s="1"/>
  <c r="AQ231" i="1"/>
  <c r="AN231" i="1"/>
  <c r="AP231" i="1" s="1"/>
  <c r="AM231" i="1"/>
  <c r="AH231" i="1"/>
  <c r="C231" i="1"/>
  <c r="AO231" i="1" s="1"/>
  <c r="AQ230" i="1"/>
  <c r="AN230" i="1"/>
  <c r="AP230" i="1" s="1"/>
  <c r="AM230" i="1"/>
  <c r="AH230" i="1"/>
  <c r="C230" i="1"/>
  <c r="AO230" i="1" s="1"/>
  <c r="AQ229" i="1"/>
  <c r="AN229" i="1"/>
  <c r="AP229" i="1" s="1"/>
  <c r="AM229" i="1"/>
  <c r="AH229" i="1"/>
  <c r="C229" i="1"/>
  <c r="AO229" i="1" s="1"/>
  <c r="AQ228" i="1"/>
  <c r="AN228" i="1"/>
  <c r="AP228" i="1" s="1"/>
  <c r="AM228" i="1"/>
  <c r="AH228" i="1"/>
  <c r="C228" i="1"/>
  <c r="AO228" i="1" s="1"/>
  <c r="AQ227" i="1"/>
  <c r="AN227" i="1"/>
  <c r="AP227" i="1" s="1"/>
  <c r="AM227" i="1"/>
  <c r="AH227" i="1"/>
  <c r="C227" i="1"/>
  <c r="AO227" i="1" s="1"/>
  <c r="AQ226" i="1"/>
  <c r="AN226" i="1"/>
  <c r="AM226" i="1"/>
  <c r="AH226" i="1"/>
  <c r="C226" i="1"/>
  <c r="AO226" i="1" s="1"/>
  <c r="AQ225" i="1"/>
  <c r="AN225" i="1"/>
  <c r="AM225" i="1"/>
  <c r="AH225" i="1"/>
  <c r="C225" i="1"/>
  <c r="AO225" i="1" s="1"/>
  <c r="AQ224" i="1"/>
  <c r="AN224" i="1"/>
  <c r="AM224" i="1"/>
  <c r="AH224" i="1"/>
  <c r="C224" i="1"/>
  <c r="AO224" i="1" s="1"/>
  <c r="AQ223" i="1"/>
  <c r="AN223" i="1"/>
  <c r="AM223" i="1"/>
  <c r="AH223" i="1"/>
  <c r="C223" i="1"/>
  <c r="AO223" i="1" s="1"/>
  <c r="AQ222" i="1"/>
  <c r="AN222" i="1"/>
  <c r="AM222" i="1"/>
  <c r="AH222" i="1"/>
  <c r="C222" i="1"/>
  <c r="AO222" i="1" s="1"/>
  <c r="AQ221" i="1"/>
  <c r="AN221" i="1"/>
  <c r="AM221" i="1"/>
  <c r="AH221" i="1"/>
  <c r="C221" i="1"/>
  <c r="AO221" i="1" s="1"/>
  <c r="AQ220" i="1"/>
  <c r="AN220" i="1"/>
  <c r="AM220" i="1"/>
  <c r="AH220" i="1"/>
  <c r="C220" i="1"/>
  <c r="AO220" i="1" s="1"/>
  <c r="AQ219" i="1"/>
  <c r="AN219" i="1"/>
  <c r="AM219" i="1"/>
  <c r="AH219" i="1"/>
  <c r="C219" i="1"/>
  <c r="AO219" i="1" s="1"/>
  <c r="AQ218" i="1"/>
  <c r="AN218" i="1"/>
  <c r="AM218" i="1"/>
  <c r="AH218" i="1"/>
  <c r="C218" i="1"/>
  <c r="AO218" i="1" s="1"/>
  <c r="AQ217" i="1"/>
  <c r="AN217" i="1"/>
  <c r="AM217" i="1"/>
  <c r="AH217" i="1"/>
  <c r="C217" i="1"/>
  <c r="AO217" i="1" s="1"/>
  <c r="AQ216" i="1"/>
  <c r="AN216" i="1"/>
  <c r="AP216" i="1" s="1"/>
  <c r="AM216" i="1"/>
  <c r="AH216" i="1"/>
  <c r="C216" i="1"/>
  <c r="AO216" i="1" s="1"/>
  <c r="AQ215" i="1"/>
  <c r="AN215" i="1"/>
  <c r="AP215" i="1" s="1"/>
  <c r="AM215" i="1"/>
  <c r="AH215" i="1"/>
  <c r="C215" i="1"/>
  <c r="AO215" i="1" s="1"/>
  <c r="AQ214" i="1"/>
  <c r="AN214" i="1"/>
  <c r="AP214" i="1" s="1"/>
  <c r="AM214" i="1"/>
  <c r="AH214" i="1"/>
  <c r="C214" i="1"/>
  <c r="AO214" i="1" s="1"/>
  <c r="AQ213" i="1"/>
  <c r="AN213" i="1"/>
  <c r="AP213" i="1" s="1"/>
  <c r="AM213" i="1"/>
  <c r="AH213" i="1"/>
  <c r="C213" i="1"/>
  <c r="AO213" i="1" s="1"/>
  <c r="AQ212" i="1"/>
  <c r="AN212" i="1"/>
  <c r="AP212" i="1" s="1"/>
  <c r="AM212" i="1"/>
  <c r="AH212" i="1"/>
  <c r="C212" i="1"/>
  <c r="AO212" i="1" s="1"/>
  <c r="AQ211" i="1"/>
  <c r="AN211" i="1"/>
  <c r="AP211" i="1" s="1"/>
  <c r="AM211" i="1"/>
  <c r="AH211" i="1"/>
  <c r="C211" i="1"/>
  <c r="AO211" i="1" s="1"/>
  <c r="AQ210" i="1"/>
  <c r="AN210" i="1"/>
  <c r="AP210" i="1" s="1"/>
  <c r="AM210" i="1"/>
  <c r="AH210" i="1"/>
  <c r="C210" i="1"/>
  <c r="AO210" i="1" s="1"/>
  <c r="AQ209" i="1"/>
  <c r="AN209" i="1"/>
  <c r="AP209" i="1" s="1"/>
  <c r="AM209" i="1"/>
  <c r="AH209" i="1"/>
  <c r="C209" i="1"/>
  <c r="AO209" i="1" s="1"/>
  <c r="AQ208" i="1"/>
  <c r="AN208" i="1"/>
  <c r="AP208" i="1" s="1"/>
  <c r="AM208" i="1"/>
  <c r="AH208" i="1"/>
  <c r="C208" i="1"/>
  <c r="AO208" i="1" s="1"/>
  <c r="AQ207" i="1"/>
  <c r="AN207" i="1"/>
  <c r="AP207" i="1" s="1"/>
  <c r="AM207" i="1"/>
  <c r="AH207" i="1"/>
  <c r="C207" i="1"/>
  <c r="AO207" i="1" s="1"/>
  <c r="AQ206" i="1"/>
  <c r="AN206" i="1"/>
  <c r="AM206" i="1"/>
  <c r="AH206" i="1"/>
  <c r="C206" i="1"/>
  <c r="AO206" i="1" s="1"/>
  <c r="AQ205" i="1"/>
  <c r="AN205" i="1"/>
  <c r="AM205" i="1"/>
  <c r="AH205" i="1"/>
  <c r="C205" i="1"/>
  <c r="AO205" i="1" s="1"/>
  <c r="AQ204" i="1"/>
  <c r="AN204" i="1"/>
  <c r="AM204" i="1"/>
  <c r="AH204" i="1"/>
  <c r="C204" i="1"/>
  <c r="AO204" i="1" s="1"/>
  <c r="AQ203" i="1"/>
  <c r="AN203" i="1"/>
  <c r="AM203" i="1"/>
  <c r="AH203" i="1"/>
  <c r="C203" i="1"/>
  <c r="AO203" i="1" s="1"/>
  <c r="AQ202" i="1"/>
  <c r="AN202" i="1"/>
  <c r="AM202" i="1"/>
  <c r="AH202" i="1"/>
  <c r="C202" i="1"/>
  <c r="AO202" i="1" s="1"/>
  <c r="AQ201" i="1"/>
  <c r="AN201" i="1"/>
  <c r="AM201" i="1"/>
  <c r="AH201" i="1"/>
  <c r="C201" i="1"/>
  <c r="AO201" i="1" s="1"/>
  <c r="AQ200" i="1"/>
  <c r="AN200" i="1"/>
  <c r="AM200" i="1"/>
  <c r="AH200" i="1"/>
  <c r="C200" i="1"/>
  <c r="AO200" i="1" s="1"/>
  <c r="AQ199" i="1"/>
  <c r="AN199" i="1"/>
  <c r="AM199" i="1"/>
  <c r="AH199" i="1"/>
  <c r="C199" i="1"/>
  <c r="AO199" i="1" s="1"/>
  <c r="AQ198" i="1"/>
  <c r="AN198" i="1"/>
  <c r="AM198" i="1"/>
  <c r="AH198" i="1"/>
  <c r="C198" i="1"/>
  <c r="AO198" i="1" s="1"/>
  <c r="AQ197" i="1"/>
  <c r="AN197" i="1"/>
  <c r="AM197" i="1"/>
  <c r="AH197" i="1"/>
  <c r="C197" i="1"/>
  <c r="AO197" i="1" s="1"/>
  <c r="AQ196" i="1"/>
  <c r="AN196" i="1"/>
  <c r="AP196" i="1" s="1"/>
  <c r="AM196" i="1"/>
  <c r="AH196" i="1"/>
  <c r="C196" i="1"/>
  <c r="AO196" i="1" s="1"/>
  <c r="AQ195" i="1"/>
  <c r="AN195" i="1"/>
  <c r="AM195" i="1"/>
  <c r="AH195" i="1"/>
  <c r="C195" i="1"/>
  <c r="AO195" i="1" s="1"/>
  <c r="AQ194" i="1"/>
  <c r="AN194" i="1"/>
  <c r="AM194" i="1"/>
  <c r="AH194" i="1"/>
  <c r="C194" i="1"/>
  <c r="AO194" i="1" s="1"/>
  <c r="AQ193" i="1"/>
  <c r="AN193" i="1"/>
  <c r="AP193" i="1" s="1"/>
  <c r="AM193" i="1"/>
  <c r="AH193" i="1"/>
  <c r="C193" i="1"/>
  <c r="AO193" i="1" s="1"/>
  <c r="AQ192" i="1"/>
  <c r="AN192" i="1"/>
  <c r="AP192" i="1" s="1"/>
  <c r="AM192" i="1"/>
  <c r="AH192" i="1"/>
  <c r="C192" i="1"/>
  <c r="AO192" i="1" s="1"/>
  <c r="AQ191" i="1"/>
  <c r="AN191" i="1"/>
  <c r="AP191" i="1" s="1"/>
  <c r="AM191" i="1"/>
  <c r="AH191" i="1"/>
  <c r="C191" i="1"/>
  <c r="AO191" i="1" s="1"/>
  <c r="AQ190" i="1"/>
  <c r="AN190" i="1"/>
  <c r="AP190" i="1" s="1"/>
  <c r="AM190" i="1"/>
  <c r="AH190" i="1"/>
  <c r="C190" i="1"/>
  <c r="AO190" i="1" s="1"/>
  <c r="AQ189" i="1"/>
  <c r="AN189" i="1"/>
  <c r="AP189" i="1" s="1"/>
  <c r="AM189" i="1"/>
  <c r="AH189" i="1"/>
  <c r="C189" i="1"/>
  <c r="AO189" i="1" s="1"/>
  <c r="AQ188" i="1"/>
  <c r="AN188" i="1"/>
  <c r="AP188" i="1" s="1"/>
  <c r="AM188" i="1"/>
  <c r="AH188" i="1"/>
  <c r="C188" i="1"/>
  <c r="AO188" i="1" s="1"/>
  <c r="AQ187" i="1"/>
  <c r="AN187" i="1"/>
  <c r="AP187" i="1" s="1"/>
  <c r="AM187" i="1"/>
  <c r="AH187" i="1"/>
  <c r="C187" i="1"/>
  <c r="AO187" i="1" s="1"/>
  <c r="AQ186" i="1"/>
  <c r="AN186" i="1"/>
  <c r="AP186" i="1" s="1"/>
  <c r="AM186" i="1"/>
  <c r="AH186" i="1"/>
  <c r="C186" i="1"/>
  <c r="AO186" i="1" s="1"/>
  <c r="AQ185" i="1"/>
  <c r="AN185" i="1"/>
  <c r="AM185" i="1"/>
  <c r="AH185" i="1"/>
  <c r="C185" i="1"/>
  <c r="AO185" i="1" s="1"/>
  <c r="AQ184" i="1"/>
  <c r="AN184" i="1"/>
  <c r="AM184" i="1"/>
  <c r="AH184" i="1"/>
  <c r="C184" i="1"/>
  <c r="AO184" i="1" s="1"/>
  <c r="AQ183" i="1"/>
  <c r="AN183" i="1"/>
  <c r="AM183" i="1"/>
  <c r="AH183" i="1"/>
  <c r="C183" i="1"/>
  <c r="AO183" i="1" s="1"/>
  <c r="AQ182" i="1"/>
  <c r="AN182" i="1"/>
  <c r="AM182" i="1"/>
  <c r="AH182" i="1"/>
  <c r="C182" i="1"/>
  <c r="AO182" i="1" s="1"/>
  <c r="AQ181" i="1"/>
  <c r="AN181" i="1"/>
  <c r="AM181" i="1"/>
  <c r="AH181" i="1"/>
  <c r="C181" i="1"/>
  <c r="AO181" i="1" s="1"/>
  <c r="AQ180" i="1"/>
  <c r="AN180" i="1"/>
  <c r="AP180" i="1" s="1"/>
  <c r="AM180" i="1"/>
  <c r="AH180" i="1"/>
  <c r="C180" i="1"/>
  <c r="AO180" i="1" s="1"/>
  <c r="AQ179" i="1"/>
  <c r="AN179" i="1"/>
  <c r="AP179" i="1" s="1"/>
  <c r="AM179" i="1"/>
  <c r="AH179" i="1"/>
  <c r="C179" i="1"/>
  <c r="AO179" i="1" s="1"/>
  <c r="AQ178" i="1"/>
  <c r="AN178" i="1"/>
  <c r="AP178" i="1" s="1"/>
  <c r="AM178" i="1"/>
  <c r="AH178" i="1"/>
  <c r="C178" i="1"/>
  <c r="AO178" i="1" s="1"/>
  <c r="AQ177" i="1"/>
  <c r="AN177" i="1"/>
  <c r="AP177" i="1" s="1"/>
  <c r="AM177" i="1"/>
  <c r="AH177" i="1"/>
  <c r="C177" i="1"/>
  <c r="AO177" i="1" s="1"/>
  <c r="AQ176" i="1"/>
  <c r="AN176" i="1"/>
  <c r="AP176" i="1" s="1"/>
  <c r="AM176" i="1"/>
  <c r="AH176" i="1"/>
  <c r="C176" i="1"/>
  <c r="AO176" i="1" s="1"/>
  <c r="AQ175" i="1"/>
  <c r="AN175" i="1"/>
  <c r="AP175" i="1" s="1"/>
  <c r="AM175" i="1"/>
  <c r="AH175" i="1"/>
  <c r="C175" i="1"/>
  <c r="AO175" i="1" s="1"/>
  <c r="AQ174" i="1"/>
  <c r="AN174" i="1"/>
  <c r="AM174" i="1"/>
  <c r="AH174" i="1"/>
  <c r="C174" i="1"/>
  <c r="AO174" i="1" s="1"/>
  <c r="AQ173" i="1"/>
  <c r="AN173" i="1"/>
  <c r="AP173" i="1" s="1"/>
  <c r="AM173" i="1"/>
  <c r="AH173" i="1"/>
  <c r="C173" i="1"/>
  <c r="AO173" i="1" s="1"/>
  <c r="AQ172" i="1"/>
  <c r="AN172" i="1"/>
  <c r="AM172" i="1"/>
  <c r="AH172" i="1"/>
  <c r="C172" i="1"/>
  <c r="AO172" i="1" s="1"/>
  <c r="AQ171" i="1"/>
  <c r="AN171" i="1"/>
  <c r="AP171" i="1" s="1"/>
  <c r="AM171" i="1"/>
  <c r="AH171" i="1"/>
  <c r="C171" i="1"/>
  <c r="AO171" i="1" s="1"/>
  <c r="AQ170" i="1"/>
  <c r="AN170" i="1"/>
  <c r="AM170" i="1"/>
  <c r="AH170" i="1"/>
  <c r="C170" i="1"/>
  <c r="AO170" i="1" s="1"/>
  <c r="AQ169" i="1"/>
  <c r="AN169" i="1"/>
  <c r="AP169" i="1" s="1"/>
  <c r="AM169" i="1"/>
  <c r="AH169" i="1"/>
  <c r="C169" i="1"/>
  <c r="AO169" i="1" s="1"/>
  <c r="AQ168" i="1"/>
  <c r="AN168" i="1"/>
  <c r="AP168" i="1" s="1"/>
  <c r="AM168" i="1"/>
  <c r="AH168" i="1"/>
  <c r="C168" i="1"/>
  <c r="AO168" i="1" s="1"/>
  <c r="AQ167" i="1"/>
  <c r="AN167" i="1"/>
  <c r="AP167" i="1" s="1"/>
  <c r="AM167" i="1"/>
  <c r="AH167" i="1"/>
  <c r="C167" i="1"/>
  <c r="AO167" i="1" s="1"/>
  <c r="AQ166" i="1"/>
  <c r="AN166" i="1"/>
  <c r="AM166" i="1"/>
  <c r="AH166" i="1"/>
  <c r="C166" i="1"/>
  <c r="AO166" i="1" s="1"/>
  <c r="AQ165" i="1"/>
  <c r="AN165" i="1"/>
  <c r="AM165" i="1"/>
  <c r="AH165" i="1"/>
  <c r="C165" i="1"/>
  <c r="AO165" i="1" s="1"/>
  <c r="AQ164" i="1"/>
  <c r="AN164" i="1"/>
  <c r="AM164" i="1"/>
  <c r="AH164" i="1"/>
  <c r="C164" i="1"/>
  <c r="AO164" i="1" s="1"/>
  <c r="AQ163" i="1"/>
  <c r="AN163" i="1"/>
  <c r="AM163" i="1"/>
  <c r="AH163" i="1"/>
  <c r="C163" i="1"/>
  <c r="AO163" i="1" s="1"/>
  <c r="AQ162" i="1"/>
  <c r="AN162" i="1"/>
  <c r="AM162" i="1"/>
  <c r="AH162" i="1"/>
  <c r="C162" i="1"/>
  <c r="AO162" i="1" s="1"/>
  <c r="AQ161" i="1"/>
  <c r="AN161" i="1"/>
  <c r="AM161" i="1"/>
  <c r="AH161" i="1"/>
  <c r="C161" i="1"/>
  <c r="AO161" i="1" s="1"/>
  <c r="AQ160" i="1"/>
  <c r="AN160" i="1"/>
  <c r="AM160" i="1"/>
  <c r="AH160" i="1"/>
  <c r="C160" i="1"/>
  <c r="AO160" i="1" s="1"/>
  <c r="AQ159" i="1"/>
  <c r="AN159" i="1"/>
  <c r="AP159" i="1" s="1"/>
  <c r="AM159" i="1"/>
  <c r="AH159" i="1"/>
  <c r="C159" i="1"/>
  <c r="AO159" i="1" s="1"/>
  <c r="AQ158" i="1"/>
  <c r="AN158" i="1"/>
  <c r="AP158" i="1" s="1"/>
  <c r="AM158" i="1"/>
  <c r="AH158" i="1"/>
  <c r="C158" i="1"/>
  <c r="AO158" i="1" s="1"/>
  <c r="AQ157" i="1"/>
  <c r="AN157" i="1"/>
  <c r="AM157" i="1"/>
  <c r="AH157" i="1"/>
  <c r="C157" i="1"/>
  <c r="AO157" i="1" s="1"/>
  <c r="AQ156" i="1"/>
  <c r="AN156" i="1"/>
  <c r="AM156" i="1"/>
  <c r="AH156" i="1"/>
  <c r="C156" i="1"/>
  <c r="AO156" i="1" s="1"/>
  <c r="AQ155" i="1"/>
  <c r="AN155" i="1"/>
  <c r="AM155" i="1"/>
  <c r="AH155" i="1"/>
  <c r="C155" i="1"/>
  <c r="AO155" i="1" s="1"/>
  <c r="AQ154" i="1"/>
  <c r="AN154" i="1"/>
  <c r="AM154" i="1"/>
  <c r="AH154" i="1"/>
  <c r="C154" i="1"/>
  <c r="AO154" i="1" s="1"/>
  <c r="AQ153" i="1"/>
  <c r="AN153" i="1"/>
  <c r="AP153" i="1" s="1"/>
  <c r="AM153" i="1"/>
  <c r="AH153" i="1"/>
  <c r="C153" i="1"/>
  <c r="AO153" i="1" s="1"/>
  <c r="AQ152" i="1"/>
  <c r="AN152" i="1"/>
  <c r="AP152" i="1" s="1"/>
  <c r="AM152" i="1"/>
  <c r="AH152" i="1"/>
  <c r="C152" i="1"/>
  <c r="AO152" i="1" s="1"/>
  <c r="AQ151" i="1"/>
  <c r="AN151" i="1"/>
  <c r="AM151" i="1"/>
  <c r="AH151" i="1"/>
  <c r="C151" i="1"/>
  <c r="AO151" i="1" s="1"/>
  <c r="AQ150" i="1"/>
  <c r="AN150" i="1"/>
  <c r="AM150" i="1"/>
  <c r="AH150" i="1"/>
  <c r="C150" i="1"/>
  <c r="AO150" i="1" s="1"/>
  <c r="AQ149" i="1"/>
  <c r="AN149" i="1"/>
  <c r="AM149" i="1"/>
  <c r="AH149" i="1"/>
  <c r="C149" i="1"/>
  <c r="AO149" i="1" s="1"/>
  <c r="AQ148" i="1"/>
  <c r="AN148" i="1"/>
  <c r="AP148" i="1" s="1"/>
  <c r="AM148" i="1"/>
  <c r="AH148" i="1"/>
  <c r="C148" i="1"/>
  <c r="AO148" i="1" s="1"/>
  <c r="AQ147" i="1"/>
  <c r="AN147" i="1"/>
  <c r="AP147" i="1" s="1"/>
  <c r="AM147" i="1"/>
  <c r="AH147" i="1"/>
  <c r="C147" i="1"/>
  <c r="AO147" i="1" s="1"/>
  <c r="AQ146" i="1"/>
  <c r="AN146" i="1"/>
  <c r="AP146" i="1" s="1"/>
  <c r="AM146" i="1"/>
  <c r="AH146" i="1"/>
  <c r="C146" i="1"/>
  <c r="AO146" i="1" s="1"/>
  <c r="AQ145" i="1"/>
  <c r="AN145" i="1"/>
  <c r="AP145" i="1" s="1"/>
  <c r="AM145" i="1"/>
  <c r="AH145" i="1"/>
  <c r="C145" i="1"/>
  <c r="AO145" i="1" s="1"/>
  <c r="AQ144" i="1"/>
  <c r="AN144" i="1"/>
  <c r="AP144" i="1" s="1"/>
  <c r="AM144" i="1"/>
  <c r="AH144" i="1"/>
  <c r="C144" i="1"/>
  <c r="AO144" i="1" s="1"/>
  <c r="AQ143" i="1"/>
  <c r="AN143" i="1"/>
  <c r="AM143" i="1"/>
  <c r="AH143" i="1"/>
  <c r="C143" i="1"/>
  <c r="AO143" i="1" s="1"/>
  <c r="AQ142" i="1"/>
  <c r="AN142" i="1"/>
  <c r="AP142" i="1" s="1"/>
  <c r="AM142" i="1"/>
  <c r="AH142" i="1"/>
  <c r="C142" i="1"/>
  <c r="AO142" i="1" s="1"/>
  <c r="AQ141" i="1"/>
  <c r="AN141" i="1"/>
  <c r="AP141" i="1" s="1"/>
  <c r="AM141" i="1"/>
  <c r="AH141" i="1"/>
  <c r="C141" i="1"/>
  <c r="AO141" i="1" s="1"/>
  <c r="AQ140" i="1"/>
  <c r="AN140" i="1"/>
  <c r="AM140" i="1"/>
  <c r="AH140" i="1"/>
  <c r="C140" i="1"/>
  <c r="AO140" i="1" s="1"/>
  <c r="AQ139" i="1"/>
  <c r="AN139" i="1"/>
  <c r="AM139" i="1"/>
  <c r="AH139" i="1"/>
  <c r="C139" i="1"/>
  <c r="AO139" i="1" s="1"/>
  <c r="AQ138" i="1"/>
  <c r="AN138" i="1"/>
  <c r="AM138" i="1"/>
  <c r="AH138" i="1"/>
  <c r="C138" i="1"/>
  <c r="AO138" i="1" s="1"/>
  <c r="AQ137" i="1"/>
  <c r="AN137" i="1"/>
  <c r="AM137" i="1"/>
  <c r="AH137" i="1"/>
  <c r="C137" i="1"/>
  <c r="AO137" i="1" s="1"/>
  <c r="AQ136" i="1"/>
  <c r="AN136" i="1"/>
  <c r="AM136" i="1"/>
  <c r="AH136" i="1"/>
  <c r="C136" i="1"/>
  <c r="AO136" i="1" s="1"/>
  <c r="AQ135" i="1"/>
  <c r="AN135" i="1"/>
  <c r="AP135" i="1" s="1"/>
  <c r="AM135" i="1"/>
  <c r="AH135" i="1"/>
  <c r="C135" i="1"/>
  <c r="AO135" i="1" s="1"/>
  <c r="AQ134" i="1"/>
  <c r="AN134" i="1"/>
  <c r="AP134" i="1" s="1"/>
  <c r="AM134" i="1"/>
  <c r="AH134" i="1"/>
  <c r="C134" i="1"/>
  <c r="AO134" i="1" s="1"/>
  <c r="AQ133" i="1"/>
  <c r="AN133" i="1"/>
  <c r="AP133" i="1" s="1"/>
  <c r="AM133" i="1"/>
  <c r="AH133" i="1"/>
  <c r="C133" i="1"/>
  <c r="AO133" i="1" s="1"/>
  <c r="AQ132" i="1"/>
  <c r="AN132" i="1"/>
  <c r="AP132" i="1" s="1"/>
  <c r="AM132" i="1"/>
  <c r="AH132" i="1"/>
  <c r="C132" i="1"/>
  <c r="AO132" i="1" s="1"/>
  <c r="AQ131" i="1"/>
  <c r="AN131" i="1"/>
  <c r="AP131" i="1" s="1"/>
  <c r="AM131" i="1"/>
  <c r="AH131" i="1"/>
  <c r="C131" i="1"/>
  <c r="AO131" i="1" s="1"/>
  <c r="AQ130" i="1"/>
  <c r="AN130" i="1"/>
  <c r="AP130" i="1" s="1"/>
  <c r="AM130" i="1"/>
  <c r="AH130" i="1"/>
  <c r="C130" i="1"/>
  <c r="AO130" i="1" s="1"/>
  <c r="AQ129" i="1"/>
  <c r="AN129" i="1"/>
  <c r="AM129" i="1"/>
  <c r="AH129" i="1"/>
  <c r="C129" i="1"/>
  <c r="AO129" i="1" s="1"/>
  <c r="AQ128" i="1"/>
  <c r="AN128" i="1"/>
  <c r="AP128" i="1" s="1"/>
  <c r="AM128" i="1"/>
  <c r="AH128" i="1"/>
  <c r="C128" i="1"/>
  <c r="AO128" i="1" s="1"/>
  <c r="AQ127" i="1"/>
  <c r="AN127" i="1"/>
  <c r="AP127" i="1" s="1"/>
  <c r="AM127" i="1"/>
  <c r="AH127" i="1"/>
  <c r="C127" i="1"/>
  <c r="AO127" i="1" s="1"/>
  <c r="AQ126" i="1"/>
  <c r="AN126" i="1"/>
  <c r="AM126" i="1"/>
  <c r="AH126" i="1"/>
  <c r="C126" i="1"/>
  <c r="AO126" i="1" s="1"/>
  <c r="AQ125" i="1"/>
  <c r="AN125" i="1"/>
  <c r="AP125" i="1" s="1"/>
  <c r="AM125" i="1"/>
  <c r="AH125" i="1"/>
  <c r="C125" i="1"/>
  <c r="AO125" i="1" s="1"/>
  <c r="AQ124" i="1"/>
  <c r="AN124" i="1"/>
  <c r="AP124" i="1" s="1"/>
  <c r="AM124" i="1"/>
  <c r="AH124" i="1"/>
  <c r="C124" i="1"/>
  <c r="AO124" i="1" s="1"/>
  <c r="AQ123" i="1"/>
  <c r="AN123" i="1"/>
  <c r="AP123" i="1" s="1"/>
  <c r="AM123" i="1"/>
  <c r="AH123" i="1"/>
  <c r="C123" i="1"/>
  <c r="AO123" i="1" s="1"/>
  <c r="AQ122" i="1"/>
  <c r="AN122" i="1"/>
  <c r="AM122" i="1"/>
  <c r="AH122" i="1"/>
  <c r="C122" i="1"/>
  <c r="AO122" i="1" s="1"/>
  <c r="AQ121" i="1"/>
  <c r="AM121" i="1"/>
  <c r="AH121" i="1"/>
  <c r="C121" i="1"/>
  <c r="AO121" i="1" s="1"/>
  <c r="AQ120" i="1"/>
  <c r="AN120" i="1"/>
  <c r="AP120" i="1" s="1"/>
  <c r="AM120" i="1"/>
  <c r="AH120" i="1"/>
  <c r="C120" i="1"/>
  <c r="AO120" i="1" s="1"/>
  <c r="AQ119" i="1"/>
  <c r="AN119" i="1"/>
  <c r="AP119" i="1" s="1"/>
  <c r="AM119" i="1"/>
  <c r="AH119" i="1"/>
  <c r="C119" i="1"/>
  <c r="AO119" i="1" s="1"/>
  <c r="AQ118" i="1"/>
  <c r="AN118" i="1"/>
  <c r="AP118" i="1" s="1"/>
  <c r="AM118" i="1"/>
  <c r="AH118" i="1"/>
  <c r="C118" i="1"/>
  <c r="AO118" i="1" s="1"/>
  <c r="AQ117" i="1"/>
  <c r="AN117" i="1"/>
  <c r="AP117" i="1" s="1"/>
  <c r="AM117" i="1"/>
  <c r="AH117" i="1"/>
  <c r="C117" i="1"/>
  <c r="AO117" i="1" s="1"/>
  <c r="AQ116" i="1"/>
  <c r="AN116" i="1"/>
  <c r="AP116" i="1" s="1"/>
  <c r="AM116" i="1"/>
  <c r="AH116" i="1"/>
  <c r="C116" i="1"/>
  <c r="AO116" i="1" s="1"/>
  <c r="AQ115" i="1"/>
  <c r="AN115" i="1"/>
  <c r="AP115" i="1" s="1"/>
  <c r="AM115" i="1"/>
  <c r="AH115" i="1"/>
  <c r="C115" i="1"/>
  <c r="AO115" i="1" s="1"/>
  <c r="AQ114" i="1"/>
  <c r="AN114" i="1"/>
  <c r="AP114" i="1" s="1"/>
  <c r="AM114" i="1"/>
  <c r="AH114" i="1"/>
  <c r="C114" i="1"/>
  <c r="AO114" i="1" s="1"/>
  <c r="AQ113" i="1"/>
  <c r="AN113" i="1"/>
  <c r="AP113" i="1" s="1"/>
  <c r="AM113" i="1"/>
  <c r="AH113" i="1"/>
  <c r="C113" i="1"/>
  <c r="AO113" i="1" s="1"/>
  <c r="AQ112" i="1"/>
  <c r="AN112" i="1"/>
  <c r="AP112" i="1" s="1"/>
  <c r="AM112" i="1"/>
  <c r="AH112" i="1"/>
  <c r="C112" i="1"/>
  <c r="AO112" i="1" s="1"/>
  <c r="AQ111" i="1"/>
  <c r="AN111" i="1"/>
  <c r="AP111" i="1" s="1"/>
  <c r="AM111" i="1"/>
  <c r="AH111" i="1"/>
  <c r="C111" i="1"/>
  <c r="AO111" i="1" s="1"/>
  <c r="AQ110" i="1"/>
  <c r="AN110" i="1"/>
  <c r="AP110" i="1" s="1"/>
  <c r="AM110" i="1"/>
  <c r="AH110" i="1"/>
  <c r="C110" i="1"/>
  <c r="AO110" i="1" s="1"/>
  <c r="AQ109" i="1"/>
  <c r="AN109" i="1"/>
  <c r="AP109" i="1" s="1"/>
  <c r="AM109" i="1"/>
  <c r="AH109" i="1"/>
  <c r="C109" i="1"/>
  <c r="AO109" i="1" s="1"/>
  <c r="AQ108" i="1"/>
  <c r="AN108" i="1"/>
  <c r="AP108" i="1" s="1"/>
  <c r="AM108" i="1"/>
  <c r="AH108" i="1"/>
  <c r="C108" i="1"/>
  <c r="AO108" i="1" s="1"/>
  <c r="AQ107" i="1"/>
  <c r="AN107" i="1"/>
  <c r="AP107" i="1" s="1"/>
  <c r="AM107" i="1"/>
  <c r="AH107" i="1"/>
  <c r="C107" i="1"/>
  <c r="AO107" i="1" s="1"/>
  <c r="AQ106" i="1"/>
  <c r="AN106" i="1"/>
  <c r="AP106" i="1" s="1"/>
  <c r="AM106" i="1"/>
  <c r="AH106" i="1"/>
  <c r="C106" i="1"/>
  <c r="AO106" i="1" s="1"/>
  <c r="AQ105" i="1"/>
  <c r="AN105" i="1"/>
  <c r="AP105" i="1" s="1"/>
  <c r="AM105" i="1"/>
  <c r="AH105" i="1"/>
  <c r="C105" i="1"/>
  <c r="AO105" i="1" s="1"/>
  <c r="AQ104" i="1"/>
  <c r="AN104" i="1"/>
  <c r="AP104" i="1" s="1"/>
  <c r="AM104" i="1"/>
  <c r="AH104" i="1"/>
  <c r="C104" i="1"/>
  <c r="AO104" i="1" s="1"/>
  <c r="AQ103" i="1"/>
  <c r="AN103" i="1"/>
  <c r="AP103" i="1" s="1"/>
  <c r="AM103" i="1"/>
  <c r="AH103" i="1"/>
  <c r="C103" i="1"/>
  <c r="AO103" i="1" s="1"/>
  <c r="AQ102" i="1"/>
  <c r="AN102" i="1"/>
  <c r="AP102" i="1" s="1"/>
  <c r="AM102" i="1"/>
  <c r="AH102" i="1"/>
  <c r="C102" i="1"/>
  <c r="AO102" i="1" s="1"/>
  <c r="AQ101" i="1"/>
  <c r="AN101" i="1"/>
  <c r="AP101" i="1" s="1"/>
  <c r="AM101" i="1"/>
  <c r="AH101" i="1"/>
  <c r="C101" i="1"/>
  <c r="AO101" i="1" s="1"/>
  <c r="AQ100" i="1"/>
  <c r="AN100" i="1"/>
  <c r="AM100" i="1"/>
  <c r="AH100" i="1"/>
  <c r="C100" i="1"/>
  <c r="AO100" i="1" s="1"/>
  <c r="AQ99" i="1"/>
  <c r="AN99" i="1"/>
  <c r="AM99" i="1"/>
  <c r="AH99" i="1"/>
  <c r="C99" i="1"/>
  <c r="AO99" i="1" s="1"/>
  <c r="AQ98" i="1"/>
  <c r="AN98" i="1"/>
  <c r="AP98" i="1" s="1"/>
  <c r="AM98" i="1"/>
  <c r="AH98" i="1"/>
  <c r="C98" i="1"/>
  <c r="AO98" i="1" s="1"/>
  <c r="AQ97" i="1"/>
  <c r="AN97" i="1"/>
  <c r="AP97" i="1" s="1"/>
  <c r="AM97" i="1"/>
  <c r="AH97" i="1"/>
  <c r="C97" i="1"/>
  <c r="AO97" i="1" s="1"/>
  <c r="AQ96" i="1"/>
  <c r="AN96" i="1"/>
  <c r="AM96" i="1"/>
  <c r="AH96" i="1"/>
  <c r="C96" i="1"/>
  <c r="AO96" i="1" s="1"/>
  <c r="AQ95" i="1"/>
  <c r="AN95" i="1"/>
  <c r="AM95" i="1"/>
  <c r="AH95" i="1"/>
  <c r="C95" i="1"/>
  <c r="AO95" i="1" s="1"/>
  <c r="AQ94" i="1"/>
  <c r="AN94" i="1"/>
  <c r="AM94" i="1"/>
  <c r="AH94" i="1"/>
  <c r="C94" i="1"/>
  <c r="AO94" i="1" s="1"/>
  <c r="AQ93" i="1"/>
  <c r="AN93" i="1"/>
  <c r="AP93" i="1" s="1"/>
  <c r="AM93" i="1"/>
  <c r="AH93" i="1"/>
  <c r="C93" i="1"/>
  <c r="AO93" i="1" s="1"/>
  <c r="AQ92" i="1"/>
  <c r="AN92" i="1"/>
  <c r="AP92" i="1" s="1"/>
  <c r="AM92" i="1"/>
  <c r="AH92" i="1"/>
  <c r="C92" i="1"/>
  <c r="AO92" i="1" s="1"/>
  <c r="AQ91" i="1"/>
  <c r="AN91" i="1"/>
  <c r="AP91" i="1" s="1"/>
  <c r="AM91" i="1"/>
  <c r="AH91" i="1"/>
  <c r="C91" i="1"/>
  <c r="AO91" i="1" s="1"/>
  <c r="AQ90" i="1"/>
  <c r="AN90" i="1"/>
  <c r="AP90" i="1" s="1"/>
  <c r="AM90" i="1"/>
  <c r="AH90" i="1"/>
  <c r="C90" i="1"/>
  <c r="AO90" i="1" s="1"/>
  <c r="AQ89" i="1"/>
  <c r="AN89" i="1"/>
  <c r="AP89" i="1" s="1"/>
  <c r="AM89" i="1"/>
  <c r="AH89" i="1"/>
  <c r="C89" i="1"/>
  <c r="AO89" i="1" s="1"/>
  <c r="AQ88" i="1"/>
  <c r="AN88" i="1"/>
  <c r="AP88" i="1" s="1"/>
  <c r="AM88" i="1"/>
  <c r="AH88" i="1"/>
  <c r="C88" i="1"/>
  <c r="AO88" i="1" s="1"/>
  <c r="AQ87" i="1"/>
  <c r="AN87" i="1"/>
  <c r="AP87" i="1" s="1"/>
  <c r="AM87" i="1"/>
  <c r="AH87" i="1"/>
  <c r="C87" i="1"/>
  <c r="AO87" i="1" s="1"/>
  <c r="AQ86" i="1"/>
  <c r="AN86" i="1"/>
  <c r="AM86" i="1"/>
  <c r="AH86" i="1"/>
  <c r="C86" i="1"/>
  <c r="AO86" i="1" s="1"/>
  <c r="AQ85" i="1"/>
  <c r="AN85" i="1"/>
  <c r="AM85" i="1"/>
  <c r="AH85" i="1"/>
  <c r="C85" i="1"/>
  <c r="AO85" i="1" s="1"/>
  <c r="AQ84" i="1"/>
  <c r="AN84" i="1"/>
  <c r="AM84" i="1"/>
  <c r="AH84" i="1"/>
  <c r="C84" i="1"/>
  <c r="AO84" i="1" s="1"/>
  <c r="AQ83" i="1"/>
  <c r="AN83" i="1"/>
  <c r="AM83" i="1"/>
  <c r="AH83" i="1"/>
  <c r="C83" i="1"/>
  <c r="AO83" i="1" s="1"/>
  <c r="AQ82" i="1"/>
  <c r="AN82" i="1"/>
  <c r="AP82" i="1" s="1"/>
  <c r="AM82" i="1"/>
  <c r="AH82" i="1"/>
  <c r="C82" i="1"/>
  <c r="AO82" i="1" s="1"/>
  <c r="AQ81" i="1"/>
  <c r="AN81" i="1"/>
  <c r="AM81" i="1"/>
  <c r="AH81" i="1"/>
  <c r="C81" i="1"/>
  <c r="AO81" i="1" s="1"/>
  <c r="AQ80" i="1"/>
  <c r="AN80" i="1"/>
  <c r="AP80" i="1" s="1"/>
  <c r="AM80" i="1"/>
  <c r="AH80" i="1"/>
  <c r="C80" i="1"/>
  <c r="AO80" i="1" s="1"/>
  <c r="AQ79" i="1"/>
  <c r="AN79" i="1"/>
  <c r="AP79" i="1" s="1"/>
  <c r="AM79" i="1"/>
  <c r="AH79" i="1"/>
  <c r="C79" i="1"/>
  <c r="AO79" i="1" s="1"/>
  <c r="AQ78" i="1"/>
  <c r="AN78" i="1"/>
  <c r="AP78" i="1" s="1"/>
  <c r="AM78" i="1"/>
  <c r="AH78" i="1"/>
  <c r="C78" i="1"/>
  <c r="AO78" i="1" s="1"/>
  <c r="AQ77" i="1"/>
  <c r="AN77" i="1"/>
  <c r="AP77" i="1" s="1"/>
  <c r="AM77" i="1"/>
  <c r="AH77" i="1"/>
  <c r="C77" i="1"/>
  <c r="AO77" i="1" s="1"/>
  <c r="AQ76" i="1"/>
  <c r="AN76" i="1"/>
  <c r="AP76" i="1" s="1"/>
  <c r="AM76" i="1"/>
  <c r="AH76" i="1"/>
  <c r="C76" i="1"/>
  <c r="AO76" i="1" s="1"/>
  <c r="AQ75" i="1"/>
  <c r="AN75" i="1"/>
  <c r="AP75" i="1" s="1"/>
  <c r="AM75" i="1"/>
  <c r="AH75" i="1"/>
  <c r="C75" i="1"/>
  <c r="AO75" i="1" s="1"/>
  <c r="AQ74" i="1"/>
  <c r="AN74" i="1"/>
  <c r="AP74" i="1" s="1"/>
  <c r="AM74" i="1"/>
  <c r="AH74" i="1"/>
  <c r="C74" i="1"/>
  <c r="AO74" i="1" s="1"/>
  <c r="AQ73" i="1"/>
  <c r="AN73" i="1"/>
  <c r="AP73" i="1" s="1"/>
  <c r="AM73" i="1"/>
  <c r="AH73" i="1"/>
  <c r="C73" i="1"/>
  <c r="AO73" i="1" s="1"/>
  <c r="AQ72" i="1"/>
  <c r="AN72" i="1"/>
  <c r="AP72" i="1" s="1"/>
  <c r="AM72" i="1"/>
  <c r="AH72" i="1"/>
  <c r="C72" i="1"/>
  <c r="AO72" i="1" s="1"/>
  <c r="AQ71" i="1"/>
  <c r="AN71" i="1"/>
  <c r="AP71" i="1" s="1"/>
  <c r="AM71" i="1"/>
  <c r="AH71" i="1"/>
  <c r="C71" i="1"/>
  <c r="AO71" i="1" s="1"/>
  <c r="AQ70" i="1"/>
  <c r="AN70" i="1"/>
  <c r="AP70" i="1" s="1"/>
  <c r="AM70" i="1"/>
  <c r="AH70" i="1"/>
  <c r="C70" i="1"/>
  <c r="AO70" i="1" s="1"/>
  <c r="AQ69" i="1"/>
  <c r="AN69" i="1"/>
  <c r="AP69" i="1" s="1"/>
  <c r="AM69" i="1"/>
  <c r="AH69" i="1"/>
  <c r="C69" i="1"/>
  <c r="AO69" i="1" s="1"/>
  <c r="AQ68" i="1"/>
  <c r="AN68" i="1"/>
  <c r="AP68" i="1" s="1"/>
  <c r="AM68" i="1"/>
  <c r="AH68" i="1"/>
  <c r="C68" i="1"/>
  <c r="AO68" i="1" s="1"/>
  <c r="AQ67" i="1"/>
  <c r="AN67" i="1"/>
  <c r="AP67" i="1" s="1"/>
  <c r="AM67" i="1"/>
  <c r="AH67" i="1"/>
  <c r="C67" i="1"/>
  <c r="AO67" i="1" s="1"/>
  <c r="AQ66" i="1"/>
  <c r="AN66" i="1"/>
  <c r="AP66" i="1" s="1"/>
  <c r="AM66" i="1"/>
  <c r="AH66" i="1"/>
  <c r="C66" i="1"/>
  <c r="AO66" i="1" s="1"/>
  <c r="AQ65" i="1"/>
  <c r="AN65" i="1"/>
  <c r="AP65" i="1" s="1"/>
  <c r="AM65" i="1"/>
  <c r="AH65" i="1"/>
  <c r="C65" i="1"/>
  <c r="AO65" i="1" s="1"/>
  <c r="AQ64" i="1"/>
  <c r="AN64" i="1"/>
  <c r="AP64" i="1" s="1"/>
  <c r="AM64" i="1"/>
  <c r="AH64" i="1"/>
  <c r="C64" i="1"/>
  <c r="AO64" i="1" s="1"/>
  <c r="AQ63" i="1"/>
  <c r="AN63" i="1"/>
  <c r="AP63" i="1" s="1"/>
  <c r="AM63" i="1"/>
  <c r="AH63" i="1"/>
  <c r="C63" i="1"/>
  <c r="AO63" i="1" s="1"/>
  <c r="AQ62" i="1"/>
  <c r="AN62" i="1"/>
  <c r="AP62" i="1" s="1"/>
  <c r="AM62" i="1"/>
  <c r="AH62" i="1"/>
  <c r="C62" i="1"/>
  <c r="AO62" i="1" s="1"/>
  <c r="AQ61" i="1"/>
  <c r="AN61" i="1"/>
  <c r="AP61" i="1" s="1"/>
  <c r="AM61" i="1"/>
  <c r="AH61" i="1"/>
  <c r="C61" i="1"/>
  <c r="AO61" i="1" s="1"/>
  <c r="AQ60" i="1"/>
  <c r="AN60" i="1"/>
  <c r="AP60" i="1" s="1"/>
  <c r="AM60" i="1"/>
  <c r="AH60" i="1"/>
  <c r="C60" i="1"/>
  <c r="AO60" i="1" s="1"/>
  <c r="AQ59" i="1"/>
  <c r="AN59" i="1"/>
  <c r="AP59" i="1" s="1"/>
  <c r="AM59" i="1"/>
  <c r="AH59" i="1"/>
  <c r="C59" i="1"/>
  <c r="AO59" i="1" s="1"/>
  <c r="AQ58" i="1"/>
  <c r="AN58" i="1"/>
  <c r="AP58" i="1" s="1"/>
  <c r="AM58" i="1"/>
  <c r="AH58" i="1"/>
  <c r="C58" i="1"/>
  <c r="AO58" i="1" s="1"/>
  <c r="AQ57" i="1"/>
  <c r="AN57" i="1"/>
  <c r="AP57" i="1" s="1"/>
  <c r="AM57" i="1"/>
  <c r="AH57" i="1"/>
  <c r="C57" i="1"/>
  <c r="AO57" i="1" s="1"/>
  <c r="AQ56" i="1"/>
  <c r="AN56" i="1"/>
  <c r="AP56" i="1" s="1"/>
  <c r="AM56" i="1"/>
  <c r="AH56" i="1"/>
  <c r="C56" i="1"/>
  <c r="AO56" i="1" s="1"/>
  <c r="AQ55" i="1"/>
  <c r="AN55" i="1"/>
  <c r="AP55" i="1" s="1"/>
  <c r="AM55" i="1"/>
  <c r="AH55" i="1"/>
  <c r="C55" i="1"/>
  <c r="AO55" i="1" s="1"/>
  <c r="AQ54" i="1"/>
  <c r="AN54" i="1"/>
  <c r="AP54" i="1" s="1"/>
  <c r="AM54" i="1"/>
  <c r="AH54" i="1"/>
  <c r="C54" i="1"/>
  <c r="AO54" i="1" s="1"/>
  <c r="AQ53" i="1"/>
  <c r="AN53" i="1"/>
  <c r="AP53" i="1" s="1"/>
  <c r="AM53" i="1"/>
  <c r="AH53" i="1"/>
  <c r="C53" i="1"/>
  <c r="AO53" i="1" s="1"/>
  <c r="AQ52" i="1"/>
  <c r="AN52" i="1"/>
  <c r="AM52" i="1"/>
  <c r="AH52" i="1"/>
  <c r="C52" i="1"/>
  <c r="AO52" i="1" s="1"/>
  <c r="AQ51" i="1"/>
  <c r="AN51" i="1"/>
  <c r="AM51" i="1"/>
  <c r="AH51" i="1"/>
  <c r="C51" i="1"/>
  <c r="AO51" i="1" s="1"/>
  <c r="AQ50" i="1"/>
  <c r="AN50" i="1"/>
  <c r="AM50" i="1"/>
  <c r="AH50" i="1"/>
  <c r="C50" i="1"/>
  <c r="AO50" i="1" s="1"/>
  <c r="AQ49" i="1"/>
  <c r="AN49" i="1"/>
  <c r="AM49" i="1"/>
  <c r="AH49" i="1"/>
  <c r="C49" i="1"/>
  <c r="AO49" i="1" s="1"/>
  <c r="AQ48" i="1"/>
  <c r="AN48" i="1"/>
  <c r="AM48" i="1"/>
  <c r="AH48" i="1"/>
  <c r="C48" i="1"/>
  <c r="AO48" i="1" s="1"/>
  <c r="AQ47" i="1"/>
  <c r="AN47" i="1"/>
  <c r="AM47" i="1"/>
  <c r="AH47" i="1"/>
  <c r="C47" i="1"/>
  <c r="AO47" i="1" s="1"/>
  <c r="AQ46" i="1"/>
  <c r="AN46" i="1"/>
  <c r="AM46" i="1"/>
  <c r="AH46" i="1"/>
  <c r="C46" i="1"/>
  <c r="AO46" i="1" s="1"/>
  <c r="AQ45" i="1"/>
  <c r="AN45" i="1"/>
  <c r="AM45" i="1"/>
  <c r="AH45" i="1"/>
  <c r="C45" i="1"/>
  <c r="AO45" i="1" s="1"/>
  <c r="AQ44" i="1"/>
  <c r="AN44" i="1"/>
  <c r="AP44" i="1" s="1"/>
  <c r="AM44" i="1"/>
  <c r="AH44" i="1"/>
  <c r="C44" i="1"/>
  <c r="AO44" i="1" s="1"/>
  <c r="AQ43" i="1"/>
  <c r="AN43" i="1"/>
  <c r="AM43" i="1"/>
  <c r="AH43" i="1"/>
  <c r="C43" i="1"/>
  <c r="AO43" i="1" s="1"/>
  <c r="AQ42" i="1"/>
  <c r="AN42" i="1"/>
  <c r="AP42" i="1" s="1"/>
  <c r="AM42" i="1"/>
  <c r="AH42" i="1"/>
  <c r="C42" i="1"/>
  <c r="AO42" i="1" s="1"/>
  <c r="AQ41" i="1"/>
  <c r="AN41" i="1"/>
  <c r="AP41" i="1" s="1"/>
  <c r="AM41" i="1"/>
  <c r="AH41" i="1"/>
  <c r="C41" i="1"/>
  <c r="AO41" i="1" s="1"/>
  <c r="AQ40" i="1"/>
  <c r="AN40" i="1"/>
  <c r="AP40" i="1" s="1"/>
  <c r="AM40" i="1"/>
  <c r="AH40" i="1"/>
  <c r="C40" i="1"/>
  <c r="AO40" i="1" s="1"/>
  <c r="AQ39" i="1"/>
  <c r="AN39" i="1"/>
  <c r="AP39" i="1" s="1"/>
  <c r="AM39" i="1"/>
  <c r="AH39" i="1"/>
  <c r="C39" i="1"/>
  <c r="AO39" i="1" s="1"/>
  <c r="AQ38" i="1"/>
  <c r="AN38" i="1"/>
  <c r="AP38" i="1" s="1"/>
  <c r="AM38" i="1"/>
  <c r="AH38" i="1"/>
  <c r="C38" i="1"/>
  <c r="AO38" i="1" s="1"/>
  <c r="AQ37" i="1"/>
  <c r="AN37" i="1"/>
  <c r="AM37" i="1"/>
  <c r="AH37" i="1"/>
  <c r="C37" i="1"/>
  <c r="AO37" i="1" s="1"/>
  <c r="AQ36" i="1"/>
  <c r="AN36" i="1"/>
  <c r="AM36" i="1"/>
  <c r="AH36" i="1"/>
  <c r="C36" i="1"/>
  <c r="AO36" i="1" s="1"/>
  <c r="AQ35" i="1"/>
  <c r="AN35" i="1"/>
  <c r="AM35" i="1"/>
  <c r="AH35" i="1"/>
  <c r="C35" i="1"/>
  <c r="AO35" i="1" s="1"/>
  <c r="AQ34" i="1"/>
  <c r="AN34" i="1"/>
  <c r="AM34" i="1"/>
  <c r="AH34" i="1"/>
  <c r="C34" i="1"/>
  <c r="AO34" i="1" s="1"/>
  <c r="AQ33" i="1"/>
  <c r="AN33" i="1"/>
  <c r="AP33" i="1" s="1"/>
  <c r="AM33" i="1"/>
  <c r="AH33" i="1"/>
  <c r="C33" i="1"/>
  <c r="AO33" i="1" s="1"/>
  <c r="AQ32" i="1"/>
  <c r="AN32" i="1"/>
  <c r="AP32" i="1" s="1"/>
  <c r="AM32" i="1"/>
  <c r="AH32" i="1"/>
  <c r="C32" i="1"/>
  <c r="AO32" i="1" s="1"/>
  <c r="AQ31" i="1"/>
  <c r="AN31" i="1"/>
  <c r="AM31" i="1"/>
  <c r="AH31" i="1"/>
  <c r="C31" i="1"/>
  <c r="AO31" i="1" s="1"/>
  <c r="AQ30" i="1"/>
  <c r="AN30" i="1"/>
  <c r="AM30" i="1"/>
  <c r="AH30" i="1"/>
  <c r="C30" i="1"/>
  <c r="AO30" i="1" s="1"/>
  <c r="AQ29" i="1"/>
  <c r="AN29" i="1"/>
  <c r="AM29" i="1"/>
  <c r="AH29" i="1"/>
  <c r="C29" i="1"/>
  <c r="AO29" i="1" s="1"/>
  <c r="AQ28" i="1"/>
  <c r="AN28" i="1"/>
  <c r="AM28" i="1"/>
  <c r="AH28" i="1"/>
  <c r="C28" i="1"/>
  <c r="AO28" i="1" s="1"/>
  <c r="AQ27" i="1"/>
  <c r="AN27" i="1"/>
  <c r="AP27" i="1" s="1"/>
  <c r="AM27" i="1"/>
  <c r="AH27" i="1"/>
  <c r="C27" i="1"/>
  <c r="AO27" i="1" s="1"/>
  <c r="AQ26" i="1"/>
  <c r="AN26" i="1"/>
  <c r="AM26" i="1"/>
  <c r="AH26" i="1"/>
  <c r="C26" i="1"/>
  <c r="AO26" i="1" s="1"/>
  <c r="AQ25" i="1"/>
  <c r="AN25" i="1"/>
  <c r="AM25" i="1"/>
  <c r="AH25" i="1"/>
  <c r="C25" i="1"/>
  <c r="AO25" i="1" s="1"/>
  <c r="AQ24" i="1"/>
  <c r="AN24" i="1"/>
  <c r="AM24" i="1"/>
  <c r="AH24" i="1"/>
  <c r="C24" i="1"/>
  <c r="AO24" i="1" s="1"/>
  <c r="AQ23" i="1"/>
  <c r="AN23" i="1"/>
  <c r="AM23" i="1"/>
  <c r="AH23" i="1"/>
  <c r="C23" i="1"/>
  <c r="AO23" i="1" s="1"/>
  <c r="AQ22" i="1"/>
  <c r="AN22" i="1"/>
  <c r="AP22" i="1" s="1"/>
  <c r="AM22" i="1"/>
  <c r="AH22" i="1"/>
  <c r="C22" i="1"/>
  <c r="AO22" i="1" s="1"/>
  <c r="AQ21" i="1"/>
  <c r="AN21" i="1"/>
  <c r="AM21" i="1"/>
  <c r="AH21" i="1"/>
  <c r="C21" i="1"/>
  <c r="AO21" i="1" s="1"/>
  <c r="AQ20" i="1"/>
  <c r="AN20" i="1"/>
  <c r="AP20" i="1" s="1"/>
  <c r="AM20" i="1"/>
  <c r="AH20" i="1"/>
  <c r="C20" i="1"/>
  <c r="AO20" i="1" s="1"/>
  <c r="AQ19" i="1"/>
  <c r="AN19" i="1"/>
  <c r="AP19" i="1" s="1"/>
  <c r="AM19" i="1"/>
  <c r="AH19" i="1"/>
  <c r="C19" i="1"/>
  <c r="AO19" i="1" s="1"/>
  <c r="AQ18" i="1"/>
  <c r="AN18" i="1"/>
  <c r="AM18" i="1"/>
  <c r="AH18" i="1"/>
  <c r="C18" i="1"/>
  <c r="AO18" i="1" s="1"/>
  <c r="AQ17" i="1"/>
  <c r="AN17" i="1"/>
  <c r="AM17" i="1"/>
  <c r="AH17" i="1"/>
  <c r="C17" i="1"/>
  <c r="AO17" i="1" s="1"/>
  <c r="AQ16" i="1"/>
  <c r="AN16" i="1"/>
  <c r="AM16" i="1"/>
  <c r="AH16" i="1"/>
  <c r="C16" i="1"/>
  <c r="AO16" i="1" s="1"/>
  <c r="AQ15" i="1"/>
  <c r="AN15" i="1"/>
  <c r="AM15" i="1"/>
  <c r="AH15" i="1"/>
  <c r="C15" i="1"/>
  <c r="AO15" i="1" s="1"/>
  <c r="AQ14" i="1"/>
  <c r="AN14" i="1"/>
  <c r="AM14" i="1"/>
  <c r="AH14" i="1"/>
  <c r="C14" i="1"/>
  <c r="AO14" i="1" s="1"/>
  <c r="AQ13" i="1"/>
  <c r="AN13" i="1"/>
  <c r="AM13" i="1"/>
  <c r="AH13" i="1"/>
  <c r="C13" i="1"/>
  <c r="AO13" i="1" s="1"/>
  <c r="AQ12" i="1"/>
  <c r="AN12" i="1"/>
  <c r="AM12" i="1"/>
  <c r="AH12" i="1"/>
  <c r="C12" i="1"/>
  <c r="AO12" i="1" s="1"/>
  <c r="AQ11" i="1"/>
  <c r="AN11" i="1"/>
  <c r="AM11" i="1"/>
  <c r="AH11" i="1"/>
  <c r="C11" i="1"/>
  <c r="AO11" i="1" s="1"/>
  <c r="AQ10" i="1"/>
  <c r="AN10" i="1"/>
  <c r="AM10" i="1"/>
  <c r="AH10" i="1"/>
  <c r="C10" i="1"/>
  <c r="AO10" i="1" s="1"/>
  <c r="AQ9" i="1"/>
  <c r="AN9" i="1"/>
  <c r="AM9" i="1"/>
  <c r="AH9" i="1"/>
  <c r="C9" i="1"/>
  <c r="AO9" i="1" s="1"/>
  <c r="AQ8" i="1"/>
  <c r="AN8" i="1"/>
  <c r="AM8" i="1"/>
  <c r="AH8" i="1"/>
  <c r="C8" i="1"/>
  <c r="AO8" i="1" s="1"/>
  <c r="AQ7" i="1"/>
  <c r="AN7" i="1"/>
  <c r="AM7" i="1"/>
  <c r="AH7" i="1"/>
  <c r="C7" i="1"/>
  <c r="AO7" i="1" s="1"/>
  <c r="AQ6" i="1"/>
  <c r="AN6" i="1"/>
  <c r="AM6" i="1"/>
  <c r="AH6" i="1"/>
  <c r="C6" i="1"/>
  <c r="AO6" i="1" s="1"/>
  <c r="AQ5" i="1"/>
  <c r="AN5" i="1"/>
  <c r="AM5" i="1"/>
  <c r="AH5" i="1"/>
  <c r="C5" i="1"/>
  <c r="AO5" i="1" s="1"/>
  <c r="AQ4" i="1"/>
  <c r="AN4" i="1"/>
  <c r="AM4" i="1"/>
  <c r="AH4" i="1"/>
  <c r="C4" i="1"/>
  <c r="AO4" i="1" s="1"/>
  <c r="AQ3" i="1"/>
  <c r="AN3" i="1"/>
  <c r="AM3" i="1"/>
  <c r="AH3" i="1"/>
  <c r="C3" i="1"/>
  <c r="AO3" i="1" s="1"/>
  <c r="AQ2" i="1"/>
  <c r="AN2" i="1"/>
  <c r="AM2" i="1"/>
  <c r="AH2" i="1"/>
  <c r="C2" i="1"/>
  <c r="AO2" i="1" s="1"/>
  <c r="AJ12" i="1" l="1"/>
  <c r="J23" i="3"/>
  <c r="H20" i="3"/>
  <c r="AP6" i="1"/>
  <c r="AP182" i="1"/>
  <c r="AP257" i="1"/>
  <c r="AP293" i="1"/>
  <c r="AP219" i="1"/>
  <c r="AP256" i="1"/>
  <c r="AP272" i="1"/>
  <c r="AP284" i="1"/>
  <c r="H53" i="3"/>
  <c r="K53" i="3" s="1"/>
  <c r="J36" i="3"/>
  <c r="H30" i="3"/>
  <c r="H50" i="3"/>
  <c r="K50" i="3" s="1"/>
  <c r="I30" i="3"/>
  <c r="H10" i="3"/>
  <c r="K10" i="3" s="1"/>
  <c r="I50" i="3"/>
  <c r="J4" i="3"/>
  <c r="H2" i="3"/>
  <c r="O38" i="3"/>
  <c r="P48" i="3"/>
  <c r="P52" i="3"/>
  <c r="O54" i="3"/>
  <c r="H54" i="3"/>
  <c r="K54" i="3" s="1"/>
  <c r="H46" i="3"/>
  <c r="O62" i="3"/>
  <c r="P66" i="3"/>
  <c r="O90" i="3"/>
  <c r="J10" i="3"/>
  <c r="I36" i="3"/>
  <c r="I54" i="3"/>
  <c r="I32" i="3"/>
  <c r="J28" i="3"/>
  <c r="H4" i="3"/>
  <c r="K4" i="3" s="1"/>
  <c r="J12" i="3"/>
  <c r="H34" i="3"/>
  <c r="K34" i="3" s="1"/>
  <c r="H42" i="3"/>
  <c r="K42" i="3" s="1"/>
  <c r="AR249" i="1"/>
  <c r="J44" i="3"/>
  <c r="I46" i="3"/>
  <c r="O102" i="3"/>
  <c r="J6" i="3"/>
  <c r="J32" i="3"/>
  <c r="I34" i="3"/>
  <c r="I42" i="3"/>
  <c r="I52" i="3"/>
  <c r="J22" i="3"/>
  <c r="H38" i="3"/>
  <c r="P8" i="3"/>
  <c r="P24" i="3"/>
  <c r="P58" i="3"/>
  <c r="P70" i="3"/>
  <c r="P86" i="3"/>
  <c r="O97" i="3"/>
  <c r="P105" i="3"/>
  <c r="I38" i="3"/>
  <c r="O4" i="3"/>
  <c r="P12" i="3"/>
  <c r="O16" i="3"/>
  <c r="P20" i="3"/>
  <c r="P62" i="3"/>
  <c r="O66" i="3"/>
  <c r="O82" i="3"/>
  <c r="J52" i="3"/>
  <c r="O8" i="3"/>
  <c r="O24" i="3"/>
  <c r="O86" i="3"/>
  <c r="P97" i="3"/>
  <c r="J14" i="3"/>
  <c r="I2" i="3"/>
  <c r="P37" i="3"/>
  <c r="O41" i="3"/>
  <c r="P45" i="3"/>
  <c r="P53" i="3"/>
  <c r="O57" i="3"/>
  <c r="AR90" i="1"/>
  <c r="H41" i="3"/>
  <c r="H57" i="3"/>
  <c r="K57" i="3" s="1"/>
  <c r="H31" i="3"/>
  <c r="J33" i="3"/>
  <c r="P61" i="3"/>
  <c r="AR96" i="1"/>
  <c r="O65" i="3"/>
  <c r="O73" i="3"/>
  <c r="O104" i="3"/>
  <c r="J24" i="3"/>
  <c r="AP9" i="1"/>
  <c r="AP259" i="1"/>
  <c r="AP143" i="1"/>
  <c r="AP12" i="1"/>
  <c r="AP45" i="1"/>
  <c r="AP282" i="1"/>
  <c r="AP3" i="1"/>
  <c r="AP48" i="1"/>
  <c r="AP94" i="1"/>
  <c r="AP140" i="1"/>
  <c r="AP198" i="1"/>
  <c r="AP137" i="1"/>
  <c r="AP195" i="1"/>
  <c r="AP218" i="1"/>
  <c r="AP222" i="1"/>
  <c r="AP30" i="1"/>
  <c r="AP122" i="1"/>
  <c r="AP185" i="1"/>
  <c r="AP224" i="1"/>
  <c r="AP269" i="1"/>
  <c r="AP273" i="1"/>
  <c r="AR240" i="1"/>
  <c r="AR76" i="1"/>
  <c r="AR47" i="1"/>
  <c r="AR58" i="1"/>
  <c r="AR207" i="1"/>
  <c r="AR7" i="1"/>
  <c r="O94" i="3"/>
  <c r="O98" i="3"/>
  <c r="O106" i="3"/>
  <c r="AR66" i="1"/>
  <c r="AR159" i="1"/>
  <c r="I19" i="3"/>
  <c r="AR169" i="1"/>
  <c r="I17" i="3"/>
  <c r="AR244" i="1"/>
  <c r="AR15" i="1"/>
  <c r="AR22" i="1"/>
  <c r="J11" i="3"/>
  <c r="AR110" i="1"/>
  <c r="AR113" i="1"/>
  <c r="AR128" i="1"/>
  <c r="H5" i="3"/>
  <c r="K5" i="3" s="1"/>
  <c r="H47" i="3"/>
  <c r="AR219" i="1"/>
  <c r="H9" i="3"/>
  <c r="P15" i="3"/>
  <c r="AR134" i="1"/>
  <c r="AR82" i="1"/>
  <c r="AR101" i="1"/>
  <c r="AR105" i="1"/>
  <c r="AR139" i="1"/>
  <c r="AR142" i="1"/>
  <c r="AR145" i="1"/>
  <c r="AR151" i="1"/>
  <c r="AR154" i="1"/>
  <c r="AR164" i="1"/>
  <c r="AR170" i="1"/>
  <c r="AR173" i="1"/>
  <c r="AR176" i="1"/>
  <c r="J37" i="3"/>
  <c r="AR191" i="1"/>
  <c r="H14" i="3"/>
  <c r="K14" i="3" s="1"/>
  <c r="O13" i="3"/>
  <c r="O21" i="3"/>
  <c r="AR3" i="1"/>
  <c r="AR19" i="1"/>
  <c r="AR31" i="1"/>
  <c r="AR51" i="1"/>
  <c r="AR54" i="1"/>
  <c r="AR80" i="1"/>
  <c r="AR86" i="1"/>
  <c r="AR162" i="1"/>
  <c r="H17" i="3"/>
  <c r="K17" i="3" s="1"/>
  <c r="H13" i="3"/>
  <c r="AR195" i="1"/>
  <c r="AR211" i="1"/>
  <c r="AR223" i="1"/>
  <c r="AR239" i="1"/>
  <c r="I9" i="3"/>
  <c r="H21" i="3"/>
  <c r="I25" i="3"/>
  <c r="L25" i="3" s="1"/>
  <c r="O28" i="3"/>
  <c r="O40" i="3"/>
  <c r="AR177" i="1"/>
  <c r="AR180" i="1"/>
  <c r="AR199" i="1"/>
  <c r="AR227" i="1"/>
  <c r="I21" i="3"/>
  <c r="AR248" i="1"/>
  <c r="I7" i="3"/>
  <c r="AR11" i="1"/>
  <c r="AR20" i="1"/>
  <c r="AR26" i="1"/>
  <c r="AR36" i="1"/>
  <c r="AR39" i="1"/>
  <c r="AR62" i="1"/>
  <c r="AR72" i="1"/>
  <c r="AR99" i="1"/>
  <c r="AR109" i="1"/>
  <c r="I3" i="3"/>
  <c r="AR117" i="1"/>
  <c r="AR124" i="1"/>
  <c r="AR130" i="1"/>
  <c r="AR161" i="1"/>
  <c r="I5" i="3"/>
  <c r="J19" i="3"/>
  <c r="AR184" i="1"/>
  <c r="AR187" i="1"/>
  <c r="AR203" i="1"/>
  <c r="AR215" i="1"/>
  <c r="AR231" i="1"/>
  <c r="I23" i="3"/>
  <c r="AP255" i="1"/>
  <c r="AP271" i="1"/>
  <c r="AP233" i="1"/>
  <c r="AP17" i="1"/>
  <c r="AP238" i="1"/>
  <c r="AP281" i="1"/>
  <c r="AP139" i="1"/>
  <c r="AP151" i="1"/>
  <c r="AP275" i="1"/>
  <c r="AP83" i="1"/>
  <c r="AP126" i="1"/>
  <c r="AP202" i="1"/>
  <c r="AP220" i="1"/>
  <c r="AP81" i="1"/>
  <c r="AP172" i="1"/>
  <c r="AP184" i="1"/>
  <c r="AP194" i="1"/>
  <c r="AP203" i="1"/>
  <c r="AP234" i="1"/>
  <c r="AP236" i="1"/>
  <c r="AP258" i="1"/>
  <c r="AP261" i="1"/>
  <c r="AP7" i="1"/>
  <c r="AP10" i="1"/>
  <c r="AP14" i="1"/>
  <c r="AP99" i="1"/>
  <c r="AP149" i="1"/>
  <c r="AP161" i="1"/>
  <c r="AP204" i="1"/>
  <c r="AP155" i="1"/>
  <c r="AP164" i="1"/>
  <c r="AP226" i="1"/>
  <c r="AP264" i="1"/>
  <c r="AP274" i="1"/>
  <c r="AP279" i="1"/>
  <c r="AP280" i="1"/>
  <c r="AP283" i="1"/>
  <c r="P32" i="3"/>
  <c r="AP85" i="1"/>
  <c r="AP96" i="1"/>
  <c r="AP100" i="1"/>
  <c r="AP199" i="1"/>
  <c r="AP201" i="1"/>
  <c r="AP205" i="1"/>
  <c r="AP263" i="1"/>
  <c r="AP290" i="1"/>
  <c r="AP291" i="1"/>
  <c r="AR245" i="1"/>
  <c r="AP154" i="1"/>
  <c r="AP157" i="1"/>
  <c r="AP197" i="1"/>
  <c r="AP206" i="1"/>
  <c r="AP217" i="1"/>
  <c r="AP223" i="1"/>
  <c r="AP225" i="1"/>
  <c r="AP247" i="1"/>
  <c r="AP251" i="1"/>
  <c r="AP254" i="1"/>
  <c r="AP265" i="1"/>
  <c r="AP267" i="1"/>
  <c r="AP270" i="1"/>
  <c r="AP285" i="1"/>
  <c r="AP35" i="1"/>
  <c r="AP221" i="1"/>
  <c r="AP250" i="1"/>
  <c r="AP260" i="1"/>
  <c r="AP266" i="1"/>
  <c r="AP288" i="1"/>
  <c r="AP289" i="1"/>
  <c r="AP292" i="1"/>
  <c r="AP21" i="1"/>
  <c r="AP23" i="1"/>
  <c r="AP47" i="1"/>
  <c r="AP50" i="1"/>
  <c r="AP136" i="1"/>
  <c r="AP160" i="1"/>
  <c r="AP162" i="1"/>
  <c r="AP165" i="1"/>
  <c r="AP200" i="1"/>
  <c r="P57" i="3"/>
  <c r="P65" i="3"/>
  <c r="P94" i="3"/>
  <c r="P98" i="3"/>
  <c r="AP16" i="1"/>
  <c r="AP26" i="1"/>
  <c r="AP31" i="1"/>
  <c r="AP36" i="1"/>
  <c r="AP51" i="1"/>
  <c r="AP84" i="1"/>
  <c r="AP95" i="1"/>
  <c r="AP121" i="1"/>
  <c r="AP129" i="1"/>
  <c r="AP150" i="1"/>
  <c r="AP163" i="1"/>
  <c r="AP166" i="1"/>
  <c r="AP183" i="1"/>
  <c r="AP235" i="1"/>
  <c r="AP240" i="1"/>
  <c r="I15" i="3"/>
  <c r="AP262" i="1"/>
  <c r="AP4" i="1"/>
  <c r="AP11" i="1"/>
  <c r="AP15" i="1"/>
  <c r="AP18" i="1"/>
  <c r="AP24" i="1"/>
  <c r="AP28" i="1"/>
  <c r="AP29" i="1"/>
  <c r="AP34" i="1"/>
  <c r="AP37" i="1"/>
  <c r="AP43" i="1"/>
  <c r="AP46" i="1"/>
  <c r="AP49" i="1"/>
  <c r="AP52" i="1"/>
  <c r="AP86" i="1"/>
  <c r="AP138" i="1"/>
  <c r="AP156" i="1"/>
  <c r="AP170" i="1"/>
  <c r="AP174" i="1"/>
  <c r="AP181" i="1"/>
  <c r="AP244" i="1"/>
  <c r="AP249" i="1"/>
  <c r="I6" i="4"/>
  <c r="AP5" i="1"/>
  <c r="AP8" i="1"/>
  <c r="AP25" i="1"/>
  <c r="AR241" i="1"/>
  <c r="AR5" i="1"/>
  <c r="AR13" i="1"/>
  <c r="AR24" i="1"/>
  <c r="AR32" i="1"/>
  <c r="AR34" i="1"/>
  <c r="AR40" i="1"/>
  <c r="AR49" i="1"/>
  <c r="AR55" i="1"/>
  <c r="AR63" i="1"/>
  <c r="AR71" i="1"/>
  <c r="AR79" i="1"/>
  <c r="AR87" i="1"/>
  <c r="AR94" i="1"/>
  <c r="AR102" i="1"/>
  <c r="AR118" i="1"/>
  <c r="AR127" i="1"/>
  <c r="AR135" i="1"/>
  <c r="AR137" i="1"/>
  <c r="AR149" i="1"/>
  <c r="AR156" i="1"/>
  <c r="AR158" i="1"/>
  <c r="AR166" i="1"/>
  <c r="AR182" i="1"/>
  <c r="AR188" i="1"/>
  <c r="AR196" i="1"/>
  <c r="AR204" i="1"/>
  <c r="AR212" i="1"/>
  <c r="AR220" i="1"/>
  <c r="AR228" i="1"/>
  <c r="AR236" i="1"/>
  <c r="AR9" i="1"/>
  <c r="AR17" i="1"/>
  <c r="AR27" i="1"/>
  <c r="AR29" i="1"/>
  <c r="AR43" i="1"/>
  <c r="AR45" i="1"/>
  <c r="AR59" i="1"/>
  <c r="AR67" i="1"/>
  <c r="AR75" i="1"/>
  <c r="AR84" i="1"/>
  <c r="AR91" i="1"/>
  <c r="AR106" i="1"/>
  <c r="AR114" i="1"/>
  <c r="AR121" i="1"/>
  <c r="AR123" i="1"/>
  <c r="AR131" i="1"/>
  <c r="AR146" i="1"/>
  <c r="AR192" i="1"/>
  <c r="AR200" i="1"/>
  <c r="AR208" i="1"/>
  <c r="AR216" i="1"/>
  <c r="AR224" i="1"/>
  <c r="AR232" i="1"/>
  <c r="I26" i="3"/>
  <c r="P29" i="3"/>
  <c r="P33" i="3"/>
  <c r="P43" i="3"/>
  <c r="P49" i="3"/>
  <c r="P74" i="3"/>
  <c r="P78" i="3"/>
  <c r="AR246" i="1"/>
  <c r="AR242" i="1"/>
  <c r="AR237" i="1"/>
  <c r="AR233" i="1"/>
  <c r="AR229" i="1"/>
  <c r="AR225" i="1"/>
  <c r="AR221" i="1"/>
  <c r="AR217" i="1"/>
  <c r="AR213" i="1"/>
  <c r="AR209" i="1"/>
  <c r="AR205" i="1"/>
  <c r="AR201" i="1"/>
  <c r="AR197" i="1"/>
  <c r="AR193" i="1"/>
  <c r="AR189" i="1"/>
  <c r="AR185" i="1"/>
  <c r="AR183" i="1"/>
  <c r="AR181" i="1"/>
  <c r="AR178" i="1"/>
  <c r="AR174" i="1"/>
  <c r="AR171" i="1"/>
  <c r="AR167" i="1"/>
  <c r="AR160" i="1"/>
  <c r="AR152" i="1"/>
  <c r="AR147" i="1"/>
  <c r="AR143" i="1"/>
  <c r="AR140" i="1"/>
  <c r="AR138" i="1"/>
  <c r="AR136" i="1"/>
  <c r="AR132" i="1"/>
  <c r="AR125" i="1"/>
  <c r="AR119" i="1"/>
  <c r="AR115" i="1"/>
  <c r="AR111" i="1"/>
  <c r="AR107" i="1"/>
  <c r="AR103" i="1"/>
  <c r="AR97" i="1"/>
  <c r="AR92" i="1"/>
  <c r="AR88" i="1"/>
  <c r="AR85" i="1"/>
  <c r="AR83" i="1"/>
  <c r="AR77" i="1"/>
  <c r="AR73" i="1"/>
  <c r="AR68" i="1"/>
  <c r="AR64" i="1"/>
  <c r="AR60" i="1"/>
  <c r="AR56" i="1"/>
  <c r="AR52" i="1"/>
  <c r="AR50" i="1"/>
  <c r="AR48" i="1"/>
  <c r="AR46" i="1"/>
  <c r="AR44" i="1"/>
  <c r="AR41" i="1"/>
  <c r="AR37" i="1"/>
  <c r="AR35" i="1"/>
  <c r="AR33" i="1"/>
  <c r="AR30" i="1"/>
  <c r="AR28" i="1"/>
  <c r="AR25" i="1"/>
  <c r="AR23" i="1"/>
  <c r="AR247" i="1"/>
  <c r="AR243" i="1"/>
  <c r="AR238" i="1"/>
  <c r="AR234" i="1"/>
  <c r="AR230" i="1"/>
  <c r="AR226" i="1"/>
  <c r="AR222" i="1"/>
  <c r="AR218" i="1"/>
  <c r="AR214" i="1"/>
  <c r="AR210" i="1"/>
  <c r="AR206" i="1"/>
  <c r="AR202" i="1"/>
  <c r="AR198" i="1"/>
  <c r="AR194" i="1"/>
  <c r="AR190" i="1"/>
  <c r="AR186" i="1"/>
  <c r="AR179" i="1"/>
  <c r="AR175" i="1"/>
  <c r="AR172" i="1"/>
  <c r="AR168" i="1"/>
  <c r="AR165" i="1"/>
  <c r="AR163" i="1"/>
  <c r="AR157" i="1"/>
  <c r="AR155" i="1"/>
  <c r="AR153" i="1"/>
  <c r="AR150" i="1"/>
  <c r="AR148" i="1"/>
  <c r="AR144" i="1"/>
  <c r="AR141" i="1"/>
  <c r="AR133" i="1"/>
  <c r="AR129" i="1"/>
  <c r="AR126" i="1"/>
  <c r="AR122" i="1"/>
  <c r="AR120" i="1"/>
  <c r="AR116" i="1"/>
  <c r="AR112" i="1"/>
  <c r="AR108" i="1"/>
  <c r="AR104" i="1"/>
  <c r="AR100" i="1"/>
  <c r="AR98" i="1"/>
  <c r="AR95" i="1"/>
  <c r="AR93" i="1"/>
  <c r="AR89" i="1"/>
  <c r="AR81" i="1"/>
  <c r="AR78" i="1"/>
  <c r="AR74" i="1"/>
  <c r="AR70" i="1"/>
  <c r="AR69" i="1"/>
  <c r="AR65" i="1"/>
  <c r="AR61" i="1"/>
  <c r="AR57" i="1"/>
  <c r="AR53" i="1"/>
  <c r="AR42" i="1"/>
  <c r="AR38" i="1"/>
  <c r="AR21" i="1"/>
  <c r="AR18" i="1"/>
  <c r="AR16" i="1"/>
  <c r="AR14" i="1"/>
  <c r="AR12" i="1"/>
  <c r="AR10" i="1"/>
  <c r="AR8" i="1"/>
  <c r="AR6" i="1"/>
  <c r="AR4" i="1"/>
  <c r="AR2" i="1"/>
  <c r="I41" i="3"/>
  <c r="I20" i="3"/>
  <c r="J29" i="3"/>
  <c r="I16" i="3"/>
  <c r="I53" i="3"/>
  <c r="H35" i="3"/>
  <c r="K35" i="3" s="1"/>
  <c r="I13" i="3"/>
  <c r="I57" i="3"/>
  <c r="O5" i="3"/>
  <c r="P27" i="3"/>
  <c r="O29" i="3"/>
  <c r="P31" i="3"/>
  <c r="O33" i="3"/>
  <c r="O36" i="3"/>
  <c r="O49" i="3"/>
  <c r="O58" i="3"/>
  <c r="O70" i="3"/>
  <c r="O74" i="3"/>
  <c r="O78" i="3"/>
  <c r="J31" i="3"/>
  <c r="H51" i="3"/>
  <c r="K51" i="3" s="1"/>
  <c r="J27" i="3"/>
  <c r="J47" i="3"/>
  <c r="H26" i="3"/>
  <c r="K26" i="3" s="1"/>
  <c r="H22" i="3"/>
  <c r="J15" i="3"/>
  <c r="O3" i="3"/>
  <c r="O9" i="3"/>
  <c r="O12" i="3"/>
  <c r="O20" i="3"/>
  <c r="O37" i="3"/>
  <c r="P41" i="3"/>
  <c r="O45" i="3"/>
  <c r="O53" i="3"/>
  <c r="P81" i="3"/>
  <c r="O89" i="3"/>
  <c r="AP2" i="1"/>
  <c r="AP13" i="1"/>
  <c r="Y8" i="2"/>
  <c r="Y120" i="2"/>
  <c r="E112" i="4" s="1"/>
  <c r="Y136" i="2"/>
  <c r="P2" i="3"/>
  <c r="J5" i="3"/>
  <c r="I8" i="3"/>
  <c r="P10" i="3"/>
  <c r="O14" i="3"/>
  <c r="P14" i="3"/>
  <c r="O35" i="3"/>
  <c r="P35" i="3"/>
  <c r="O47" i="3"/>
  <c r="P47" i="3"/>
  <c r="I55" i="3"/>
  <c r="H55" i="3"/>
  <c r="J55" i="3"/>
  <c r="P64" i="3"/>
  <c r="O64" i="3"/>
  <c r="K25" i="3"/>
  <c r="Y157" i="2"/>
  <c r="Y169" i="2"/>
  <c r="Y193" i="2"/>
  <c r="Y201" i="2"/>
  <c r="Y233" i="2"/>
  <c r="Y249" i="2"/>
  <c r="Y269" i="2"/>
  <c r="Y281" i="2"/>
  <c r="Y297" i="2"/>
  <c r="Y301" i="2"/>
  <c r="Y309" i="2"/>
  <c r="P102" i="3"/>
  <c r="Y409" i="2"/>
  <c r="H3" i="3"/>
  <c r="P5" i="3"/>
  <c r="I6" i="3"/>
  <c r="I12" i="3"/>
  <c r="P16" i="3"/>
  <c r="I18" i="3"/>
  <c r="J18" i="3"/>
  <c r="H18" i="3"/>
  <c r="P19" i="3"/>
  <c r="P25" i="3"/>
  <c r="O25" i="3"/>
  <c r="I39" i="3"/>
  <c r="H39" i="3"/>
  <c r="J39" i="3"/>
  <c r="H48" i="3"/>
  <c r="J48" i="3"/>
  <c r="I48" i="3"/>
  <c r="O52" i="3"/>
  <c r="O69" i="3"/>
  <c r="P69" i="3"/>
  <c r="O79" i="3"/>
  <c r="P79" i="3"/>
  <c r="P96" i="3"/>
  <c r="O96" i="3"/>
  <c r="G29" i="4"/>
  <c r="G26" i="4"/>
  <c r="G22" i="4"/>
  <c r="G18" i="4"/>
  <c r="G27" i="4"/>
  <c r="G24" i="4"/>
  <c r="G20" i="4"/>
  <c r="G16" i="4"/>
  <c r="G23" i="4"/>
  <c r="G25" i="4"/>
  <c r="G21" i="4"/>
  <c r="G19" i="4"/>
  <c r="G28" i="4"/>
  <c r="G17" i="4"/>
  <c r="AR250" i="1"/>
  <c r="AR251" i="1"/>
  <c r="AR252" i="1"/>
  <c r="AR253" i="1"/>
  <c r="AR254" i="1"/>
  <c r="AR255" i="1"/>
  <c r="AR256" i="1"/>
  <c r="AR257" i="1"/>
  <c r="AR258" i="1"/>
  <c r="AR259" i="1"/>
  <c r="AR260" i="1"/>
  <c r="AR261" i="1"/>
  <c r="AR262" i="1"/>
  <c r="AR263" i="1"/>
  <c r="AR264" i="1"/>
  <c r="AR265" i="1"/>
  <c r="AR266" i="1"/>
  <c r="AR267" i="1"/>
  <c r="AR268" i="1"/>
  <c r="AR269" i="1"/>
  <c r="AR270" i="1"/>
  <c r="AR271" i="1"/>
  <c r="AR272" i="1"/>
  <c r="AR273" i="1"/>
  <c r="AR274" i="1"/>
  <c r="AR275" i="1"/>
  <c r="AR276" i="1"/>
  <c r="AR277" i="1"/>
  <c r="AR278" i="1"/>
  <c r="AR279" i="1"/>
  <c r="AR280" i="1"/>
  <c r="AR281" i="1"/>
  <c r="AR282" i="1"/>
  <c r="AR283" i="1"/>
  <c r="AR284" i="1"/>
  <c r="AR285" i="1"/>
  <c r="AR286" i="1"/>
  <c r="AR287" i="1"/>
  <c r="AR288" i="1"/>
  <c r="AR289" i="1"/>
  <c r="AR290" i="1"/>
  <c r="AR291" i="1"/>
  <c r="AR292" i="1"/>
  <c r="AR293" i="1"/>
  <c r="Y250" i="2"/>
  <c r="Y310" i="2"/>
  <c r="Y325" i="2"/>
  <c r="Y335" i="2"/>
  <c r="Y367" i="2"/>
  <c r="P3" i="3"/>
  <c r="I4" i="3"/>
  <c r="O6" i="3"/>
  <c r="H8" i="3"/>
  <c r="J9" i="3"/>
  <c r="P11" i="3"/>
  <c r="J13" i="3"/>
  <c r="H16" i="3"/>
  <c r="O19" i="3"/>
  <c r="P34" i="3"/>
  <c r="O34" i="3"/>
  <c r="P42" i="3"/>
  <c r="O42" i="3"/>
  <c r="H56" i="3"/>
  <c r="J56" i="3"/>
  <c r="I56" i="3"/>
  <c r="P76" i="3"/>
  <c r="O76" i="3"/>
  <c r="O83" i="3"/>
  <c r="P83" i="3"/>
  <c r="P93" i="3"/>
  <c r="O101" i="3"/>
  <c r="P101" i="3"/>
  <c r="Y163" i="2"/>
  <c r="Y199" i="2"/>
  <c r="Y321" i="2"/>
  <c r="P82" i="3"/>
  <c r="Y369" i="2"/>
  <c r="Y385" i="2"/>
  <c r="P89" i="3"/>
  <c r="Y400" i="2"/>
  <c r="Y423" i="2"/>
  <c r="J2" i="3"/>
  <c r="H6" i="3"/>
  <c r="H7" i="3"/>
  <c r="O7" i="3"/>
  <c r="J8" i="3"/>
  <c r="P9" i="3"/>
  <c r="I10" i="3"/>
  <c r="H12" i="3"/>
  <c r="O15" i="3"/>
  <c r="J20" i="3"/>
  <c r="O23" i="3"/>
  <c r="P30" i="3"/>
  <c r="O30" i="3"/>
  <c r="H40" i="3"/>
  <c r="J40" i="3"/>
  <c r="I40" i="3"/>
  <c r="I43" i="3"/>
  <c r="H43" i="3"/>
  <c r="J43" i="3"/>
  <c r="O51" i="3"/>
  <c r="P51" i="3"/>
  <c r="O56" i="3"/>
  <c r="J3" i="3"/>
  <c r="J7" i="3"/>
  <c r="H11" i="3"/>
  <c r="P13" i="3"/>
  <c r="J16" i="3"/>
  <c r="J17" i="3"/>
  <c r="O18" i="3"/>
  <c r="H24" i="3"/>
  <c r="P26" i="3"/>
  <c r="I27" i="3"/>
  <c r="O31" i="3"/>
  <c r="P36" i="3"/>
  <c r="I37" i="3"/>
  <c r="O39" i="3"/>
  <c r="P39" i="3"/>
  <c r="P40" i="3"/>
  <c r="J41" i="3"/>
  <c r="I45" i="3"/>
  <c r="J45" i="3"/>
  <c r="H49" i="3"/>
  <c r="J49" i="3"/>
  <c r="J53" i="3"/>
  <c r="O55" i="3"/>
  <c r="P55" i="3"/>
  <c r="O59" i="3"/>
  <c r="P59" i="3"/>
  <c r="P72" i="3"/>
  <c r="O72" i="3"/>
  <c r="O77" i="3"/>
  <c r="P84" i="3"/>
  <c r="O84" i="3"/>
  <c r="O87" i="3"/>
  <c r="O91" i="3"/>
  <c r="P91" i="3"/>
  <c r="P104" i="3"/>
  <c r="H15" i="3"/>
  <c r="P17" i="3"/>
  <c r="P18" i="3"/>
  <c r="J21" i="3"/>
  <c r="O22" i="3"/>
  <c r="P22" i="3"/>
  <c r="H28" i="3"/>
  <c r="I28" i="3"/>
  <c r="I29" i="3"/>
  <c r="H29" i="3"/>
  <c r="O32" i="3"/>
  <c r="H33" i="3"/>
  <c r="I33" i="3"/>
  <c r="P44" i="3"/>
  <c r="O44" i="3"/>
  <c r="J46" i="3"/>
  <c r="J50" i="3"/>
  <c r="P60" i="3"/>
  <c r="O60" i="3"/>
  <c r="O63" i="3"/>
  <c r="O67" i="3"/>
  <c r="P67" i="3"/>
  <c r="P77" i="3"/>
  <c r="P80" i="3"/>
  <c r="O80" i="3"/>
  <c r="O85" i="3"/>
  <c r="P87" i="3"/>
  <c r="P92" i="3"/>
  <c r="O92" i="3"/>
  <c r="O95" i="3"/>
  <c r="O99" i="3"/>
  <c r="P99" i="3"/>
  <c r="I11" i="3"/>
  <c r="I14" i="3"/>
  <c r="O17" i="3"/>
  <c r="H19" i="3"/>
  <c r="P21" i="3"/>
  <c r="H23" i="3"/>
  <c r="I24" i="3"/>
  <c r="J25" i="3"/>
  <c r="H27" i="3"/>
  <c r="P28" i="3"/>
  <c r="I35" i="3"/>
  <c r="J35" i="3"/>
  <c r="H37" i="3"/>
  <c r="H45" i="3"/>
  <c r="I49" i="3"/>
  <c r="J54" i="3"/>
  <c r="O61" i="3"/>
  <c r="P63" i="3"/>
  <c r="P68" i="3"/>
  <c r="O68" i="3"/>
  <c r="O71" i="3"/>
  <c r="O75" i="3"/>
  <c r="P75" i="3"/>
  <c r="P85" i="3"/>
  <c r="P88" i="3"/>
  <c r="O88" i="3"/>
  <c r="O93" i="3"/>
  <c r="P95" i="3"/>
  <c r="P100" i="3"/>
  <c r="O100" i="3"/>
  <c r="I22" i="3"/>
  <c r="J30" i="3"/>
  <c r="H32" i="3"/>
  <c r="J34" i="3"/>
  <c r="J38" i="3"/>
  <c r="H44" i="3"/>
  <c r="I44" i="3"/>
  <c r="P46" i="3"/>
  <c r="O46" i="3"/>
  <c r="O48" i="3"/>
  <c r="P50" i="3"/>
  <c r="O50" i="3"/>
  <c r="I51" i="3"/>
  <c r="J51" i="3"/>
  <c r="J57" i="3"/>
  <c r="J26" i="3"/>
  <c r="O27" i="3"/>
  <c r="I31" i="3"/>
  <c r="H36" i="3"/>
  <c r="P38" i="3"/>
  <c r="J42" i="3"/>
  <c r="O43" i="3"/>
  <c r="I47" i="3"/>
  <c r="H52" i="3"/>
  <c r="P54" i="3"/>
  <c r="O103" i="3"/>
  <c r="O105" i="3"/>
  <c r="F107" i="4"/>
  <c r="L4" i="3" l="1"/>
  <c r="K20" i="3"/>
  <c r="L10" i="3"/>
  <c r="L53" i="3"/>
  <c r="L38" i="3"/>
  <c r="K38" i="3"/>
  <c r="L34" i="3"/>
  <c r="L50" i="3"/>
  <c r="L54" i="3"/>
  <c r="L46" i="3"/>
  <c r="L30" i="3"/>
  <c r="K46" i="3"/>
  <c r="L42" i="3"/>
  <c r="K30" i="3"/>
  <c r="K21" i="3"/>
  <c r="L2" i="3"/>
  <c r="M2" i="3" s="1"/>
  <c r="K2" i="3"/>
  <c r="L21" i="3"/>
  <c r="L14" i="3"/>
  <c r="L41" i="3"/>
  <c r="K31" i="3"/>
  <c r="L51" i="3"/>
  <c r="K22" i="3"/>
  <c r="L13" i="3"/>
  <c r="L5" i="3"/>
  <c r="L57" i="3"/>
  <c r="L47" i="3"/>
  <c r="K41" i="3"/>
  <c r="L9" i="3"/>
  <c r="L17" i="3"/>
  <c r="K9" i="3"/>
  <c r="L26" i="3"/>
  <c r="L22" i="3"/>
  <c r="L35" i="3"/>
  <c r="L20" i="3"/>
  <c r="K13" i="3"/>
  <c r="L36" i="3"/>
  <c r="K36" i="3"/>
  <c r="L32" i="3"/>
  <c r="K32" i="3"/>
  <c r="K37" i="3"/>
  <c r="L37" i="3"/>
  <c r="L27" i="3"/>
  <c r="K27" i="3"/>
  <c r="L15" i="3"/>
  <c r="K15" i="3"/>
  <c r="K49" i="3"/>
  <c r="L49" i="3"/>
  <c r="K24" i="3"/>
  <c r="L24" i="3"/>
  <c r="L43" i="3"/>
  <c r="K43" i="3"/>
  <c r="L40" i="3"/>
  <c r="K40" i="3"/>
  <c r="K6" i="3"/>
  <c r="L6" i="3"/>
  <c r="L18" i="3"/>
  <c r="K18" i="3"/>
  <c r="K47" i="3"/>
  <c r="L44" i="3"/>
  <c r="K44" i="3"/>
  <c r="L19" i="3"/>
  <c r="K19" i="3"/>
  <c r="K33" i="3"/>
  <c r="L33" i="3"/>
  <c r="L11" i="3"/>
  <c r="K11" i="3"/>
  <c r="L56" i="3"/>
  <c r="K56" i="3"/>
  <c r="L48" i="3"/>
  <c r="K48" i="3"/>
  <c r="L3" i="3"/>
  <c r="K3" i="3"/>
  <c r="L28" i="3"/>
  <c r="K28" i="3"/>
  <c r="K12" i="3"/>
  <c r="L12" i="3"/>
  <c r="L31" i="3"/>
  <c r="K55" i="3"/>
  <c r="L55" i="3"/>
  <c r="L52" i="3"/>
  <c r="K52" i="3"/>
  <c r="K45" i="3"/>
  <c r="L45" i="3"/>
  <c r="L23" i="3"/>
  <c r="K23" i="3"/>
  <c r="K29" i="3"/>
  <c r="L29" i="3"/>
  <c r="L7" i="3"/>
  <c r="K7" i="3"/>
  <c r="K16" i="3"/>
  <c r="L16" i="3"/>
  <c r="K8" i="3"/>
  <c r="L8" i="3"/>
  <c r="L39" i="3"/>
  <c r="K3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Linda Ruiyi Huang</author>
    <author/>
  </authors>
  <commentList>
    <comment ref="AE20" authorId="0" shapeId="0" xr:uid="{ADFA1899-308E-F947-9CA9-FFFC2382FF80}">
      <text>
        <r>
          <rPr>
            <b/>
            <sz val="10"/>
            <color rgb="FF000000"/>
            <rFont val="Tahoma"/>
            <family val="2"/>
          </rPr>
          <t>Linda Ruiyi Huang:</t>
        </r>
        <r>
          <rPr>
            <sz val="10"/>
            <color rgb="FF000000"/>
            <rFont val="Tahoma"/>
            <family val="2"/>
          </rPr>
          <t xml:space="preserve">
</t>
        </r>
        <r>
          <rPr>
            <sz val="10"/>
            <color rgb="FF000000"/>
            <rFont val="Calibri"/>
            <family val="2"/>
            <scheme val="minor"/>
          </rPr>
          <t>In line with Schneider Electric’s Sustainability-Linked Financing Framework, if the average sustainability performance score2, which should be published by the Company together with the 2025 annual audited financial statements and no later than 28 February 2026, (the “</t>
        </r>
        <r>
          <rPr>
            <b/>
            <sz val="10"/>
            <color rgb="FF000000"/>
            <rFont val="Calibri"/>
            <family val="2"/>
            <scheme val="minor"/>
          </rPr>
          <t>Sustainability Performance Target Date</t>
        </r>
        <r>
          <rPr>
            <sz val="10"/>
            <color rgb="FF000000"/>
            <rFont val="Calibri"/>
            <family val="2"/>
            <scheme val="minor"/>
          </rPr>
          <t>”) does not reach a minimum level by 31 December 2025, Schneider Electric shall pay in respect of each Bond an amount equal to 0.50% of their nominal unit value (the “</t>
        </r>
        <r>
          <rPr>
            <b/>
            <sz val="10"/>
            <color rgb="FF000000"/>
            <rFont val="Calibri"/>
            <family val="2"/>
            <scheme val="minor"/>
          </rPr>
          <t>Premium Payment Amount</t>
        </r>
        <r>
          <rPr>
            <sz val="10"/>
            <color rgb="FF000000"/>
            <rFont val="Calibri"/>
            <family val="2"/>
            <scheme val="minor"/>
          </rPr>
          <t xml:space="preserve">”) on either (i) the delivery date of the shares in respect of the Bonds where the exercise date falls after the Sustainability Performance Target Date, (ii) the relevant early redemption date where the date of notification of the early redemption falls after the Sustainability Performance Target Date, or (iii) for Bonds not converted, exchanged or redeemed as provided in (i) and (ii) above, the Maturity Date. </t>
        </r>
        <r>
          <rPr>
            <sz val="10"/>
            <color rgb="FF000000"/>
            <rFont val="Calibri"/>
            <family val="2"/>
            <scheme val="minor"/>
          </rPr>
          <t xml:space="preserve">
</t>
        </r>
      </text>
    </comment>
    <comment ref="AF24" authorId="0" shapeId="0" xr:uid="{304DA1DF-9D72-4041-AF52-9890AEA01802}">
      <text>
        <r>
          <rPr>
            <b/>
            <sz val="10"/>
            <color rgb="FF000000"/>
            <rFont val="Tahoma"/>
            <family val="2"/>
          </rPr>
          <t>Linda Ruiyi Huang:</t>
        </r>
        <r>
          <rPr>
            <sz val="10"/>
            <color rgb="FF000000"/>
            <rFont val="Tahoma"/>
            <family val="2"/>
          </rPr>
          <t xml:space="preserve">
</t>
        </r>
        <r>
          <rPr>
            <sz val="10"/>
            <color rgb="FF000000"/>
            <rFont val="Tahoma"/>
            <family val="2"/>
          </rPr>
          <t>UP TO</t>
        </r>
      </text>
    </comment>
    <comment ref="N26" authorId="1" shapeId="0" xr:uid="{00000000-0006-0000-0000-000005000000}">
      <text>
        <r>
          <rPr>
            <sz val="11"/>
            <color theme="1"/>
            <rFont val="Calibri"/>
            <scheme val="minor"/>
          </rPr>
          <t>======
ID#AAAAYsnGt8o
Amanda Ramirez    (2022-05-02 08:59:41)
graph doesn't go far back enough</t>
        </r>
      </text>
    </comment>
    <comment ref="AJ40" authorId="0" shapeId="0" xr:uid="{D2E8DEEF-D2CE-BA47-B0B5-826CEC4BA0FE}">
      <text>
        <r>
          <rPr>
            <b/>
            <sz val="10"/>
            <color rgb="FF000000"/>
            <rFont val="Tahoma"/>
            <family val="2"/>
          </rPr>
          <t>Linda Ruiyi Huang:</t>
        </r>
        <r>
          <rPr>
            <sz val="10"/>
            <color rgb="FF000000"/>
            <rFont val="Tahoma"/>
            <family val="2"/>
          </rPr>
          <t xml:space="preserve">
</t>
        </r>
        <r>
          <rPr>
            <sz val="10"/>
            <color rgb="FF000000"/>
            <rFont val="Tahoma"/>
            <family val="2"/>
          </rPr>
          <t>NET DEBT EBITDA, GENDER EQUALITY</t>
        </r>
      </text>
    </comment>
    <comment ref="AK40" authorId="0" shapeId="0" xr:uid="{36CB67C0-3E5F-E040-A175-CD086A4F3751}">
      <text>
        <r>
          <rPr>
            <b/>
            <sz val="10"/>
            <color rgb="FF000000"/>
            <rFont val="Tahoma"/>
            <family val="2"/>
          </rPr>
          <t>Linda Ruiyi Huang:</t>
        </r>
        <r>
          <rPr>
            <sz val="10"/>
            <color rgb="FF000000"/>
            <rFont val="Tahoma"/>
            <family val="2"/>
          </rPr>
          <t xml:space="preserve">
</t>
        </r>
        <r>
          <rPr>
            <sz val="10"/>
            <color rgb="FF000000"/>
            <rFont val="Tahoma"/>
            <family val="2"/>
          </rPr>
          <t>NET DEBT EBITDA, GENDER EQUALITY</t>
        </r>
      </text>
    </comment>
    <comment ref="B85" authorId="1" shapeId="0" xr:uid="{00000000-0006-0000-0000-000002000000}">
      <text>
        <r>
          <rPr>
            <sz val="11"/>
            <color theme="1"/>
            <rFont val="Calibri"/>
            <scheme val="minor"/>
          </rPr>
          <t>======
ID#AAAAYsnGt84
Amanda Ramirez    (2022-05-02 09:53:05)
Not listed</t>
        </r>
      </text>
    </comment>
    <comment ref="N137" authorId="1" shapeId="0" xr:uid="{00000000-0006-0000-0000-000004000000}">
      <text>
        <r>
          <rPr>
            <sz val="11"/>
            <color theme="1"/>
            <rFont val="Calibri"/>
            <scheme val="minor"/>
          </rPr>
          <t>======
ID#AAAAYsnGt8w
Amanda Ramirez    (2022-05-02 09:38:58)
Graph not old enough</t>
        </r>
      </text>
    </comment>
    <comment ref="AJ162" authorId="0" shapeId="0" xr:uid="{2BCABDE1-4874-5C48-9593-B3F7A6A824B8}">
      <text>
        <r>
          <rPr>
            <b/>
            <sz val="10"/>
            <color rgb="FF000000"/>
            <rFont val="Tahoma"/>
            <family val="2"/>
          </rPr>
          <t>Linda Ruiyi Huang:</t>
        </r>
        <r>
          <rPr>
            <sz val="10"/>
            <color rgb="FF000000"/>
            <rFont val="Tahoma"/>
            <family val="2"/>
          </rPr>
          <t xml:space="preserve">
</t>
        </r>
        <r>
          <rPr>
            <sz val="10"/>
            <color rgb="FF000000"/>
            <rFont val="Tahoma"/>
            <family val="2"/>
          </rPr>
          <t>GHG</t>
        </r>
      </text>
    </comment>
    <comment ref="AK162" authorId="0" shapeId="0" xr:uid="{9DE2D916-20FE-9A4C-95B9-3F310AACF8EC}">
      <text>
        <r>
          <rPr>
            <b/>
            <sz val="10"/>
            <color rgb="FF000000"/>
            <rFont val="Tahoma"/>
            <family val="2"/>
          </rPr>
          <t>Linda Ruiyi Huang:</t>
        </r>
        <r>
          <rPr>
            <sz val="10"/>
            <color rgb="FF000000"/>
            <rFont val="Tahoma"/>
            <family val="2"/>
          </rPr>
          <t xml:space="preserve">
</t>
        </r>
        <r>
          <rPr>
            <sz val="10"/>
            <color rgb="FF000000"/>
            <rFont val="Tahoma"/>
            <family val="2"/>
          </rPr>
          <t>GHG</t>
        </r>
      </text>
    </comment>
    <comment ref="B165" authorId="1" shapeId="0" xr:uid="{00000000-0006-0000-0000-000003000000}">
      <text>
        <r>
          <rPr>
            <sz val="11"/>
            <color rgb="FF000000"/>
            <rFont val="Calibri"/>
            <family val="2"/>
          </rPr>
          <t xml:space="preserve">======
</t>
        </r>
        <r>
          <rPr>
            <sz val="11"/>
            <color rgb="FF000000"/>
            <rFont val="Calibri"/>
            <family val="2"/>
          </rPr>
          <t xml:space="preserve">ID#AAAAYsnGt80
</t>
        </r>
        <r>
          <rPr>
            <sz val="11"/>
            <color rgb="FF000000"/>
            <rFont val="Calibri"/>
            <family val="2"/>
          </rPr>
          <t xml:space="preserve">Amanda Ramirez    (2022-05-02 09:52:43)
</t>
        </r>
        <r>
          <rPr>
            <sz val="11"/>
            <color rgb="FF000000"/>
            <rFont val="Calibri"/>
            <family val="2"/>
          </rPr>
          <t>Not listed</t>
        </r>
      </text>
    </comment>
    <comment ref="AJ173" authorId="0" shapeId="0" xr:uid="{295A53C0-9C48-504D-8C13-13D16B4156CD}">
      <text>
        <r>
          <rPr>
            <b/>
            <sz val="10"/>
            <color rgb="FF000000"/>
            <rFont val="Tahoma"/>
            <family val="2"/>
          </rPr>
          <t>Linda Ruiyi Huang:</t>
        </r>
        <r>
          <rPr>
            <sz val="10"/>
            <color rgb="FF000000"/>
            <rFont val="Tahoma"/>
            <family val="2"/>
          </rPr>
          <t xml:space="preserve">
</t>
        </r>
        <r>
          <rPr>
            <sz val="10"/>
            <color rgb="FF000000"/>
            <rFont val="Tahoma"/>
            <family val="2"/>
          </rPr>
          <t>GHG EMISSIONS</t>
        </r>
      </text>
    </comment>
    <comment ref="AK173" authorId="0" shapeId="0" xr:uid="{6607CDE1-F01A-AA4A-B7DE-9FFED0559FAB}">
      <text>
        <r>
          <rPr>
            <b/>
            <sz val="10"/>
            <color rgb="FF000000"/>
            <rFont val="Tahoma"/>
            <family val="2"/>
          </rPr>
          <t>Linda Ruiyi Huang:</t>
        </r>
        <r>
          <rPr>
            <sz val="10"/>
            <color rgb="FF000000"/>
            <rFont val="Tahoma"/>
            <family val="2"/>
          </rPr>
          <t xml:space="preserve">
</t>
        </r>
        <r>
          <rPr>
            <sz val="10"/>
            <color rgb="FF000000"/>
            <rFont val="Tahoma"/>
            <family val="2"/>
          </rPr>
          <t>GHG EMISSIONS</t>
        </r>
      </text>
    </comment>
    <comment ref="AJ174" authorId="0" shapeId="0" xr:uid="{050EBAAB-A908-064F-ABF5-755790FFA3D0}">
      <text>
        <r>
          <rPr>
            <b/>
            <sz val="10"/>
            <color rgb="FF000000"/>
            <rFont val="Tahoma"/>
            <family val="2"/>
          </rPr>
          <t>Linda Ruiyi Huang:</t>
        </r>
        <r>
          <rPr>
            <sz val="10"/>
            <color rgb="FF000000"/>
            <rFont val="Tahoma"/>
            <family val="2"/>
          </rPr>
          <t xml:space="preserve">
</t>
        </r>
        <r>
          <rPr>
            <sz val="10"/>
            <color rgb="FF000000"/>
            <rFont val="Tahoma"/>
            <family val="2"/>
          </rPr>
          <t>GHG&amp;PLASTIC</t>
        </r>
      </text>
    </comment>
    <comment ref="AK174" authorId="0" shapeId="0" xr:uid="{6B663D7D-5B08-D943-95B2-BBC3834FBC04}">
      <text>
        <r>
          <rPr>
            <b/>
            <sz val="10"/>
            <color rgb="FF000000"/>
            <rFont val="Tahoma"/>
            <family val="2"/>
          </rPr>
          <t>Linda Ruiyi Huang:</t>
        </r>
        <r>
          <rPr>
            <sz val="10"/>
            <color rgb="FF000000"/>
            <rFont val="Tahoma"/>
            <family val="2"/>
          </rPr>
          <t xml:space="preserve">
</t>
        </r>
        <r>
          <rPr>
            <sz val="10"/>
            <color rgb="FF000000"/>
            <rFont val="Tahoma"/>
            <family val="2"/>
          </rPr>
          <t>GHG&amp;PLASTIC</t>
        </r>
      </text>
    </comment>
    <comment ref="AJ184" authorId="0" shapeId="0" xr:uid="{47D6A073-9075-7F4E-9863-8D423A9CAD51}">
      <text>
        <r>
          <rPr>
            <b/>
            <sz val="10"/>
            <color rgb="FF000000"/>
            <rFont val="Tahoma"/>
            <family val="2"/>
          </rPr>
          <t>Linda Ruiyi Huang:</t>
        </r>
        <r>
          <rPr>
            <sz val="10"/>
            <color rgb="FF000000"/>
            <rFont val="Tahoma"/>
            <family val="2"/>
          </rPr>
          <t xml:space="preserve">
</t>
        </r>
        <r>
          <rPr>
            <sz val="10"/>
            <color rgb="FF000000"/>
            <rFont val="Calibri"/>
            <family val="2"/>
            <scheme val="minor"/>
          </rPr>
          <t xml:space="preserve">LTIFR </t>
        </r>
        <r>
          <rPr>
            <sz val="10"/>
            <color rgb="FF000000"/>
            <rFont val="Calibri"/>
            <family val="2"/>
            <scheme val="minor"/>
          </rPr>
          <t xml:space="preserve">
</t>
        </r>
      </text>
    </comment>
    <comment ref="AK184" authorId="0" shapeId="0" xr:uid="{45F51E46-75BE-E148-A177-F867CC5E86DC}">
      <text>
        <r>
          <rPr>
            <b/>
            <sz val="10"/>
            <color rgb="FF000000"/>
            <rFont val="Tahoma"/>
            <family val="2"/>
          </rPr>
          <t>Linda Ruiyi Huang:</t>
        </r>
        <r>
          <rPr>
            <sz val="10"/>
            <color rgb="FF000000"/>
            <rFont val="Tahoma"/>
            <family val="2"/>
          </rPr>
          <t xml:space="preserve">
</t>
        </r>
        <r>
          <rPr>
            <sz val="10"/>
            <color rgb="FF000000"/>
            <rFont val="Calibri"/>
            <family val="2"/>
            <scheme val="minor"/>
          </rPr>
          <t xml:space="preserve">LTIFR </t>
        </r>
        <r>
          <rPr>
            <sz val="10"/>
            <color rgb="FF000000"/>
            <rFont val="Calibri"/>
            <family val="2"/>
            <scheme val="minor"/>
          </rPr>
          <t xml:space="preserve">
</t>
        </r>
      </text>
    </comment>
    <comment ref="AJ188" authorId="0" shapeId="0" xr:uid="{23DBD08D-FE67-6241-81E3-339001A698D5}">
      <text>
        <r>
          <rPr>
            <b/>
            <sz val="10"/>
            <color rgb="FF000000"/>
            <rFont val="Tahoma"/>
            <family val="2"/>
          </rPr>
          <t>Linda Ruiyi Huang:</t>
        </r>
        <r>
          <rPr>
            <sz val="10"/>
            <color rgb="FF000000"/>
            <rFont val="Tahoma"/>
            <family val="2"/>
          </rPr>
          <t xml:space="preserve">
</t>
        </r>
        <r>
          <rPr>
            <sz val="10"/>
            <color rgb="FF000000"/>
            <rFont val="Tahoma"/>
            <family val="2"/>
          </rPr>
          <t>GHG&amp;WOOD</t>
        </r>
      </text>
    </comment>
    <comment ref="AK188" authorId="0" shapeId="0" xr:uid="{552D14CE-653C-1940-9271-41BAFD092687}">
      <text>
        <r>
          <rPr>
            <b/>
            <sz val="10"/>
            <color rgb="FF000000"/>
            <rFont val="Tahoma"/>
            <family val="2"/>
          </rPr>
          <t>Linda Ruiyi Huang:</t>
        </r>
        <r>
          <rPr>
            <sz val="10"/>
            <color rgb="FF000000"/>
            <rFont val="Tahoma"/>
            <family val="2"/>
          </rPr>
          <t xml:space="preserve">
</t>
        </r>
        <r>
          <rPr>
            <sz val="10"/>
            <color rgb="FF000000"/>
            <rFont val="Tahoma"/>
            <family val="2"/>
          </rPr>
          <t>GHG&amp;WOOD</t>
        </r>
      </text>
    </comment>
    <comment ref="AJ197" authorId="0" shapeId="0" xr:uid="{A47FB580-5DF1-E347-8A06-58C42FE0D637}">
      <text>
        <r>
          <rPr>
            <b/>
            <sz val="10"/>
            <color rgb="FF000000"/>
            <rFont val="Tahoma"/>
            <family val="2"/>
          </rPr>
          <t>Linda Ruiyi Huang:</t>
        </r>
        <r>
          <rPr>
            <sz val="10"/>
            <color rgb="FF000000"/>
            <rFont val="Tahoma"/>
            <family val="2"/>
          </rPr>
          <t xml:space="preserve">
</t>
        </r>
        <r>
          <rPr>
            <sz val="10"/>
            <color rgb="FF000000"/>
            <rFont val="Calibri"/>
            <family val="2"/>
            <scheme val="minor"/>
          </rPr>
          <t> measures YA’s success in getting participants from their courses into employment and thus helping people who are outside the labour market back into the labour market.</t>
        </r>
      </text>
    </comment>
    <comment ref="AK197" authorId="0" shapeId="0" xr:uid="{881AEB10-308E-2B4A-BA43-0A55F8575644}">
      <text>
        <r>
          <rPr>
            <b/>
            <sz val="10"/>
            <color rgb="FF000000"/>
            <rFont val="Tahoma"/>
            <family val="2"/>
          </rPr>
          <t>Linda Ruiyi Huang:</t>
        </r>
        <r>
          <rPr>
            <sz val="10"/>
            <color rgb="FF000000"/>
            <rFont val="Tahoma"/>
            <family val="2"/>
          </rPr>
          <t xml:space="preserve">
</t>
        </r>
        <r>
          <rPr>
            <sz val="10"/>
            <color rgb="FF000000"/>
            <rFont val="Calibri"/>
            <family val="2"/>
            <scheme val="minor"/>
          </rPr>
          <t> measures YA’s success in getting participants from their courses into employment and thus helping people who are outside the labour market back into the labour market.</t>
        </r>
      </text>
    </comment>
    <comment ref="AJ207" authorId="0" shapeId="0" xr:uid="{D58F857D-AAB1-9B4F-B22F-366709DAB209}">
      <text>
        <r>
          <rPr>
            <b/>
            <sz val="10"/>
            <color rgb="FF000000"/>
            <rFont val="Tahoma"/>
            <family val="2"/>
          </rPr>
          <t>Linda Ruiyi Huang:</t>
        </r>
        <r>
          <rPr>
            <sz val="10"/>
            <color rgb="FF000000"/>
            <rFont val="Tahoma"/>
            <family val="2"/>
          </rPr>
          <t xml:space="preserve">
</t>
        </r>
        <r>
          <rPr>
            <sz val="10"/>
            <color rgb="FF000000"/>
            <rFont val="Tahoma"/>
            <family val="2"/>
          </rPr>
          <t>GHG&amp;RENEWABLE ENERGY</t>
        </r>
      </text>
    </comment>
    <comment ref="AK207" authorId="0" shapeId="0" xr:uid="{58FC07F5-2F8C-6B4F-B860-22EBE26E18E8}">
      <text>
        <r>
          <rPr>
            <b/>
            <sz val="10"/>
            <color rgb="FF000000"/>
            <rFont val="Tahoma"/>
            <family val="2"/>
          </rPr>
          <t>Linda Ruiyi Huang:</t>
        </r>
        <r>
          <rPr>
            <sz val="10"/>
            <color rgb="FF000000"/>
            <rFont val="Tahoma"/>
            <family val="2"/>
          </rPr>
          <t xml:space="preserve">
</t>
        </r>
        <r>
          <rPr>
            <sz val="10"/>
            <color rgb="FF000000"/>
            <rFont val="Tahoma"/>
            <family val="2"/>
          </rPr>
          <t>GHG&amp;RENEWABLE ENERGY</t>
        </r>
      </text>
    </comment>
    <comment ref="AJ228" authorId="0" shapeId="0" xr:uid="{3D5189A4-B0D1-3546-BFE7-EDD9BDC59476}">
      <text>
        <r>
          <rPr>
            <b/>
            <sz val="10"/>
            <color rgb="FF000000"/>
            <rFont val="Tahoma"/>
            <family val="2"/>
          </rPr>
          <t>Linda Ruiyi Huang:</t>
        </r>
        <r>
          <rPr>
            <sz val="10"/>
            <color rgb="FF000000"/>
            <rFont val="Tahoma"/>
            <family val="2"/>
          </rPr>
          <t xml:space="preserve">
</t>
        </r>
        <r>
          <rPr>
            <sz val="10"/>
            <color rgb="FF000000"/>
            <rFont val="Tahoma"/>
            <family val="2"/>
          </rPr>
          <t>GHG&amp;REDUCTION IN FRESH WATER CONSUMPTION&amp;WASTE</t>
        </r>
      </text>
    </comment>
    <comment ref="AK228" authorId="0" shapeId="0" xr:uid="{85EDC229-CADF-7248-BA68-F498B374B15C}">
      <text>
        <r>
          <rPr>
            <b/>
            <sz val="10"/>
            <color rgb="FF000000"/>
            <rFont val="Tahoma"/>
            <family val="2"/>
          </rPr>
          <t>Linda Ruiyi Huang:</t>
        </r>
        <r>
          <rPr>
            <sz val="10"/>
            <color rgb="FF000000"/>
            <rFont val="Tahoma"/>
            <family val="2"/>
          </rPr>
          <t xml:space="preserve">
</t>
        </r>
        <r>
          <rPr>
            <sz val="10"/>
            <color rgb="FF000000"/>
            <rFont val="Tahoma"/>
            <family val="2"/>
          </rPr>
          <t>GHG&amp;REDUCTION IN FRESH WATER CONSUMPTION&amp;WASTE</t>
        </r>
      </text>
    </comment>
    <comment ref="AJ230" authorId="0" shapeId="0" xr:uid="{DFAA4B17-7D79-3143-8116-8C4D374651E2}">
      <text>
        <r>
          <rPr>
            <b/>
            <sz val="10"/>
            <color rgb="FF000000"/>
            <rFont val="Tahoma"/>
            <family val="2"/>
          </rPr>
          <t>Linda Ruiyi Huang:</t>
        </r>
        <r>
          <rPr>
            <sz val="10"/>
            <color rgb="FF000000"/>
            <rFont val="Tahoma"/>
            <family val="2"/>
          </rPr>
          <t xml:space="preserve">
</t>
        </r>
        <r>
          <rPr>
            <sz val="10"/>
            <color rgb="FF000000"/>
            <rFont val="Tahoma"/>
            <family val="2"/>
          </rPr>
          <t>GHG&amp;SOCIAL</t>
        </r>
      </text>
    </comment>
    <comment ref="AK230" authorId="0" shapeId="0" xr:uid="{9262120C-5AEC-9A4C-99C8-876430ED6168}">
      <text>
        <r>
          <rPr>
            <b/>
            <sz val="10"/>
            <color rgb="FF000000"/>
            <rFont val="Tahoma"/>
            <family val="2"/>
          </rPr>
          <t>Linda Ruiyi Huang:</t>
        </r>
        <r>
          <rPr>
            <sz val="10"/>
            <color rgb="FF000000"/>
            <rFont val="Tahoma"/>
            <family val="2"/>
          </rPr>
          <t xml:space="preserve">
</t>
        </r>
        <r>
          <rPr>
            <sz val="10"/>
            <color rgb="FF000000"/>
            <rFont val="Tahoma"/>
            <family val="2"/>
          </rPr>
          <t>GHG&amp;SOCIAL</t>
        </r>
      </text>
    </comment>
    <comment ref="B258" authorId="1" shapeId="0" xr:uid="{00000000-0006-0000-0000-000001000000}">
      <text>
        <r>
          <rPr>
            <sz val="11"/>
            <color theme="1"/>
            <rFont val="Calibri"/>
            <scheme val="minor"/>
          </rPr>
          <t>======
ID#AAAAYQbS4M4
Emil Damirov    (2022-05-03 12:37:44)
Rifinitive does not show any bonds</t>
        </r>
      </text>
    </comment>
    <comment ref="AK279" authorId="0" shapeId="0" xr:uid="{FEA72084-04AD-B145-B0D0-A18566C710E0}">
      <text>
        <r>
          <rPr>
            <b/>
            <sz val="10"/>
            <color rgb="FF000000"/>
            <rFont val="Tahoma"/>
            <family val="2"/>
          </rPr>
          <t>Linda Ruiyi Huang:</t>
        </r>
        <r>
          <rPr>
            <sz val="10"/>
            <color rgb="FF000000"/>
            <rFont val="Tahoma"/>
            <family val="2"/>
          </rPr>
          <t xml:space="preserve">
</t>
        </r>
        <r>
          <rPr>
            <sz val="10"/>
            <color rgb="FF000000"/>
            <rFont val="Calibri"/>
            <family val="2"/>
            <scheme val="minor"/>
          </rPr>
          <t>The fluctuation margin of the interest rate of +/- 2.5 base points rises or falls depending on Lenzing's sustainability rating</t>
        </r>
      </text>
    </comment>
  </commentList>
  <extLst>
    <ext xmlns:r="http://schemas.openxmlformats.org/officeDocument/2006/relationships" uri="GoogleSheetsCustomDataVersion1">
      <go:sheetsCustomData xmlns:go="http://customooxmlschemas.google.com/" r:id="rId1" roundtripDataSignature="AMtx7miW5BPugPOf+qMaREWesH2BNDVpD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40" authorId="0" shapeId="0" xr:uid="{00000000-0006-0000-0700-000003000000}">
      <text>
        <r>
          <rPr>
            <sz val="11"/>
            <color theme="1"/>
            <rFont val="Calibri"/>
            <scheme val="minor"/>
          </rPr>
          <t>======
ID#AAAAYM6bFWc
Amanda Ramirez    (2022-05-02 14:16:59)
On 12/05/2020</t>
        </r>
      </text>
    </comment>
    <comment ref="D147" authorId="0" shapeId="0" xr:uid="{00000000-0006-0000-0700-000004000000}">
      <text>
        <r>
          <rPr>
            <sz val="11"/>
            <color theme="1"/>
            <rFont val="Calibri"/>
            <scheme val="minor"/>
          </rPr>
          <t>======
ID#AAAAYM6bFWU
Amanda Ramirez    (2022-05-02 14:08:14)
on 12/05/2020, not on issue date</t>
        </r>
      </text>
    </comment>
    <comment ref="D256" authorId="0" shapeId="0" xr:uid="{00000000-0006-0000-0700-000001000000}">
      <text>
        <r>
          <rPr>
            <sz val="11"/>
            <color theme="1"/>
            <rFont val="Calibri"/>
            <scheme val="minor"/>
          </rPr>
          <t>======
ID#AAAAYM6bFXE
Amanda Ramirez    (2022-05-02 14:36:55)
On 19/04/2022</t>
        </r>
      </text>
    </comment>
    <comment ref="D259" authorId="0" shapeId="0" xr:uid="{00000000-0006-0000-0700-000002000000}">
      <text>
        <r>
          <rPr>
            <sz val="11"/>
            <color theme="1"/>
            <rFont val="Calibri"/>
            <scheme val="minor"/>
          </rPr>
          <t>======
ID#AAAAYM6bFXA
Amanda Ramirez    (2022-05-02 14:35:16)
On 10/03/2022</t>
        </r>
      </text>
    </comment>
  </commentList>
  <extLst>
    <ext xmlns:r="http://schemas.openxmlformats.org/officeDocument/2006/relationships" uri="GoogleSheetsCustomDataVersion1">
      <go:sheetsCustomData xmlns:go="http://customooxmlschemas.google.com/" r:id="rId1" roundtripDataSignature="AMtx7mhyC0jsFu2vu9UiEytM9KNcBM6jW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<sst xmlns="http://schemas.openxmlformats.org/spreadsheetml/2006/main" count="42483" uniqueCount="5526">
  <si>
    <t>ID</t>
  </si>
  <si>
    <t>Issuer Name</t>
  </si>
  <si>
    <t>ISIN</t>
  </si>
  <si>
    <t>Bloomberg ID</t>
  </si>
  <si>
    <t>FIGI</t>
  </si>
  <si>
    <t>Ticker</t>
  </si>
  <si>
    <t>Country/Region ISO Code</t>
  </si>
  <si>
    <t>Cntry of Incorp</t>
  </si>
  <si>
    <t>Cntry of Risk</t>
  </si>
  <si>
    <t>Cpn</t>
  </si>
  <si>
    <t>Issue Date</t>
  </si>
  <si>
    <t>Maturity</t>
  </si>
  <si>
    <t>Yield at Issue (manual)</t>
  </si>
  <si>
    <t>Mty Type</t>
  </si>
  <si>
    <t>Has Call Provision</t>
  </si>
  <si>
    <t>Series</t>
  </si>
  <si>
    <t>Payment Rank</t>
  </si>
  <si>
    <t>Currency</t>
  </si>
  <si>
    <t>BBG Composite</t>
  </si>
  <si>
    <t>ESG Rating</t>
  </si>
  <si>
    <t>Coupon Type</t>
  </si>
  <si>
    <t>Cpn Freq Des</t>
  </si>
  <si>
    <t>Amt Issued</t>
  </si>
  <si>
    <t>BICS Level 1</t>
  </si>
  <si>
    <t>BICS Level 2</t>
  </si>
  <si>
    <t>BCLASS Level 1</t>
  </si>
  <si>
    <t>BCLASS Level 2</t>
  </si>
  <si>
    <t>BCLASS Level 3</t>
  </si>
  <si>
    <t>BCLASS Level 4</t>
  </si>
  <si>
    <t>Step up desc</t>
  </si>
  <si>
    <t>Step up</t>
  </si>
  <si>
    <t>Step down</t>
  </si>
  <si>
    <t>Step-up&amp;down?</t>
  </si>
  <si>
    <t xml:space="preserve">SPT </t>
  </si>
  <si>
    <t>Lead Manager(s)</t>
  </si>
  <si>
    <t>Yield at issue</t>
  </si>
  <si>
    <t>Yield ask</t>
  </si>
  <si>
    <t>Refinitiv</t>
  </si>
  <si>
    <t>Yield ask, at issue</t>
  </si>
  <si>
    <t>Issuer&amp;MTY&amp;CPN&amp;CURR&amp;Seniority</t>
  </si>
  <si>
    <t>Matched</t>
  </si>
  <si>
    <t>Duerr AG</t>
  </si>
  <si>
    <t>BG4373653</t>
  </si>
  <si>
    <t>BBG00S419B98</t>
  </si>
  <si>
    <t>DUEGR</t>
  </si>
  <si>
    <t>DE</t>
  </si>
  <si>
    <t>2020-04-06</t>
  </si>
  <si>
    <t>2030-04-06</t>
  </si>
  <si>
    <t>N/A</t>
  </si>
  <si>
    <t>AT MATURITY</t>
  </si>
  <si>
    <t>N</t>
  </si>
  <si>
    <t>10Y</t>
  </si>
  <si>
    <t>Sr Unsecured</t>
  </si>
  <si>
    <t>EUR</t>
  </si>
  <si>
    <t>#N/A N/A</t>
  </si>
  <si>
    <t>N.S.</t>
  </si>
  <si>
    <t>FIXED</t>
  </si>
  <si>
    <t>Annual</t>
  </si>
  <si>
    <t>Industrials</t>
  </si>
  <si>
    <t>Machinery Manufacturing</t>
  </si>
  <si>
    <t>Corporate</t>
  </si>
  <si>
    <t>Industrial</t>
  </si>
  <si>
    <t>Other Industrial</t>
  </si>
  <si>
    <t>PRICING STEPS UP BY 2BPS IF SUSTAINABILITY SCORE &lt;=40. PRICING STEPS DOWN BY 2BPS IF &gt;=62</t>
  </si>
  <si>
    <t>ESG SCORE</t>
  </si>
  <si>
    <t>Bookrunner DZ Bank DZBK JLMB Joint Lead Managers-Books 38333.33 1 2020-04-06 Bookrunner Landesbank Baden-Wuerttemberg LBBW JLMB Joint Lead Managers-Books 38333.33 1 2020-04-06 Bookrunner UniCredit Bank AG UNICRD JLMB Joint Lead Managers-Books 38333.33 1 2020-04-06</t>
  </si>
  <si>
    <t>BG5616522</t>
  </si>
  <si>
    <t>BBG00S5JHCR7</t>
  </si>
  <si>
    <t>2027-04-06</t>
  </si>
  <si>
    <t>7Y</t>
  </si>
  <si>
    <t>FLOATING</t>
  </si>
  <si>
    <t>S/A</t>
  </si>
  <si>
    <t>Bookrunner DZ Bank DZBK JLMB Joint Lead Managers-Books 0 1 2020-04-06 Bookrunner Landesbank Baden-Wuerttemberg LBBW JLMB Joint Lead Managers-Books 0 1 2020-04-06 Bookrunner UniCredit Bank AG UNICRD JLMB Joint Lead Managers-Books 0 1 2020-04-06</t>
  </si>
  <si>
    <t>BG5616605</t>
  </si>
  <si>
    <t>BBG00S5JHD04</t>
  </si>
  <si>
    <t>2025-04-06</t>
  </si>
  <si>
    <t>5Y</t>
  </si>
  <si>
    <t>ESG-LINKED SCHULDSCHEIN. PRICING TIED TO ESG RATING FROM ECOVADIS +5BPS IF ESG RATING &lt;=44; -5BPS IF &gt;=66.</t>
  </si>
  <si>
    <t>Aurubis AG</t>
  </si>
  <si>
    <t>BJ4743974</t>
  </si>
  <si>
    <t>BBG00TTCWZ96</t>
  </si>
  <si>
    <t>NDAGR</t>
  </si>
  <si>
    <t>2020-06-23</t>
  </si>
  <si>
    <t>2027-06-23</t>
  </si>
  <si>
    <t>7YFL</t>
  </si>
  <si>
    <t>Materials</t>
  </si>
  <si>
    <t>Metals &amp; Mining</t>
  </si>
  <si>
    <t>Basic Industry</t>
  </si>
  <si>
    <t>Metals and Mining</t>
  </si>
  <si>
    <t>SUSTAINABILITY-LINKED SCHULDSCHEIN.SUSTAINABILITY PRICING ADJUSTMENT +5BPS IF ESG SCORE &lt;=56; -5BPS IF ESG SCORE &gt;=80.</t>
  </si>
  <si>
    <t>Bookrunner Commerzbank COBA JLMB Joint Lead Managers-Books 0 1 2020-06-23 Bookrunner DZ Bank DZBK JLMB Joint Lead Managers-Books 0 1 2020-06-23 Bookrunner Landesbank Hessen-Thuringen Gi HELABA JLMB Joint Lead Managers-Books 0 1 2020-06-23</t>
  </si>
  <si>
    <t>BJ4744352</t>
  </si>
  <si>
    <t>BBG00TTCXCM1</t>
  </si>
  <si>
    <t>2025-06-23</t>
  </si>
  <si>
    <t>5YFL</t>
  </si>
  <si>
    <t>BJ4744360</t>
  </si>
  <si>
    <t>BBG00TTCXCN0</t>
  </si>
  <si>
    <t>2023-06-23</t>
  </si>
  <si>
    <t>3YFL</t>
  </si>
  <si>
    <t>BK2300865</t>
  </si>
  <si>
    <t>BBG00VPKM8T6</t>
  </si>
  <si>
    <t>7YFX</t>
  </si>
  <si>
    <t>BK2300873</t>
  </si>
  <si>
    <t>BBG00VPKM8W2</t>
  </si>
  <si>
    <t>5YFX</t>
  </si>
  <si>
    <t>BK2300881</t>
  </si>
  <si>
    <t>BBG00VPKM8X1</t>
  </si>
  <si>
    <t>3YFX</t>
  </si>
  <si>
    <t>Tauron Polska Energia SA</t>
  </si>
  <si>
    <t>BM1904754</t>
  </si>
  <si>
    <t>BBG00Y1BMBQ2</t>
  </si>
  <si>
    <t>TPEPW</t>
  </si>
  <si>
    <t>PL</t>
  </si>
  <si>
    <t>2020-10-30</t>
  </si>
  <si>
    <t>2025-10-30</t>
  </si>
  <si>
    <t>CALLABLE</t>
  </si>
  <si>
    <t>Y</t>
  </si>
  <si>
    <t>A</t>
  </si>
  <si>
    <t>Unsecured</t>
  </si>
  <si>
    <t>PLN</t>
  </si>
  <si>
    <t>Utilities</t>
  </si>
  <si>
    <t>Utility</t>
  </si>
  <si>
    <t>Electric</t>
  </si>
  <si>
    <t>STEP-UP MARGIN: 5BP (IF ONE TARGET NOT MET), 10BP (IF BOTH TARGETS NOT MET), STEP-UP EVENT: CO2 EMISSIONS, RENEWABLE ENERGY INSTALLED CAPACITY</t>
  </si>
  <si>
    <t>multi</t>
  </si>
  <si>
    <t>ENVIRONMENT</t>
  </si>
  <si>
    <t>Bookrunner Bank Pekao SA PEKAO JLMB Joint Lead Managers-Books 0 1 2020-10-29 Bookrunner Erste Group Bank ERSTE JLMB Joint Lead Managers-Books 0 1 2020-10-29 Bookrunner PKO Bank Polski SA PKOBP JLMB Joint Lead Managers-Books 0 1 2020-10-29 Bookrunner Santander Bank Polska SA SANT JLMB Joint Lead Managers-Books 0 1 2020-10-29 Trustee PKO Bank Polski SA PKOBP DOC Documentation Agent(s) 0 7 2020-10-29 Trustee Santander Bank Polska SA SANT CALC Calculation Agent(s) 0 7 2020-10-29 Trustee White &amp; Case LLP W&amp;C LAM Legal Adviser(s) to the Manage 0 16 2020-10-29</t>
  </si>
  <si>
    <t>Puma SE</t>
  </si>
  <si>
    <t>BM2548139</t>
  </si>
  <si>
    <t>BBG00Y2G8KT3</t>
  </si>
  <si>
    <t>PUMGR</t>
  </si>
  <si>
    <t>2020-12-16</t>
  </si>
  <si>
    <t>2025-12-16</t>
  </si>
  <si>
    <t>AAA</t>
  </si>
  <si>
    <t>Consumer Discretionary</t>
  </si>
  <si>
    <t>Apparel &amp; Textile Products</t>
  </si>
  <si>
    <t>Consumer Cyclical</t>
  </si>
  <si>
    <t>Retailers</t>
  </si>
  <si>
    <t>ESG-LINKED SCHULDSCHEIN. TWO SETTLEMENT DATES: FIRST SETTLEMENT 12/16/20 FOR 15MM AND SECOND SETTLEMENT 01/12/21 FOR 235MM.</t>
  </si>
  <si>
    <t>n/a</t>
  </si>
  <si>
    <t>Bookrunner BNP Paribas/Frankfurt BNP JLMB Joint Lead Managers-Books 0 4 2021-01-12 Bookrunner HSBC Trinkaus &amp; Burkhardt AG H-TRNK JLMB Joint Lead Managers-Books 0 4 2021-01-12 Bookrunner ING Bank NV Niederlassung ING JLMB Joint Lead Managers-Books 0 4 2021-01-12 Bookrunner BNP Paribas/Frankfurt BNP JLMB Joint Lead Managers-Books 0 1 2020-12-16 Bookrunner HSBC Trinkaus &amp; Burkhardt AG H-TRNK JLMB Joint Lead Managers-Books 0 1 2020-12-16 Bookrunner ING Bank NV Niederlassung ING JLMB Joint Lead Managers-Books 0 1 2020-12-16</t>
  </si>
  <si>
    <t>BM2549186</t>
  </si>
  <si>
    <t>BBG00Y2G9VM5</t>
  </si>
  <si>
    <t>2023-12-16</t>
  </si>
  <si>
    <t>3Y</t>
  </si>
  <si>
    <t>ESG-LINKED SCHULDSCHEIN. TWO SETTLEMENT DATES: FIRST SETTLEMENT 12/16/20 AND SECOND SETTLEMENT 01/12/21.</t>
  </si>
  <si>
    <t>BM3493996</t>
  </si>
  <si>
    <t>BBG00Y48C8Y5</t>
  </si>
  <si>
    <t>2021-01-14</t>
  </si>
  <si>
    <t>2031-01-14</t>
  </si>
  <si>
    <t>Bookrunner DZ Bank DZBK JLMB Joint Lead Managers-Books 0 1 2021-01-14 Bookrunner Landesbank Baden-Wuerttemberg LBBW JLMB Joint Lead Managers-Books 0 1 2021-01-14 Bookrunner UniCredit Bank AG UNICRD JLMB Joint Lead Managers-Books 0 1 2021-01-14</t>
  </si>
  <si>
    <t>BM3494424</t>
  </si>
  <si>
    <t>BBG00Y48CQV8</t>
  </si>
  <si>
    <t>2028-01-17</t>
  </si>
  <si>
    <t>BM3494432</t>
  </si>
  <si>
    <t>BBG00Y48CQX6</t>
  </si>
  <si>
    <t>2027-01-14</t>
  </si>
  <si>
    <t>6Y</t>
  </si>
  <si>
    <t>BM3494457</t>
  </si>
  <si>
    <t>BBG00Y48CR37</t>
  </si>
  <si>
    <t>2025-01-14</t>
  </si>
  <si>
    <t>4Y</t>
  </si>
  <si>
    <t>BM3494465</t>
  </si>
  <si>
    <t>BBG00Y48CRC7</t>
  </si>
  <si>
    <t>2024-01-14</t>
  </si>
  <si>
    <t>Holcim Finance Luxembourg SA</t>
  </si>
  <si>
    <t>BM6017461</t>
  </si>
  <si>
    <t>BBG00Y709383</t>
  </si>
  <si>
    <t>HOLNSW</t>
  </si>
  <si>
    <t>LU</t>
  </si>
  <si>
    <t>CH</t>
  </si>
  <si>
    <t>2020-11-23</t>
  </si>
  <si>
    <t>2031-04-23</t>
  </si>
  <si>
    <t>#N/A Field Not Applicable</t>
  </si>
  <si>
    <t>BBB</t>
  </si>
  <si>
    <t>Construction Materials Manufacturing</t>
  </si>
  <si>
    <t>Capital Goods</t>
  </si>
  <si>
    <t>Building Materials</t>
  </si>
  <si>
    <t>STEP-UP MARGIN: 75BP, STEP-UP EVENT: DEC 2030 CO2 EMISSIONS</t>
  </si>
  <si>
    <t>Bookrunner Banco Bilbao Vizcaya Argentari BBVA JLMB Joint Lead Managers-Books 0 1 2020-11-17 Bookrunner Banco Santander SANT JLMB Joint Lead Managers-Books 0 1 2020-11-17 Bookrunner BNP Paribas BNPP JLMB Joint Lead Managers-Books 0 1 2020-11-17 Bookrunner Credit Agricole CIB CACIB JLMB Joint Lead Managers-Books 0 1 2020-11-17 Bookrunner HSBC HSBC JLMB Joint Lead Managers-Books 0 1 2020-11-17 Bookrunner ING Groep ING JLMB Joint Lead Managers-Books 0 1 2020-11-17 Bookrunner Societe Generale SG JLMB Joint Lead Managers-Books 0 1 2020-11-17 Bookrunner UniCredit UNICRD JLMB Joint Lead Managers-Books 0 1 2020-11-17 Trustee Homburger AG HOMBRE LAI Legal Adviser to the Issuer(s) 0 16 2020-11-17 Trustee Linklaters LLP L&amp;A LAI Legal Adviser to the Issuer(s) 0 16 2020-11-17 Trustee Clifford Chance LLP CHANCE LAM Legal Adviser(s) to the Manage 0 16 2020-11-17 ESG Assurance Provider ISS-oekom ISSOEK SNPC 2nd Party Consultant 0 30 2020-11-17</t>
  </si>
  <si>
    <t>Schneider Electric SE</t>
  </si>
  <si>
    <t>BM6028963</t>
  </si>
  <si>
    <t>BBG00Y70L1G4</t>
  </si>
  <si>
    <t>SUFP</t>
  </si>
  <si>
    <t>FR</t>
  </si>
  <si>
    <t>US</t>
  </si>
  <si>
    <t>2020-11-24</t>
  </si>
  <si>
    <t>2026-06-15</t>
  </si>
  <si>
    <t>CONVERTIBLE</t>
  </si>
  <si>
    <t>NR</t>
  </si>
  <si>
    <t>Electrical Equipment Manufacturing</t>
  </si>
  <si>
    <t>Diversified Manufacturing</t>
  </si>
  <si>
    <t>15% CLEAN-UP CALL. SUSTAINABILITY PRICING ADJUSTMENT</t>
  </si>
  <si>
    <t>%</t>
  </si>
  <si>
    <t>Bookrunner Barclays Bank Ireland PLC BARCBK JLMB Joint Lead Managers-Books 0 1 2020-11-17 Bookrunner BNP Paribas BNPP JLMB Joint Lead Managers-Books 0 1 2020-11-17 Bookrunner Citigroup Global Markets Europ CITI JLMB Joint Lead Managers-Books 0 1 2020-11-17 Bookrunner Societe Generale SG JLMB Joint Lead Managers-Books 0 1 2020-11-17 NonBookrunner Natixis NATIX CLM Co-Lead Manager(s) 0 1 2020-11-17 NonBookrunner BNP Paribas BNPP GLCO Global Coordinator(s) 0 1 2020-11-17 Trustee BNP Paribas BNPP PAAG Paying Agent(s) 0 7 2020-11-17 Trustee BNP Paribas BNPP CONV Conversion Agent(s) 0 7 2020-11-17 Trustee Conv Ex Advisors Ltd CONEAD CALC Calculation Agent(s) 0 7 2020-11-17 Trustee BNP Paribas BNPP TRNS Transfer Agent(s) 0 7 2020-11-17 Trustee Linklaters LLP L&amp;A LAI Legal Adviser to the Issuer(s) 0 16 2020-11-17 Trustee White &amp; Case LLP W&amp;C LAM Legal Adviser(s) to the Manage 0 16 2020-11-17 ESG Assurance Provider Vigeo SASV VIGEO SNPC 2nd Party Consultant 0 30 2020-11-17</t>
  </si>
  <si>
    <t>Veneziana Energia Risorse Idriche Territorio Ambiente Servizi SpA</t>
  </si>
  <si>
    <t>BM8015802</t>
  </si>
  <si>
    <t>BBG00YCLMZT2</t>
  </si>
  <si>
    <t>VRITAS</t>
  </si>
  <si>
    <t>IT</t>
  </si>
  <si>
    <t>2020-12-09</t>
  </si>
  <si>
    <t>2027-12-09</t>
  </si>
  <si>
    <t>Government-Related</t>
  </si>
  <si>
    <t>Local Authority</t>
  </si>
  <si>
    <t>STEP-UP MARGIN: 10BP, STEP-UP EVENT: 2024 ESG RATING</t>
  </si>
  <si>
    <t>Bookrunner UniCredit UNICRD SOLE Sole Manager 0 1 2020-11-27</t>
  </si>
  <si>
    <t>Polski Koncern Naftowy ORLEN SA</t>
  </si>
  <si>
    <t>BM9487067</t>
  </si>
  <si>
    <t>BBG00YG2BZ58</t>
  </si>
  <si>
    <t>PKNPW</t>
  </si>
  <si>
    <t>2020-12-22</t>
  </si>
  <si>
    <t>2025-12-22</t>
  </si>
  <si>
    <t>C</t>
  </si>
  <si>
    <t>Energy</t>
  </si>
  <si>
    <t>Refining &amp; Marketing</t>
  </si>
  <si>
    <t>Refining</t>
  </si>
  <si>
    <t>STEP UP: +5BPS IF ESG RATING(MSCI) FALLS TO BBB, +10BPS IF ESG RATING (MSCI) FALLS TO BB</t>
  </si>
  <si>
    <t>Bookrunner Bank Pekao SA PEKAO JLMB Joint Lead Managers-Books 0 1 2020-12-11 Bookrunner Santander Bank Polska SA SANT JLMB Joint Lead Managers-Books 0 1 2020-12-11 Trustee Bank Pekao SA PEKAO CALC Calculation Agent(s) 0 7 2020-12-11</t>
  </si>
  <si>
    <t>Pikolin SL</t>
  </si>
  <si>
    <t>BM9791419</t>
  </si>
  <si>
    <t>BBG00YGB1X09</t>
  </si>
  <si>
    <t>PIKLIN</t>
  </si>
  <si>
    <t>ES</t>
  </si>
  <si>
    <t>2020-12-04</t>
  </si>
  <si>
    <t>2026-12-14</t>
  </si>
  <si>
    <t>EMTN</t>
  </si>
  <si>
    <t>Home &amp; Office Products Manufacturing</t>
  </si>
  <si>
    <t>Consumer Non-Cyclical</t>
  </si>
  <si>
    <t>Consumer Products</t>
  </si>
  <si>
    <t>STEP-UP MARGIN: 25BP, STEP-UP EVENT: DEC 2025 PERCENTAGE OF GREEN ENERGY CONSUMED IN OPERATIONS</t>
  </si>
  <si>
    <t>Bookrunner PKF (UK) LLP PKFUK SOLE Sole Manager 18000 1 2020-12-04 Trustee Not Available N/A PLAG Placement Agent(s) 0 7 2020-12-04 Trustee Banco de Sabadell SA/Spain BANSAB PAAG Paying Agent(s) 0 7 2020-12-04 Trustee Not Available N/A GLCO Global Coordinator(s) 0 7 2020-12-04</t>
  </si>
  <si>
    <t>Albioma SA</t>
  </si>
  <si>
    <t>BN0249456</t>
  </si>
  <si>
    <t>BBG00YHHWJT1</t>
  </si>
  <si>
    <t>ABIOFP</t>
  </si>
  <si>
    <t>2020-12-07</t>
  </si>
  <si>
    <t>2027-12-07</t>
  </si>
  <si>
    <t>Power Generation</t>
  </si>
  <si>
    <t>NO</t>
  </si>
  <si>
    <t>Bookrunner Natixis NATIX JLMB Joint Lead Managers-Books 0 1 2020-11-30 Bookrunner Societe Generale SG JLMB Joint Lead Managers-Books 0 1 2020-11-30 Trustee Societe Generale Securities Se SGSECS PAAG Paying Agent(s) 0 7 2020-11-30 Trustee Societe Generale Securities Se SGSECS CALC Calculation Agent(s) 0 7 2020-11-30 Trustee Societe Generale Securities Se SGSECS FISC Fiscal Agent(s) 0 7 2020-11-30 Trustee Allen &amp; Overy LLP ALLOVR LAM Legal Adviser(s) to the Manage 0 16 2020-11-30 ESG Assurance Provider Vigeo SASV VIGEO SNPC 2nd Party Consultant 0 30 2020-11-30</t>
  </si>
  <si>
    <t>BN0253896</t>
  </si>
  <si>
    <t>BBG00YHJ1FQ2</t>
  </si>
  <si>
    <t>2028-12-07</t>
  </si>
  <si>
    <t>Bookrunner Natixis NATIX JLMB Joint Lead Managers-Books 0 1 2020-11-30 Bookrunner Societe Generale SG JLMB Joint Lead Managers-Books 0 1 2020-11-30 Trustee Societe Generale Securities Se SGSECS PAAG Paying Agent(s) 0 7 2020-11-30 Trustee Societe Generale Securities Se SGSECS CALC Calculation Agent(s) 0 7 2020-11-30 Trustee Societe Generale Securities Se SGSECS FISC Fiscal Agent(s) 0 7 2020-11-30 Trustee Allen &amp; Overy LLP ALLOVR LAM Legal Adviser(s) to the Manage 0 16 2020-11-30</t>
  </si>
  <si>
    <t>Chargeurs SA</t>
  </si>
  <si>
    <t>BN0834745</t>
  </si>
  <si>
    <t>BBG00YJHNG42</t>
  </si>
  <si>
    <t>CRIFP</t>
  </si>
  <si>
    <t>2020-12-14</t>
  </si>
  <si>
    <t>2028-12-14</t>
  </si>
  <si>
    <t>PENALTY: ADDITIONAL COUPON TO CHARITABLE ORGANIZATIONS, EVENT: FAILURE TO REDUCE WORK ACCIDENT FREQUENCY, INCREASE SUSTAINABLE PRODUCT REVENUE</t>
  </si>
  <si>
    <t>SOCIAL</t>
  </si>
  <si>
    <t>Bookrunner Kepler Cheuvreux KEPCAP LMGR Lead Manager(s) 0 1 2020-12-08 Trustee BNP Paribas Securities Service BNPPAR AGNT Agent(s) 0 7 2020-12-08</t>
  </si>
  <si>
    <t>Klabin Austria GmbH</t>
  </si>
  <si>
    <t>BN3697297</t>
  </si>
  <si>
    <t>BBG00YS3VZM2</t>
  </si>
  <si>
    <t>KLAB</t>
  </si>
  <si>
    <t>AT</t>
  </si>
  <si>
    <t>BR</t>
  </si>
  <si>
    <t>2021-01-12</t>
  </si>
  <si>
    <t>2031-01-12</t>
  </si>
  <si>
    <t>144A</t>
  </si>
  <si>
    <t>USD</t>
  </si>
  <si>
    <t>BB+</t>
  </si>
  <si>
    <t>Containers &amp; Packaging</t>
  </si>
  <si>
    <t>Paper</t>
  </si>
  <si>
    <t>STEP-UP MARGIN: 12.5BP; 6.25BP; 6.25BP, STEP-UP EVENT: DEC 2025 WATER CONSUMPTION INTENSITY; WATER REUSE; BIODIVERSITY PRESERVATION</t>
  </si>
  <si>
    <t>Bookrunner Banco Itau SA ITAU JLMB Joint Lead Managers-Books 83333 1 2021-01-06 Bookrunner BofA Securities BofA JLMB Joint Lead Managers-Books 83334 1 2021-01-06 Bookrunner Bradesco BBI SA BRADSC JLMB Joint Lead Managers-Books 83334 1 2021-01-06 Bookrunner Citigroup Global Markets Inc CITI JLMB Joint Lead Managers-Books 83333 1 2021-01-06 Bookrunner JP Morgan JPM JLMB Joint Lead Managers-Books 83333 1 2021-01-06 Bookrunner Morgan Stanley MS JLMB Joint Lead Managers-Books 83333 1 2021-01-06 NonBookrunner JP Morgan JPM ESGA ESG Agent 0 1 2021-01-06 Trustee Bank of New York Mellon BNYM PAAG Paying Agent(s) 0 7 2021-01-06 Trustee Bank of New York Mellon BNYM TRST Trustee(s) 0 7 2021-01-06 Trustee Bank of New York Mellon BNYM TRNS Transfer Agent(s) 0 7 2021-01-06 Trustee Bank of New York Mellon BNYM RGST Registrar(s) 0 7 2021-01-06 Trustee Cerha Hempel Spiegelfeld Hlawa CHSH LAI Legal Adviser to the Issuer(s) 0 16 2021-01-06 Trustee Clifford Chance LLP CHANCE LAI Legal Adviser to the Issuer(s) 0 16 2021-01-06 Trustee Mattos Filho Veiga Filho Marre MATTOS LAI Legal Adviser to the Issuer(s) 0 16 2021-01-06 Trustee Milbank LLP MILLLP LAM Legal Adviser(s) to the Manage 0 16 2021-01-06 Trustee Tozzini Freire Teixeira e Silv TOZZIN LAM Legal Adviser(s) to the Manage 0 16 2021-01-06</t>
  </si>
  <si>
    <t>BN3697396</t>
  </si>
  <si>
    <t>BBG00YS3W048</t>
  </si>
  <si>
    <t>REGS</t>
  </si>
  <si>
    <t>Bookrunner Banco Itau SA ITAU JLMB Joint Lead Managers-Books 83334 1 2021-01-06 Bookrunner BofA Securities BofA JLMB Joint Lead Managers-Books 83334 1 2021-01-06 Bookrunner Bradesco BBI SA BRADSC JLMB Joint Lead Managers-Books 83333 1 2021-01-06 Bookrunner Citigroup Global Markets Inc CITI JLMB Joint Lead Managers-Books 83333 1 2021-01-06 Bookrunner JP Morgan JPM JLMB Joint Lead Managers-Books 83333 1 2021-01-06 Bookrunner Morgan Stanley MS JLMB Joint Lead Managers-Books 83333 1 2021-01-06 Trustee Bank of New York Mellon BNYM PAAG Paying Agent(s) 0 7 2021-01-06 Trustee Bank of New York Mellon BNYM TRST Trustee(s) 0 7 2021-01-06 Trustee Bank of New York Mellon BNYM TRNS Transfer Agent(s) 0 7 2021-01-06 Trustee Bank of New York Mellon BNYM RGST Registrar(s) 0 7 2021-01-06 Trustee Cerha Hempel Spiegelfeld Hlawa CHSH LAI Legal Adviser to the Issuer(s) 0 16 2021-01-06 Trustee Clifford Chance LLP CHANCE LAI Legal Adviser to the Issuer(s) 0 16 2021-01-06 Trustee Mattos Filho Veiga Filho Marre MATTOS LAI Legal Adviser to the Issuer(s) 0 16 2021-01-06 Trustee Milbank LLP MILLLP LAM Legal Adviser(s) to the Manage 0 16 2021-01-06 Trustee Tozzini Freire Teixeira e Silv TOZZIN LAM Legal Adviser(s) to the Manage 0 16 2021-01-06 ESG Assurance Provider Sustainalytics BV SUSANA SNPC 2nd Party Consultant 0 30 2021-01-06</t>
  </si>
  <si>
    <t>Traton SE</t>
  </si>
  <si>
    <t>BN4942759</t>
  </si>
  <si>
    <t>BBG00YVH5S33</t>
  </si>
  <si>
    <t>TRAGR</t>
  </si>
  <si>
    <t>2021-03-03</t>
  </si>
  <si>
    <t>2028-03-03</t>
  </si>
  <si>
    <t>Transportation &amp; Logistics</t>
  </si>
  <si>
    <t>Transportation</t>
  </si>
  <si>
    <t>Transportation Services</t>
  </si>
  <si>
    <t>SUSTAINABILITY-LINKED SCHULDSCHEIN. TWO SETTLEMENT DATES: EUR 275MM ON 3/3/21 &amp; EUR 425MM ON  6/23/21.</t>
  </si>
  <si>
    <t>Bookrunner Landesbank Baden-Wuerttemberg LBBW JLMB Joint Lead Managers-Books 0 4 2021-06-23 Bookrunner SEB SEB JLMB Joint Lead Managers-Books 0 4 2021-06-23 Bookrunner UniCredit Bank AG UNICRD JLMB Joint Lead Managers-Books 0 4 2021-06-23 Bookrunner Landesbank Baden-Wuerttemberg LBBW JLMB Joint Lead Managers-Books 0 1 2021-03-03 Bookrunner SEB SEB JLMB Joint Lead Managers-Books 0 1 2021-03-03 Bookrunner UniCredit Bank AG UNICRD JLMB Joint Lead Managers-Books 0 1 2021-03-03</t>
  </si>
  <si>
    <t>BN4943351</t>
  </si>
  <si>
    <t>BBG00YVH6LR1</t>
  </si>
  <si>
    <t>2026-03-03</t>
  </si>
  <si>
    <t>SUSTAINABILITY-LINKED SCHULDSCHEIN. TWO SETTLEMENT DATES: EUR 275MM ON 3/3/21 &amp; EUR 425MM ON 6/23/21.</t>
  </si>
  <si>
    <t>BN4943443</t>
  </si>
  <si>
    <t>BBG00YVH6M44</t>
  </si>
  <si>
    <t>2024-03-03</t>
  </si>
  <si>
    <t>Simpar Europe SA</t>
  </si>
  <si>
    <t>BN5372337</t>
  </si>
  <si>
    <t>BBG00YXM2H28</t>
  </si>
  <si>
    <t>SIMHBZ</t>
  </si>
  <si>
    <t>2021-01-20</t>
  </si>
  <si>
    <t>2031-01-26</t>
  </si>
  <si>
    <t>BB-</t>
  </si>
  <si>
    <t>STEP-UP MARGIN: 25BP, STEP-UP EVENT: MISSING THE SUSTAINABILITY PERFORMANCE TARGET. QIB/QP ONLY-SEE RESTRICTIONS IN OM. NON-COMPLIANT PURCH</t>
  </si>
  <si>
    <t>Bookrunner Banco Santander (US) SANTAN JLMB Joint Lead Managers-Books 0 1 2021-01-14 Bookrunner BTG Pactual US Capital Corp BTGPAC JLMB Joint Lead Managers-Books 0 1 2021-01-14 Bookrunner JP Morgan JPM JLMB Joint Lead Managers-Books 0 1 2021-01-14 Bookrunner Morgan Stanley MS JLMB Joint Lead Managers-Books 0 1 2021-01-14 Bookrunner UBS Securities LLC UBS JLMB Joint Lead Managers-Books 0 1 2021-01-14 Trustee Milbank LLP MILLLP LAI Legal Adviser to the Issuer(s) 0 16 2021-01-14 ESG Assurance Provider ISS-oekom ISSOEK SNPC 2nd Party Consultant 0 30 2021-01-14</t>
  </si>
  <si>
    <t>BN5372345</t>
  </si>
  <si>
    <t>BBG00YXM2HB8</t>
  </si>
  <si>
    <t>STEP-UP MARGIN: 25BP, STEP-UP EVENT: MISSING THE SUSTAINABILITY PERFORMANCE TARGET.ISS'D UNDER 3C7. QIB/QP ONLY-SEE RESTRICTIONS IN OM. NON-COMPLIANT PURCH</t>
  </si>
  <si>
    <t>Regit Eins GmbH</t>
  </si>
  <si>
    <t>BN6486508</t>
  </si>
  <si>
    <t>BBG00YZBXP73</t>
  </si>
  <si>
    <t>TMVGR</t>
  </si>
  <si>
    <t>2021-03-04</t>
  </si>
  <si>
    <t>2031-03-04</t>
  </si>
  <si>
    <t>Communications</t>
  </si>
  <si>
    <t>Internet Media</t>
  </si>
  <si>
    <t>Consumer Cyc Services</t>
  </si>
  <si>
    <t>ESG-LINKED SCHULDSCHEIN. SUSTAINABILITY PRICING ADJUSTMENT: -5BPS IF ESG SCORE &gt;60.3; +5BPS IF ESG SCORE &lt;51.5</t>
  </si>
  <si>
    <t>Bookrunner Commerzbank COBA JLMB Joint Lead Managers-Books 0 1 2021-03-04 Bookrunner ING Bank NV Niederlassung ING JLMB Joint Lead Managers-Books 0 1 2021-03-04 Bookrunner Landesbank Baden-Wuerttemberg LBBW JLMB Joint Lead Managers-Books 0 1 2021-03-04 Trustee Landesbank Baden-Wuerttemberg LBBW PAAG Paying Agent(s) 0 7 2021-03-04</t>
  </si>
  <si>
    <t>BN6486912</t>
  </si>
  <si>
    <t>BBG00YZBY9K3</t>
  </si>
  <si>
    <t>2028-03-04</t>
  </si>
  <si>
    <t>Bookrunner Commerzbank COBA JLMB Joint Lead Managers-Books 0 1 2021-03-04 Bookrunner ING Bank NV Niederlassung ING JLMB Joint Lead Managers-Books 0 1 2021-03-04 Bookrunner Landesbank Baden-Wuerttemberg LBBW JLMB Joint Lead Managers-Books 0 1 2021-03-04</t>
  </si>
  <si>
    <t>BN6486920</t>
  </si>
  <si>
    <t>BBG00YZBY9M1</t>
  </si>
  <si>
    <t>2026-03-04</t>
  </si>
  <si>
    <t>BN6486938</t>
  </si>
  <si>
    <t>BBG00YZBY9S5</t>
  </si>
  <si>
    <t>2024-03-04</t>
  </si>
  <si>
    <t>Movida Europe SA</t>
  </si>
  <si>
    <t>BN7992819</t>
  </si>
  <si>
    <t>BBG00Z2XHXL3</t>
  </si>
  <si>
    <t>MOVIBZ</t>
  </si>
  <si>
    <t>2021-02-08</t>
  </si>
  <si>
    <t>2031-02-08</t>
  </si>
  <si>
    <t>Retail - Consumer Discretionary</t>
  </si>
  <si>
    <t>STEP-UP MARGIN: 25BP, STEP-UP EVENT: DEC 2025 GREENHOUSE GAS EMISSIONS</t>
  </si>
  <si>
    <t>Bookrunner Banco BTG Pactual SA/Cayman Is BTG JLMB Joint Lead Managers-Books 0 4 2021-09-08 Bookrunner Citigroup Global Markets Inc CITI JLMB Joint Lead Managers-Books 0 4 2021-09-08 Bookrunner Itau BBA USA Securities Inc ITAU JLMB Joint Lead Managers-Books 0 4 2021-09-08 Bookrunner JP Morgan Securities JPM JLMB Joint Lead Managers-Books 0 4 2021-09-08 Bookrunner Morgan Stanley &amp; Co Inc MS JLMB Joint Lead Managers-Books 0 4 2021-09-08 Bookrunner Santander Investment Securitie SANTAN JLMB Joint Lead Managers-Books 0 4 2021-09-08 Bookrunner UBS Securities LLC UBS JLMB Joint Lead Managers-Books 0 4 2021-09-08 Bookrunner XP Investimentos CCTVM SA XPINVE JLMB Joint Lead Managers-Books 0 4 2021-09-08 #N/A N/A Mattos Filho Veiga Filho Marre MATTOS LAI Legal Adviser to the Issuer(s) 0 17 2021-09-08 Bookrunner Banco BTG Pactual SA/Cayman Is BTG JLMB Joint Lead Managers-Books 62500 1 2021-01-28 Bookrunner Citigroup Inc CITI JLMB Joint Lead Managers-Books 62500 1 2021-01-28 Bookrunner Itau BBA USA Securities Inc ITAU JLMB Joint Lead Managers-Books 62500 1 2021-01-28 Bookrunner JP Morgan Securities JPM JLMB Joint Lead Managers-Books 62500 1 2021-01-28 Bookrunner Morgan Stanley MS JLMB Joint Lead Managers-Books 62500 1 2021-01-28 Bookrunner Santander Investment Securitie SANTAN JLMB Joint Lead Managers-Books 62500 1 2021-01-28 Bookrunner UBS Securities LLC UBS JLMB Joint Lead Managers-Books 62500 1 2021-01-28 Bookrunner XP Investimentos CCTVM SA XPINVE JLMB Joint Lead Managers-Books 62500 1 2021-01-28 NonBookrunner Itau BBA USA Securities Inc ITAU ESGA ESG Agent 0 1 2021-01-28 NonBookrunner JP Morgan Securities LLC JPM ESGA ESG Agent 0 1 2021-01-28 Trustee Bank of New York Mellon BNYM PAAG Paying Agent(s) 0 7 2021-01-28 Trustee Bank of New York Mellon BNYM TRST Trustee(s) 0 7 2021-01-28 Trustee Bank of New York Mellon BNYM TRNS Transfer Agent(s) 0 7 2021-01-28 Trustee Bank of New York Mellon BNYM RGST Registrar(s) 0 7 2021-01-28 Trustee Mattos Filho Veiga Filho Marre MATTOS LAI Legal Adviser to the Issuer(s) 0 16 2021-01-28 Trustee Milbank LLP MILLLP LAI Legal Adviser to the Issuer(s) 0 16 2021-01-28 Trustee Cleary Gottlieb Steen &amp; Hamilt CGS&amp;H LAM Legal Adviser(s) to the Manage 0 16 2021-01-28 Trustee Machado Meyer Sendacz e Opice MACHAD LAM Legal Adviser(s) to the Manage 0 16 2021-01-28 ESG Assurance Provider ISS-oekom ISSOEK SNPC 2nd Party Consultant 0 30 2021-01-28</t>
  </si>
  <si>
    <t>BN7992835</t>
  </si>
  <si>
    <t>BBG00Z2XHXQ8</t>
  </si>
  <si>
    <t>Bookrunner Banco BTG Pactual SA/Cayman Is BTG JLMB Joint Lead Managers-Books 62500 1 2021-01-28 Bookrunner Citigroup Global Markets Inc CITI JLMB Joint Lead Managers-Books 62500 1 2021-01-28 Bookrunner Itau BBA USA Securities Inc ITAU JLMB Joint Lead Managers-Books 62500 1 2021-01-28 Bookrunner JP Morgan Securities JPM JLMB Joint Lead Managers-Books 62500 1 2021-01-28 Bookrunner Morgan Stanley &amp; Co Inc MS JLMB Joint Lead Managers-Books 62500 1 2021-01-28 Bookrunner Santander Investment Securitie SANTAN JLMB Joint Lead Managers-Books 62500 1 2021-01-28 Bookrunner UBS Securities LLC UBS JLMB Joint Lead Managers-Books 62500 1 2021-01-28 Bookrunner XP Investimentos CCTVM SA XPINVE JLMB Joint Lead Managers-Books 62500 1 2021-01-28 Trustee Mattos Filho Veiga Filho Marre MATTOS LAI Legal Adviser to the Issuer(s) 0 16 2021-01-28 Trustee Milbank LLP MILLLP LAI Legal Adviser to the Issuer(s) 0 16 2021-01-28 Trustee Cleary Gottlieb Steen &amp; Hamilt CGS&amp;H LAM Legal Adviser(s) to the Manage 0 16 2021-01-28 Trustee Machado Meyer Sendacz e Opice MACHAD LAM Legal Adviser(s) to the Manage 0 16 2021-01-28 ESG Assurance Provider ISS-oekom ISSOEK SNPC 2nd Party Consultant 0 30 2021-01-28</t>
  </si>
  <si>
    <t>Vossloh AG</t>
  </si>
  <si>
    <t>BN9200765</t>
  </si>
  <si>
    <t>BBG00Z5H8Z12</t>
  </si>
  <si>
    <t>VOSGR</t>
  </si>
  <si>
    <t>2021-02-23</t>
  </si>
  <si>
    <t>PERP/CALL</t>
  </si>
  <si>
    <t>Subordinated</t>
  </si>
  <si>
    <t>VARIABLE</t>
  </si>
  <si>
    <t>Bookrunner Jefferies International Ltd JEFF JLMB Joint Lead Managers-Books 0 1 2021-02-15 Bookrunner MM Warburg &amp; CO KGaA MMWARB JLMB Joint Lead Managers-Books 0 1 2021-02-15 Trustee White &amp; Case LLP W&amp;C LAM Legal Adviser(s) to the Manage 0 16 2021-02-15</t>
  </si>
  <si>
    <t>Constellium SE</t>
  </si>
  <si>
    <t>BN9953066</t>
  </si>
  <si>
    <t>BBG00Z6PNZ07</t>
  </si>
  <si>
    <t>CSTM</t>
  </si>
  <si>
    <t>2021-02-24</t>
  </si>
  <si>
    <t>2029-04-15</t>
  </si>
  <si>
    <t>B</t>
  </si>
  <si>
    <t>STEP-UP MARGIN: 12.5BP(04/2026), 12.5BP(04/2027), STEP-UP EVENT: FAILURE TO MEET 04/2026 AND 04/2027 SUSTAINABILITY PERFORMACE TARGET</t>
  </si>
  <si>
    <t>Bookrunner Barclays Capital BCLY JLMB Joint Lead Managers-Books 0 1 2021-02-09 Bookrunner BNP Paribas/New York BNPPAR JLMB Joint Lead Managers-Books 0 1 2021-02-09 Bookrunner Citigroup Global Markets Inc CITI JLMB Joint Lead Managers-Books 0 1 2021-02-09 Bookrunner Credit Suisse CS JLMB Joint Lead Managers-Books 0 1 2021-02-09 Bookrunner Deutsche Bank Securities Inc DB JLMB Joint Lead Managers-Books 0 1 2021-02-09 Bookrunner Goldman Sachs GS JLMB Joint Lead Managers-Books 0 1 2021-02-09 Bookrunner Societe Generale SG JLMB Joint Lead Managers-Books 0 1 2021-02-09 Bookrunner Wells Fargo Securities LLC WFS JLMB Joint Lead Managers-Books 0 1 2021-02-09 NonBookrunner IMI - Intesa Sanpaolo IMI CM Co-Manager(s) 0 1 2021-02-09 NonBookrunner Ramirez &amp; Co Inc RAM CM Co-Manager(s) 0 1 2021-02-09 Bookrunner Deutsche Bank Securities Inc DB LEFT Left Lead 0 1 2021-02-09 Trustee Deutsche Bank Trust Company Am DB PAAG Paying Agent(s) 0 7 2021-02-09 Trustee Deutsche Bank Trust Company Am DB TRST Trustee(s) 0 7 2021-02-09 Trustee Deutsche Bank Trust Company Am DB RGST Registrar(s) 0 7 2021-02-09 Trustee Clifford Chance LLP CHANCE LAI Legal Adviser to the Issuer(s) 0 16 2021-02-09 Trustee Wachtell Lipton Rosen &amp; Katz WLR&amp;K LAI Legal Adviser to the Issuer(s) 0 16 2021-02-09 Trustee Walder Wyss &amp; Partner AG WALDER LAI Legal Adviser to the Issuer(s) 0 16 2021-02-09 Trustee Latham &amp; Watkins LLP LATHAM LAM Legal Adviser(s) to the Manage 0 16 2021-02-09 ESG Assurance Provider Sustainalytics BV SUSANA SNPC 2nd Party Consultant 0 30 2021-02-09</t>
  </si>
  <si>
    <t>BN9953165</t>
  </si>
  <si>
    <t>BBG00Z6PNZG0</t>
  </si>
  <si>
    <t>Bookrunner Barclays Capital BCLY JLMB Joint Lead Managers-Books 0 1 2021-02-09 Bookrunner BNP Paribas/New York BNPPAR JLMB Joint Lead Managers-Books 0 1 2021-02-09 Bookrunner Citigroup Global Markets Inc CITI JLMB Joint Lead Managers-Books 0 1 2021-02-09 Bookrunner Credit Suisse CS JLMB Joint Lead Managers-Books 0 1 2021-02-09 Bookrunner Deutsche Bank Securities Inc DB JLMB Joint Lead Managers-Books 0 1 2021-02-09 Bookrunner Goldman Sachs GS JLMB Joint Lead Managers-Books 0 1 2021-02-09 Bookrunner Societe Generale SG JLMB Joint Lead Managers-Books 0 1 2021-02-09 Bookrunner Wells Fargo Securities LLC WFS JLMB Joint Lead Managers-Books 0 1 2021-02-09 NonBookrunner IMI - Intesa Sanpaolo IMI CM Co-Manager(s) 0 1 2021-02-09 NonBookrunner Ramirez &amp; Co Inc RAM CM Co-Manager(s) 0 1 2021-02-09 Bookrunner Deutsche Bank Securities Inc DB LEFT Left Lead 0 1 2021-02-09 Trustee Deutsche Bank Trust Company Am DB PAAG Paying Agent(s) 0 7 2021-02-09 Trustee Deutsche Bank Trust Company Am DB TRST Trustee(s) 0 7 2021-02-09 Trustee Deutsche Bank Trust Company Am DB RGST Registrar(s) 0 7 2021-02-09 Trustee Clifford Chance LLP CHANCE LAI Legal Adviser to the Issuer(s) 0 16 2021-02-09 Trustee Wachtell Lipton Rosen &amp; Katz WLR&amp;K LAI Legal Adviser to the Issuer(s) 0 16 2021-02-09 Trustee Walder Wyss &amp; Partner AG WALDER LAI Legal Adviser to the Issuer(s) 0 16 2021-02-09 Trustee Latham &amp; Watkins LLP LATHAM LAM Legal Adviser(s) to the Manage 0 16 2021-02-09</t>
  </si>
  <si>
    <t>Grupo Pikolin SL</t>
  </si>
  <si>
    <t>BO0411690</t>
  </si>
  <si>
    <t>BBG00Z82GV30</t>
  </si>
  <si>
    <t>2021-02-25</t>
  </si>
  <si>
    <t>2025-02-25</t>
  </si>
  <si>
    <t>Bookrunner Beka Finance SV SA BEKA JLMB Joint Lead Managers-Books 0 4 2021-11-24 Bookrunner Sociedad de Valores SOCVAL JLMB Joint Lead Managers-Books 0 4 2021-11-24 NonBookrunner PKF Attest Debt Capital Market PKFATT GLCO Global Coordinator(s) 0 4 2021-11-24 Bookrunner Beka Finance SV SA BEKA JLMB Joint Lead Managers-Books 0 4 2021-04-12 Bookrunner PKF Attest Debt Capital Market PKFATT JLMB Joint Lead Managers-Books 0 4 2021-04-12 Bookrunner Beka Finance SV SA BEKA JLMB Joint Lead Managers-Books 0 1 2021-02-22 Bookrunner Bestinver SA BSTINV JLMB Joint Lead Managers-Books 0 1 2021-02-22 Bookrunner PKF Attest Debt Capital Market PKFATT JLMB Joint Lead Managers-Books 0 1 2021-02-22 ESG Assurance Provider Vigeo SASV VIGEO SNPC 2nd Party Consultant 0 30 2021-02-22</t>
  </si>
  <si>
    <t>H&amp;M Finance BV</t>
  </si>
  <si>
    <t>BO0866331</t>
  </si>
  <si>
    <t>BBG00Z8WZ932</t>
  </si>
  <si>
    <t>HMBSS</t>
  </si>
  <si>
    <t>NL</t>
  </si>
  <si>
    <t>SE</t>
  </si>
  <si>
    <t>2029-08-25</t>
  </si>
  <si>
    <t>STEP-UP MARGIN: AUG 2026 MAX 25BP, STEP-UP EVENT: REF YEAR 2025 RECYCLED MATERIALS PERCENTAGE</t>
  </si>
  <si>
    <t>Bookrunner BNP Paribas BNPP JLMB Joint Lead Managers-Books 0 1 2021-02-18 Bookrunner Commerzbank COBA JLMB Joint Lead Managers-Books 0 1 2021-02-18 Bookrunner Danske Bank DANSKE JLMB Joint Lead Managers-Books 0 1 2021-02-18 Bookrunner SEB SEB JLMB Joint Lead Managers-Books 0 1 2021-02-18 Bookrunner Standard Chartered Bank AG SCB JLMB Joint Lead Managers-Books 0 1 2021-02-18 NonBookrunner Commerzbank COBA DLR Dealer(s) 0 1 2021-02-18 Trustee BNP Paribas Securities Service BNPSEC PAAG Paying Agent(s) 0 7 2021-02-18 Trustee BNP Paribas Securities Service BNPSEC TRNS Transfer Agent(s) 0 7 2021-02-18 Trustee BNP Paribas Securities Service BNPSEC RGST Registrar(s) 0 7 2021-02-18 Trustee NautaDutilh DUTILH LAI Legal Adviser to the Issuer(s) 0 16 2021-02-18 Trustee White &amp; Case LLP WC1 LAI Legal Adviser to the Issuer(s) 0 16 2021-02-18 Trustee White &amp; Case Advokat AB WHADVO LAI Legal Adviser to the Issuer(s) 0 16 2021-02-18 Trustee Allen &amp; Overy LLP ALLOVR LAM Legal Adviser(s) to the Manage 0 16 2021-02-18 ESG Assurance Provider Sustainalytics BV SUSANA SNPC 2nd Party Consultant 0 30 2021-02-18</t>
  </si>
  <si>
    <t>Jenoptik AG</t>
  </si>
  <si>
    <t>BO2270474</t>
  </si>
  <si>
    <t>BBG00ZF12DL9</t>
  </si>
  <si>
    <t>JENGR</t>
  </si>
  <si>
    <t>2021-03-31</t>
  </si>
  <si>
    <t>2031-03-31</t>
  </si>
  <si>
    <t>Technology</t>
  </si>
  <si>
    <t>Hardware</t>
  </si>
  <si>
    <t>ESG-LINKED &amp; MULTI-CURRENCY SCHULDSCHEIN EUR350MM/USD 59MM. DEAL SIZE EQUIV TO EUR 400MM. TWO SETTLEMENT DATES: 03/31/21 FOR EUR 130MM &amp; 09/30/21 FOR EUR270MM.</t>
  </si>
  <si>
    <t>Bookrunner BNP Paribas/Frankfurt BNP JLMB Joint Lead Managers-Books 0 4 2021-09-30 Bookrunner DZ Bank DZBK JLMB Joint Lead Managers-Books 0 4 2021-09-30 Bookrunner Landesbank Hessen-Thuringen Gi HELABA JLMB Joint Lead Managers-Books 0 4 2021-09-30 Bookrunner BNP Paribas/Frankfurt BNP JLMB Joint Lead Managers-Books 0 1 2021-03-31 Bookrunner DZ Bank DZBK JLMB Joint Lead Managers-Books 0 1 2021-03-31 Bookrunner Landesbank Hessen-Thuringen Gi HELABA JLMB Joint Lead Managers-Books 0 1 2021-03-31</t>
  </si>
  <si>
    <t>BO2287999</t>
  </si>
  <si>
    <t>BBG00ZF1CX70</t>
  </si>
  <si>
    <t>2028-03-31</t>
  </si>
  <si>
    <t>BO2288013</t>
  </si>
  <si>
    <t>BBG00ZF1CXH9</t>
  </si>
  <si>
    <t>2026-03-31</t>
  </si>
  <si>
    <t>ESG-LINKED &amp; MULTI-CURRENCY SCHULDSCHEIN EUR350MM/USD59MM. DEAL SIZE EQUIV TO EUR 400MM. TWO SETTLEMENT DATES: 03/31/21 FOR EUR 130MM &amp; 09/30/21 FOR EUR270MM.</t>
  </si>
  <si>
    <t>BO2288021</t>
  </si>
  <si>
    <t>BBG00ZF1CXT6</t>
  </si>
  <si>
    <t>5YUS</t>
  </si>
  <si>
    <t>Qtrly</t>
  </si>
  <si>
    <t>Bookrunner BNP Paribas/Frankfurt BNP JLMB Joint Lead Managers-Books 0 1 2021-03-31 Bookrunner DZ Bank DZBK JLMB Joint Lead Managers-Books 0 1 2021-03-31 Bookrunner Landesbank Hessen-Thuringen Gi HELABA JLMB Joint Lead Managers-Books 0 1 2021-03-31</t>
  </si>
  <si>
    <t>BO2288039</t>
  </si>
  <si>
    <t>BBG00ZF1CY41</t>
  </si>
  <si>
    <t>2024-03-31</t>
  </si>
  <si>
    <t>BO4001745</t>
  </si>
  <si>
    <t>BBG00ZJXLT93</t>
  </si>
  <si>
    <t>BO4001760</t>
  </si>
  <si>
    <t>BBG00ZJXLTD8</t>
  </si>
  <si>
    <t>BO4001778</t>
  </si>
  <si>
    <t>BBG00ZJXLTH4</t>
  </si>
  <si>
    <t>SUSTAINABILITY-LINKED SCHULDSCHEIN. DEAL SIZE EUR 700MM. TWO SETTLEMENT DATES: EUR 275MM ON 3/3/21 &amp; EUR 425MM ON 06/23/21.</t>
  </si>
  <si>
    <t>Public Power Corp SA</t>
  </si>
  <si>
    <t>BO4570236</t>
  </si>
  <si>
    <t>BBG00ZKVGW85</t>
  </si>
  <si>
    <t>PPCGA</t>
  </si>
  <si>
    <t>GR</t>
  </si>
  <si>
    <t>2021-03-18</t>
  </si>
  <si>
    <t>2026-03-30</t>
  </si>
  <si>
    <t>B+</t>
  </si>
  <si>
    <t>Agency</t>
  </si>
  <si>
    <t>Government Owned, No Guarantee</t>
  </si>
  <si>
    <t>STEP-UP MARGIN: 50BP, STEP-UP EVENT: FAILURE TO REDUCE ISSUER'S CO2 EMISSIONS BY 40% BY DEC-22, FROM 2019 BASE YEAR.</t>
  </si>
  <si>
    <t>Bookrunner Alpha Bank AE ALPHA JLMB Joint Lead Managers-Books 0 4 2021-03-22 Bookrunner Ambrosia Capital Ltd/United Ki AMBCAP JLMB Joint Lead Managers-Books 0 4 2021-03-22 Bookrunner Axia Advisors LLC AXIA JLMB Joint Lead Managers-Books 0 4 2021-03-22 Bookrunner Citi CITI JLMB Joint Lead Managers-Books 0 4 2021-03-22 Bookrunner Credit Suisse CS JLMB Joint Lead Managers-Books 0 4 2021-03-22 Bookrunner Eurobank Ergasias SA EUROB JLMB Joint Lead Managers-Books 0 4 2021-03-22 Bookrunner Goldman Sachs Bank Europe Plc GOLEUR JLMB Joint Lead Managers-Books 0 4 2021-03-22 Bookrunner HSBC HSBC JLMB Joint Lead Managers-Books 0 4 2021-03-22 Bookrunner JP Morgan JPM JLMB Joint Lead Managers-Books 0 4 2021-03-22 Bookrunner National Bank of Greece NBG JLMB Joint Lead Managers-Books 0 4 2021-03-22 Bookrunner Piraeus Bank PIRAEU JLMB Joint Lead Managers-Books 0 4 2021-03-22 NonBookrunner Citi CITI GLCO Global Coordinator(s) 0 4 2021-03-22 NonBookrunner Goldman Sachs Bank Europe Plc GOLEUR GLCO Global Coordinator(s) 0 4 2021-03-22 NonBookrunner HSBC HSBC GLCO Global Coordinator(s) 0 4 2021-03-22 Bookrunner Alpha Bank AE ALPHA JLMB Joint Lead Managers-Books 0 1 2021-03-11 Bookrunner Ambrosia Capital Ltd/United Ki AMBCAP JLMB Joint Lead Managers-Books 0 1 2021-03-11 Bookrunner Axia Advisors LLC AXIA JLMB Joint Lead Managers-Books 0 1 2021-03-11 Bookrunner Citi CITI JLMB Joint Lead Managers-Books 0 1 2021-03-11 Bookrunner Credit Suisse CS JLMB Joint Lead Managers-Books 0 1 2021-03-11 Bookrunner Eurobank Ergasias SA EUROB JLMB Joint Lead Managers-Books 0 1 2021-03-11 Bookrunner Goldman Sachs Bank Europe Plc GOLEUR JLMB Joint Lead Managers-Books 0 1 2021-03-11 Bookrunner HSBC HSBC JLMB Joint Lead Managers-Books 0 1 2021-03-11 Bookrunner JP Morgan JPM JLMB Joint Lead Managers-Books 0 1 2021-03-11 Bookrunner National Bank of Greece NBG JLMB Joint Lead Managers-Books 0 1 2021-03-11 Bookrunner Piraeus Bank PIRAEU JLMB Joint Lead Managers-Books 0 1 2021-03-11 NonBookrunner Citi CITI GLCO Global Coordinator(s) 0 1 2021-03-11 NonBookrunner Goldman Sachs Bank Europe Plc GOLEUR GLCO Global Coordinator(s) 0 1 2021-03-11 NonBookrunner HSBC HSBC GLCO Global Coordinator(s) 0 1 2021-03-11 Trustee HSBC HSBC STRA Structuring Agent(s) 0 7 2021-03-11 Trustee Milbank LLP MILLLP LAI Legal Adviser to the Issuer(s) 0 16 2021-03-11 Trustee Latham &amp; Watkins LLP LATHAM LAM Legal Adviser(s) to the Manage 0 16 2021-03-11 ESG Assurance Provider Sustainalytics BV SUSANA SNPC 2nd Party Consultant 0 30 2021-03-11</t>
  </si>
  <si>
    <t>Koninklijke Ahold Delhaize NV</t>
  </si>
  <si>
    <t>BO5182908</t>
  </si>
  <si>
    <t>BBG00ZLG9PY1</t>
  </si>
  <si>
    <t>ADNA</t>
  </si>
  <si>
    <t>2030-03-18</t>
  </si>
  <si>
    <t>AA</t>
  </si>
  <si>
    <t>Consumer Staples</t>
  </si>
  <si>
    <t>Supermarkets &amp; Pharmacies</t>
  </si>
  <si>
    <t>Supermarkets</t>
  </si>
  <si>
    <t>STEP-UP MARGIN: 25 BP FROM MARCH 2026, STEP-UP EVENT: CARBON EMISSION REDUCTION - CO2 EMISSION REDUCTION - FOOD WASTE REDUCTION</t>
  </si>
  <si>
    <t>Bookrunner BNP Paribas BNPP JLMB Joint Lead Managers-Books 0 1 2021-03-11 Bookrunner BofA Securities BofA JLMB Joint Lead Managers-Books 0 1 2021-03-11 Bookrunner Deutsche Bank DB JLMB Joint Lead Managers-Books 0 1 2021-03-11 Bookrunner Goldman Sachs Bank Europe Plc GOLEUR JLMB Joint Lead Managers-Books 0 1 2021-03-11 Bookrunner JP Morgan JPM JLMB Joint Lead Managers-Books 0 1 2021-03-11 Bookrunner Societe Generale SG JLMB Joint Lead Managers-Books 0 1 2021-03-11 Trustee Allen &amp; Overy LLP ALLOVR LAI Legal Adviser to the Issuer(s) 0 16 2021-03-11 ESG Assurance Provider Sustainalytics BV SUSANA SNPC 2nd Party Consultant 0 30 2021-03-11</t>
  </si>
  <si>
    <t>BO6681916</t>
  </si>
  <si>
    <t>BBG00ZQYMVS6</t>
  </si>
  <si>
    <t>2021-03-25</t>
  </si>
  <si>
    <t>2031-03-25</t>
  </si>
  <si>
    <t>D</t>
  </si>
  <si>
    <t>STEP UP: +10BPS IF ESG RATING(MSCI) FALLS TO BBB, +20BPS IF ESG RATING (MSCI) FALLS TO BB OR LOWER</t>
  </si>
  <si>
    <t>Bookrunner Bank Pekao SA PEKAO LMGR Lead Manager(s) 0 1 2021-03-18 Trustee Bank Pekao SA PEKAO CALC Calculation Agent(s) 0 7 2021-03-18</t>
  </si>
  <si>
    <t>Hapag-Lloyd AG</t>
  </si>
  <si>
    <t>BO7346857</t>
  </si>
  <si>
    <t>BBG00ZS90181</t>
  </si>
  <si>
    <t>HPLGR</t>
  </si>
  <si>
    <t>2021-04-06</t>
  </si>
  <si>
    <t>2028-04-15</t>
  </si>
  <si>
    <t>Bookrunner Credit Agricole CIB CACIB JLMB Joint Lead Managers-Books 0 1 2021-03-25 Bookrunner Deutsche Bank DB JLMB Joint Lead Managers-Books 0 1 2021-03-25 Bookrunner DZ Bank DZBK JLMB Joint Lead Managers-Books 0 1 2021-03-25 Bookrunner Goldman Sachs International GSI JLMB Joint Lead Managers-Books 0 1 2021-03-25 Bookrunner Joh Berenberg Gossler &amp; Co KG BEREN JLMB Joint Lead Managers-Books 0 1 2021-03-25 Bookrunner Societe Generale Corporate &amp; I SOCGEN JLMB Joint Lead Managers-Books 0 1 2021-03-25 Trustee Deutsche Bank AG London DB PAAG Paying Agent(s) 0 7 2021-03-25 Trustee Deutsche Trustee Co Ltd DBTRUS TRST Trustee(s) 0 7 2021-03-25 Trustee Deutsche Bank Luxembourg SA DB TRNS Transfer Agent(s) 0 7 2021-03-25 Trustee Deutsche Bank Luxembourg SA DB LIST Listing Agent(s) 0 7 2021-03-25 Trustee Deutsche Bank Luxembourg SA DB RGST Registrar(s) 0 7 2021-03-25 Trustee White &amp; Case LLP W&amp;C LAI Legal Adviser to the Issuer(s) 0 16 2021-03-25 Trustee Latham &amp; Watkins LATHAM LAM Legal Adviser(s) to the Manage 0 16 2021-03-25 Trustee Latham &amp; Watkins LLP LATHAM LAM Legal Adviser(s) to the Manage 0 16 2021-03-25</t>
  </si>
  <si>
    <t>Verbund AG</t>
  </si>
  <si>
    <t>BO7653054</t>
  </si>
  <si>
    <t>BBG00ZSJDM98</t>
  </si>
  <si>
    <t>VERAV</t>
  </si>
  <si>
    <t>2021-04-01</t>
  </si>
  <si>
    <t>2041-04-01</t>
  </si>
  <si>
    <t>A-</t>
  </si>
  <si>
    <t>STEP-UP MARGIN: 25BP, STEP-UP EVENT: RENEWABLES INSTALLED CAPACITY</t>
  </si>
  <si>
    <t>Bookrunner BofA Securities Europe SA BOFAS JLMB Joint Lead Managers-Books 0 1 2021-03-24 Bookrunner Erste Group Bank ERSTE JLMB Joint Lead Managers-Books 0 1 2021-03-24 Bookrunner JP Morgan Securities PLC JPM JLMB Joint Lead Managers-Books 0 1 2021-03-24 Bookrunner Morgan Stanley &amp; Co Internatio MS JLMB Joint Lead Managers-Books 0 1 2021-03-24 Bookrunner Societe Generale SG JLMB Joint Lead Managers-Books 0 1 2021-03-24 Trustee Citibank Europe PLC CITIFS PAAG Paying Agent(s) 0 7 2021-03-24 Trustee BofA Securities Europe SA BOFAS ESGA ESG Agent 0 7 2021-03-24 Trustee JP Morgan Securities PLC JPM ESGA ESG Agent 0 7 2021-03-24 Trustee Binder Grosswang Rechtsanwalte BINGRO LAI Legal Adviser to the Issuer(s) 0 16 2021-03-24 Trustee White &amp; Case LLP W&amp;C LAI Legal Adviser to the Issuer(s) 0 16 2021-03-24 Trustee Linklaters LLP/Germany LINK LAM Legal Adviser(s) to the Manage 0 16 2021-03-24 Trustee Schonherr Rechtsanwalte GmbH SCHREC LAM Legal Adviser(s) to the Manage 0 16 2021-03-24 ESG Assurance Provider ISS Corporate Solutions ISSCRP SNPC 2nd Party Consultant 0 30 2021-03-24</t>
  </si>
  <si>
    <t>BO8025047</t>
  </si>
  <si>
    <t>BBG00ZTHF257</t>
  </si>
  <si>
    <t>Bookrunner Credit Agricole CIB CACIB JLMB Joint Lead Managers-Books 0 1 2021-03-25 Bookrunner Deutsche Bank DB JLMB Joint Lead Managers-Books 0 1 2021-03-25 Bookrunner DZ Bank DZBK JLMB Joint Lead Managers-Books 0 1 2021-03-25 Bookrunner Goldman Sachs International GSI JLMB Joint Lead Managers-Books 0 1 2021-03-25 Bookrunner Joh Berenberg Gossler &amp; Co KG BEREN JLMB Joint Lead Managers-Books 0 1 2021-03-25 Bookrunner Societe Generale Corporate &amp; I SOCGEN JLMB Joint Lead Managers-Books 0 1 2021-03-25 Trustee Deutsche Bank AG London DB PAAG Paying Agent(s) 0 7 2021-03-25 Trustee Deutsche Trustee Co Ltd DBTRUS TRST Trustee(s) 0 7 2021-03-25 Trustee Deutsche Bank Luxembourg SA DB TRNS Transfer Agent(s) 0 7 2021-03-25 Trustee Deutsche Bank Luxembourg SA DB LIST Listing Agent(s) 0 7 2021-03-25 Trustee Deutsche Bank Luxembourg SA DB RGST Registrar(s) 0 7 2021-03-25 Trustee White &amp; Case LLP W&amp;C LAI Legal Adviser to the Issuer(s) 0 16 2021-03-25 Trustee Clifford Chance LLP CHANCE LAT Legal Adviser(s) to the Truste 0 16 2021-03-25 Trustee Latham &amp; Watkins LATHAM LAM Legal Adviser(s) to the Manage 0 16 2021-03-25 Trustee Latham &amp; Watkins LLP LATHAM LAM Legal Adviser(s) to the Manage 0 16 2021-03-25 ESG Assurance Provider DNV GL Group AS DNVGI SNPC 2nd Party Consultant 0 30 2021-03-25</t>
  </si>
  <si>
    <t>PCF GmbH</t>
  </si>
  <si>
    <t>BP0490451</t>
  </si>
  <si>
    <t>BBG0100PLMM6</t>
  </si>
  <si>
    <t>PFLEID</t>
  </si>
  <si>
    <t>2021-04-22</t>
  </si>
  <si>
    <t>2026-04-15</t>
  </si>
  <si>
    <t>Secured</t>
  </si>
  <si>
    <t>STEP-UP MARGIN: 12.5BP, STEP-UP EVENT: DEC 2022 USE RECYCLED WOOD PRODUCTS 44% AND STEP-UP MARGIN: 12.5BP, EVENT: DEC 2022 REDUCTION GAS EMISSION TO 201670 TONS</t>
  </si>
  <si>
    <t>Bookrunner BofA Securities Europe SA BOFAS JLMB Joint Lead Managers-Books 0 1 2021-04-15 Bookrunner Credit Suisse Securities (Euro CS JLMB Joint Lead Managers-Books 0 1 2021-04-15 Bookrunner Deutsche Bank DB JLMB Joint Lead Managers-Books 0 1 2021-04-15 Bookrunner Goldman Sachs Bank Europe SE GS JLMB Joint Lead Managers-Books 0 1 2021-04-15 Bookrunner JP Morgan Securities PLC JPM JLMB Joint Lead Managers-Books 0 1 2021-04-15 Bookrunner Sociedad de Valores SOCVAL JLMB Joint Lead Managers-Books 0 1 2021-04-15 NonBookrunner Credit Suisse Securities (Euro CS GLCO Global Coordinator(s) 0 1 2021-04-15 NonBookrunner Goldman Sachs Bank Europe SE GS GLCO Global Coordinator(s) 0 1 2021-04-15 NonBookrunner Sociedad de Valores SOCVAL GLCO Global Coordinator(s) 0 1 2021-04-15</t>
  </si>
  <si>
    <t>BP0490469</t>
  </si>
  <si>
    <t>BBG0100PLMX4</t>
  </si>
  <si>
    <t>BP0490477</t>
  </si>
  <si>
    <t>BBG0100PLMZ2</t>
  </si>
  <si>
    <t>Bookrunner BofA Securities Europe SA BOFAS JLMB Joint Lead Managers-Books 0 1 2021-04-15 Bookrunner Credit Suisse Securities (Euro CS JLMB Joint Lead Managers-Books 0 1 2021-04-15 Bookrunner Deutsche Bank DB JLMB Joint Lead Managers-Books 0 1 2021-04-15 Bookrunner Goldman Sachs Bank Europe SE GS JLMB Joint Lead Managers-Books 0 1 2021-04-15 Bookrunner JP Morgan Securities PLC JPM JLMB Joint Lead Managers-Books 0 1 2021-04-15 NonBookrunner Credit Suisse Securities (Euro CS GLCO Global Coordinator(s) 0 1 2021-04-15 NonBookrunner Goldman Sachs Bank Europe SE GS GLCO Global Coordinator(s) 0 1 2021-04-15 NonBookrunner Sociedad de Valores SOCVAL GLCO Global Coordinator(s) 0 1 2021-04-15 Trustee Kirkland &amp; Ellis K&amp;E LAI Legal Adviser to the Issuer(s) 0 16 2021-04-15 ESG Assurance Provider ISS-oekom ISSOEK SNPC 2nd Party Consultant 0 30 2021-04-15</t>
  </si>
  <si>
    <t>BP0490485</t>
  </si>
  <si>
    <t>BBG0100PLN62</t>
  </si>
  <si>
    <t>Kelag-Kaerntner Elektrizitaets AG</t>
  </si>
  <si>
    <t>BP0568710</t>
  </si>
  <si>
    <t>BBG0100RC7S9</t>
  </si>
  <si>
    <t>KELAGG</t>
  </si>
  <si>
    <t>2021-04-16</t>
  </si>
  <si>
    <t>2041-04-16</t>
  </si>
  <si>
    <t>STEP-UP MARGIN: 50 BPS, STEP UP EVENT; ESG RATING &lt;68 IN REPORT 2026 &amp;/OR &lt;70 IN REPORT 2031, COUPON INCREASES ONCE IN AND FOR PERIOD ONLY</t>
  </si>
  <si>
    <t>Bookrunner UniCredit Bank Austria AG UCBA LMGR Lead Manager(s) 0 1 2021-04-12 Trustee Citibank Europe PLC CITIFS PAAG Paying Agent(s) 0 7 2021-04-12</t>
  </si>
  <si>
    <t>Berlin Hyp AG</t>
  </si>
  <si>
    <t>BP0671035</t>
  </si>
  <si>
    <t>BBG01015BGG0</t>
  </si>
  <si>
    <t>BHH</t>
  </si>
  <si>
    <t>2021-04-21</t>
  </si>
  <si>
    <t>2031-04-21</t>
  </si>
  <si>
    <t>Sr Preferred</t>
  </si>
  <si>
    <t>AA-</t>
  </si>
  <si>
    <t>Financials</t>
  </si>
  <si>
    <t>Consumer Finance</t>
  </si>
  <si>
    <t>Financial Institutions</t>
  </si>
  <si>
    <t>Banking</t>
  </si>
  <si>
    <t>SUSTAINABILITY-LINKED BOND, STEP-UP COUPON: 25BP, STEP-UP EVENT: CARBON REDUCTION UNTIL DEC 2030</t>
  </si>
  <si>
    <t>Bookrunner Commerzbank COBA JLMB Joint Lead Managers-Books 0 1 2021-04-13 Bookrunner Credit Agricole CIB CACIB JLMB Joint Lead Managers-Books 0 1 2021-04-13 Bookrunner DZ BANK AG Deutsche Zentral-Ge DZBKGE JLMB Joint Lead Managers-Books 0 1 2021-04-13 Bookrunner HSBC HSBC JLMB Joint Lead Managers-Books 0 1 2021-04-13 Bookrunner Landesbank Baden-Wuerttemberg LBBW JLMB Joint Lead Managers-Books 0 1 2021-04-13 NonBookrunner Bankhaus Lampe KG BHLAMP CLM Co-Lead Manager(s) 0 1 2021-04-13 Trustee Berlin-Hannoversche Hypotheken BHH PAAG Paying Agent(s) 0 7 2021-04-13 Trustee Berlin-Hannoversche Hypotheken BHH FISC Fiscal Agent(s) 0 7 2021-04-13 Trustee White &amp; Case LLP W&amp;C LAM Legal Adviser(s) to the Manage 0 16 2021-04-13 ESG Assurance Provider Sustainalytics BV SUSANA SNPC 2nd Party Consultant 0 30 2021-04-13</t>
  </si>
  <si>
    <t>Aeroporti di Roma SpA</t>
  </si>
  <si>
    <t>BP2016262</t>
  </si>
  <si>
    <t>BBG0107S0918</t>
  </si>
  <si>
    <t>ADRIT</t>
  </si>
  <si>
    <t>2021-04-30</t>
  </si>
  <si>
    <t>2031-07-30</t>
  </si>
  <si>
    <t>BBB-</t>
  </si>
  <si>
    <t>STEP-UP MARGIN: 12.5BP (1 SPT NOT MET) OR 19BP (2 SPTs NOT MET) OR 25BP (3 SPTs NOT MET). STEP-UP EVENT: CO2 EMISSIONS, ACA LEVEL 4+ MAINTENANCE</t>
  </si>
  <si>
    <t>Bookrunner Barclays BARCS JLMB Joint Lead Managers-Books 0 1 2021-04-22 Bookrunner BofA Securities BofA JLMB Joint Lead Managers-Books 0 1 2021-04-22 Bookrunner Credit Agricole CIB CACIB JLMB Joint Lead Managers-Books 0 1 2021-04-22 Bookrunner Goldman Sachs International GSI JLMB Joint Lead Managers-Books 0 1 2021-04-22 Bookrunner IMI - Intesa Sanpaolo IMI JLMB Joint Lead Managers-Books 0 1 2021-04-22 Bookrunner Mediobanca MEDBCA JLMB Joint Lead Managers-Books 0 1 2021-04-22 Bookrunner Societe Generale SG JLMB Joint Lead Managers-Books 0 1 2021-04-22 Bookrunner UniCredit UNICRD JLMB Joint Lead Managers-Books 0 1 2021-04-22 NonBookrunner BofA Securities BofA ESGA ESG Agent 0 1 2021-04-22 NonBookrunner Credit Agricole CIB CACIB ESGA ESG Agent 0 1 2021-04-22 Trustee Bank of New York Mellon/London BNY PAAG Paying Agent(s) 0 7 2021-04-22 Trustee BNY Mellon Corporate Trustee S BNYMEL TRST Trustee(s) 0 7 2021-04-22 Trustee Bank of New York Mellon/London BNY TRNS Transfer Agent(s) 0 7 2021-04-22 Trustee Walkers Listing Services Ltd WALLIS LIST Listing Agent(s) 0 7 2021-04-22 Trustee Bank of New York Mellon Luxemb BNYM RGST Registrar(s) 0 7 2021-04-22 Trustee Legance Avvocati Associati LSLA LAI Legal Adviser to the Issuer(s) 0 16 2021-04-22 Trustee White &amp; Case/Milan W&amp;C LAM Legal Adviser(s) to the Manage 0 16 2021-04-22 ESG Assurance Provider Sustainalytics BV SUSANA SNPC 2nd Party Consultant 0 30 2021-04-22</t>
  </si>
  <si>
    <t>Rexel SA</t>
  </si>
  <si>
    <t>BP2664129</t>
  </si>
  <si>
    <t>BBG010FN1YC2</t>
  </si>
  <si>
    <t>RXLFP</t>
  </si>
  <si>
    <t>2021-05-05</t>
  </si>
  <si>
    <t>2028-06-15</t>
  </si>
  <si>
    <t>Industrial Other</t>
  </si>
  <si>
    <t>STEP-UP MARGIN: 25BP. SPT 1: 23% REDUCTION IN SCOPE 3 GHG EMISSIONS; SPT 2: 23.7% REDUCTION IN SCOPE 1 &amp; 2 GHG EMISISONS BY 2023.</t>
  </si>
  <si>
    <t>Bookrunner Barclays BARCS JLMB Joint Lead Managers-Books 0 4 2021-05-07 Bookrunner Credit Agricole CIB CACIB JLMB Joint Lead Managers-Books 0 4 2021-05-07 Bookrunner HSBC HSBC JLMB Joint Lead Managers-Books 0 4 2021-05-07 Bookrunner Societe Generale SG JLMB Joint Lead Managers-Books 0 4 2021-05-07 Bookrunner Wells Fargo WFC JLMB Joint Lead Managers-Books 0 4 2021-05-07 NonBookrunner Banco Bilbao Vizcaya Argentari BBVA CLM Co-Lead Manager(s) 0 4 2021-05-07 NonBookrunner Natixis NATIX CLM Co-Lead Manager(s) 0 4 2021-05-07 NonBookrunner Credit Agricole CIB CACIB GLCO Global Coordinator(s) 0 4 2021-05-07 NonBookrunner HSBC HSBC GLCO Global Coordinator(s) 0 4 2021-05-07 NonBookrunner Societe Generale SG GLCO Global Coordinator(s) 0 4 2021-05-07 #N/A N/A Debevoise &amp; Plimpton/Paris DEBPLI LAI Legal Adviser to the Issuer(s) 0 17 2021-05-07 #N/A N/A Debevoise &amp; Plimpton/London D&amp;PL LAI Legal Adviser to the Issuer(s) 0 17 2021-05-07 #N/A N/A Hogan Lovells International LL LOVELL LAM Legal Adviser(s) to the Manage 0 17 2021-05-07 #N/A N/A Hogan Lovells Paris LLP HGLV LAM Legal Adviser(s) to the Manage 0 17 2021-05-07 Bookrunner Barclays BARCS JLMB Joint Lead Managers-Books 0 1 2021-04-27 Bookrunner Credit Agricole CIB CACIB JLMB Joint Lead Managers-Books 0 1 2021-04-27 Bookrunner HSBC HSBC JLMB Joint Lead Managers-Books 0 1 2021-04-27 Bookrunner Societe Generale SG JLMB Joint Lead Managers-Books 0 1 2021-04-27 Bookrunner Wells Fargo WFC JLMB Joint Lead Managers-Books 0 1 2021-04-27 NonBookrunner Banco Bilbao Vizcaya Argentari BBVA CLM Co-Lead Manager(s) 0 1 2021-04-27 NonBookrunner Natixis NATIX CLM Co-Lead Manager(s) 0 1 2021-04-27 NonBookrunner Credit Agricole CIB CACIB GLCO Global Coordinator(s) 0 1 2021-04-27 NonBookrunner HSBC HSBC GLCO Global Coordinator(s) 0 1 2021-04-27 NonBookrunner Societe Generale SG GLCO Global Coordinator(s) 0 1 2021-04-27 Trustee Bank of New York Mellon/London BNY PAAG Paying Agent(s) 0 7 2021-04-27 Trustee Bank of New York Mellon/London BNY TRST Trustee(s) 0 7 2021-04-27 Trustee Bank of New York Mellon SA-NV/ BANKOF TRNS Transfer Agent(s) 0 7 2021-04-27 Trustee Bank of New York Mellon SA-NV/ BANKOF LIST Listing Agent(s) 0 7 2021-04-27 Trustee Bank of New York Mellon SA-NV/ BANKOF RGST Registrar(s) 0 7 2021-04-27 Trustee Debevoise &amp; Plimpton/Paris DEBPLI LAI Legal Adviser to the Issuer(s) 0 16 2021-04-27 Trustee Debevoise &amp; Plimpton/London D&amp;PL LAI Legal Adviser to the Issuer(s) 0 16 2021-04-27 Trustee Hogan Lovells International LL LOVELL LAM Legal Adviser(s) to the Manage 0 16 2021-04-27 Trustee Hogan Lovells Paris LLP HGLV LAM Legal Adviser(s) to the Manage 0 16 2021-04-27 ESG Assurance Provider Vigeo SASV VIGEO SNPC 2nd Party Consultant 0 30 2021-04-27</t>
  </si>
  <si>
    <t>Herens Holdco Sarl</t>
  </si>
  <si>
    <t>BP2693730</t>
  </si>
  <si>
    <t>BBG010FNLMS9</t>
  </si>
  <si>
    <t>LNZING</t>
  </si>
  <si>
    <t>2021-05-14</t>
  </si>
  <si>
    <t>2028-05-15</t>
  </si>
  <si>
    <t>Chemicals</t>
  </si>
  <si>
    <t>STEP-UP MARGIN: 25BP, STEP-UP EVENT: MAY 2025 GREENHOUSE GAS EMISSIONS AND WASTE INTENSITY PERCENTAGE</t>
  </si>
  <si>
    <t>Bookrunner Credit Agricole Corporate &amp; In CACIB JLMB Joint Lead Managers-Books 0 1 2021-04-30 Bookrunner Credit Suisse Securities (Euro CS JLMB Joint Lead Managers-Books 0 1 2021-04-30 Bookrunner Deutsche Bank Securities Inc DB JLMB Joint Lead Managers-Books 0 1 2021-04-30 Bookrunner RBC Capital Markets RBCCM JLMB Joint Lead Managers-Books 0 1 2021-04-30 Bookrunner Societe Generale SG JLMB Joint Lead Managers-Books 0 1 2021-04-30 Bookrunner UBS AG UBS JLMB Joint Lead Managers-Books 0 1 2021-04-30 Bookrunner UniCredit Capital Markets Inc UNICRE JLMB Joint Lead Managers-Books 0 1 2021-04-30 NonBookrunner MUFG Securities Americas Inc MUFG CM Co-Manager(s) 0 1 2021-04-30 NonBookrunner NatWest Markets NWM CM Co-Manager(s) 0 1 2021-04-30 Bookrunner Deutsche Bank Securities Inc DB LEFT Left Lead 0 1 2021-04-30 Trustee Deutsche Bank Trust Co America DB PAAG Paying Agent(s) 0 7 2021-04-30 Trustee Deutsche Bank Trust Co America DB TRNS Transfer Agent(s) 0 7 2021-04-30 Trustee Deutsche Bank Trust Co America DB RGST Registrar(s) 0 7 2021-04-30 Trustee Allen &amp; Overy LLP ALLOVR LAM Legal Adviser(s) to the Manage 0 16 2021-04-30</t>
  </si>
  <si>
    <t>Herens Midco Sarl</t>
  </si>
  <si>
    <t>BP2693748</t>
  </si>
  <si>
    <t>BBG010FNLMV5</t>
  </si>
  <si>
    <t>2029-05-15</t>
  </si>
  <si>
    <t>CCC</t>
  </si>
  <si>
    <t>Bookrunner Credit Agricole Securities USA CASECS JLMB Joint Lead Managers-Books 0 1 2021-04-30 Bookrunner Credit Suisse CS JLMB Joint Lead Managers-Books 0 1 2021-04-30 Bookrunner Deutsche Bank Securities Inc DB JLMB Joint Lead Managers-Books 0 1 2021-04-30 Bookrunner RBC Capital Markets RBCCM JLMB Joint Lead Managers-Books 0 1 2021-04-30 Bookrunner Societe Generale SG JLMB Joint Lead Managers-Books 0 1 2021-04-30 Bookrunner UBS Securities LLC UBS JLMB Joint Lead Managers-Books 0 1 2021-04-30 Bookrunner UniCredit Capital Markets Inc UNICRE JLMB Joint Lead Managers-Books 0 1 2021-04-30 NonBookrunner MUFG Securities Americas Inc MUFG CM Co-Manager(s) 0 1 2021-04-30 NonBookrunner Natwest Bank NAT CM Co-Manager(s) 0 1 2021-04-30 Bookrunner Deutsche Bank Securities Inc DB LEFT Left Lead 0 1 2021-04-30 Trustee Deutsche Bank Trust Co America DB PAAG Paying Agent(s) 0 7 2021-04-30 Trustee Deutsche Bank Trust Co America DB TRNS Transfer Agent(s) 0 7 2021-04-30 Trustee Deutsche Bank Trust Co America DB RGST Registrar(s) 0 7 2021-04-30 Trustee Allen &amp; Overy LLP ALLOVR LAM Legal Adviser(s) to the Manage 0 16 2021-04-30</t>
  </si>
  <si>
    <t>BP2693755</t>
  </si>
  <si>
    <t>BBG010FNLMW4</t>
  </si>
  <si>
    <t>BP2693763</t>
  </si>
  <si>
    <t>BBG010FNLN07</t>
  </si>
  <si>
    <t>Bookrunner Credit Agricole Securities USA CASECS JLMB Joint Lead Managers-Books 0 1 2021-04-30 Bookrunner Credit Suisse CS JLMB Joint Lead Managers-Books 0 1 2021-04-30 Bookrunner Deutsche Bank Securities Inc DB JLMB Joint Lead Managers-Books 0 1 2021-04-30 Bookrunner RBC Capital Markets RBCCM JLMB Joint Lead Managers-Books 0 1 2021-04-30 Bookrunner Societe Generale SG JLMB Joint Lead Managers-Books 0 1 2021-04-30 Bookrunner UBS Securities LLC UBS JLMB Joint Lead Managers-Books 0 1 2021-04-30 Bookrunner UniCredit Capital Markets Inc UNICRE JLMB Joint Lead Managers-Books 0 1 2021-04-30 NonBookrunner MUFG Securities Americas Inc MUFG CM Co-Manager(s) 0 1 2021-04-30 NonBookrunner Natwest Bank NAT CM Co-Manager(s) 0 1 2021-04-30 Bookrunner Deutsche Bank Securities Inc DB LEFT Left Lead 0 1 2021-04-30 Trustee Deutsche Bank Luxembourg SA DB PAAG Paying Agent(s) 0 7 2021-04-30 Trustee Deutsche Bank Luxembourg SA DB TRNS Transfer Agent(s) 0 7 2021-04-30 Trustee Deutsche Bank Trust Co America DB RGST Registrar(s) 0 7 2021-04-30 Trustee Allen &amp; Overy LLP ALLOVR LAM Legal Adviser(s) to the Manage 0 16 2021-04-30</t>
  </si>
  <si>
    <t>UBM Development AG</t>
  </si>
  <si>
    <t>BP3002782</t>
  </si>
  <si>
    <t>BBG010H4YJT1</t>
  </si>
  <si>
    <t>UBSAV</t>
  </si>
  <si>
    <t>2021-05-21</t>
  </si>
  <si>
    <t>2026-05-21</t>
  </si>
  <si>
    <t>Travel &amp; Lodging</t>
  </si>
  <si>
    <t>STEP-UP MARGIN 15 BP TO REDEMPTION AMT, STEP-UP EVENT: ESG RATING BELOW C+.</t>
  </si>
  <si>
    <t>Bookrunner MM Warburg &amp; CO KGaA MMWARB JLMB Joint Lead Managers-Books 0 1 2021-05-11 Bookrunner Raiffeisen Bank International RAIINT JLMB Joint Lead Managers-Books 0 1 2021-05-11 NonBookrunner Raiffeisen Bank International RAIINT GLCO Global Coordinator(s) 0 1 2021-05-11 Trustee MM Warburg &amp; CO KGaA MMWARB ESGA ESG Agent 0 7 2021-05-11 Trustee Raiffeisen Bank International RAIINT ESGA ESG Agent 0 7 2021-05-11 #N/A N/A Not Available N/A DLR Dealer(s) 0 27 2021-04-27 #N/A N/A Not Available N/A EXCH Exchange Agent(s) 0 27 2021-04-27</t>
  </si>
  <si>
    <t>Iochpe-Maxion Austria GmbH / Maxion Wheels de Mexico S de RL de CV</t>
  </si>
  <si>
    <t>BP3021477</t>
  </si>
  <si>
    <t>BBG010HFB1N6</t>
  </si>
  <si>
    <t>IOCMXW</t>
  </si>
  <si>
    <t>2021-05-07</t>
  </si>
  <si>
    <t>2028-05-07</t>
  </si>
  <si>
    <t>Auto Parts Manufacturing</t>
  </si>
  <si>
    <t>Automotive</t>
  </si>
  <si>
    <t>STEP-UP MARGIN: 25BP, STEP-UP EVENT: DEC 2025</t>
  </si>
  <si>
    <t>Bookrunner Banco Itau BBA ITABBA JLMB Joint Lead Managers-Books 57143 1 2021-04-27 Bookrunner Banco Santander SANT JLMB Joint Lead Managers-Books 57143 1 2021-04-27 Bookrunner Bradesco BBI SA BRADSC JLMB Joint Lead Managers-Books 57143 1 2021-04-27 Bookrunner Citigroup Global Markets Inc CITI JLMB Joint Lead Managers-Books 57143 1 2021-04-27 Bookrunner Commerzbank AG CMZB JLMB Joint Lead Managers-Books 57143 1 2021-04-27 Bookrunner HSBC Securities HSBC JLMB Joint Lead Managers-Books 57143 1 2021-04-27 Bookrunner UBS Securities UBS JLMB Joint Lead Managers-Books 57142 1 2021-04-27 NonBookrunner Itau BBA USA Securities Inc ITAU ESGA ESG Agent 0 1 2021-04-27 Trustee UMB Bank NA UMB PAAG Paying Agent(s) 0 7 2021-04-27 Trustee UMB Bank NA UMB TRST Trustee(s) 0 7 2021-04-27 Trustee UMB Bank NA UMB RGST Registrar(s) 0 7 2021-04-27 Trustee Mussnich &amp; Aragao Advogados MUSSNI LAI Legal Adviser to the Issuer(s) 0 16 2021-04-27 Trustee White &amp; Case SC/Mexico City WHICAS LAI Legal Adviser to the Issuer(s) 0 16 2021-04-27 Trustee Pinheiro Guimaraes Advogados PINGUI LAM Legal Adviser(s) to the Manage 0 16 2021-04-27 Trustee Simpson Thacher &amp; Bartlett ST&amp;B LAM Legal Adviser(s) to the Manage 0 16 2021-04-27</t>
  </si>
  <si>
    <t>BP3021485</t>
  </si>
  <si>
    <t>BBG010HFB1Q3</t>
  </si>
  <si>
    <t>Bookrunner Banco Itau BBA ITABBA JLMB Joint Lead Managers-Books 57143 1 2021-04-27 Bookrunner Banco Santander SANT JLMB Joint Lead Managers-Books 57143 1 2021-04-27 Bookrunner Bradesco BBI SA BRADSC JLMB Joint Lead Managers-Books 57143 1 2021-04-27 Bookrunner Citigroup Global Markets Inc CITI JLMB Joint Lead Managers-Books 57143 1 2021-04-27 Bookrunner Commerzbank AG CMZB JLMB Joint Lead Managers-Books 57143 1 2021-04-27 Bookrunner HSBC Securities HSBC JLMB Joint Lead Managers-Books 57143 1 2021-04-27 Bookrunner UBS Securities UBS JLMB Joint Lead Managers-Books 57142 1 2021-04-27 Trustee UMB Bank NA UMB PAAG Paying Agent(s) 0 7 2021-04-27 Trustee UMB Bank NA UMB TRST Trustee(s) 0 7 2021-04-27 Trustee UMB Bank NA UMB RGST Registrar(s) 0 7 2021-04-27 Trustee Mussnich &amp; Aragao Advogados MUSSNI LAI Legal Adviser to the Issuer(s) 0 16 2021-04-27 Trustee White &amp; Case SC/Mexico City WHICAS LAI Legal Adviser to the Issuer(s) 0 16 2021-04-27 Trustee Pinheiro Guimaraes Advogados PINGUI LAM Legal Adviser(s) to the Manage 0 16 2021-04-27 Trustee Simpson Thacher &amp; Bartlett ST&amp;B LAM Legal Adviser(s) to the Manage 0 16 2021-04-27</t>
  </si>
  <si>
    <t>BP3490789</t>
  </si>
  <si>
    <t>BBG010M9V7V0</t>
  </si>
  <si>
    <t>2021-06-18</t>
  </si>
  <si>
    <t>.</t>
  </si>
  <si>
    <t>Jr Subordinated</t>
  </si>
  <si>
    <t>FOR EVERY YEAR THAT THE ISSUER'S ESG RATINGS BY BOTH ISS ESG AND ECOVADIS ARE BELOW CERTAIN THRESHOLDS, 0.10% PREMIUM ON THE REDEMPTION AMOUNT AT MATURITY.</t>
  </si>
  <si>
    <t>Bookrunner HSBC HSBC JLMB Joint Lead Managers-Books 0 1 2021-06-11 Bookrunner Raiffeisen Bank International RAIINT JLMB Joint Lead Managers-Books 0 1 2021-06-11 Trustee Clifford Chance LLP CHANCE LAM Legal Adviser(s) to the Manage 0 16 2021-06-11</t>
  </si>
  <si>
    <t>EQT AB</t>
  </si>
  <si>
    <t>BP3855841</t>
  </si>
  <si>
    <t>BBG010RS38Y9</t>
  </si>
  <si>
    <t>EQTSS</t>
  </si>
  <si>
    <t>2031-05-14</t>
  </si>
  <si>
    <t>Financial Services</t>
  </si>
  <si>
    <t>Brokerage Assetmanagers Exchanges</t>
  </si>
  <si>
    <t>STEP UP MARGIN: 7.5BPS, 7.5BPS, 10 BPS, STEP UP EVENT: BOARD DIVERSITY, INVESTMENT ADVISORY PROFESSIONALS DIVERSITY, SCIENCE BASED TARGETS EVENT</t>
  </si>
  <si>
    <t>Bookrunner BNP Paribas BNPP JLMB Joint Lead Managers-Books 0 1 2021-05-07 Bookrunner Goldman Sachs Bank Europe SE GS JLMB Joint Lead Managers-Books 0 1 2021-05-07 Bookrunner Morgan Stanley &amp; Co Internatio MS JLMB Joint Lead Managers-Books 0 1 2021-05-07 Bookrunner Nordea NORDEA JLMB Joint Lead Managers-Books 0 1 2021-05-07 Bookrunner SEB SEB JLMB Joint Lead Managers-Books 0 1 2021-05-07 NonBookrunner Deutsche Bank AG DB CLM Co-Lead Manager(s) 0 1 2021-05-07 NonBookrunner DNB Bank ASA DNB CLM Co-Lead Manager(s) 0 1 2021-05-07 NonBookrunner Goldman Sachs Bank Europe SE GS GLCO Global Coordinator(s) 0 1 2021-05-07 NonBookrunner Morgan Stanley &amp; Co Internatio MS GLCO Global Coordinator(s) 0 1 2021-05-07 NonBookrunner Goldman Sachs Bank Europe SE GS ESGA ESG Agent 0 1 2021-05-07 NonBookrunner Morgan Stanley &amp; Co Internatio MS ESGA ESG Agent 0 1 2021-05-07 Trustee Deutsche Bank AG London DB FISC Fiscal Agent(s) 0 7 2021-05-07 Trustee Advokatfirman Vinge KB VINGE LAI Legal Adviser to the Issuer(s) 0 16 2021-05-07 Trustee Latham &amp; Watkins LATHAM LAI Legal Adviser to the Issuer(s) 0 16 2021-05-07 Trustee Allen &amp; Overy LLP ALLOVR LAM Legal Adviser(s) to the Manage 0 16 2021-05-07 ESG Assurance Provider ISS-oekom ISSOEK SNPC 2nd Party Consultant 0 30 2021-05-07</t>
  </si>
  <si>
    <t>Imerys SA</t>
  </si>
  <si>
    <t>BP3866681</t>
  </si>
  <si>
    <t>BBG010RS9RW3</t>
  </si>
  <si>
    <t>NK</t>
  </si>
  <si>
    <t>2031-07-15</t>
  </si>
  <si>
    <t>ADJ TRIGGER PREMIUM STEP UP +25BPS IN 2026 IF 2025 TARGET NOT REACHED , +50BPS IN 2031 IF 2030 TARGET NOT REACHED</t>
  </si>
  <si>
    <t>Bookrunner BNP Paribas BNPP JLMB Joint Lead Managers-Books 0 1 2021-05-06 Bookrunner Credit Industriel et Commercia CIC JLMB Joint Lead Managers-Books 0 1 2021-05-06 Bookrunner MUFG Securities EMEA PLC MUFG JLMB Joint Lead Managers-Books 0 1 2021-05-06 Bookrunner Natixis NATIX JLMB Joint Lead Managers-Books 0 1 2021-05-06 Trustee BNP Paribas Securities Service BNPPAR PAAG Paying Agent(s) 0 7 2021-05-06 Trustee BNP Paribas Securities Service BNPPAR FISC Fiscal Agent(s) 0 7 2021-05-06 Trustee BNP Paribas BNPP STRA Structuring Agent(s) 0 7 2021-05-06 Trustee CMS Francis Lefebvre Avocats CMSFRA LAI Legal Adviser to the Issuer(s) 0 16 2021-05-06 Trustee Clifford Chance Europe LLP CLIFCH LAM Legal Adviser(s) to the Manage 0 16 2021-05-06 ESG Assurance Provider CICERO Senter for Klimaforskni CICERO SNPC 2nd Party Consultant 0 30 2021-05-06</t>
  </si>
  <si>
    <t>Verallia SA</t>
  </si>
  <si>
    <t>BP4319292</t>
  </si>
  <si>
    <t>BBG010TZBC19</t>
  </si>
  <si>
    <t>VRLAFP</t>
  </si>
  <si>
    <t>2028-05-14</t>
  </si>
  <si>
    <t>Packaging</t>
  </si>
  <si>
    <t>STEP UP MARGIN: 10BPS, 20BPS. STEP UP EVENT: CO2 EMISSIONS MORE THAN 2,625KT, EXTERNAL CULLET SHARE LESS THAN 59% IN 2025.</t>
  </si>
  <si>
    <t>Bookrunner Banco Santander SANT JLMB Joint Lead Managers-Books 0 1 2021-05-06 Bookrunner Bank of America BA JLMB Joint Lead Managers-Books 0 1 2021-05-06 Bookrunner BNP Paribas BNPP JLMB Joint Lead Managers-Books 0 1 2021-05-06 Bookrunner Credit Agricole CIB CACIB JLMB Joint Lead Managers-Books 0 1 2021-05-06 Bookrunner Deutsche Bank DB JLMB Joint Lead Managers-Books 0 1 2021-05-06 Bookrunner Raiffeisen Bank International RBI JLMB Joint Lead Managers-Books 0 1 2021-05-06 Bookrunner Societe Generale SG JLMB Joint Lead Managers-Books 0 1 2021-05-06 NonBookrunner BNP Paribas BNPP GLCO Global Coordinator(s) 0 1 2021-05-06 NonBookrunner Credit Agricole CIB CACIB GLCO Global Coordinator(s) 0 1 2021-05-06 NonBookrunner Deutsche Bank DB GLCO Global Coordinator(s) 0 1 2021-05-06 Trustee Societe Generale SG PAAG Paying Agent(s) 0 7 2021-05-06 Trustee Societe Generale SG CALC Calculation Agent(s) 0 7 2021-05-06 Trustee Societe Generale SG FISC Fiscal Agent(s) 0 7 2021-05-06 Trustee White &amp; Case LLP W&amp;C LAI Legal Adviser to the Issuer(s) 0 16 2021-05-06 Trustee Allen &amp; Overy LLP ALLOVR LAM Legal Adviser(s) to the Manage 0 16 2021-05-06</t>
  </si>
  <si>
    <t>BP5467942</t>
  </si>
  <si>
    <t>BBG01135D1W9</t>
  </si>
  <si>
    <t>2021-06-02</t>
  </si>
  <si>
    <t>2029-07-15</t>
  </si>
  <si>
    <t>- 12.5BPS STEP-UP IN PRICING STARTING AFTER JULY 15, 2026, IF SPT 1 NOT MET; - 12.5BPS STEP-UP IN PRICING STARTING AFTER JULY 15, 2027, IF SPT 2 NOT MET.</t>
  </si>
  <si>
    <t>Bookrunner Barclays BARCS JLMB Joint Lead Managers-Books 0 1 2021-05-17 Bookrunner BNP Paribas BNPP JLMB Joint Lead Managers-Books 0 1 2021-05-17 Bookrunner Citigroup C JLMB Joint Lead Managers-Books 0 1 2021-05-17 Bookrunner Credit Suisse CS JLMB Joint Lead Managers-Books 0 1 2021-05-17 Bookrunner Deutsche Bank DB JLMB Joint Lead Managers-Books 0 1 2021-05-17 Bookrunner Goldman Sachs GS JLMB Joint Lead Managers-Books 0 1 2021-05-17 Bookrunner Societe Generale SG JLMB Joint Lead Managers-Books 0 1 2021-05-17 Bookrunner Wells Fargo WFC JLMB Joint Lead Managers-Books 0 1 2021-05-17 NonBookrunner IMI - Intesa Sanpaolo IMI CM Co-Manager(s) 0 1 2021-05-17 NonBookrunner Samuel A Ramirez &amp; Co Inc SAMRCO CM Co-Manager(s) 0 1 2021-05-17 Trustee Deutsche Bank AG London DB PAAG Paying Agent(s) 0 7 2021-05-17 Trustee Deutsche Bank Trust Company Am DB TRST Trustee(s) 0 7 2021-05-17 Trustee Deutsche Bank Luxembourg SA DB TRNS Transfer Agent(s) 0 7 2021-05-17 Trustee Deutsche Bank Trust Company Am DB TRNS Transfer Agent(s) 0 7 2021-05-17 Trustee Deutsche Bank Trust Company Am DB LIST Listing Agent(s) 0 7 2021-05-17 Trustee Deutsche Bank Luxembourg SA DB RGST Registrar(s) 0 7 2021-05-17 Trustee Deutsche Bank Trust Company Am DB RGST Registrar(s) 0 7 2021-05-17 Trustee Clifford Chance Partnerschafts CHANCE LAI Legal Adviser to the Issuer(s) 0 16 2021-05-17 Trustee Clifford Chance Europe LLP CLIFCH LAI Legal Adviser to the Issuer(s) 0 16 2021-05-17 Trustee Wachtell Lipton Rosen &amp; Katz WLR&amp;K LAI Legal Adviser to the Issuer(s) 0 16 2021-05-17 Trustee Walder Wyss &amp; Partner AG WALDER LAI Legal Adviser to the Issuer(s) 0 16 2021-05-17 Trustee Latham &amp; Watkins LLP LATHAM LAM Legal Adviser(s) to the Manage 0 16 2021-05-17 Trustee Latham &amp; Watkins AARPI LATWAT LAM Legal Adviser(s) to the Manage 0 16 2021-05-17</t>
  </si>
  <si>
    <t>BP5467959</t>
  </si>
  <si>
    <t>BBG01135D1X8</t>
  </si>
  <si>
    <t>Bookrunner Barclays BARCS JLMB Joint Lead Managers-Books 0 1 2021-05-17 Bookrunner BNP Paribas BNPP JLMB Joint Lead Managers-Books 0 1 2021-05-17 Bookrunner Citigroup C JLMB Joint Lead Managers-Books 0 1 2021-05-17 Bookrunner Credit Suisse CS JLMB Joint Lead Managers-Books 0 1 2021-05-17 Bookrunner Deutsche Bank DB JLMB Joint Lead Managers-Books 0 1 2021-05-17 Bookrunner Goldman Sachs GS JLMB Joint Lead Managers-Books 0 1 2021-05-17 Bookrunner Societe Generale SG JLMB Joint Lead Managers-Books 0 1 2021-05-17 Bookrunner Wells Fargo WFC JLMB Joint Lead Managers-Books 0 1 2021-05-17 NonBookrunner IMI - Intesa Sanpaolo IMI CM Co-Manager(s) 0 1 2021-05-17 NonBookrunner Samuel A Ramirez &amp; Co Inc SAMRCO CM Co-Manager(s) 0 1 2021-05-17 Trustee Deutsche Bank AG London DB PAAG Paying Agent(s) 0 7 2021-05-17 Trustee Deutsche Bank Trust Company Am DB TRST Trustee(s) 0 7 2021-05-17 Trustee Deutsche Bank Luxembourg SA DB TRNS Transfer Agent(s) 0 7 2021-05-17 Trustee Deutsche Bank Trust Company Am DB TRNS Transfer Agent(s) 0 7 2021-05-17 Trustee Deutsche Bank Trust Company Am DB LIST Listing Agent(s) 0 7 2021-05-17 Trustee Deutsche Bank Luxembourg SA DB RGST Registrar(s) 0 7 2021-05-17 Trustee Deutsche Bank Trust Company Am DB RGST Registrar(s) 0 7 2021-05-17 Trustee Clifford Chance Partnerschafts CHANCE LAI Legal Adviser to the Issuer(s) 0 16 2021-05-17 Trustee Clifford Chance Europe LLP CLIFCH LAI Legal Adviser to the Issuer(s) 0 16 2021-05-17 Trustee Wachtell Lipton Rosen &amp; Katz WLR&amp;K LAI Legal Adviser to the Issuer(s) 0 16 2021-05-17 Trustee Walder Wyss &amp; Partner AG WALDER LAI Legal Adviser to the Issuer(s) 0 16 2021-05-17 Trustee Latham &amp; Watkins LLP LATHAM LAM Legal Adviser(s) to the Manage 0 16 2021-05-17 Trustee Latham &amp; Watkins AARPI LATWAT LAM Legal Adviser(s) to the Manage 0 16 2021-05-17 ESG Assurance Provider Sustainalytics BV SUSANA SNPC 2nd Party Consultant 0 30 2021-05-17</t>
  </si>
  <si>
    <t>Hammerson Ireland Finance DAC</t>
  </si>
  <si>
    <t>BP7949749</t>
  </si>
  <si>
    <t>BBG01173G6X5</t>
  </si>
  <si>
    <t>HMSOLN</t>
  </si>
  <si>
    <t>IE</t>
  </si>
  <si>
    <t>GB</t>
  </si>
  <si>
    <t>2021-06-03</t>
  </si>
  <si>
    <t>2027-06-03</t>
  </si>
  <si>
    <t>Real Estate</t>
  </si>
  <si>
    <t>REITs</t>
  </si>
  <si>
    <t>Retail REITs</t>
  </si>
  <si>
    <t>STEP-UP MARGIN : 75 BP IN FINAL PERIOD IF GHG KPI NOT MET</t>
  </si>
  <si>
    <t>Bookrunner Bank of China Ltd/London BOCLON JLMB Joint Lead Managers-Books 0 1 2021-05-26 Bookrunner Barclays BARCS JLMB Joint Lead Managers-Books 0 1 2021-05-26 Bookrunner BNP Paribas BNPP JLMB Joint Lead Managers-Books 0 1 2021-05-26 Bookrunner ICBC Standard Bank Plc ICBCST JLMB Joint Lead Managers-Books 0 1 2021-05-26 Bookrunner JP Morgan JPM JLMB Joint Lead Managers-Books 0 1 2021-05-26 Bookrunner Mizuho International PLC MIZUHO JLMB Joint Lead Managers-Books 0 1 2021-05-26 Bookrunner MUFG Securities EMEA PLC MUFG JLMB Joint Lead Managers-Books 0 1 2021-05-26 Bookrunner Wells Fargo Securities Interna WSIL JLMB Joint Lead Managers-Books 0 1 2021-05-26 Trustee Allen &amp; Overy LLP ALLOVR LAM Legal Adviser(s) to the Manage 0 16 2021-05-26 ESG Assurance Provider DNV Business Assurance Service DNVBIZ SNPC 2nd Party Consultant 0 30 2021-05-26</t>
  </si>
  <si>
    <t>Lakers Group AB</t>
  </si>
  <si>
    <t>BP8607064</t>
  </si>
  <si>
    <t>BBG0118SLG25</t>
  </si>
  <si>
    <t>LAKGRP</t>
  </si>
  <si>
    <t>2021-06-09</t>
  </si>
  <si>
    <t>2025-06-09</t>
  </si>
  <si>
    <t>NOK</t>
  </si>
  <si>
    <t>REDEEMS AT 100.5% AT MATURITY IF SUSTAINABILITY PERFORMANCE TARGETs NOT MET (CO2: REDUCTION/TOP 5 SUPPLIER CONTRIBUTORS/EMPLOYEE EFFICIENCY.</t>
  </si>
  <si>
    <t>ESG</t>
  </si>
  <si>
    <t>Bookrunner Arctic Securities ARCTIC JLMB Joint Lead Managers-Books 0 4 2021-06-30 Bookrunner Pareto Securities PARETO JLMB Joint Lead Managers-Books 0 4 2021-06-30 Bookrunner Swedbank SWED JLMB Joint Lead Managers-Books 0 4 2021-06-30 Bookrunner Arctic Securities ARCTIC JLMB Joint Lead Managers-Books 0 1 2021-05-31 Bookrunner Pareto Securities PARETO JLMB Joint Lead Managers-Books 0 1 2021-05-31 Bookrunner Swedbank SWED JLMB Joint Lead Managers-Books 0 1 2021-05-31 NonBookrunner Arctic Securities ARCTIC GLCO Global Coordinator(s) 0 1 2021-05-31 Trustee Arctic Securities ARCTIC PAAG Paying Agent(s) 0 7 2021-05-31 Trustee Nordic Trustee AS NORTR TRST Trustee(s) 0 7 2021-05-31</t>
  </si>
  <si>
    <t>Eni SpA</t>
  </si>
  <si>
    <t>BP8798616</t>
  </si>
  <si>
    <t>BBG0118XV0B8</t>
  </si>
  <si>
    <t>ENIIM</t>
  </si>
  <si>
    <t>2021-06-14</t>
  </si>
  <si>
    <t>2028-06-14</t>
  </si>
  <si>
    <t>BBB+</t>
  </si>
  <si>
    <t>Integrated Oils</t>
  </si>
  <si>
    <t>Integrated</t>
  </si>
  <si>
    <t>STEP-UP MARGIN: 25BP (IF ONE OR BOTH TARGETS MISSED), STEP-UP EVENTS: 2025 RENEWABLES INSTALLED CAPACITY, 2024 CO2 EMISSIONS.</t>
  </si>
  <si>
    <t>Bookrunner BNP Paribas/London BNPPAR JLMB Joint Lead Managers-Books 0 1 2021-06-07 Bookrunner BofA Securities BofA JLMB Joint Lead Managers-Books 0 1 2021-06-07 Bookrunner Credit Agricole CIB CACIB JLMB Joint Lead Managers-Books 0 1 2021-06-07 Bookrunner Goldman Sachs International GSI JLMB Joint Lead Managers-Books 0 1 2021-06-07 Bookrunner JP Morgan Securities PLC JPM JLMB Joint Lead Managers-Books 0 1 2021-06-07 Bookrunner Morgan Stanley MS JLMB Joint Lead Managers-Books 0 1 2021-06-07 Bookrunner UniCredit UNICRD JLMB Joint Lead Managers-Books 0 1 2021-06-07 NonBookrunner Credit Agricole CIB CACIB ESGA ESG Agent 0 1 2021-06-07 NonBookrunner Goldman Sachs International GSI ESGA ESG Agent 0 1 2021-06-07 NonBookrunner UniCredit UNICRD ESGA ESG Agent 0 1 2021-06-07 Trustee Bank of New York Mellon/London BNY PAAG Paying Agent(s) 0 7 2021-06-07 Trustee Bank of New York Mellon SA-NV/ BANKOF PAAG Paying Agent(s) 0 7 2021-06-07 Trustee Banque Eni SA BANENI PAAG Paying Agent(s) 0 7 2021-06-07 Trustee Bank of New York Mellon/London BNY CALC Calculation Agent(s) 0 7 2021-06-07 Trustee Bank of New York Mellon/London BNY FISC Fiscal Agent(s) 0 7 2021-06-07 Trustee Bank of New York Mellon/London BNY TRNS Transfer Agent(s) 0 7 2021-06-07 Trustee Bank of New York Mellon SA-NV/ BANKOF TRNS Transfer Agent(s) 0 7 2021-06-07 Trustee Banque Internationale a Luxemb BIL LIST Listing Agent(s) 0 7 2021-06-07 Trustee Bank of New York Mellon SA-NV/ BANKOF RGST Registrar(s) 0 7 2021-06-07 Trustee Simmons &amp; Simmons/Rome S&amp;S LAI Legal Adviser to the Issuer(s) 0 16 2021-06-07 Trustee Simmons &amp; Simmons SISSON LAI Legal Adviser to the Issuer(s) 0 16 2021-06-07 Trustee Simmons &amp; Simmons/Brussels S&amp;S LAI Legal Adviser to the Issuer(s) 0 16 2021-06-07 Trustee Linklaters LLP/Belgium LINLAT LAM Legal Adviser(s) to the Manage 0 16 2021-06-07 Trustee Studio Legale Associato assoc LINKLA LAM Legal Adviser(s) to the Manage 0 16 2021-06-07 Trustee Clifford Chance Studio Legale CLFLEG LATX Legal Adviser(s) to Tax 0 16 2021-06-07 ESG Assurance Provider Vigeo SASV VIGEO SNPC 2nd Party Consultant 0 30 2021-06-07</t>
  </si>
  <si>
    <t>Fritz Draexlmaier GmbH &amp; Co KG</t>
  </si>
  <si>
    <t>BP9767255</t>
  </si>
  <si>
    <t>BBG011C1XWN8</t>
  </si>
  <si>
    <t>DRAEXL</t>
  </si>
  <si>
    <t>2021-07-06</t>
  </si>
  <si>
    <t>2025-07-06</t>
  </si>
  <si>
    <t>ESG-LINKED. KPI'S: SELF-POWER POTENTIAL, RECYCLING QUOTA, APPRENTICESHIP QUOTA. 0-1 OF 3 KPI MET +5BPS, 2 OF 3 0BPS, 3 OF 3 -5BPS.</t>
  </si>
  <si>
    <t>Bookrunner Commerzbank COBA JLMB Joint Lead Managers-Books 0 4 2021-12-01 Bookrunner DZ Bank DZBK JLMB Joint Lead Managers-Books 0 4 2021-12-01 Bookrunner Landesbank Baden-Wuerttemberg LBBW JLMB Joint Lead Managers-Books 0 4 2021-12-01 Bookrunner Commerzbank COBA JLMB Joint Lead Managers-Books 0 1 2021-07-06 Bookrunner DZ Bank DZBK JLMB Joint Lead Managers-Books 0 1 2021-07-06 Bookrunner Landesbank Baden-Wuerttemberg LBBW JLMB Joint Lead Managers-Books 0 1 2021-07-06</t>
  </si>
  <si>
    <t>BP9768873</t>
  </si>
  <si>
    <t>BBG011C1YDB2</t>
  </si>
  <si>
    <t>2026-07-06</t>
  </si>
  <si>
    <t>BP9785794</t>
  </si>
  <si>
    <t>BBG011C3DB61</t>
  </si>
  <si>
    <t>2028-07-06</t>
  </si>
  <si>
    <t>BP9786156</t>
  </si>
  <si>
    <t>BBG011C40W12</t>
  </si>
  <si>
    <t>2031-07-06</t>
  </si>
  <si>
    <t>Enel Finance International NV</t>
  </si>
  <si>
    <t>BP9829774</t>
  </si>
  <si>
    <t>BBG011C64FX5</t>
  </si>
  <si>
    <t>ENELIM</t>
  </si>
  <si>
    <t>2021-06-17</t>
  </si>
  <si>
    <t>2027-06-17</t>
  </si>
  <si>
    <t>STEP-UP MARGIN: 25BP, STEP-UP EVENT: 12/31/2023 GREENHOUSE GAS EMISSIONS ABOVE 148G/KWHEQ</t>
  </si>
  <si>
    <t>Bookrunner Banca Akros SpA AKROS JLMB Joint Lead Managers-Books 0 1 2021-06-08 Bookrunner Banco Bilbao Vizcaya Argentari BBVA JLMB Joint Lead Managers-Books 0 1 2021-06-08 Bookrunner Banco Santander SANT JLMB Joint Lead Managers-Books 0 1 2021-06-08 Bookrunner BNP Paribas BNPP JLMB Joint Lead Managers-Books 0 1 2021-06-08 Bookrunner CaixaBank CAIXA JLMB Joint Lead Managers-Books 0 1 2021-06-08 Bookrunner Credit Agricole CIB CACIB JLMB Joint Lead Managers-Books 0 1 2021-06-08 Bookrunner Deutsche Bank DB JLMB Joint Lead Managers-Books 0 1 2021-06-08 Bookrunner Goldman Sachs International GSI JLMB Joint Lead Managers-Books 0 1 2021-06-08 Bookrunner IMI - Intesa Sanpaolo IMI JLMB Joint Lead Managers-Books 0 1 2021-06-08 Bookrunner ING Groep ING JLMB Joint Lead Managers-Books 0 1 2021-06-08 Bookrunner JP Morgan Securities PLC JPM JLMB Joint Lead Managers-Books 0 1 2021-06-08 Bookrunner Mediobanca MEDBCA JLMB Joint Lead Managers-Books 0 1 2021-06-08 Bookrunner Natixis NATIX JLMB Joint Lead Managers-Books 0 1 2021-06-08 Bookrunner Societe Generale SG JLMB Joint Lead Managers-Books 0 1 2021-06-08 Bookrunner UniCredit UNICRD JLMB Joint Lead Managers-Books 0 1 2021-06-08 Trustee Allen &amp; Overy LLP ALLOVR LAI Legal Adviser to the Issuer(s) 0 16 2021-06-08 ESG Assurance Provider Vigeo SASV VIGEO SNPC 2nd Party Consultant 0 30 2021-06-08</t>
  </si>
  <si>
    <t>BP9829808</t>
  </si>
  <si>
    <t>BBG011C64G81</t>
  </si>
  <si>
    <t>2030-06-17</t>
  </si>
  <si>
    <t>Bookrunner Banca Akros SpA AKROS JLMB Joint Lead Managers-Books 0 1 2021-06-08 Bookrunner Banco Bilbao Vizcaya Argentari BBVA JLMB Joint Lead Managers-Books 0 1 2021-06-08 Bookrunner Banco Santander SANT JLMB Joint Lead Managers-Books 0 1 2021-06-08 Bookrunner BNP Paribas BNPP JLMB Joint Lead Managers-Books 0 1 2021-06-08 Bookrunner CaixaBank CAIXA JLMB Joint Lead Managers-Books 0 1 2021-06-08 Bookrunner Credit Agricole CIB CACIB JLMB Joint Lead Managers-Books 0 1 2021-06-08 Bookrunner Deutsche Bank DB JLMB Joint Lead Managers-Books 0 1 2021-06-08 Bookrunner Goldman Sachs International GSI JLMB Joint Lead Managers-Books 0 1 2021-06-08 Bookrunner IMI - Intesa Sanpaolo IMI JLMB Joint Lead Managers-Books 0 1 2021-06-08 Bookrunner ING Groep ING JLMB Joint Lead Managers-Books 0 1 2021-06-08 Bookrunner JP Morgan Securities PLC JPM JLMB Joint Lead Managers-Books 0 1 2021-06-08 Bookrunner Mediobanca MEDBCA JLMB Joint Lead Managers-Books 0 1 2021-06-08 Bookrunner Natixis NATIX JLMB Joint Lead Managers-Books 0 1 2021-06-08 Bookrunner Societe Generale SG JLMB Joint Lead Managers-Books 0 1 2021-06-08 Bookrunner UniCredit UNICRD JLMB Joint Lead Managers-Books 0 1 2021-06-08 Trustee Bank of New York Mellon/London BNY PAAG Paying Agent(s) 0 7 2021-06-08 Trustee Bank of New York Mellon/London BNY TRNS Transfer Agent(s) 0 7 2021-06-08 Trustee Walkers Listing Services Ltd WALLIS LIST Listing Agent(s) 0 7 2021-06-08 Trustee Bank of New York Mellon SA-NV/ BANKOF RGST Registrar(s) 0 7 2021-06-08 Trustee Allen &amp; Overy AONETH LAI Legal Adviser to the Issuer(s) 0 16 2021-06-08 Trustee Allen &amp; Overy/Rome ALOVIT LAI Legal Adviser to the Issuer(s) 0 16 2021-06-08 Trustee Allen &amp; Overy/Milan IT LAI Legal Adviser to the Issuer(s) 0 16 2021-06-08 Trustee Linklaters L&amp;A LAM Legal Adviser(s) to the Manage 0 16 2021-06-08 Trustee Studio Legale Associato assoc LINKLA LAM Legal Adviser(s) to the Manage 0 16 2021-06-08 ESG Assurance Provider Vigeo SASV VIGEO SNPC 2nd Party Consultant 0 30 2021-06-08</t>
  </si>
  <si>
    <t>BP9829816</t>
  </si>
  <si>
    <t>BBG011C64GK7</t>
  </si>
  <si>
    <t>2036-06-17</t>
  </si>
  <si>
    <t>STEP-UP MARGIN: 25BP, STEP-UP EVENT: 12/31/2031 GREENHOUSE GAS EMISSIONS ABOVE 82G/KWHEQ</t>
  </si>
  <si>
    <t>JBS Finance Luxembourg Sarl</t>
  </si>
  <si>
    <t>BP9865349</t>
  </si>
  <si>
    <t>BBG011C76BK4</t>
  </si>
  <si>
    <t>JBSSBZ</t>
  </si>
  <si>
    <t>2021-06-15</t>
  </si>
  <si>
    <t>2032-01-15</t>
  </si>
  <si>
    <t>Food &amp; Beverage</t>
  </si>
  <si>
    <t>Food and Beverage</t>
  </si>
  <si>
    <t>FROM 01/15/2027 CPN STEP UP BY 25BPS UNLESS SUSTAINABILITY PERFORMANCE TARGET MET</t>
  </si>
  <si>
    <t>Bookrunner Banco Santander (US) SANTAN JLMB Joint Lead Managers-Books 0 1 2021-06-08 Bookrunner Barclays Capital BCLY JLMB Joint Lead Managers-Books 0 1 2021-06-08 Bookrunner Bradesco BBI SA BRADSC JLMB Joint Lead Managers-Books 0 1 2021-06-08 Bookrunner BTG Pactual US Capital Corp BTGPAC JLMB Joint Lead Managers-Books 0 1 2021-06-08 Bookrunner Mizuho Securities USA Inc MIZ JLMB Joint Lead Managers-Books 0 1 2021-06-08 Bookrunner XP Inc XPINC JLMB Joint Lead Managers-Books 0 1 2021-06-08 Trustee White &amp; Case LLP W&amp;C LAI Legal Adviser to the Issuer(s) 0 16 2021-06-08 Trustee Davis Polk &amp; Wardwell DPW LAM Legal Adviser(s) to the Manage 0 16 2021-06-08 ESG Assurance Provider ISS-oekom ISSOEK SNPC 2nd Party Consultant 0 30 2021-06-08</t>
  </si>
  <si>
    <t>BP9865356</t>
  </si>
  <si>
    <t>BBG011C76BN1</t>
  </si>
  <si>
    <t>Bookrunner Banco Santander (US) SANTAN JLMB Joint Lead Managers-Books 0 1 2021-06-08 Bookrunner Barclays Capital BCLY JLMB Joint Lead Managers-Books 0 1 2021-06-08 Bookrunner Bradesco BBI SA BRADSC JLMB Joint Lead Managers-Books 0 1 2021-06-08 Bookrunner BTG Pactual US Capital Corp BTGPAC JLMB Joint Lead Managers-Books 0 1 2021-06-08 Bookrunner Mizuho Securities USA Inc MIZ JLMB Joint Lead Managers-Books 0 1 2021-06-08 Bookrunner XP Inc XPINC JLMB Joint Lead Managers-Books 0 1 2021-06-08 Trustee White &amp; Case LLP W&amp;C LAI Legal Adviser to the Issuer(s) 0 16 2021-06-08 Trustee Davis Polk &amp; Wardwell DPW LAM Legal Adviser(s) to the Manage 0 16 2021-06-08</t>
  </si>
  <si>
    <t>Edenred</t>
  </si>
  <si>
    <t>BP9946271</t>
  </si>
  <si>
    <t>BBG011CBFPK4</t>
  </si>
  <si>
    <t>EDENFP</t>
  </si>
  <si>
    <t>EDEN</t>
  </si>
  <si>
    <t>ZERO COUPON</t>
  </si>
  <si>
    <t>Consumer Services</t>
  </si>
  <si>
    <t>90 DAYS LOCK-UP. STEP UP MARGIN: 50BP, STEP UP EVENTS: KPI 1 AT LEAST 34 % WOMEN EXECUTIVE POSITIONS, KPI 2: 15% LESS GREENHOUSE EMISSIONS, KPI 3: AT LEAST 64%</t>
  </si>
  <si>
    <t>Bookrunner Barclays BARCS JLMB Joint Lead Managers-Books 0 1 2021-06-09 Bookrunner BNP Paribas BNPP JLMB Joint Lead Managers-Books 0 1 2021-06-09 Bookrunner Citigroup Global Markets Ltd CITI JLMB Joint Lead Managers-Books 0 1 2021-06-09 Bookrunner Credit Agricole Corporate &amp; In CACIB JLMB Joint Lead Managers-Books 0 1 2021-06-09 Bookrunner JP Morgan Securities PLC JPM JLMB Joint Lead Managers-Books 0 1 2021-06-09 Bookrunner Societe Generale SG JLMB Joint Lead Managers-Books 0 1 2021-06-09 NonBookrunner Credit Agricole Corporate &amp; In CACIB GLCO Global Coordinator(s) 0 1 2021-06-09 NonBookrunner Societe Generale SG GLCO Global Coordinator(s) 0 1 2021-06-09 Trustee Societe Generale Securities Se SGSECS PAAG Paying Agent(s) 0 7 2021-06-09 Trustee Conv Ex Advisors Ltd CONEAD CALC Calculation Agent(s) 0 7 2021-06-09 Trustee Credit Agricole Corporate &amp; In CACIB ESGA ESG Agent 0 7 2021-06-09 Trustee Societe Generale SG ESGA ESG Agent 0 7 2021-06-09 Trustee Allen &amp; Overy LLP ALLOVR LAM Legal Adviser(s) to the Manage 0 16 2021-06-09</t>
  </si>
  <si>
    <t>SSAB AB</t>
  </si>
  <si>
    <t>BQ0031691</t>
  </si>
  <si>
    <t>BBG011CHC5T9</t>
  </si>
  <si>
    <t>SSABAS</t>
  </si>
  <si>
    <t>2021-06-16</t>
  </si>
  <si>
    <t>2026-06-16</t>
  </si>
  <si>
    <t>DMTN</t>
  </si>
  <si>
    <t>SEK</t>
  </si>
  <si>
    <t>REDEEMED AT 101% IF CO2 EMISSIONS NOT REDUCED BY 10%</t>
  </si>
  <si>
    <t>Bookrunner DNB Markets DNB JLMB Joint Lead Managers-Books 0 1 2021-06-09 Bookrunner SEB SEB JLMB Joint Lead Managers-Books 0 1 2021-06-09 Trustee White &amp; Case LLP W&amp;C LAI Legal Adviser to the Issuer(s) 0 16 2021-06-09</t>
  </si>
  <si>
    <t>Constantia Flexibles GmbH</t>
  </si>
  <si>
    <t>BQ1161117</t>
  </si>
  <si>
    <t>BBG011FRHKS7</t>
  </si>
  <si>
    <t>COFAV</t>
  </si>
  <si>
    <t>2021-08-04</t>
  </si>
  <si>
    <t>2028-08-04</t>
  </si>
  <si>
    <t>ESG-LINKED SCHULDSCHEIN. SUSTAINABILITY PRICING ADJUSTMENT: +2.5BPS IF ESG SCORE &lt;=65;   -2.5BPS IF &gt;=75.</t>
  </si>
  <si>
    <t>Bookrunner Erste Group Bank ERSTE JLMB Joint Lead Managers-Books 0 1 2021-08-04 Bookrunner Landesbank Baden-Wuerttemberg LBBW JLMB Joint Lead Managers-Books 0 1 2021-08-04 Bookrunner UniCredit Bank Austria AG UCBA JLMB Joint Lead Managers-Books 0 1 2021-08-04</t>
  </si>
  <si>
    <t>BQ1161786</t>
  </si>
  <si>
    <t>BBG011FRJ928</t>
  </si>
  <si>
    <t>2026-08-04</t>
  </si>
  <si>
    <t>BQ1161794</t>
  </si>
  <si>
    <t>BBG011FRJ937</t>
  </si>
  <si>
    <t>2024-08-04</t>
  </si>
  <si>
    <t>Nobian Finance BV</t>
  </si>
  <si>
    <t>BQ1586537</t>
  </si>
  <si>
    <t>BBG011JF2HL9</t>
  </si>
  <si>
    <t>NOHOLB</t>
  </si>
  <si>
    <t>2021-07-01</t>
  </si>
  <si>
    <t>2026-07-15</t>
  </si>
  <si>
    <t>STEP-UP MARGIN: 12.5, STEP-UP EVENT: INCREASE RENEWABLE ENERGY USE BY 29% BY 12/22 AND REDUCTION CO2 EMISSIONS BY 4%</t>
  </si>
  <si>
    <t>Bookrunner Barclays Bank PLC BARCBK JLMB Joint Lead Managers-Books 0 1 2021-06-24 Bookrunner Credit Suisse AG/London CS JLMB Joint Lead Managers-Books 0 1 2021-06-24 Bookrunner Deutsche Bank AG London DB JLMB Joint Lead Managers-Books 0 1 2021-06-24 Bookrunner HSBC HSBC JLMB Joint Lead Managers-Books 0 1 2021-06-24 Bookrunner ING Bank NV/London ING JLMB Joint Lead Managers-Books 0 1 2021-06-24 Bookrunner Jefferies International Ltd JEFF JLMB Joint Lead Managers-Books 0 1 2021-06-24 Bookrunner JP Morgan Securities PLC JPM JLMB Joint Lead Managers-Books 0 1 2021-06-24 Bookrunner Mizuho International PLC MIZUHO JLMB Joint Lead Managers-Books 0 1 2021-06-24 Bookrunner Morgan Stanley &amp; Co Internatio MS JLMB Joint Lead Managers-Books 0 1 2021-06-24 Bookrunner NatWest Markets NWM JLMB Joint Lead Managers-Books 0 1 2021-06-24 Bookrunner Rabobank International/London RABO JLMB Joint Lead Managers-Books 0 1 2021-06-24 Bookrunner RBC Capital Markets RBCCM JLMB Joint Lead Managers-Books 0 1 2021-06-24 Bookrunner Skandinaviska Enskilda Banken- SEB JLMB Joint Lead Managers-Books 0 1 2021-06-24 NonBookrunner Credit Suisse AG/London CS GLCO Global Coordinator(s) 0 1 2021-06-24 NonBookrunner HSBC HSBC GLCO Global Coordinator(s) 0 1 2021-06-24 NonBookrunner JP Morgan Securities PLC JPM GLCO Global Coordinator(s) 0 1 2021-06-24 Trustee Deutsche Bank AG London DB PAAG Paying Agent(s) 0 7 2021-06-24 Trustee Wilmington Trust NA WILTRU TRST Trustee(s) 0 7 2021-06-24 Trustee Latham &amp; Watkins LLP LATHAM LAI Legal Adviser to the Issuer(s) 0 16 2021-06-24 Trustee NautaDutilh DUTILH LAI Legal Adviser to the Issuer(s) 0 16 2021-06-24 Trustee Milbank LLP MILLLP LAM Legal Adviser(s) to the Manage 0 16 2021-06-24</t>
  </si>
  <si>
    <t>BQ1586552</t>
  </si>
  <si>
    <t>BBG011JF2HN7</t>
  </si>
  <si>
    <t>Bookrunner Barclays Bank PLC BARCBK JLMB Joint Lead Managers-Books 0 1 2021-06-24 Bookrunner Credit Suisse AG/London CS JLMB Joint Lead Managers-Books 0 1 2021-06-24 Bookrunner Deutsche Bank AG London DB JLMB Joint Lead Managers-Books 0 1 2021-06-24 Bookrunner HSBC HSBC JLMB Joint Lead Managers-Books 0 1 2021-06-24 Bookrunner ING Bank NV/London ING JLMB Joint Lead Managers-Books 0 1 2021-06-24 Bookrunner Jefferies International Ltd JEFF JLMB Joint Lead Managers-Books 0 1 2021-06-24 Bookrunner JP Morgan Securities PLC JPM JLMB Joint Lead Managers-Books 0 1 2021-06-24 Bookrunner Mizuho International PLC MIZUHO JLMB Joint Lead Managers-Books 0 1 2021-06-24 Bookrunner Morgan Stanley &amp; Co Internatio MS JLMB Joint Lead Managers-Books 0 1 2021-06-24 Bookrunner NatWest Markets NWM JLMB Joint Lead Managers-Books 0 1 2021-06-24 Bookrunner Rabobank International/London RABO JLMB Joint Lead Managers-Books 0 1 2021-06-24 Bookrunner RBC Capital Markets RBCCM JLMB Joint Lead Managers-Books 0 1 2021-06-24 Bookrunner Skandinaviska Enskilda Banken- SEB JLMB Joint Lead Managers-Books 0 1 2021-06-24 NonBookrunner Credit Suisse AG/London CS GLCO Global Coordinator(s) 0 1 2021-06-24 NonBookrunner HSBC HSBC GLCO Global Coordinator(s) 0 1 2021-06-24 NonBookrunner JP Morgan Securities PLC JPM GLCO Global Coordinator(s) 0 1 2021-06-24 Trustee Deutsche Bank AG London DB PAAG Paying Agent(s) 0 7 2021-06-24 Trustee Wilmington Trust NA WILTRU TRST Trustee(s) 0 7 2021-06-24 Trustee Latham &amp; Watkins LLP LATHAM LAI Legal Adviser to the Issuer(s) 0 16 2021-06-24 Trustee NautaDutilh DUTILH LAI Legal Adviser to the Issuer(s) 0 16 2021-06-24 Trustee Milbank LLP MILLLP LAM Legal Adviser(s) to the Manage 0 16 2021-06-24 ESG Assurance Provider DNV GL Group AS DNVGI SNPC 2nd Party Consultant 0 30 2021-06-24</t>
  </si>
  <si>
    <t>Zeppelin GmbH</t>
  </si>
  <si>
    <t>BQ2320183</t>
  </si>
  <si>
    <t>BBG011KPDX29</t>
  </si>
  <si>
    <t>ZEPPEL</t>
  </si>
  <si>
    <t>2021-08-06</t>
  </si>
  <si>
    <t>2031-08-06</t>
  </si>
  <si>
    <t>Construction Machinery</t>
  </si>
  <si>
    <t>SUSTAINABILITY-LINKED SCHULDSCHEIN. SUSTAINABILITY PRICING ADJUSTMENT: +/- 2.5BPS DEPENDING ON FINAL KPIS MET.</t>
  </si>
  <si>
    <t>Bookrunner Landesbank Baden-Wuerttemberg LBBW JLMB Joint Lead Managers-Books 0 1 2021-08-06 Bookrunner UniCredit Bank AG UNICRD JLMB Joint Lead Managers-Books 0 1 2021-08-06</t>
  </si>
  <si>
    <t>BQ2321892</t>
  </si>
  <si>
    <t>BBG011KPH6F0</t>
  </si>
  <si>
    <t>2028-08-06</t>
  </si>
  <si>
    <t>Picard Groupe SAS</t>
  </si>
  <si>
    <t>BQ2953850</t>
  </si>
  <si>
    <t>BBG011MCTKM5</t>
  </si>
  <si>
    <t>PICSUR</t>
  </si>
  <si>
    <t>2021-07-07</t>
  </si>
  <si>
    <t>2026-07-01</t>
  </si>
  <si>
    <t>STEP-UP MARGIN: 12.5 BPS PER KPI, STEP-UP EVENTS: CO2 EMISSIONS, ENERGY CONSUMPTION</t>
  </si>
  <si>
    <t>Bookrunner Credit Suisse Bank Europe SA CS JLMB Joint Lead Managers-Books 0 1 2021-06-30 Bookrunner Deutsche Bank AG/New York NY DB JLMB Joint Lead Managers-Books 0 1 2021-06-30 Bookrunner Goldman Sachs Bank Europe SE GS JLMB Joint Lead Managers-Books 0 1 2021-06-30 Bookrunner HSBC Continental Europe SA HSBCCE JLMB Joint Lead Managers-Books 0 1 2021-06-30 Bookrunner JP Morgan AG JPM JLMB Joint Lead Managers-Books 0 1 2021-06-30 Bookrunner Morgan Stanley Europe SE MSEURO JLMB Joint Lead Managers-Books 0 1 2021-06-30 Bookrunner Natixis/New York NY NATIXI JLMB Joint Lead Managers-Books 0 1 2021-06-30 NonBookrunner Credit Suisse Bank Europe SA CS GLCO Global Coordinator(s) 0 1 2021-06-30 NonBookrunner Goldman Sachs Bank Europe SE GS GLCO Global Coordinator(s) 0 1 2021-06-30 NonBookrunner JP Morgan AG JPM GLCO Global Coordinator(s) 0 1 2021-06-30 NonBookrunner Morgan Stanley Europe SE MSEURO GLCO Global Coordinator(s) 0 1 2021-06-30 Trustee Cravath Swaine &amp; Moore US LAI Legal Adviser to the Issuer(s) 0 16 2021-06-30 Trustee Kirkland &amp; Ellis K&amp;E LAM Legal Adviser(s) to the Manage 0 16 2021-06-30</t>
  </si>
  <si>
    <t>Lion/Polaris Lux 4 SA</t>
  </si>
  <si>
    <t>BQ2953868</t>
  </si>
  <si>
    <t>BBG011MCTKR0</t>
  </si>
  <si>
    <t>Restaurants</t>
  </si>
  <si>
    <t>STEP-UP MARGIN: 12.5 BP PER KPI, STEP-UP EVENTS: CO2 EMISSIONS, ENERGY CONSUMPTION</t>
  </si>
  <si>
    <t>Bookrunner Credit Suisse Bank Europe SA CS JLMB Joint Lead Managers-Books 0 1 2021-06-30 Bookrunner Deutsche Bank AG/New York NY DB JLMB Joint Lead Managers-Books 0 1 2021-06-30 Bookrunner Goldman Sachs Bank Europe SE GS JLMB Joint Lead Managers-Books 0 1 2021-06-30 Bookrunner HSBC Continental Europe SA HSBCCE JLMB Joint Lead Managers-Books 0 1 2021-06-30 Bookrunner JP Morgan AG JPM JLMB Joint Lead Managers-Books 0 1 2021-06-30 Bookrunner Morgan Stanley Europe SE MSEURO JLMB Joint Lead Managers-Books 0 1 2021-06-30 Bookrunner Natixis/New York NY NATIXI JLMB Joint Lead Managers-Books 0 1 2021-06-30 NonBookrunner JP Morgan Securities PLC JPM GLCO Global Coordinator(s) 0 1 2021-06-30 NonBookrunner Morgan Stanley MS GLCO Global Coordinator(s) 0 1 2021-06-30 Trustee Cravath Swaine &amp; Moore US LAI Legal Adviser to the Issuer(s) 0 16 2021-06-30 Trustee Kirkland &amp; Ellis K&amp;E LAM Legal Adviser(s) to the Manage 0 16 2021-06-30</t>
  </si>
  <si>
    <t>Picard Bondco SA</t>
  </si>
  <si>
    <t>BQ2953876</t>
  </si>
  <si>
    <t>BBG011MCTL07</t>
  </si>
  <si>
    <t>2027-07-01</t>
  </si>
  <si>
    <t>CCC+</t>
  </si>
  <si>
    <t>Bookrunner Credit Suisse Bank Europe SA CS JLMB Joint Lead Managers-Books 0 1 2021-06-30 Bookrunner Deutsche Bank AG/New York NY DB JLMB Joint Lead Managers-Books 0 1 2021-06-30 Bookrunner Goldman Sachs Bank Europe SE GS JLMB Joint Lead Managers-Books 0 1 2021-06-30 Bookrunner HSBC Continental Europe SA HSBCCE JLMB Joint Lead Managers-Books 0 1 2021-06-30 Bookrunner JP Morgan AG JPM JLMB Joint Lead Managers-Books 0 1 2021-06-30 Bookrunner Morgan Stanley Europe SE MSEURO JLMB Joint Lead Managers-Books 0 1 2021-06-30 Bookrunner Natixis NATIX JLMB Joint Lead Managers-Books 0 1 2021-06-30 NonBookrunner Credit Suisse CS GLCO Global Coordinator(s) 0 1 2021-06-30 NonBookrunner Morgan Stanley MS GLCO Global Coordinator(s) 0 1 2021-06-30 Trustee Cravath Swaine &amp; Moore US LAI Legal Adviser to the Issuer(s) 0 16 2021-06-30 Trustee Kirkland &amp; Ellis K&amp;E LAM Legal Adviser(s) to the Manage 0 16 2021-06-30</t>
  </si>
  <si>
    <t>BQ2953892</t>
  </si>
  <si>
    <t>BBG011MCTL43</t>
  </si>
  <si>
    <t>Bookrunner Credit Suisse Bank Europe SA CS JLMB Joint Lead Managers-Books 0 1 2021-06-30 Bookrunner Deutsche Bank AG/New York NY DB JLMB Joint Lead Managers-Books 0 1 2021-06-30 Bookrunner Goldman Sachs Bank Europe SE GS JLMB Joint Lead Managers-Books 0 1 2021-06-30 Bookrunner HSBC Continental Europe SA HSBCCE JLMB Joint Lead Managers-Books 0 1 2021-06-30 Bookrunner JP Morgan AG JPM JLMB Joint Lead Managers-Books 0 1 2021-06-30 Bookrunner Morgan Stanley Europe SE MSEURO JLMB Joint Lead Managers-Books 0 1 2021-06-30 Bookrunner Natixis/New York NY NATIXI JLMB Joint Lead Managers-Books 0 1 2021-06-30 NonBookrunner JP Morgan AG JPM GLCO Global Coordinator(s) 0 1 2021-06-30 NonBookrunner Morgan Stanley MS GLCO Global Coordinator(s) 0 1 2021-06-30 Trustee Cravath Swaine &amp; Moore US LAI Legal Adviser to the Issuer(s) 0 16 2021-06-30 Trustee Kirkland &amp; Ellis K&amp;E LAM Legal Adviser(s) to the Manage 0 16 2021-06-30</t>
  </si>
  <si>
    <t>BQ2954189</t>
  </si>
  <si>
    <t>BBG011MCTM50</t>
  </si>
  <si>
    <t>Bookrunner Credit Suisse Bank Europe SA CS JLMB Joint Lead Managers-Books 0 1 2021-06-30 Bookrunner Deutsche Bank AG/New York NY DB JLMB Joint Lead Managers-Books 0 1 2021-06-30 Bookrunner Goldman Sachs Bank Europe SE GS JLMB Joint Lead Managers-Books 0 1 2021-06-30 Bookrunner HSBC Continental Europe SA HSBCCE JLMB Joint Lead Managers-Books 0 1 2021-06-30 Bookrunner JP Morgan AG JPM JLMB Joint Lead Managers-Books 0 1 2021-06-30 Bookrunner Morgan Stanley Europe SE MSEURO JLMB Joint Lead Managers-Books 0 1 2021-06-30 Bookrunner Natixis/New York NY NATIXI JLMB Joint Lead Managers-Books 0 1 2021-06-30 NonBookrunner Goldman Sachs GS GLCO Global Coordinator(s) 0 1 2021-06-30 NonBookrunner Morgan Stanley MS GLCO Global Coordinator(s) 0 1 2021-06-30 Trustee Cravath Swaine &amp; Moore US LAI Legal Adviser to the Issuer(s) 0 16 2021-06-30 Trustee Kirkland &amp; Ellis K&amp;E LAM Legal Adviser(s) to the Manage 0 16 2021-06-30</t>
  </si>
  <si>
    <t>BQ2954205</t>
  </si>
  <si>
    <t>BBG011MCTMK3</t>
  </si>
  <si>
    <t>Suzano Austria GmbH</t>
  </si>
  <si>
    <t>BQ2995893</t>
  </si>
  <si>
    <t>BBG011MF43T6</t>
  </si>
  <si>
    <t>SUZANO</t>
  </si>
  <si>
    <t>DM3N</t>
  </si>
  <si>
    <t>Forest &amp; Paper Products Manufacturing</t>
  </si>
  <si>
    <t>STEP-UP MARGIN: 12.5 BPS IF INDUSTRIAL WATER TARGET OR WOMEN IN LEADERSHIP TARGET NOT MET OR 25 BPS IF NEITHER IS MET.</t>
  </si>
  <si>
    <t>Bookrunner BNP Paribas Securities Corp BNPPAR JLMB Joint Lead Managers-Books 100000 1 2021-06-28 Bookrunner BofA Securities BofA JLMB Joint Lead Managers-Books 100000 1 2021-06-28 Bookrunner Credit Agricole Securities USA CASECS JLMB Joint Lead Managers-Books 100000 1 2021-06-28 Bookrunner Goldman Sachs Bank Europe SE GS JLMB Joint Lead Managers-Books 100000 1 2021-06-28 Bookrunner JP Morgan Securities LLC JPM JLMB Joint Lead Managers-Books 100000 1 2021-06-28 Bookrunner Mizuho Securities USA LLC MIZ JLMB Joint Lead Managers-Books 100000 1 2021-06-28 Bookrunner MUFG Securities Americas Inc MUFG JLMB Joint Lead Managers-Books 100000 1 2021-06-28 Bookrunner Rabo Securities USA Inc RABO JLMB Joint Lead Managers-Books 100000 1 2021-06-28 Bookrunner Scotia Capital USA Inc SCOTIA JLMB Joint Lead Managers-Books 100000 1 2021-06-28 Bookrunner SMBC Nikko Securities America SMBC JLMB Joint Lead Managers-Books 100000 1 2021-06-28 Trustee Deutsche Bank Trust Co America DB PAAG Paying Agent(s) 0 7 2021-06-28 Trustee Deutsche Bank Trust Co America DB TRST Trustee(s) 0 7 2021-06-28 Trustee Deutsche Bank Trust Co America DB RGST Registrar(s) 0 7 2021-06-28 Trustee Cleary Gottlieb Steen &amp; Hamilt CGS&amp;H LAI Legal Adviser to the Issuer(s) 0 16 2021-06-28 Trustee Internal Adviser IA LAI Legal Adviser to the Issuer(s) 0 16 2021-06-28 Trustee Weber Rechtsanwalte GmbH WEBERR LAI Legal Adviser to the Issuer(s) 0 16 2021-06-28 Trustee Paul Hastings LLP PAULHS LAM Legal Adviser(s) to the Manage 0 16 2021-06-28 ESG Assurance Provider ISS-oekom ISSOEK SNPC 2nd Party Consultant 0 30 2021-06-28</t>
  </si>
  <si>
    <t>Repsol Europe Finance Sarl</t>
  </si>
  <si>
    <t>BQ3131753</t>
  </si>
  <si>
    <t>BBG011MLK4J4</t>
  </si>
  <si>
    <t>REPSM</t>
  </si>
  <si>
    <t>2029-07-06</t>
  </si>
  <si>
    <t>25bps/annum step up in 2027-2029 if the group fails to reduce its Carbon Intensity Indicator (CII) by 12% by 2025</t>
  </si>
  <si>
    <t>Bookrunner Bank of America Securities Ltd BASL JLMB Joint Lead Managers-Books 0 1 2021-06-29 Bookrunner Barclays BARCS JLMB Joint Lead Managers-Books 0 1 2021-06-29 Bookrunner BBVA Securities Ltd BBVA JLMB Joint Lead Managers-Books 0 1 2021-06-29 Bookrunner BNP Paribas BNPP JLMB Joint Lead Managers-Books 0 1 2021-06-29 Bookrunner Commerzbank COBA JLMB Joint Lead Managers-Books 0 1 2021-06-29 Bookrunner Credit Agricole CIB CACIB JLMB Joint Lead Managers-Books 0 1 2021-06-29 Bookrunner Credit Suisse CS JLMB Joint Lead Managers-Books 0 1 2021-06-29 Bookrunner Goldman Sachs Bank Europe SE GS JLMB Joint Lead Managers-Books 0 1 2021-06-29 Bookrunner HSBC HSBC JLMB Joint Lead Managers-Books 0 1 2021-06-29 Bookrunner Morgan Stanley International L MSINT JLMB Joint Lead Managers-Books 0 1 2021-06-29 Bookrunner MUFG Securities EMEA PLC MUFG JLMB Joint Lead Managers-Books 0 1 2021-06-29 Bookrunner Natixis NATIX JLMB Joint Lead Managers-Books 0 1 2021-06-29 Bookrunner Societe Generale SG JLMB Joint Lead Managers-Books 0 1 2021-06-29 NonBookrunner BBVA Securities Ltd BBVA GLCO Global Coordinator(s) 0 1 2021-06-29 NonBookrunner HSBC HSBC GLCO Global Coordinator(s) 0 1 2021-06-29 NonBookrunner Natixis NATIX GLCO Global Coordinator(s) 0 1 2021-06-29 Trustee Banque Internationale A Luxemb BIL PAAG Paying Agent(s) 0 7 2021-06-29 Trustee Citibank NA/London CITI PAAG Paying Agent(s) 0 7 2021-06-29 Trustee Citibank NA/London CITI CALC Calculation Agent(s) 0 7 2021-06-29 Trustee Citicorp Trustee Company Ltd CITI TRST Trustee(s) 0 7 2021-06-29 Trustee Banque Internationale A Luxemb BIL LIST Listing Agent(s) 0 7 2021-06-29 Trustee Citibank NA/London CITI ISAG Issuing Agent(s) 0 7 2021-06-29 Trustee Freshfields Bruckhaus Deringer FSHFLD LAI Legal Adviser to the Issuer(s) 0 16 2021-06-29 Trustee Linklaters LLP L&amp;A LAT Legal Adviser(s) to the Truste 0 16 2021-06-29 Trustee Linklaters LLP L&amp;A LAM Legal Adviser(s) to the Manage 0 16 2021-06-29 Trustee Linklaters/Madrid LINKMA LAM Legal Adviser(s) to the Manage 0 16 2021-06-29 ESG Assurance Provider ISS-oekom ISSOEK SNPC 2nd Party Consultant 0 30 2021-06-29</t>
  </si>
  <si>
    <t>BQ3131761</t>
  </si>
  <si>
    <t>BBG011MLK4P7</t>
  </si>
  <si>
    <t>2033-07-06</t>
  </si>
  <si>
    <t>37.5bps/annum step up in 2032-2033 if the group fails to reduce its Carbon Intensity Indicator (CII) by 25% by 2030</t>
  </si>
  <si>
    <t>Bookrunner Banco Bilbao Vizcaya Argentari BBVA JLMB Joint Lead Managers-Books 0 1 2021-06-29 Bookrunner Barclays BARCS JLMB Joint Lead Managers-Books 0 1 2021-06-29 Bookrunner BNP Paribas BNPP JLMB Joint Lead Managers-Books 0 1 2021-06-29 Bookrunner BofA Securities BofA JLMB Joint Lead Managers-Books 0 1 2021-06-29 Bookrunner Commerzbank COBA JLMB Joint Lead Managers-Books 0 1 2021-06-29 Bookrunner Credit Agricole CIB CACIB JLMB Joint Lead Managers-Books 0 1 2021-06-29 Bookrunner Credit Suisse CS JLMB Joint Lead Managers-Books 0 1 2021-06-29 Bookrunner Goldman Sachs Bank Europe SE GS JLMB Joint Lead Managers-Books 0 1 2021-06-29 Bookrunner HSBC HSBC JLMB Joint Lead Managers-Books 0 1 2021-06-29 Bookrunner Mitsubishi UFJ Financial Group MUFG JLMB Joint Lead Managers-Books 0 1 2021-06-29 Bookrunner Morgan Stanley MS JLMB Joint Lead Managers-Books 0 1 2021-06-29 Bookrunner Natixis NATIX JLMB Joint Lead Managers-Books 0 1 2021-06-29 Bookrunner Societe Generale SG JLMB Joint Lead Managers-Books 0 1 2021-06-29 NonBookrunner Banco Bilbao Vizcaya Argentari BBVA GLCO Global Coordinator(s) 0 1 2021-06-29 NonBookrunner HSBC HSBC GLCO Global Coordinator(s) 0 1 2021-06-29 NonBookrunner Natixis NATIX GLCO Global Coordinator(s) 0 1 2021-06-29 Trustee Banque Internationale A Luxemb BIL PAAG Paying Agent(s) 0 7 2021-06-29 Trustee Citibank NA/London CITI PAAG Paying Agent(s) 0 7 2021-06-29 Trustee Citibank NA/London CITI CALC Calculation Agent(s) 0 7 2021-06-29 Trustee Citicorp Trustee Company Ltd CITI TRST Trustee(s) 0 7 2021-06-29 Trustee Banque Internationale A Luxemb BIL LIST Listing Agent(s) 0 7 2021-06-29 Trustee Citibank NA/London CITI ISAG Issuing Agent(s) 0 7 2021-06-29 Trustee Freshfields Bruckhaus Deringer FSHFLD LAI Legal Adviser to the Issuer(s) 0 16 2021-06-29 Trustee Linklaters LLP L&amp;A LAT Legal Adviser(s) to the Truste 0 16 2021-06-29 Trustee Linklaters LLP L&amp;A LAM Legal Adviser(s) to the Manage 0 16 2021-06-29 Trustee Linklaters L&amp;A LAM Legal Adviser(s) to the Manage 0 16 2021-06-29 Trustee Linklaters/Madrid LINKMA LAM Legal Adviser(s) to the Manage 0 16 2021-06-29 ESG Assurance Provider ISS-oekom ISSOEK SNPC 2nd Party Consultant 0 30 2021-06-29</t>
  </si>
  <si>
    <t>A2A SpA</t>
  </si>
  <si>
    <t>BQ3956720</t>
  </si>
  <si>
    <t>BBG011PLBMH3</t>
  </si>
  <si>
    <t>AEMSPA</t>
  </si>
  <si>
    <t>2021-07-15</t>
  </si>
  <si>
    <t>STEP-UP MARGIN: 25BP, STEP-UP EVENT: EMISSION INTENSITY ABOVE 296 gCO2/kWh (REFERENCE DATE 31 Dec 2025)</t>
  </si>
  <si>
    <t>Bookrunner Banco Bilbao Vizcaya London Br BBV JLMB Joint Lead Managers-Books 0 1 2021-07-07 Bookrunner Banco Santander SA/London SANTAN JLMB Joint Lead Managers-Books 0 1 2021-07-07 Bookrunner BNP Paribas/London BNPPAR JLMB Joint Lead Managers-Books 0 1 2021-07-07 Bookrunner Citigroup Global Markets Ltd CITI JLMB Joint Lead Managers-Books 0 1 2021-07-07 Bookrunner IMI - Intesa Sanpaolo IMI JLMB Joint Lead Managers-Books 0 1 2021-07-07 Bookrunner JP Morgan Securities PLC JPM JLMB Joint Lead Managers-Books 0 1 2021-07-07 Bookrunner Mediobanca MEDBCA JLMB Joint Lead Managers-Books 0 1 2021-07-07 Bookrunner Societe Generale SG JLMB Joint Lead Managers-Books 0 1 2021-07-07 Bookrunner UniCredit Bank AG/London UNICRD JLMB Joint Lead Managers-Books 0 1 2021-07-07 NonBookrunner JP Morgan Securities PLC JPM GLCO Global Coordinator(s) 0 1 2021-07-07 NonBookrunner UniCredit Bank AG/London UNICRD GLCO Global Coordinator(s) 0 1 2021-07-07 NonBookrunner JP Morgan Securities PLC JPM ESGA ESG Agent 0 1 2021-07-07 NonBookrunner UniCredit Bank AG/London UNICRD ESGA ESG Agent 0 1 2021-07-07 Trustee Bank of New York Mellon/London BNY AGNT Agent(s) 0 7 2021-07-07 Trustee Bank of New York Mellon SA-NV/ BANKOF LIST Listing Agent(s) 0 7 2021-07-07 Trustee Orrick Herrington &amp; Sutcliffe ORRICK LAI Legal Adviser to the Issuer(s) 0 16 2021-07-07 Trustee Allen &amp; Overy/Rome ALOVIT LAM Legal Adviser(s) to the Manage 0 16 2021-07-07 Trustee Allen &amp; Overy/Milan IT LAM Legal Adviser(s) to the Manage 0 16 2021-07-07 ESG Assurance Provider Vigeo SASV VIGEO SNPC 2nd Party Consultant 0 30 2021-07-07</t>
  </si>
  <si>
    <t>BQ4396710</t>
  </si>
  <si>
    <t>BBG011Q3W835</t>
  </si>
  <si>
    <t>2021-07-12</t>
  </si>
  <si>
    <t>2026-07-12</t>
  </si>
  <si>
    <t>STEP-UP MARGIN: 25BP, STEP-UP EVENT: 12/31/23 DIRECT GHG EMISSIONS BEING ABOVE 148G/KWHEQ</t>
  </si>
  <si>
    <t>Bookrunner Barclays Capital BCLY JLMB Joint Lead Managers-Books 0 1 2021-07-07 Bookrunner BNP Paribas/New York BNPPAR JLMB Joint Lead Managers-Books 0 1 2021-07-07 Bookrunner BofA Securities BofA JLMB Joint Lead Managers-Books 0 1 2021-07-07 Bookrunner Citigroup Global Markets Inc CITI JLMB Joint Lead Managers-Books 0 1 2021-07-07 Bookrunner Credit Agricole Securities USA CASECS JLMB Joint Lead Managers-Books 0 1 2021-07-07 Bookrunner Credit Suisse CS JLMB Joint Lead Managers-Books 0 1 2021-07-07 Bookrunner Goldman Sachs GS JLMB Joint Lead Managers-Books 0 1 2021-07-07 Bookrunner HSBC Securities HSBC JLMB Joint Lead Managers-Books 0 1 2021-07-07 Bookrunner JP Morgan JPM JLMB Joint Lead Managers-Books 0 1 2021-07-07 Bookrunner Mizuho Securities USA Inc MIZ JLMB Joint Lead Managers-Books 0 1 2021-07-07 Bookrunner Morgan Stanley MS JLMB Joint Lead Managers-Books 0 1 2021-07-07 Bookrunner SMBC Nikko Securities America SMBC JLMB Joint Lead Managers-Books 0 1 2021-07-07 Bookrunner Societe Generale SG JLMB Joint Lead Managers-Books 0 1 2021-07-07 Trustee Latham &amp; Watkins LLP LATHAM LAM Legal Adviser(s) to the Manage 0 16 2021-07-07 ESG Assurance Provider Vigeo SASV VIGEO SNPC 2nd Party Consultant 0 30 2021-07-07</t>
  </si>
  <si>
    <t>BQ4396728</t>
  </si>
  <si>
    <t>BBG011Q3W871</t>
  </si>
  <si>
    <t>2028-07-12</t>
  </si>
  <si>
    <t>STEP-UP MARGIN: 25BP, STEP-UP EVENTS: DEC 2023, GHG EMISSIONS &gt;148G/KWHEQ</t>
  </si>
  <si>
    <t>BQ4396736</t>
  </si>
  <si>
    <t>BBG011Q3W8Z0</t>
  </si>
  <si>
    <t>2031-07-12</t>
  </si>
  <si>
    <t>BQ4396744</t>
  </si>
  <si>
    <t>BBG011Q3W942</t>
  </si>
  <si>
    <t>2041-07-12</t>
  </si>
  <si>
    <t>STEP-UP MARGIN: 25BP, STEP-UP EVENTS: DEC 2030, GHG EMISSIONS &gt;82G/KWHEQ</t>
  </si>
  <si>
    <t>BQ4396769</t>
  </si>
  <si>
    <t>BBG011Q3W9H8</t>
  </si>
  <si>
    <t>Bookrunner Barclays Capital BCLY JLMB Joint Lead Managers-Books 0 1 2021-07-07 Bookrunner BNP Paribas/New York BNPPAR JLMB Joint Lead Managers-Books 0 1 2021-07-07 Bookrunner BofA Securities BofA JLMB Joint Lead Managers-Books 0 1 2021-07-07 Bookrunner Citigroup Global Markets Inc CITI JLMB Joint Lead Managers-Books 0 1 2021-07-07 Bookrunner Credit Agricole Securities USA CASECS JLMB Joint Lead Managers-Books 0 1 2021-07-07 Bookrunner Credit Suisse CS JLMB Joint Lead Managers-Books 0 1 2021-07-07 Bookrunner Goldman Sachs GS JLMB Joint Lead Managers-Books 0 1 2021-07-07 Bookrunner HSBC Securities HSBC JLMB Joint Lead Managers-Books 0 1 2021-07-07 Bookrunner JP Morgan JPM JLMB Joint Lead Managers-Books 0 1 2021-07-07 Bookrunner Mizuho Securities USA Inc MIZ JLMB Joint Lead Managers-Books 0 1 2021-07-07 Bookrunner Morgan Stanley MS JLMB Joint Lead Managers-Books 0 1 2021-07-07 Bookrunner SMBC Nikko Securities America SMBC JLMB Joint Lead Managers-Books 0 1 2021-07-07 Bookrunner Societe Generale SG JLMB Joint Lead Managers-Books 0 1 2021-07-07 Trustee Latham &amp; Watkins LLP LATHAM LAM Legal Adviser(s) to the Manage 0 16 2021-07-07</t>
  </si>
  <si>
    <t>BQ4396777</t>
  </si>
  <si>
    <t>BBG011Q3WB56</t>
  </si>
  <si>
    <t>BQ4396785</t>
  </si>
  <si>
    <t>BBG011Q3WB83</t>
  </si>
  <si>
    <t>BQ4396793</t>
  </si>
  <si>
    <t>BBG011Q3WBF5</t>
  </si>
  <si>
    <t>BQ5041802</t>
  </si>
  <si>
    <t>BBG011RFPD70</t>
  </si>
  <si>
    <t>2021-07-21</t>
  </si>
  <si>
    <t>2028-07-31</t>
  </si>
  <si>
    <t>STEP-UP MARGIN: 50BP, STEP-UP EVENT: 57% REDUCTION IN C02 EMISSIONS BY 12/2023, 2019 BASE YEAR</t>
  </si>
  <si>
    <t>Bookrunner Alpha Bank AE ALPHA JLMB Joint Lead Managers-Books 0 1 2021-07-14 Bookrunner Ambrosia Capital Ltd/United Ki AMBCAP JLMB Joint Lead Managers-Books 0 1 2021-07-14 Bookrunner Axia Ventures Group Ltd AxiaVe JLMB Joint Lead Managers-Books 0 1 2021-07-14 Bookrunner Citi CITI JLMB Joint Lead Managers-Books 0 1 2021-07-14 Bookrunner Credit Suisse CS JLMB Joint Lead Managers-Books 0 1 2021-07-14 Bookrunner Eurobank EUROBK JLMB Joint Lead Managers-Books 0 1 2021-07-14 Bookrunner Goldman Sachs Bank Europe SE GS JLMB Joint Lead Managers-Books 0 1 2021-07-14 Bookrunner HSBC HSBC JLMB Joint Lead Managers-Books 0 1 2021-07-14 Bookrunner JP Morgan JPM JLMB Joint Lead Managers-Books 0 1 2021-07-14 Bookrunner National Bank of Greece NBG JLMB Joint Lead Managers-Books 0 1 2021-07-14 Bookrunner Piraeus Bank PIRAEU JLMB Joint Lead Managers-Books 0 1 2021-07-14 NonBookrunner Citi CITI GLCO Global Coordinator(s) 0 1 2021-07-14 NonBookrunner Goldman Sachs Bank Europe SE GS GLCO Global Coordinator(s) 0 1 2021-07-14 NonBookrunner HSBC HSBC GLCO Global Coordinator(s) 0 1 2021-07-14 Trustee HSBC HSBC PAAG Paying Agent(s) 0 7 2021-07-14 Trustee HSBC HSBC TRST Trustee(s) 0 7 2021-07-14 Trustee HSBC HSBC TRNS Transfer Agent(s) 0 7 2021-07-14 Trustee Milbank LLP MILLLP LAI Legal Adviser to the Issuer(s) 0 16 2021-07-14 Trustee Latham &amp; Watkins LLP LATHAM LAM Legal Adviser(s) to the Manage 0 16 2021-07-14 ESG Assurance Provider Sustainalytics BV SUSANA SNPC 2nd Party Consultant 0 30 2021-07-14</t>
  </si>
  <si>
    <t>Valeo</t>
  </si>
  <si>
    <t>BQ6920418</t>
  </si>
  <si>
    <t>BBG011XTZZP3</t>
  </si>
  <si>
    <t>FRFP</t>
  </si>
  <si>
    <t>2021-08-03</t>
  </si>
  <si>
    <t>2028-08-03</t>
  </si>
  <si>
    <t>STEP-UP MARGIN: 37.5 BP, STEP-UP EVENT: CO2 EMISSIONS</t>
  </si>
  <si>
    <t>Bookrunner BNP Paribas BNPP JLMB Joint Lead Managers-Books 0 1 2021-07-27 Bookrunner Credit Agricole CIB CACIB JLMB Joint Lead Managers-Books 0 1 2021-07-27 Bookrunner Credit Mutuel-CIC CM-CIC JLMB Joint Lead Managers-Books 0 1 2021-07-27 Bookrunner Mizuho International PLC MIZUHO JLMB Joint Lead Managers-Books 0 1 2021-07-27 Bookrunner Natixis NATIX JLMB Joint Lead Managers-Books 0 1 2021-07-27 Bookrunner Societe Generale SG JLMB Joint Lead Managers-Books 0 1 2021-07-27 NonBookrunner BNP Paribas BNPP GLCO Global Coordinator(s) 0 1 2021-07-27 NonBookrunner Credit Agricole CIB CACIB GLCO Global Coordinator(s) 0 1 2021-07-27 Trustee Clifford Chance LLP CHANCE LAM Legal Adviser(s) to the Manage 0 16 2021-07-27 ESG Assurance Provider ISS-oekom ISSOEK SNPC 2nd Party Consultant 0 30 2021-07-27</t>
  </si>
  <si>
    <t>ista International GmbH</t>
  </si>
  <si>
    <t>BR0363092</t>
  </si>
  <si>
    <t>BBG01252KSY3</t>
  </si>
  <si>
    <t>ISTAGR</t>
  </si>
  <si>
    <t>2021-09-23</t>
  </si>
  <si>
    <t>2026-09-23</t>
  </si>
  <si>
    <t>ESG-LINKED SCHULDSCHEIN:+/- UP TO 5BPS DEPENDING ON KPIS ACHIEVED OUT OF 5. ADDITIONAL ISSUER: TRIONISTA TOPCO, TRIONISTA HOLDCO &amp; ISTA DEUTSCHLAND.</t>
  </si>
  <si>
    <t>Bookrunner Landesbank Baden-Wuerttemberg LBBW JLMB Joint Lead Managers-Books 0 1 2021-09-23 Bookrunner Raiffeisen Bank International RAIINT JLMB Joint Lead Managers-Books 0 1 2021-09-23 Bookrunner UniCredit Bank AG UNICRD JLMB Joint Lead Managers-Books 0 1 2021-09-23</t>
  </si>
  <si>
    <t>BR0363373</t>
  </si>
  <si>
    <t>BBG01252LV66</t>
  </si>
  <si>
    <t>2024-09-23</t>
  </si>
  <si>
    <t>Holcim US Finance Sarl &amp; Cie SCS</t>
  </si>
  <si>
    <t>BR1756716</t>
  </si>
  <si>
    <t>BBG0129MLJ01</t>
  </si>
  <si>
    <t>2021-09-02</t>
  </si>
  <si>
    <t>2031-10-15</t>
  </si>
  <si>
    <t>STEP-UP MARGIN: 1.50%, STEP-UP EVENT: DEC 2030 CO2 EMISSIONS</t>
  </si>
  <si>
    <t>Bookrunner Morgan Stanley MS JLMB Joint Lead Managers-Books 0 1 2021-08-25 Bookrunner NatWest Markets NWM JLMB Joint Lead Managers-Books 0 1 2021-08-25 Trustee Citibank NA/London CITI PAAG Paying Agent(s) 0 7 2021-08-25 Trustee Citibank NA/London CITI FISC Fiscal Agent(s) 0 7 2021-08-25 Trustee Citibank NA/London CITI TRNS Transfer Agent(s) 0 7 2021-08-25 Trustee Citibank Europe PLC CITIFS RGST Registrar(s) 0 7 2021-08-25 Trustee Homburger AG HOMBRE LAI Legal Adviser to the Issuer(s) 0 16 2021-08-25 Trustee Linklaters LLP L&amp;A LAI Legal Adviser to the Issuer(s) 0 16 2021-08-25 Trustee Linklaters LLP/Luxembourg LINKLS LAI Legal Adviser to the Issuer(s) 0 16 2021-08-25 Trustee Linklaters L&amp;A LAI Legal Adviser to the Issuer(s) 0 16 2021-08-25 Trustee Clifford Chance LLP CHANCE LAM Legal Adviser(s) to the Manage 0 16 2021-08-25 ESG Assurance Provider ISS-oekom ISSOEK SNPC 2nd Party Consultant 0 30 2021-08-25</t>
  </si>
  <si>
    <t>Holding d'Infrastructures des Metiers de l'Environnement</t>
  </si>
  <si>
    <t>BR3184446</t>
  </si>
  <si>
    <t>BBG012F0DHN0</t>
  </si>
  <si>
    <t>SAUR</t>
  </si>
  <si>
    <t>2021-09-16</t>
  </si>
  <si>
    <t>2025-09-16</t>
  </si>
  <si>
    <t>Other Utility</t>
  </si>
  <si>
    <t>STEP-UP MARGIN: 12.5 BP PER KPI, STEP-UP EVENT: WATER WITHDRAWALS, CARBON INTENSITY 3-YR ROLLING AVERAGE</t>
  </si>
  <si>
    <t>Bookrunner BNP Paribas/London BNPPAR JLMB Joint Lead Managers-Books 0 1 2021-09-09 Bookrunner HSBC HSBC JLMB Joint Lead Managers-Books 0 1 2021-09-09 Bookrunner Morgan Stanley &amp; Co Internatio MS JLMB Joint Lead Managers-Books 0 1 2021-09-09 Bookrunner Natixis/London NATIX JLMB Joint Lead Managers-Books 0 1 2021-09-09 Trustee Clifford Chance LLP CHANCE LAM Legal Adviser(s) to the Manage 0 16 2021-09-09</t>
  </si>
  <si>
    <t>BR3193496</t>
  </si>
  <si>
    <t>BBG012F0KZS7</t>
  </si>
  <si>
    <t>2028-09-16</t>
  </si>
  <si>
    <t>Bookrunner BNP Paribas BNPP JLMB Joint Lead Managers-Books 0 1 2021-09-09 Bookrunner BofA Securities Europe SA BOFAS JLMB Joint Lead Managers-Books 0 1 2021-09-09 Bookrunner CaixaBank CAIXA JLMB Joint Lead Managers-Books 0 1 2021-09-09 Bookrunner Credit Agricole CIB CACIB JLMB Joint Lead Managers-Books 0 1 2021-09-09 Bookrunner HSBC HSBC JLMB Joint Lead Managers-Books 0 1 2021-09-09 Bookrunner Morgan Stanley &amp; Co Internatio MS JLMB Joint Lead Managers-Books 0 1 2021-09-09 Bookrunner Natixis NATIX JLMB Joint Lead Managers-Books 0 1 2021-09-09 Bookrunner Societe Generale SG JLMB Joint Lead Managers-Books 0 1 2021-09-09 NonBookrunner BNP Paribas BNPP GLCO Global Coordinator(s) 0 1 2021-09-09 NonBookrunner HSBC HSBC GLCO Global Coordinator(s) 0 1 2021-09-09 NonBookrunner Morgan Stanley &amp; Co Internatio MS GLCO Global Coordinator(s) 0 1 2021-09-09 NonBookrunner Natixis NATIX GLCO Global Coordinator(s) 0 1 2021-09-09 Trustee Clifford Chance LLP CHANCE LAM Legal Adviser(s) to the Manage 0 16 2021-09-09</t>
  </si>
  <si>
    <t>BR3636874</t>
  </si>
  <si>
    <t>BBG012FD1XF9</t>
  </si>
  <si>
    <t>2021-09-13</t>
  </si>
  <si>
    <t>2028-09-15</t>
  </si>
  <si>
    <t>STEP-UP MARGIN: 25BP, STEP-UP EVENT: GREENHOUSE GAS EMISSIONS</t>
  </si>
  <si>
    <t>Bookrunner BNP Paribas/New York BNPPAR JLMB Joint Lead Managers-Books 54054 1 2021-09-08 Bookrunner BofA Securities BofA JLMB Joint Lead Managers-Books 54054 1 2021-09-08 Bookrunner Bradesco BBI SA BRADSC JLMB Joint Lead Managers-Books 13514 1 2021-09-08 Bookrunner Credit Agricole Securities USA CASECS JLMB Joint Lead Managers-Books 54054 1 2021-09-08 Bookrunner JP Morgan JPM JLMB Joint Lead Managers-Books 54054 1 2021-09-08 Bookrunner Mizuho Securities USA Inc MIZ JLMB Joint Lead Managers-Books 54054 1 2021-09-08 Bookrunner MUFG Securities Americas Inc MUFG JLMB Joint Lead Managers-Books 54054 1 2021-09-08 Bookrunner Rabo Securities USA Inc RABO JLMB Joint Lead Managers-Books 54054 1 2021-09-08 Bookrunner Scotia Capital USA Inc SCOTIA JLMB Joint Lead Managers-Books 54054 1 2021-09-08 Bookrunner SMBC Nikko Securities America SMBC JLMB Joint Lead Managers-Books 54054 1 2021-09-08 NonBookrunner BNP Paribas/New York BNPPAR GLCO Global Coordinator(s) 0 1 2021-09-08 NonBookrunner BofA Securities BofA GLCO Global Coordinator(s) 0 1 2021-09-08 NonBookrunner JP Morgan JPM GLCO Global Coordinator(s) 0 1 2021-09-08 NonBookrunner Mizuho Securities USA Inc MIZ GLCO Global Coordinator(s) 0 1 2021-09-08 NonBookrunner Rabo Securities USA Inc RABO GLCO Global Coordinator(s) 0 1 2021-09-08 NonBookrunner Scotia Capital USA Inc SCOTIA GLCO Global Coordinator(s) 0 1 2021-09-08 Trustee Deutsche Bank Trust Company Am DB PAAG Paying Agent(s) 0 7 2021-09-08 Trustee Deutsche Bank Trust Company Am DB TRST Trustee(s) 0 7 2021-09-08 Trustee Deutsche Bank Trust Company Am DB TRNS Transfer Agent(s) 0 7 2021-09-08 Trustee Deutsche Bank Trust Company Am DB RGST Registrar(s) 0 7 2021-09-08 Trustee Cleary Gottlieb Steen &amp; Hamilt CGS&amp;H LAI Legal Adviser to the Issuer(s) 0 16 2021-09-08 Trustee Internal Adviser IA LAI Legal Adviser to the Issuer(s) 0 16 2021-09-08 Trustee Weber Rechtsanwalte GmbH WEBERR LAI Legal Adviser to the Issuer(s) 0 16 2021-09-08 Trustee Allen &amp; Overy LLP ALLOVR LAM Legal Adviser(s) to the Manage 0 16 2021-09-08 Trustee Pinheiro &amp; Guimaraes Ltda PIGULT LAM Legal Adviser(s) to the Manage 0 16 2021-09-08 ESG Assurance Provider ISS-oekom ISSOEK SNPC 2nd Party Consultant 0 30 2021-09-08</t>
  </si>
  <si>
    <t>Verde Bidco SpA</t>
  </si>
  <si>
    <t>BR4160098</t>
  </si>
  <si>
    <t>BBG012HPF995</t>
  </si>
  <si>
    <t>ITLYUM</t>
  </si>
  <si>
    <t>2021-10-01</t>
  </si>
  <si>
    <t>2026-10-01</t>
  </si>
  <si>
    <t>Waste &amp; Environment Services &amp; Equipment</t>
  </si>
  <si>
    <t>Environmental</t>
  </si>
  <si>
    <t>Bookrunner BofA Securities Europe SA BOFAS SOLE Sole Manager 0 4 2021-11-26 Bookrunner Bank of America BA JLMB Joint Lead Managers-Books 0 4 2021-10-29 Bookrunner Credit Suisse CS JLMB Joint Lead Managers-Books 0 4 2021-10-29 #N/A N/A Latham &amp; Watkins LLP LATHAM LAM Legal Adviser(s) to the Manage 0 17 2021-10-29 Bookrunner Banca IMI B.IMI JLMB Joint Lead Managers-Books 0 1 2021-09-15 Bookrunner Bank of America Securities Ltd BASL JLMB Joint Lead Managers-Books 0 1 2021-09-15 Bookrunner Credit Suisse CS JLMB Joint Lead Managers-Books 0 1 2021-09-15 Bookrunner UniCredit UNICRD JLMB Joint Lead Managers-Books 0 1 2021-09-15 NonBookrunner Bank of America Securities Ltd BASL GLCO Global Coordinator(s) 0 1 2021-09-15 NonBookrunner Credit Suisse CS GLCO Global Coordinator(s) 0 1 2021-09-15 Trustee Bank of New York Mellon/London BNY PAAG Paying Agent(s) 0 7 2021-09-15 Trustee Law Debenture Trust Corp PLC LAWDEB TRST Trustee(s) 0 7 2021-09-15 Trustee Bank of New York Mellon/London BNY TRNS Transfer Agent(s) 0 7 2021-09-15 Trustee Bank of New York Mellon SA-NV/ BNYM RGST Registrar(s) 0 7 2021-09-15 Trustee Gattai Minoli Agostinelli &amp; Pa GATTAI LAI Legal Adviser to the Issuer(s) 0 16 2021-09-15 Trustee Weil Gotshal &amp; Manges LLP WG&amp;M LAI Legal Adviser to the Issuer(s) 0 16 2021-09-15 Trustee White &amp; Case LLP WC1 LAT Legal Adviser(s) to the Truste 0 16 2021-09-15 Trustee Latham &amp; Watkins LLP LATHAM LAM Legal Adviser(s) to the Manage 0 16 2021-09-15 Trustee Latham &amp; Watkins LLP LATHAM LAM Legal Adviser(s) to the Manage 0 16 2021-09-15</t>
  </si>
  <si>
    <t>BR4193255</t>
  </si>
  <si>
    <t>BBG012HQDNP6</t>
  </si>
  <si>
    <t>STEP-UP PREMIUM: REDEMPTION 0.3% (A) + 0.3% (B) OF PRINCIPAL AMOUNT OF THE NOTES UNLESS ACHIEVED (A) CO2 AVOIDED EMISSIONS TARGET AND (B) QUANT. OF WASTE TARGET</t>
  </si>
  <si>
    <t>Bookrunner BofA Securities Europe SA BOFAS SOLE Sole Manager 0 4 2021-11-26 Bookrunner Bank of America BA JLMB Joint Lead Managers-Books 0 4 2021-10-29 Bookrunner Credit Suisse CS JLMB Joint Lead Managers-Books 0 4 2021-10-29 #N/A N/A Latham &amp; Watkins LLP LATHAM LAM Legal Adviser(s) to the Manage 0 17 2021-10-29 Bookrunner Banca IMI B.IMI JLMB Joint Lead Managers-Books 0 1 2021-09-15 Bookrunner Bank of America Securities Ltd BASL JLMB Joint Lead Managers-Books 0 1 2021-09-15 Bookrunner Credit Suisse CS JLMB Joint Lead Managers-Books 0 1 2021-09-15 Bookrunner UniCredit UNICRD JLMB Joint Lead Managers-Books 0 1 2021-09-15 NonBookrunner Bank of America Securities Ltd BASL GLCO Global Coordinator(s) 0 1 2021-09-15 NonBookrunner Credit Suisse CS GLCO Global Coordinator(s) 0 1 2021-09-15 Trustee Bank of New York Mellon/London BNY PAAG Paying Agent(s) 0 7 2021-09-15 Trustee Law Debenture Trust Corp PLC LAWDEB TRST Trustee(s) 0 7 2021-09-15 Trustee Bank of New York Mellon/London BNY TRNS Transfer Agent(s) 0 7 2021-09-15 Trustee Bank of New York Mellon SA-NV/ BNYM RGST Registrar(s) 0 7 2021-09-15 Trustee Gattai Minoli Agostinelli &amp; Pa GATTAI LAI Legal Adviser to the Issuer(s) 0 16 2021-09-15 Trustee Weil Gotshal &amp; Manges LLP WG&amp;M LAI Legal Adviser to the Issuer(s) 0 16 2021-09-15 Trustee White &amp; Case LLP WC1 LAT Legal Adviser(s) to the Truste 0 16 2021-09-15 Trustee Latham &amp; Watkins LLP LATHAM LAM Legal Adviser(s) to the Manage 0 16 2021-09-15 Trustee Latham &amp; Watkins LLP LATHAM LAM Legal Adviser(s) to the Manage 0 16 2021-09-15 ESG Assurance Provider ISS-oekom ISSOEK SNPC 2nd Party Consultant 0 30 2021-09-15</t>
  </si>
  <si>
    <t>Johnson Controls International plc / Tyco Fire &amp; Security Finance SCA</t>
  </si>
  <si>
    <t>BR4231683</t>
  </si>
  <si>
    <t>BBG012HR2FX4</t>
  </si>
  <si>
    <t>JCI</t>
  </si>
  <si>
    <t>2031-09-16</t>
  </si>
  <si>
    <t>STEP UP MARGIN: 12.5BPS IF THE ISSUER DOES NOT SATISFY SCOPE 1 AND SCOPE 2 SPTS, ADDITIONAL 12.5BPS STEP-UP IF ISSUER DOES NOT SATISFY SCOPE 3 SPT</t>
  </si>
  <si>
    <t>Bookrunner Barclays Capital BCLY JLMB Joint Lead Managers-Books 116666 1 2021-09-13 Bookrunner Citigroup Global Markets Inc CITI JLMB Joint Lead Managers-Books 116666 1 2021-09-13 Bookrunner Credit Agricole Securities USA CASECS JLMB Joint Lead Managers-Books 116666 1 2021-09-13 Bookrunner Deutsche Bank Securities Inc DB JLMB Joint Lead Managers-Books 33334 1 2021-09-13 Bookrunner Morgan Stanley &amp; Co LLC MS JLMB Joint Lead Managers-Books 33334 1 2021-09-13 Bookrunner UniCredit Capital Markets Inc UNICRE JLMB Joint Lead Managers-Books 33334 1 2021-09-13 NonBookrunner BofA Securities BofA CM Co-Manager(s) 9091 1 2021-09-13 NonBookrunner CastleOak Securities CASOAK CM Co-Manager(s) 4545 1 2021-09-13 NonBookrunner Danske Markets DANSKE CM Co-Manager(s) 9091 1 2021-09-13 NonBookrunner JP Morgan Securities LLC JPM CM Co-Manager(s) 9091 1 2021-09-13 NonBookrunner Standard Chartered Bank (US) SCB CM Co-Manager(s) 9091 1 2021-09-13 NonBookrunner Westpac Banking Corporation WSTPAC CM Co-Manager(s) 9091 1 2021-09-13 Trustee US Bank National Association/U USBA PAAG Paying Agent(s) 0 7 2021-09-13 Trustee US Bank National Association/U USBA TRST Trustee(s) 0 7 2021-09-13 Trustee US Bank National Association/U USBA TRNS Transfer Agent(s) 0 7 2021-09-13 Trustee US Bank National Association/U USBA RGST Registrar(s) 0 7 2021-09-13 Trustee Allen &amp; Overy/Luxembourg ALLOVR LAI Legal Adviser to the Issuer(s) 0 16 2021-09-13 Trustee Arthur Cox ARTHUR LAI Legal Adviser to the Issuer(s) 0 16 2021-09-13 Trustee Simpson Thacher &amp; Bartlett ST&amp;B LAI Legal Adviser to the Issuer(s) 0 16 2021-09-13 Trustee Latham &amp; Watkins LLP LATHAM LAM Legal Adviser(s) to the Manage 0 16 2021-09-13 ESG Assurance Provider Sustainalytics BV SUSANA SNPC 2nd Party Consultant 0 30 2021-09-13</t>
  </si>
  <si>
    <t>Rumo Luxembourg Sarl</t>
  </si>
  <si>
    <t>BR4709829</t>
  </si>
  <si>
    <t>BBG012JJ8R40</t>
  </si>
  <si>
    <t>RAILBZ</t>
  </si>
  <si>
    <t>2021-09-22</t>
  </si>
  <si>
    <t>2032-01-18</t>
  </si>
  <si>
    <t>BB</t>
  </si>
  <si>
    <t>Railroad</t>
  </si>
  <si>
    <t>Railroads</t>
  </si>
  <si>
    <t>STEP-UP MARGIN: 25BP, STEP-UP EVENTS: DECEMBER 2026 17.6% REDUCTION OF GHG EMISSIONS.</t>
  </si>
  <si>
    <t>Bookrunner Banco Bradesco BBI SA BBBBI JLMB Joint Lead Managers-Books 50000 1 2021-09-15 Bookrunner Banco BTG Pactual SA/Cayman Is BTG JLMB Joint Lead Managers-Books 50000 1 2021-09-15 Bookrunner Citigroup Global Markets Inc CITI JLMB Joint Lead Managers-Books 50000 1 2021-09-15 Bookrunner Goldman Sachs International GSI JLMB Joint Lead Managers-Books 50000 1 2021-09-15 Bookrunner Itau BBA USA Securities Inc ITAU JLMB Joint Lead Managers-Books 50000 1 2021-09-15 Bookrunner JP Morgan Securities LLC JPM JLMB Joint Lead Managers-Books 50000 1 2021-09-15 Bookrunner Morgan Stanley &amp; Co LLC MS JLMB Joint Lead Managers-Books 50000 1 2021-09-15 Bookrunner Santander Investment Securitie SANTAN JLMB Joint Lead Managers-Books 50000 1 2021-09-15 Bookrunner UBS Securities LLC UBS JLMB Joint Lead Managers-Books 50000 1 2021-09-15 Bookrunner XP Investimentos CCTVM SA XPINVE JLMB Joint Lead Managers-Books 50000 1 2021-09-15 NonBookrunner Banco Itau BBA ITABBA GLCO Global Coordinator(s) 0 1 2021-09-15 NonBookrunner Banco Santander (US) SANTAN GLCO Global Coordinator(s) 0 1 2021-09-15 NonBookrunner Morgan Stanley MS GLCO Global Coordinator(s) 0 1 2021-09-15 Trustee UMB Bank NA UMB PAAG Paying Agent(s) 0 7 2021-09-15 Trustee UMB Bank NA UMB TRST Trustee(s) 0 7 2021-09-15 Trustee UMB Bank NA UMB TRNS Transfer Agent(s) 0 7 2021-09-15 Trustee Banque Internationale a Luxemb BIL LIST Listing Agent(s) 0 7 2021-09-15 Trustee UMB Bank NA UMB RGST Registrar(s) 0 7 2021-09-15 Trustee Davis Polk &amp; Wardwell LLP/Braz DAVPOL LAI Legal Adviser to the Issuer(s) 0 16 2021-09-15 Trustee Lefosse Advogados LEFOSS LAI Legal Adviser to the Issuer(s) 0 16 2021-09-15 Trustee Loyens &amp; Loeff NV/Luxembourg L&amp;L LAI Legal Adviser to the Issuer(s) 0 16 2021-09-15 Trustee Pinheiro Guimaraes Advogados PINGUI LAM Legal Adviser(s) to the Manage 0 16 2021-09-15 Trustee White &amp; Case/Sao Paulo WTCASE LAM Legal Adviser(s) to the Manage 0 16 2021-09-15 ESG Assurance Provider Sustainalytics BV SUSANA SNPC 2nd Party Consultant 0 30 2021-09-15</t>
  </si>
  <si>
    <t>BR4709845</t>
  </si>
  <si>
    <t>BBG012JJ8RD0</t>
  </si>
  <si>
    <t>STEP-UP MARGIN: 25BP, STEP-UP EVENTS: DECEMBER 2026 REDUCTION OF GHG EMISSIONS.</t>
  </si>
  <si>
    <t>Bookrunner Banco Bradesco BBI SA BBBBI JLMB Joint Lead Managers-Books 50000 1 2021-09-15 Bookrunner Banco BTG Pactual SA/Cayman Is BTG JLMB Joint Lead Managers-Books 50000 1 2021-09-15 Bookrunner Citigroup Global Markets Inc CITI JLMB Joint Lead Managers-Books 50000 1 2021-09-15 Bookrunner Goldman Sachs International GSI JLMB Joint Lead Managers-Books 50000 1 2021-09-15 Bookrunner Itau BBA USA Securities Inc ITAU JLMB Joint Lead Managers-Books 50000 1 2021-09-15 Bookrunner JP Morgan Securities LLC JPM JLMB Joint Lead Managers-Books 50000 1 2021-09-15 Bookrunner Morgan Stanley &amp; Co LLC MS JLMB Joint Lead Managers-Books 50000 1 2021-09-15 Bookrunner Santander Investment Securitie SANTAN JLMB Joint Lead Managers-Books 50000 1 2021-09-15 Bookrunner UBS Securities LLC UBS JLMB Joint Lead Managers-Books 50000 1 2021-09-15 Bookrunner XP Investimentos CCTVM SA XPINVE JLMB Joint Lead Managers-Books 50000 1 2021-09-15 NonBookrunner Banco Itau BBA ITABBA GLCO Global Coordinator(s) 0 1 2021-09-15 NonBookrunner Banco Santander (US) SANTAN GLCO Global Coordinator(s) 0 1 2021-09-15 NonBookrunner Morgan Stanley MS GLCO Global Coordinator(s) 0 1 2021-09-15 Trustee UMB Bank NA UMB PAAG Paying Agent(s) 0 7 2021-09-15 Trustee UMB Bank NA UMB TRST Trustee(s) 0 7 2021-09-15 Trustee UMB Bank NA UMB TRNS Transfer Agent(s) 0 7 2021-09-15 Trustee Banque Internationale a Luxemb BIL LIST Listing Agent(s) 0 7 2021-09-15 Trustee UMB Bank NA UMB RGST Registrar(s) 0 7 2021-09-15 Trustee Davis Polk &amp; Wardwell LLP/Braz DAVPOL LAI Legal Adviser to the Issuer(s) 0 16 2021-09-15 Trustee Lefosse Advogados LEFOSS LAI Legal Adviser to the Issuer(s) 0 16 2021-09-15 Trustee Loyens &amp; Loeff NV/Luxembourg L&amp;L LAI Legal Adviser to the Issuer(s) 0 16 2021-09-15 Trustee Pinheiro Guimaraes Advogados PINGUI LAM Legal Adviser(s) to the Manage 0 16 2021-09-15 Trustee White &amp; Case/Sao Paulo WTCASE LAM Legal Adviser(s) to the Manage 0 16 2021-09-15</t>
  </si>
  <si>
    <t>Granges AB</t>
  </si>
  <si>
    <t>BR5281596</t>
  </si>
  <si>
    <t>BBG012MYMBX0</t>
  </si>
  <si>
    <t>GRNGSS</t>
  </si>
  <si>
    <t>2021-09-29</t>
  </si>
  <si>
    <t>2026-09-29</t>
  </si>
  <si>
    <t>BOND REDEEMED AT 101.20% IF SPTs NOT MET (40 BPS PER SPT). SPTs 1,2 = CARBON EMISSIONS INTENSITY, SPT 3 = SHARE OF RECYCLED ALUMINIUM</t>
  </si>
  <si>
    <t>Bookrunner Danske Bank DANSKE JLMB Joint Lead Managers-Books 0 1 2021-09-22 Bookrunner Nordea NORDEA JLMB Joint Lead Managers-Books 0 1 2021-09-22</t>
  </si>
  <si>
    <t>BR5522767</t>
  </si>
  <si>
    <t>BBG012NHN0K3</t>
  </si>
  <si>
    <t>2021-09-28</t>
  </si>
  <si>
    <t>2026-05-28</t>
  </si>
  <si>
    <t>Bookrunner Banco Bilbao Vizcaya Argentari BBVA JLMB Joint Lead Managers-Books 0 1 2021-09-21 Bookrunner Banco Santander SANT JLMB Joint Lead Managers-Books 0 1 2021-09-21 Bookrunner BNP Paribas BNPP JLMB Joint Lead Managers-Books 0 1 2021-09-21 Bookrunner Credit Agricole CIB CACIB JLMB Joint Lead Managers-Books 0 1 2021-09-21 Bookrunner Credit Suisse CS JLMB Joint Lead Managers-Books 0 1 2021-09-21 Bookrunner Deutsche Bank DB JLMB Joint Lead Managers-Books 0 1 2021-09-21 Bookrunner Goldman Sachs Bank Europe SE GS JLMB Joint Lead Managers-Books 0 1 2021-09-21 Bookrunner IMI - Intesa Sanpaolo IMI JLMB Joint Lead Managers-Books 0 1 2021-09-21 Bookrunner JP Morgan Securities PLC JPM JLMB Joint Lead Managers-Books 0 1 2021-09-21 Bookrunner Mediobanca MEDBCA JLMB Joint Lead Managers-Books 0 1 2021-09-21 Bookrunner MUFG Securities EMEA PLC MUFG JLMB Joint Lead Managers-Books 0 1 2021-09-21 Bookrunner Natixis NATIX JLMB Joint Lead Managers-Books 0 1 2021-09-21 Bookrunner Societe Generale SG JLMB Joint Lead Managers-Books 0 1 2021-09-21 Bookrunner UniCredit UNICRD JLMB Joint Lead Managers-Books 0 1 2021-09-21 Trustee Allen &amp; Overy LLP ALLOVR LAI Legal Adviser to the Issuer(s) 0 16 2021-09-21 ESG Assurance Provider Vigeo SASV VIGEO SNPC 2nd Party Consultant 0 30 2021-09-21</t>
  </si>
  <si>
    <t>BR5522783</t>
  </si>
  <si>
    <t>BBG012NHN0Q7</t>
  </si>
  <si>
    <t>2029-05-28</t>
  </si>
  <si>
    <t>eMtN</t>
  </si>
  <si>
    <t>Bookrunner Banca IMI B.IMI JLMB Joint Lead Managers-Books 0 1 2021-09-21 Bookrunner Banco Bilbao Vizcaya Argentari BBVA JLMB Joint Lead Managers-Books 0 1 2021-09-21 Bookrunner Banco Santander SANT JLMB Joint Lead Managers-Books 0 1 2021-09-21 Bookrunner Banco Santander SA/London SANTAN JLMB Joint Lead Managers-Books 0 1 2021-09-21 Bookrunner BNP Paribas BNPP JLMB Joint Lead Managers-Books 0 1 2021-09-21 Bookrunner Credit Agricole CIB CACIB JLMB Joint Lead Managers-Books 0 1 2021-09-21 Bookrunner Credit Suisse CS JLMB Joint Lead Managers-Books 0 1 2021-09-21 Bookrunner Deutsche Bank DB JLMB Joint Lead Managers-Books 0 1 2021-09-21 Bookrunner Goldman Sachs International GSI JLMB Joint Lead Managers-Books 0 1 2021-09-21 Bookrunner JP Morgan Securities PLC JPM JLMB Joint Lead Managers-Books 0 1 2021-09-21 Bookrunner Mediobanca MEDBCA JLMB Joint Lead Managers-Books 0 1 2021-09-21 Bookrunner MUFG Securities EMEA PLC MUFG JLMB Joint Lead Managers-Books 0 1 2021-09-21 Bookrunner Natixis NATIX JLMB Joint Lead Managers-Books 0 1 2021-09-21 Bookrunner Societe Generale SG JLMB Joint Lead Managers-Books 0 1 2021-09-21 Bookrunner UniCredit UNICRD JLMB Joint Lead Managers-Books 0 1 2021-09-21 Trustee Allen &amp; Overy LLP ALLOVR LAI Legal Adviser to the Issuer(s) 0 16 2021-09-21 ESG Assurance Provider Vigeo SASV VIGEO SNPC 2nd Party Consultant 0 30 2021-09-21</t>
  </si>
  <si>
    <t>BR5522809</t>
  </si>
  <si>
    <t>BBG012NHN0W0</t>
  </si>
  <si>
    <t>2034-09-28</t>
  </si>
  <si>
    <t>STEP-UP MARGIN: 25BP, STEP-UP EVENT: 12/31/30 DIRECT GHG EMISSIONS BEING ABOVE 82G/KWHEQ</t>
  </si>
  <si>
    <t>Bookrunner Banca IMI B.IMI JLMB Joint Lead Managers-Books 0 1 2021-09-21 Bookrunner Banco Bilbao Vizcaya Argentari BBVA JLMB Joint Lead Managers-Books 0 1 2021-09-21 Bookrunner Banco Santander SA/London SANTAN JLMB Joint Lead Managers-Books 0 1 2021-09-21 Bookrunner BNP Paribas BNPP JLMB Joint Lead Managers-Books 0 1 2021-09-21 Bookrunner Credit Agricole CIB CACIB JLMB Joint Lead Managers-Books 0 1 2021-09-21 Bookrunner Credit Suisse CS JLMB Joint Lead Managers-Books 0 1 2021-09-21 Bookrunner Deutsche Bank DB JLMB Joint Lead Managers-Books 0 1 2021-09-21 Bookrunner Goldman Sachs International GSI JLMB Joint Lead Managers-Books 0 1 2021-09-21 Bookrunner JP Morgan Securities PLC JPM JLMB Joint Lead Managers-Books 0 1 2021-09-21 Bookrunner Mediobanca MEDBCA JLMB Joint Lead Managers-Books 0 1 2021-09-21 Bookrunner MUFG Securities EMEA PLC MUFG JLMB Joint Lead Managers-Books 0 1 2021-09-21 Bookrunner Natixis NATIX JLMB Joint Lead Managers-Books 0 1 2021-09-21 Bookrunner Societe Generale SG JLMB Joint Lead Managers-Books 0 1 2021-09-21 Bookrunner UniCredit UNICRD JLMB Joint Lead Managers-Books 0 1 2021-09-21 Trustee Allen &amp; Overy LLP ALLOVR LAI Legal Adviser to the Issuer(s) 0 16 2021-09-21 ESG Assurance Provider Vigeo SASV VIGEO SNPC 2nd Party Consultant 0 30 2021-09-21</t>
  </si>
  <si>
    <t>Legrand SA</t>
  </si>
  <si>
    <t>BR6431919</t>
  </si>
  <si>
    <t>BBG012Q9B4H7</t>
  </si>
  <si>
    <t>LRFP</t>
  </si>
  <si>
    <t>2021-10-06</t>
  </si>
  <si>
    <t>2031-10-06</t>
  </si>
  <si>
    <t>STEP-UP MARGIN: 25BPS PER SPT; SPT1, SPT2 GHG EMISSIONS REDUCTION</t>
  </si>
  <si>
    <t>Bookrunner BNP Paribas BNPP JLMB Joint Lead Managers-Books 0 1 2021-09-29 Bookrunner CM-CIC Securities SA CMCIC JLMB Joint Lead Managers-Books 0 1 2021-09-29 Bookrunner Credit Agricole CIB CACIB JLMB Joint Lead Managers-Books 0 1 2021-09-29 Bookrunner Goldman Sachs Bank Europe SE GS JLMB Joint Lead Managers-Books 0 1 2021-09-29 Bookrunner HSBC HSBC JLMB Joint Lead Managers-Books 0 1 2021-09-29 Bookrunner JP Morgan JPM JLMB Joint Lead Managers-Books 0 1 2021-09-29 Bookrunner Natixis NATIX JLMB Joint Lead Managers-Books 0 1 2021-09-29 Bookrunner Societe Generale SG JLMB Joint Lead Managers-Books 0 1 2021-09-29 NonBookrunner BNP Paribas BNPP GLCO Global Coordinator(s) 0 1 2021-09-29 NonBookrunner Credit Agricole CIB CACIB GLCO Global Coordinator(s) 0 1 2021-09-29 NonBookrunner Societe Generale SG GLCO Global Coordinator(s) 0 1 2021-09-29 Trustee Credit Agricole CIB CACIB ESGA ESG Agent 0 7 2021-09-29 Trustee Linklaters LLP L&amp;A LAI Legal Adviser to the Issuer(s) 0 16 2021-09-29 Trustee Allen &amp; Overy LLP ALLOVR LAM Legal Adviser(s) to the Manage 0 16 2021-09-29</t>
  </si>
  <si>
    <t>Elecnor SA</t>
  </si>
  <si>
    <t>BR6478951</t>
  </si>
  <si>
    <t>BBG012QBV2N7</t>
  </si>
  <si>
    <t>ENOSM</t>
  </si>
  <si>
    <t>2021-09-30</t>
  </si>
  <si>
    <t>2035-09-30</t>
  </si>
  <si>
    <t>COUPON STEP-UP: 2.5BPS PER KPI1: GREEN HOUSE GAS EMISSION KPI2: LABOR</t>
  </si>
  <si>
    <t>Bookrunner Banco Sabadell SABADL LMGR Lead Manager(s) 0 1 2021-09-27 Trustee Banco Sabadell SABADL PLAG Placement Agent(s) 0 7 2021-09-27 Trustee Banco de Sabadell SA/Spain BANSAB CALC Calculation Agent(s) 0 7 2021-09-27 Trustee Cuatrecasas CCP TRST Trustee(s) 0 7 2021-09-27 ESG Assurance Provider G-Advisory GADVIS SNPC 2nd Party Consultant 0 30 2021-09-27</t>
  </si>
  <si>
    <t>Biesterfeld AG</t>
  </si>
  <si>
    <t>BR6744469</t>
  </si>
  <si>
    <t>BBG012QT8QL3</t>
  </si>
  <si>
    <t>BIFELD</t>
  </si>
  <si>
    <t>2021-11-10</t>
  </si>
  <si>
    <t>2031-11-10</t>
  </si>
  <si>
    <t>SUSTAINABILITY PRICING ADJUSTMENT: +/- 5BPS IF ESG SCORE &lt;=53 / &gt;=63 UP TO 2025; +/- 5BPS IF &lt;=58 / &gt;=68 FROM 2026.</t>
  </si>
  <si>
    <t>Bookrunner Landesbank Baden-Wuerttemberg LBBW SOLE Sole Manager 0 1 2021-11-10</t>
  </si>
  <si>
    <t>BR6752157</t>
  </si>
  <si>
    <t>BBG012QTFC18</t>
  </si>
  <si>
    <t>2028-11-10</t>
  </si>
  <si>
    <t>BR6756869</t>
  </si>
  <si>
    <t>BBG012QTJF26</t>
  </si>
  <si>
    <t>2026-11-10</t>
  </si>
  <si>
    <t>Nederlandse Gasunie NV</t>
  </si>
  <si>
    <t>BR7204091</t>
  </si>
  <si>
    <t>BBG012RXZWC0</t>
  </si>
  <si>
    <t>NEGANV</t>
  </si>
  <si>
    <t>2021-10-13</t>
  </si>
  <si>
    <t>2036-10-13</t>
  </si>
  <si>
    <t>STEP-UP MARGIN: 10BPS PER KPI. STEP-UP EVENTS: REDUCTION OF METHANE EMISSIONS, GREENHOUSE GAS EMISSIONS</t>
  </si>
  <si>
    <t>Bookrunner ABN Amro Bank NV ABN JLMB Joint Lead Managers-Books 0 1 2021-10-01 Bookrunner Credit Agricole CIB CACIB JLMB Joint Lead Managers-Books 0 1 2021-10-01 Bookrunner ING Groep ING JLMB Joint Lead Managers-Books 0 1 2021-10-01 NonBookrunner NatWest Markets NWM JLM Joint Lead Managers-No Books 0 1 2021-10-01 Trustee Deutsche Bank AG London DB PAAG Paying Agent(s) 0 7 2021-10-01 Trustee Deutsche Bank AG London DB ISAG Issuing Agent(s) 0 7 2021-10-01 Trustee De Brauw Blackstone Westbroek DEBRAU LAI Legal Adviser to the Issuer(s) 0 16 2021-10-01 Trustee Allen &amp; Overy LLP ALLOVR LAM Legal Adviser(s) to the Manage 0 16 2021-10-01 ESG Assurance Provider ISS-oekom ISSOEK SNPC 2nd Party Consultant 0 30 2021-10-01</t>
  </si>
  <si>
    <t>Cullinan Holdco Scsp</t>
  </si>
  <si>
    <t>BR7695454</t>
  </si>
  <si>
    <t>BBG012T90WR3</t>
  </si>
  <si>
    <t>GRAANU</t>
  </si>
  <si>
    <t>2021-10-12</t>
  </si>
  <si>
    <t>2026-10-15</t>
  </si>
  <si>
    <t>Renewable Energy</t>
  </si>
  <si>
    <t>STEP-UP MARGIN: 75BPS, STEP-UP EVENT: FAILURE TO TO REDUCE GRAMS OF CO2 EQUIVALENTS PER MEGAJOULE OF ENERGY CONTAINED IN PELLETS (GCO2-EQ/MJ) BY 5% BY DEC-2024</t>
  </si>
  <si>
    <t>Bookrunner Barclays BARCS JLMB Joint Lead Managers-Books 0 1 2021-10-07 Bookrunner Goldman Sachs International GSI JLMB Joint Lead Managers-Books 0 1 2021-10-07 Bookrunner RBC Capital Markets RBCCM JLMB Joint Lead Managers-Books 0 1 2021-10-07 NonBookrunner Luminor Bank AS/Estonia LUMINO CLM Co-Lead Manager(s) 0 1 2021-10-07 NonBookrunner Goldman Sachs International GSI GLCO Global Coordinator(s) 0 1 2021-10-07 Trustee Allen &amp; Overy LLP ALLOVR LAI Legal Adviser to the Issuer(s) 0 16 2021-10-07 Trustee Barclays BARCS STRA Structuring Agent(s) 0 7 2021-10-04 Trustee Goldman Sachs International GSI STRA Structuring Agent(s) 0 7 2021-10-04</t>
  </si>
  <si>
    <t>BR7695462</t>
  </si>
  <si>
    <t>BBG012T90X73</t>
  </si>
  <si>
    <t>Bookrunner Barclays BARCS JLMB Joint Lead Managers-Books 0 1 2021-10-07 Bookrunner Goldman Sachs International GSI JLMB Joint Lead Managers-Books 0 1 2021-10-07 Bookrunner RBC Capital Markets RBCCM JLMB Joint Lead Managers-Books 0 1 2021-10-07 NonBookrunner Luminor Bank AS/Estonia LUMINO CLM Co-Lead Manager(s) 0 1 2021-10-07 NonBookrunner Goldman Sachs International GSI GLCO Global Coordinator(s) 0 1 2021-10-07 Trustee Barclays BARCS STRA Structuring Agent(s) 0 7 2021-10-07 Trustee Goldman Sachs International GSI STRA Structuring Agent(s) 0 7 2021-10-07 Trustee Allen &amp; Overy LLP ALLOVR LAI Legal Adviser to the Issuer(s) 0 16 2021-10-07</t>
  </si>
  <si>
    <t>BR7695512</t>
  </si>
  <si>
    <t>BBG012T91029</t>
  </si>
  <si>
    <t>BR7695538</t>
  </si>
  <si>
    <t>BBG012T910Q3</t>
  </si>
  <si>
    <t>Louis Dreyfus Co BV</t>
  </si>
  <si>
    <t>BR8722620</t>
  </si>
  <si>
    <t>BBG012WWV5T1</t>
  </si>
  <si>
    <t>LOUDRE</t>
  </si>
  <si>
    <t>2026-10-13</t>
  </si>
  <si>
    <t>JPY</t>
  </si>
  <si>
    <t>Retail - Consumer Staples</t>
  </si>
  <si>
    <t>STEP-UP/STEP-DOWN MARGIN: 1BP PER KPI; KPIs: GHG EMISSIONS, ELECTRICITY CONSUMPTION, WATER CONSUMPTION, SOLID WASTE REDUCTION</t>
  </si>
  <si>
    <t>Bookrunner DBS Bank Ltd/London DBS LMGR Lead Manager(s) 0 1 2021-10-08 Trustee BNP Paribas Securities Service BNPPAR PAAG Paying Agent(s) 0 7 2021-10-08 Trustee BNP Paribas Securities Service BNPPAR FISC Fiscal Agent(s) 0 7 2021-10-08</t>
  </si>
  <si>
    <t>Hera SpA</t>
  </si>
  <si>
    <t>BR8975129</t>
  </si>
  <si>
    <t>BBG012XGD551</t>
  </si>
  <si>
    <t>HERIM</t>
  </si>
  <si>
    <t>2021-10-25</t>
  </si>
  <si>
    <t>2034-04-25</t>
  </si>
  <si>
    <t>Government Sponsored</t>
  </si>
  <si>
    <t>STEP-UP MARGIN: 20, 15BPS. STEP-UP DEVENTS: REDUCTION GREENHOUSE GAS EMISSIONS, INCREASE IN PLASTIC RECYCLING</t>
  </si>
  <si>
    <t>Bookrunner Banco Santander SANT JLMB Joint Lead Managers-Books 0 1 2021-10-13 Bookrunner BNP Paribas/London BNPPAR JLMB Joint Lead Managers-Books 0 1 2021-10-13 Bookrunner Credit Agricole CIB CACIB JLMB Joint Lead Managers-Books 0 1 2021-10-13 Bookrunner IMI - Intesa Sanpaolo IMI JLMB Joint Lead Managers-Books 0 1 2021-10-13 Bookrunner Mediobanca MEDBCA JLMB Joint Lead Managers-Books 0 1 2021-10-13 Bookrunner UniCredit UNICRD JLMB Joint Lead Managers-Books 0 1 2021-10-13 Trustee Bank of New York Mellon/London BNY FISC Fiscal Agent(s) 0 7 2021-10-13 Trustee Walkers Listing Services Ltd WALLIS LIST Listing Agent(s) 0 7 2021-10-13 Trustee Legance Avvocati Associati LSLA LAI Legal Adviser to the Issuer(s) 0 16 2021-10-13 Trustee Linklaters LLP L&amp;A LAM Legal Adviser(s) to the Manage 0 16 2021-10-13 Trustee Studio Legale Associato assoc LINKLA LAM Legal Adviser(s) to the Manage 0 16 2021-10-13 ESG Assurance Provider Sustainable Resources Developm SUSRES SNPC 2nd Party Consultant 0 30 2021-10-13</t>
  </si>
  <si>
    <t>OVS SpA</t>
  </si>
  <si>
    <t>BS0195161</t>
  </si>
  <si>
    <t>BBG0132T5YC3</t>
  </si>
  <si>
    <t>GCNIM</t>
  </si>
  <si>
    <t>2027-11-10</t>
  </si>
  <si>
    <t>SUSTAINABILITY PRICING ADJUSTMENT: MARGIN STEP-UP UP TO 25BPS IF KPI ARE NOT MET.  SCOPE 1, 2 AND 3 GHG EMISSIONS.</t>
  </si>
  <si>
    <t>Bookrunner Not Available N/A LMGR Lead Manager(s) 0 1 2021-10-25 Trustee Equita SIM SpA EQUSIM PLAG Placement Agent(s) 0 7 2021-10-25 Trustee Bank of New York Mellon/London BNY PAAG Paying Agent(s) 0 7 2021-10-25 Trustee Bank of New York Mellon BNYM FISC Fiscal Agent(s) 0 7 2021-10-25 Trustee Arthur Cox Listing Services ARTHUR LIST Listing Agent(s) 0 7 2021-10-25 Trustee Latham &amp; Watkins LLP/Singapore LATHAM LAI Legal Adviser to the Issuer(s) 0 16 2021-10-25 Trustee Visentin &amp; Partners VISENT LATX Legal Adviser(s) to Tax 0 16 2021-10-25 ESG Assurance Provider Sustainalytics BV SUSANA SNPC 2nd Party Consultant 0 30 2021-10-25</t>
  </si>
  <si>
    <t>Renolit SE</t>
  </si>
  <si>
    <t>BS0343308</t>
  </si>
  <si>
    <t>BBG013347KZ0</t>
  </si>
  <si>
    <t>RENODE</t>
  </si>
  <si>
    <t>2021-12-13</t>
  </si>
  <si>
    <t>2028-12-13</t>
  </si>
  <si>
    <t>ESG-LINKED SCHULDSCHEIN. SUSTAINABILITY PRICING ADJUSTMENT: +/- 2BPS PER KPI. KPIS: ENERGY EFFICIENCY; RECYCLING; DIVERSITY.</t>
  </si>
  <si>
    <t>Bookrunner BNP Paribas/Frankfurt BNP JLMB Joint Lead Managers-Books 0 1 2021-12-13 Bookrunner Landesbank Hessen-Thuringen Gi HELABA JLMB Joint Lead Managers-Books 0 1 2021-12-13 Bookrunner Landesbank Baden-Wuerttemberg LBBW JLMB Joint Lead Managers-Books 0 1 2021-12-13</t>
  </si>
  <si>
    <t>BS0344702</t>
  </si>
  <si>
    <t>BBG01334G0G5</t>
  </si>
  <si>
    <t>2024-12-13</t>
  </si>
  <si>
    <t>Bookrunner BNP Paribas BNPP JLMB Joint Lead Managers-Books 0 1 2021-12-13 Bookrunner Landesbank Hessen-Thuringen Gi HELABA JLMB Joint Lead Managers-Books 0 1 2021-12-13 Bookrunner Landesbank Baden-Wuerttemberg LBBW JLMB Joint Lead Managers-Books 0 1 2021-12-13</t>
  </si>
  <si>
    <t>BS0345642</t>
  </si>
  <si>
    <t>BBG01334KXV1</t>
  </si>
  <si>
    <t>2026-12-13</t>
  </si>
  <si>
    <t>Seche Environnement SA</t>
  </si>
  <si>
    <t>BS1023271</t>
  </si>
  <si>
    <t>BBG0135GHFL6</t>
  </si>
  <si>
    <t>SCHPFP</t>
  </si>
  <si>
    <t>2021-11-04</t>
  </si>
  <si>
    <t>2028-11-15</t>
  </si>
  <si>
    <t>SUSTBLTY PRFM TGTS: REDUCE GHG EMIS BY 10% BY 2025 WITH 2020 BASE YEAR; GHG EMISSIONS BY 40% BY 2025. ZERO SPT MET: +25 BPS / ONE SPT MET: +12.5 BPS</t>
  </si>
  <si>
    <t>Bookrunner BNP Paribas BNPP JLMB Joint Lead Managers-Books 0 1 2021-10-28 NonBookrunner Credit Agricole CIB CACIB JLM Joint Lead Managers-No Books 0 1 2021-10-28 NonBookrunner Natixis NATIX JLM Joint Lead Managers-No Books 0 1 2021-10-28 Bookrunner BNP Paribas BNPP LEFT Left Lead 0 1 2021-10-28 Trustee White &amp; Case LLP W&amp;C LAI Legal Adviser to the Issuer(s) 0 16 2021-10-28 Trustee Latham &amp; Watkins LLP LATHAM LAM Legal Adviser(s) to the Manage 0 16 2021-10-28 ESG Assurance Provider S&amp;P Global Inc SPGI SNPC 2nd Party Consultant 0 30 2021-10-28</t>
  </si>
  <si>
    <t>Greenfood AB</t>
  </si>
  <si>
    <t>BS1439477</t>
  </si>
  <si>
    <t>BBG013686HY7</t>
  </si>
  <si>
    <t>GREFOD</t>
  </si>
  <si>
    <t>2025-11-04</t>
  </si>
  <si>
    <t>Bookrunner Pareto Securities PARETO JLMB Joint Lead Managers-Books 0 1 2021-10-28 Bookrunner Swedbank SWED JLMB Joint Lead Managers-Books 0 1 2021-10-28 Trustee Nordic Trustee AB NRDTRS TRST Trustee(s) 0 7 2021-10-28 Trustee White &amp; Case LLP W&amp;C LAI Legal Adviser to the Issuer(s) 0 16 2021-10-28</t>
  </si>
  <si>
    <t>RHI Magnesita GmbH</t>
  </si>
  <si>
    <t>BS1742383</t>
  </si>
  <si>
    <t>BBG0136SDTT5</t>
  </si>
  <si>
    <t>RHIMLN</t>
  </si>
  <si>
    <t>2021-12-07</t>
  </si>
  <si>
    <t>2031-12-07</t>
  </si>
  <si>
    <t>SUSTAINABILITY PRICING ADJUSTMENT:-3BPS IF ESG SCORE +4 POINTS; +3BPS IF ESG SCORE -6 POINTS.</t>
  </si>
  <si>
    <t>Bookrunner Landesbank Hessen-Thuringen Gi HELABA JLMB Joint Lead Managers-Books 0 1 2021-12-07 Bookrunner Raiffeisen Bank International RAIINT JLMB Joint Lead Managers-Books 0 1 2021-12-07 Trustee Clifford Chance LLP CHANCE LAI Legal Adviser to the Issuer(s) 0 16 2021-12-07</t>
  </si>
  <si>
    <t>BS1742524</t>
  </si>
  <si>
    <t>BBG0136SGRY0</t>
  </si>
  <si>
    <t>2029-12-07</t>
  </si>
  <si>
    <t>8Y</t>
  </si>
  <si>
    <t>BS1742532</t>
  </si>
  <si>
    <t>BBG0136SGSG8</t>
  </si>
  <si>
    <t>BS1742540</t>
  </si>
  <si>
    <t>BBG0136SGTV9</t>
  </si>
  <si>
    <t>2026-06-07</t>
  </si>
  <si>
    <t>5.5Y</t>
  </si>
  <si>
    <t>Teva Pharmaceutical Finance Netherlands II BV</t>
  </si>
  <si>
    <t>BS1759346</t>
  </si>
  <si>
    <t>BBG0136TNNQ8</t>
  </si>
  <si>
    <t>TEVA</t>
  </si>
  <si>
    <t>IL</t>
  </si>
  <si>
    <t>2021-11-09</t>
  </si>
  <si>
    <t>2027-05-09</t>
  </si>
  <si>
    <t>Health Care</t>
  </si>
  <si>
    <t>Pharmaceuticals</t>
  </si>
  <si>
    <t>CPN STEP-UP 0.125% IF SUSTAINABILITY PERF TARGET NOT ACHIEVED BY 12/31/2025</t>
  </si>
  <si>
    <t>Bookrunner BNP Paribas/New York BNPPAR JLMB Joint Lead Managers-Books 154000 1 2021-11-02 Bookrunner BofA Securities BofA JLMB Joint Lead Managers-Books 154000 1 2021-11-02 Bookrunner Citigroup Global Markets Europ CITI JLMB Joint Lead Managers-Books 154000 1 2021-11-02 Bookrunner Goldman Sachs Bank Europe SE GS JLMB Joint Lead Managers-Books 154000 1 2021-11-02 Bookrunner HSBC Securities HSBC JLMB Joint Lead Managers-Books 112750 1 2021-11-02 Bookrunner JP Morgan AG JPM JLMB Joint Lead Managers-Books 112750 1 2021-11-02 Bookrunner Mizuho Securities Europe GmbH MIZUHO JLMB Joint Lead Managers-Books 112750 1 2021-11-02 Bookrunner MUFG Securities Europe NV MUFG JLMB Joint Lead Managers-Books 112750 1 2021-11-02 NonBookrunner Intesa Sanpaolo/NY INTESA CM Co-Manager(s) 16500 1 2021-11-02 NonBookrunner PNC Capital Markets LLC PNC CM Co-Manager(s) 16500 1 2021-11-02 Trustee Bank of New York Mellon BNYM PAAG Paying Agent(s) 0 7 2021-11-02 Trustee Bank of New York Mellon BNYM TRST Trustee(s) 0 7 2021-11-02 Trustee Kirkland &amp; Ellis K&amp;E LAI Legal Adviser to the Issuer(s) 0 16 2021-11-02 Trustee Tulchinsky Marciano Cohen Levi TUMACO LAI Legal Adviser to the Issuer(s) 0 16 2021-11-02 Trustee Van Doorne NV VANDOO LAI Legal Adviser to the Issuer(s) 0 16 2021-11-02 Trustee Baker McKenzie/London BKLNDN LAM Legal Adviser(s) to the Manage 0 16 2021-11-02 Trustee Herzog Fox &amp; Neeman HERZOG LAM Legal Adviser(s) to the Manage 0 16 2021-11-02 ESG Assurance Provider ISS-oekom ISSOEK SNPC 2nd Party Consultant 0 30 2021-11-02</t>
  </si>
  <si>
    <t>BS1759429</t>
  </si>
  <si>
    <t>BBG0136TNQ18</t>
  </si>
  <si>
    <t>2030-05-09</t>
  </si>
  <si>
    <t>STEP-UP MARGIN: 15 BPS. STEP-UP DEVENTS: REGULATORY SUBMISSIONS TARGET, PRODUCT VOLUME TARGET, REDUCTION GREENHOUSE GAS EMISSIONS</t>
  </si>
  <si>
    <t>Bookrunner BNP Paribas/New York BNPPAR JLMB Joint Lead Managers-Books 210000 1 2021-11-02 Bookrunner BofA Securities BofA JLMB Joint Lead Managers-Books 210000 1 2021-11-02 Bookrunner Citigroup Global Markets Inc CITI JLMB Joint Lead Managers-Books 210000 1 2021-11-02 Bookrunner Goldman Sachs Bank Europe SE GS JLMB Joint Lead Managers-Books 210000 1 2021-11-02 Bookrunner HSBC Securities HSBC JLMB Joint Lead Managers-Books 153750 1 2021-11-02 Bookrunner JP Morgan JPM JLMB Joint Lead Managers-Books 153750 1 2021-11-02 Bookrunner Mizuho Securities Europe GmbH MIZUHO JLMB Joint Lead Managers-Books 153750 1 2021-11-02 Bookrunner MUFG Securities Europe NV MUFG JLMB Joint Lead Managers-Books 153750 1 2021-11-02 NonBookrunner IMI - Intesa Sanpaolo IMI CM Co-Manager(s) 22500 1 2021-11-02 NonBookrunner PNC Capital Markets LLC PNC CM Co-Manager(s) 22500 1 2021-11-02 Trustee Bank of New York Mellon BNYM PAAG Paying Agent(s) 0 7 2021-11-02 Trustee Bank of New York Mellon BNYM TRST Trustee(s) 0 7 2021-11-02 Trustee Kirkland &amp; Ellis K&amp;E LAI Legal Adviser to the Issuer(s) 0 16 2021-11-02 Trustee Tulchinsky Marciano Cohen Levi TUMACO LAI Legal Adviser to the Issuer(s) 0 16 2021-11-02 Trustee Van Doorne NV VANDOO LAI Legal Adviser to the Issuer(s) 0 16 2021-11-02 Trustee Baker McKenzie/London BKLNDN LAM Legal Adviser(s) to the Manage 0 16 2021-11-02 Trustee Herzog Fox &amp; Neeman HERZOG LAM Legal Adviser(s) to the Manage 0 16 2021-11-02 ESG Assurance Provider ISS-oekom ISSOEK SNPC 2nd Party Consultant 0 30 2021-11-02</t>
  </si>
  <si>
    <t>Teva Pharmaceutical Finance Netherlands III BV</t>
  </si>
  <si>
    <t>BS1759452</t>
  </si>
  <si>
    <t>BBG0136TNRY0</t>
  </si>
  <si>
    <t>2029-05-09</t>
  </si>
  <si>
    <t>SUSTAINABILITY-LINKED-STEP-UP 12.5 bps IF 2025 REGULATORY SUBMISSIONS TARGET NOT MET AND ANOTHER 12.5 BPS IF PRODUCT VOLUME TARGET AS OF TESTING DATE NOT MET.</t>
  </si>
  <si>
    <t>Bookrunner BNP Paribas/New York BNPPAR JLMB Joint Lead Managers-Books 140000 1 2021-11-02 Bookrunner BofA Securities BofA JLMB Joint Lead Managers-Books 140000 1 2021-11-02 Bookrunner Citigroup Global Markets Inc CITI JLMB Joint Lead Managers-Books 140000 1 2021-11-02 Bookrunner Goldman Sachs Bank Europe SE GS JLMB Joint Lead Managers-Books 140000 1 2021-11-02 Bookrunner HSBC Securities HSBC JLMB Joint Lead Managers-Books 102500 1 2021-11-02 Bookrunner JP Morgan JPM JLMB Joint Lead Managers-Books 102500 1 2021-11-02 Bookrunner Mizuho Securities USA Inc MIZ JLMB Joint Lead Managers-Books 102500 1 2021-11-02 Bookrunner MUFG Securities Americas Inc MUFG JLMB Joint Lead Managers-Books 102500 1 2021-11-02 NonBookrunner IMI - Intesa Sanpaolo IMI CM Co-Manager(s) 15000 1 2021-11-02 NonBookrunner PNC Capital Markets LLC PNC CM Co-Manager(s) 15000 1 2021-11-02 Trustee Bank of New York Mellon BNYM PAAG Paying Agent(s) 0 7 2021-11-02 Trustee Bank of New York Mellon BNYM TRST Trustee(s) 0 7 2021-11-02 Trustee Kirkland &amp; Ellis K&amp;E LAI Legal Adviser to the Issuer(s) 0 16 2021-11-02 Trustee Tulchinsky Marciano Cohen Levi TUMACO LAI Legal Adviser to the Issuer(s) 0 16 2021-11-02 Trustee Van Doorne NV VANDOO LAI Legal Adviser to the Issuer(s) 0 16 2021-11-02 Trustee Baker McKenzie/London BKLNDN LAM Legal Adviser(s) to the Manage 0 16 2021-11-02 Trustee Herzog Fox &amp; Neeman HERZOG LAM Legal Adviser(s) to the Manage 0 16 2021-11-02 ESG Assurance Provider ISS-oekom ISSOEK SNPC 2nd Party Consultant 0 30 2021-11-02</t>
  </si>
  <si>
    <t>BS1775391</t>
  </si>
  <si>
    <t>BBG0136VL8H8</t>
  </si>
  <si>
    <t>Atos SE</t>
  </si>
  <si>
    <t>BS1954855</t>
  </si>
  <si>
    <t>BBG0137X2DH3</t>
  </si>
  <si>
    <t>ATOFP</t>
  </si>
  <si>
    <t>2021-11-12</t>
  </si>
  <si>
    <t>2029-11-12</t>
  </si>
  <si>
    <t>Software &amp; Services</t>
  </si>
  <si>
    <t>STEP-UP MARGIN: 0.175%. STEP UP DEPEND ON THE ACHIEVEMENT BY ATOS SE OF THE SUSTAINABILITY PERFORMANCE TARGET (SPT) BASED ON THE ATOS SE KPI ON 12/31/25.</t>
  </si>
  <si>
    <t>Bookrunner Banco Bilbao Vizcaya Argentari BBVA JLMB Joint Lead Managers-Books 0 1 2021-11-04 Bookrunner Banco Santander SANT JLMB Joint Lead Managers-Books 0 1 2021-11-04 Bookrunner Bank of America BA JLMB Joint Lead Managers-Books 0 1 2021-11-04 Bookrunner BNP Paribas BNPP JLMB Joint Lead Managers-Books 0 1 2021-11-04 Bookrunner CM-CIC Securities SA CMCIC JLMB Joint Lead Managers-Books 0 1 2021-11-04 Bookrunner Commerzbank COBA JLMB Joint Lead Managers-Books 0 1 2021-11-04 Bookrunner Credit Agricole CIB CACIB JLMB Joint Lead Managers-Books 0 1 2021-11-04 Bookrunner Deutsche Bank DB JLMB Joint Lead Managers-Books 0 1 2021-11-04 Bookrunner HSBC HSBC JLMB Joint Lead Managers-Books 0 1 2021-11-04 Bookrunner ING Groep ING JLMB Joint Lead Managers-Books 0 1 2021-11-04 Bookrunner JP Morgan Securities PLC JPM JLMB Joint Lead Managers-Books 0 1 2021-11-04 Bookrunner Morgan Stanley &amp; Co Internatio MS JLMB Joint Lead Managers-Books 0 1 2021-11-04 Bookrunner Natixis NATIX JLMB Joint Lead Managers-Books 0 1 2021-11-04 Bookrunner SMBC Nikko Capital Markets Ltd SMBNIK JLMB Joint Lead Managers-Books 0 1 2021-11-04 Bookrunner Societe Generale SG JLMB Joint Lead Managers-Books 0 1 2021-11-04 Bookrunner UniCredit UNICRD JLMB Joint Lead Managers-Books 0 1 2021-11-04 Bookrunner Wells Fargo WFC JLMB Joint Lead Managers-Books 0 1 2021-11-04 NonBookrunner BNP Paribas BNPP GLCO Global Coordinator(s) 0 1 2021-11-04 NonBookrunner Deutsche Bank DB GLCO Global Coordinator(s) 0 1 2021-11-04 NonBookrunner JP Morgan Securities PLC JPM GLCO Global Coordinator(s) 0 1 2021-11-04 Trustee White &amp; Case LLP W&amp;C LAI Legal Adviser to the Issuer(s) 0 16 2021-11-04 Trustee Linklaters LLP L&amp;A LAM Legal Adviser(s) to the Manage 0 16 2021-11-04 ESG Assurance Provider Sustainalytics BV SUSANA SNPC 2nd Party Consultant 0 30 2021-10-28</t>
  </si>
  <si>
    <t>Faurecia SE</t>
  </si>
  <si>
    <t>BS2203120</t>
  </si>
  <si>
    <t>BBG0138Z47N1</t>
  </si>
  <si>
    <t>EOFP</t>
  </si>
  <si>
    <t>2021-12-22</t>
  </si>
  <si>
    <t>2024-07-12</t>
  </si>
  <si>
    <t>2.5Y</t>
  </si>
  <si>
    <t>MULTICURRENCY DEAL EQUIV TO EUR 700MM. SETTLE DATES: 12/22/21 AND 1/12/22. ADJ +10BPS. GHG EMISSIONS INTENSITY -20% IN 2023 ABSOLUTE GHG EMISSION 80% IN 2025.</t>
  </si>
  <si>
    <t>Bookrunner Commerzbank COBA JLMB Joint Lead Managers-Books 0 4 2022-01-12 Bookrunner Landesbank Hessen-Thuringen Gi HELABA JLMB Joint Lead Managers-Books 0 4 2022-01-12 NonBookrunner Australia &amp; New Zealand Bankin ANZ COAR Co-Arranger(s) 0 4 2022-01-12 NonBookrunner Bankinter BKINT COAR Co-Arranger(s) 0 4 2022-01-12 NonBookrunner Intesa Sanpaolo INTES COAR Co-Arranger(s) 0 4 2022-01-12 NonBookrunner Raiffeisen Bank International RAIINT COAR Co-Arranger(s) 0 4 2022-01-12 Bookrunner Commerzbank COBA JLMB Joint Lead Managers-Books 0 1 2021-12-22 Bookrunner Landesbank Hessen-Thuringen Gi HELABA JLMB Joint Lead Managers-Books 0 1 2021-12-22 NonBookrunner Australia &amp; New Zealand Bankin ANZ COAR Co-Arranger(s) 0 1 2021-12-22 NonBookrunner Bankinter BKINT COAR Co-Arranger(s) 0 1 2021-12-22 NonBookrunner Intesa Sanpaolo INTES COAR Co-Arranger(s) 0 1 2021-12-22 NonBookrunner Raiffeisen Bank International RAIINT COAR Co-Arranger(s) 0 1 2021-12-22 ESG Assurance Provider ISS-oekom ISSOEK SNPC 2nd Party Consultant 0 30 2021-12-22</t>
  </si>
  <si>
    <t>BS2205612</t>
  </si>
  <si>
    <t>BBG0138ZCGC4</t>
  </si>
  <si>
    <t>2026-01-12</t>
  </si>
  <si>
    <t>4YFL</t>
  </si>
  <si>
    <t>BS2206420</t>
  </si>
  <si>
    <t>BBG0138ZHWX1</t>
  </si>
  <si>
    <t>2027-01-12</t>
  </si>
  <si>
    <t>MULTICURRENCY DEAL EQUIV TO EUR 700MM. USD SPLIT: $33.5MM. ADJ +10BPS. GHG EMISSIONS INTENSITY -20% IN 2023 ABSOLUTE GHG EMISSION 80% IN 2025.</t>
  </si>
  <si>
    <t>Bookrunner Commerzbank COBA JLMB Joint Lead Managers-Books 0 1 2021-12-22 Bookrunner Landesbank Hessen-Thuringen Gi HELABA JLMB Joint Lead Managers-Books 0 1 2021-12-22 NonBookrunner Australia &amp; New Zealand Bankin ANZ COAR Co-Arranger(s) 0 1 2021-12-22 NonBookrunner Bankinter BKINT COAR Co-Arranger(s) 0 1 2021-12-22 NonBookrunner Intesa Sanpaolo INTES COAR Co-Arranger(s) 0 1 2021-12-22 NonBookrunner Raiffeisen Bank International RAIINT COAR Co-Arranger(s) 0 1 2021-12-22 ESG Assurance Provider ISS-oekom ISSOEK SNPC 2nd Party Consultant 0 30 2021-12-22</t>
  </si>
  <si>
    <t>BS2209622</t>
  </si>
  <si>
    <t>BBG0138ZPQG4</t>
  </si>
  <si>
    <t>2028-01-12</t>
  </si>
  <si>
    <t>6YFL</t>
  </si>
  <si>
    <t>Bookrunner Commerzbank COBA JLMB Joint Lead Managers-Books 0 4 2022-01-12 Bookrunner Landesbank Hessen-Thuringen Gi HELABA JLMB Joint Lead Managers-Books 0 4 2022-01-12 NonBookrunner Australia &amp; New Zealand Bankin ANZ COAR Co-Arranger(s) 0 4 2022-01-12 NonBookrunner Bankinter BKINT COAR Co-Arranger(s) 0 4 2022-01-12 NonBookrunner Intesa Sanpaolo INTES COAR Co-Arranger(s) 0 4 2022-01-12 NonBookrunner Raiffeisen Bank International RAIINT COAR Co-Arranger(s) 0 4 2022-01-12 Bookrunner Commerzbank COBA JLMB Joint Lead Managers-Books 0 1 2021-12-22 Bookrunner Landesbank Hessen-Thuringen Gi HELABA JLMB Joint Lead Managers-Books 0 1 2021-12-22 NonBookrunner Australia &amp; New Zealand Bankin ANZ COAR Co-Arranger(s) 0 1 2021-12-22 NonBookrunner Bankinter BKINT COAR Co-Arranger(s) 0 1 2021-12-22 NonBookrunner Intesa Sanpaolo INTES COAR Co-Arranger(s) 0 1 2021-12-22 NonBookrunner Raiffeisen Bank International RAIINT COAR Co-Arranger(s) 0 1 2021-12-22 Trustee Landesbank Hessen-Thuringen Gi HELABA PAAG Paying Agent(s) 0 7 2021-12-22 ESG Assurance Provider ISS-oekom ISSOEK SNPC 2nd Party Consultant 0 30 2021-12-22</t>
  </si>
  <si>
    <t>Lune Holdings Sarl</t>
  </si>
  <si>
    <t>BS2397401</t>
  </si>
  <si>
    <t>BBG0139H02R1</t>
  </si>
  <si>
    <t>KEMONE</t>
  </si>
  <si>
    <t>2021-11-18</t>
  </si>
  <si>
    <t>STEP-UP MARGIN: 25 BPS; STEP-UP EVENT: FAILING TO MEET CO2 EMISSIONS TARGET</t>
  </si>
  <si>
    <t>Bookrunner Barclays BARCS JLMB Joint Lead Managers-Books 0 1 2021-11-04 Bookrunner HSBC HSBC JLMB Joint Lead Managers-Books 0 1 2021-11-04 Bookrunner JP Morgan JPM JLMB Joint Lead Managers-Books 0 1 2021-11-04 Bookrunner RBC Capital Markets RBCCM JLMB Joint Lead Managers-Books 0 1 2021-11-04 Trustee Cahill Gordon &amp; Reindel CG&amp;R LAM Legal Adviser(s) to the Manage 0 16 2021-11-04</t>
  </si>
  <si>
    <t>BS2397476</t>
  </si>
  <si>
    <t>BBG0139H03V4</t>
  </si>
  <si>
    <t>Bookrunner Barclays BARCS JLMB Joint Lead Managers-Books 0 1 2021-11-04 Bookrunner HSBC HSBC JLMB Joint Lead Managers-Books 0 1 2021-11-04 Bookrunner JP Morgan JPM JLMB Joint Lead Managers-Books 0 1 2021-11-04 Bookrunner RBC Capital Markets RBCCM JLMB Joint Lead Managers-Books 0 1 2021-11-04 NonBookrunner JP Morgan JPM GLCO Global Coordinator(s) 0 1 2021-11-04 Trustee Paul Weiss Rifkind Wharton &amp; G PWEISS LAI Legal Adviser to the Issuer(s) 0 16 2021-11-04 Trustee Cahill Gordon &amp; Reindel CG&amp;R LAM Legal Adviser(s) to the Manage 0 16 2021-11-04</t>
  </si>
  <si>
    <t>BS2667019</t>
  </si>
  <si>
    <t>BBG0139YKRB4</t>
  </si>
  <si>
    <t>2028-12-15</t>
  </si>
  <si>
    <t>Bookrunner Banco Bilbao Vizcaya Argentari BBVA JLMB Joint Lead Managers-Books 0 1 2021-11-03 Bookrunner Bayerische Landesbank (US) BAYER JLMB Joint Lead Managers-Books 0 1 2021-11-03 Bookrunner BNP Paribas BNPP JLMB Joint Lead Managers-Books 0 1 2021-11-03 Bookrunner Commerzbank COBA JLMB Joint Lead Managers-Books 0 1 2021-11-03 Bookrunner Credit Industriel et Commercia CREDIT JLMB Joint Lead Managers-Books 0 1 2021-11-03 Bookrunner ING Bank NV/United States ING JLMB Joint Lead Managers-Books 0 1 2021-11-03 Bookrunner Natixis NATIX JLMB Joint Lead Managers-Books 0 1 2021-11-03 NonBookrunner Danske Bank DANSKE CM Co-Manager(s) 0 1 2021-11-03 NonBookrunner Standard Chartered Bank STAN CM Co-Manager(s) 0 1 2021-11-03 NonBookrunner BNP Paribas BNPP GLCO Global Coordinator(s) 0 1 2021-11-03 NonBookrunner Credit Mutuel-CIC CM-CIC GLCO Global Coordinator(s) 0 1 2021-11-03 NonBookrunner ING Groep ING GLCO Global Coordinator(s) 0 1 2021-11-03 Trustee Bank of New York Mellon/London BNY PAAG Paying Agent(s) 0 7 2021-11-03 Trustee Bank of New York Mellon Luxemb BNYM PAAG Paying Agent(s) 0 7 2021-11-03 Trustee Bank of New York Mellon/London BNY TRST Trustee(s) 0 7 2021-11-03 Trustee Bank of New York Mellon Luxemb BNYM TRNS Transfer Agent(s) 0 7 2021-11-03 Trustee Bank of New York Mellon Luxemb BNYM LIST Listing Agent(s) 0 7 2021-11-03 Trustee Bank of New York Mellon Luxemb BNYM RGST Registrar(s) 0 7 2021-11-03 Trustee Debevoise &amp; Plimpton/Paris DEBPLI LAI Legal Adviser to the Issuer(s) 0 16 2021-11-03 Trustee Debevoise &amp; Plimpton/London D&amp;PL LAI Legal Adviser to the Issuer(s) 0 16 2021-11-03 Trustee Hogan Lovells International LL LOVELL LAM Legal Adviser(s) to the Manage 0 16 2021-11-03 ESG Assurance Provider Vigeo SASV VIGEO SNPC 2nd Party Consultant 0 30 2021-11-03</t>
  </si>
  <si>
    <t>BS2687603</t>
  </si>
  <si>
    <t>BBG0139ZT3Q9</t>
  </si>
  <si>
    <t>2027-02-15</t>
  </si>
  <si>
    <t>+25BPS IF SBT NOT MET TO REDUCE SCOPE 1 AND 2 GHG EMISSIONS INTENSITY BY 20% BY 2023 &amp; REDUCE ABSOLUTE SCOPE 1 AND 2 GHG EMISSIONS BY 80% BY 2025</t>
  </si>
  <si>
    <t>Bookrunner Banca IMI B.IMI JLMB Joint Lead Managers-Books 0 1 2021-11-03 Bookrunner Commerzbank COBA JLMB Joint Lead Managers-Books 0 1 2021-11-03 Bookrunner Credit Agricole CIB CACIB JLMB Joint Lead Managers-Books 0 1 2021-11-03 Bookrunner Deutsche Bank DB JLMB Joint Lead Managers-Books 0 1 2021-11-03 Bookrunner SMBC Nikko Capital Markets Ltd SMBNIK JLMB Joint Lead Managers-Books 0 1 2021-11-03 Bookrunner Societe Generale SG JLMB Joint Lead Managers-Books 0 1 2021-11-03 Bookrunner UniCredit UNICRD JLMB Joint Lead Managers-Books 0 1 2021-11-03 NonBookrunner Banco Sabadell SABADL CM Co-Manager(s) 0 1 2021-11-03 NonBookrunner Credit Industriel et Commercia CIC CM Co-Manager(s) 0 1 2021-11-03 NonBookrunner MUFG Securities EMEA PLC MUFG CM Co-Manager(s) 0 1 2021-11-03 NonBookrunner Commerzbank COBA GLCO Global Coordinator(s) 0 1 2021-11-03 NonBookrunner Credit Agricole CIB CACIB GLCO Global Coordinator(s) 0 1 2021-11-03 NonBookrunner Societe Generale SG GLCO Global Coordinator(s) 0 1 2021-11-03 Trustee White &amp; Case LLP W&amp;C LAI Legal Adviser to the Issuer(s) 0 16 2021-11-03 Trustee Latham &amp; Watkins LLP LATHAM LAM Legal Adviser(s) to the Manage 0 16 2021-11-03 ESG Assurance Provider ISS-oekom ISSOEK SNPC 2nd Party Consultant 0 30 2021-11-03</t>
  </si>
  <si>
    <t>BS2913736</t>
  </si>
  <si>
    <t>BBG013BM8ZQ7</t>
  </si>
  <si>
    <t>STEP-UP MARGIN: 25BP (ZERO SPT MET)/12.5BP (ONE SPT MET), STEP UP EVENTS: CO2 EMISSIONS (2025), EXTERNAL CULLET SHARE IS LESS THAN 59% (2025)</t>
  </si>
  <si>
    <t>Bookrunner Banco Santander SANT JLMB Joint Lead Managers-Books 0 1 2021-11-03 Bookrunner BNP Paribas BNPP JLMB Joint Lead Managers-Books 0 1 2021-11-03 Bookrunner Credit Agricole CIB CACIB JLMB Joint Lead Managers-Books 0 1 2021-11-03 Bookrunner Deutsche Bank DB JLMB Joint Lead Managers-Books 0 1 2021-11-03 Bookrunner La Banque Postale SA BANPOS JLMB Joint Lead Managers-Books 0 1 2021-11-03 Bookrunner Raiffeisen Bank International RBI JLMB Joint Lead Managers-Books 0 1 2021-11-03 Bookrunner Societe Generale SG JLMB Joint Lead Managers-Books 0 1 2021-11-03 NonBookrunner Banco Santander SANT GLCO Global Coordinator(s) 0 1 2021-11-03 NonBookrunner BNP Paribas BNPP GLCO Global Coordinator(s) 0 1 2021-11-03 NonBookrunner Societe Generale SG GLCO Global Coordinator(s) 0 1 2021-11-03 Trustee White &amp; Case LLP W&amp;C LAI Legal Adviser to the Issuer(s) 0 16 2021-11-03 Trustee Allen &amp; Overy LLP ALLOVR LAM Legal Adviser(s) to the Manage 0 16 2021-11-03</t>
  </si>
  <si>
    <t>Koninklijke KPN NV</t>
  </si>
  <si>
    <t>BS3080196</t>
  </si>
  <si>
    <t>BBG013CM0VJ1</t>
  </si>
  <si>
    <t>KPN</t>
  </si>
  <si>
    <t>2021-11-15</t>
  </si>
  <si>
    <t>2033-11-15</t>
  </si>
  <si>
    <t>GMTN</t>
  </si>
  <si>
    <t>Wireless Telecommunications Services</t>
  </si>
  <si>
    <t>Wirelines</t>
  </si>
  <si>
    <t>STEP-UP MARGIN: 37.5 BP FROM 11/15/31; SPT: REDUCE ABSOLUTE VALUE CHAIN CO2 EMISSIONS (SCOPE 3) BY 30% BY 2030 AGAINST THE 2014 BASELINE</t>
  </si>
  <si>
    <t>Bookrunner Barclays BARCS JLMB Joint Lead Managers-Books 0 1 2021-11-08 Bookrunner BNP Paribas BNPP JLMB Joint Lead Managers-Books 0 1 2021-11-08 Bookrunner Deutsche Bank DB JLMB Joint Lead Managers-Books 0 1 2021-11-08 Bookrunner ING Groep ING JLMB Joint Lead Managers-Books 0 1 2021-11-08 Bookrunner SMBC Nikko Capital Markets Ltd SMBNIK JLMB Joint Lead Managers-Books 0 1 2021-11-08 Trustee Citibank NA/London CITI PAAG Paying Agent(s) 0 7 2021-11-08 Trustee Citibank NA/London CITI TRNS Transfer Agent(s) 0 7 2021-11-08 Trustee Arthur Cox Listing Services ARTHUR LIST Listing Agent(s) 0 7 2021-11-08 Trustee Citigroup Global Markets Europ CITI RGST Registrar(s) 0 7 2021-11-08 Trustee Allen &amp; Overy LLP ALLOVR LAI Legal Adviser to the Issuer(s) 0 16 2021-11-08 Trustee Allen &amp; Overy AONETH LAI Legal Adviser to the Issuer(s) 0 16 2021-11-08 Trustee Linklaters L&amp;A LAM Legal Adviser(s) to the Manage 0 16 2021-11-08 ESG Assurance Provider Sustainalytics BV SUSANA SNPC 2nd Party Consultant 0 30 2021-11-08</t>
  </si>
  <si>
    <t>Henkel AG &amp; Co KGaA</t>
  </si>
  <si>
    <t>BS3838106</t>
  </si>
  <si>
    <t>BBG013FWQB84</t>
  </si>
  <si>
    <t>HENKEL</t>
  </si>
  <si>
    <t>2021-11-17</t>
  </si>
  <si>
    <t>2032-11-17</t>
  </si>
  <si>
    <t>STEP-UP BY 37.5BP PER KPI (MAX. 75BP CUMULATIVE) IF HENKEL FAILS TO ACHIEVE SPT 1 2030 AND SPT 2. TEST DATES SPT1 2030 / SPT2 31/12/2030.</t>
  </si>
  <si>
    <t>Bookrunner Deutsche Bank DB JLMB Joint Lead Managers-Books 0 1 2021-11-10 Bookrunner HSBC HSBC JLMB Joint Lead Managers-Books 0 1 2021-11-10 Bookrunner ING Groep ING JLMB Joint Lead Managers-Books 0 1 2021-11-10 Bookrunner Societe Generale SG JLMB Joint Lead Managers-Books 0 1 2021-11-10 Trustee Deutsche Bank AG Filiale Deuts #N/A N/A PAAG Paying Agent(s) 0 7 2021-11-10 Trustee Deutsche Bank AG Filiale Deuts #N/A N/A FISC Fiscal Agent(s) 0 7 2021-11-10 Trustee Deutsche Bank Luxembourg SA DB LIST Listing Agent(s) 0 7 2021-11-10 Trustee Hengeler Mueller HMWW LAM Legal Adviser(s) to the Manage 0 16 2021-11-10 ESG Assurance Provider ISS-oekom ISSOEK SNPC 2nd Party Consultant 0 30 2021-11-10</t>
  </si>
  <si>
    <t>BS3838114</t>
  </si>
  <si>
    <t>BBG013FWQBQ4</t>
  </si>
  <si>
    <t>2026-11-17</t>
  </si>
  <si>
    <t>PRINCIPAL PREMIUM AT MATURITY OF 25BP PER KPI (MAX. 50BP CUMULATIVE) IF HENKEL FAILS TO ACHIEVE SPT 1 2025 AND SPT 3. TEST DATES SPT1 2025 / SPT3 31/12/2025.</t>
  </si>
  <si>
    <t>Bookrunner Deutsche Bank DB JLMB Joint Lead Managers-Books 0 1 2021-11-10 Bookrunner ING Groep ING JLMB Joint Lead Managers-Books 0 1 2021-11-10 Bookrunner Societe Generale SG JLMB Joint Lead Managers-Books 0 1 2021-11-10 Trustee Deutsche Bank AG DB PAAG Paying Agent(s) 0 7 2021-11-10 Trustee Deutsche Bank AG DB FISC Fiscal Agent(s) 0 7 2021-11-10 Trustee Deutsche Bank Luxembourg SA DB LIST Listing Agent(s) 0 7 2021-11-10 Trustee Hengeler Mueller HMWW LAM Legal Adviser(s) to the Manage 0 16 2021-11-10 ESG Assurance Provider ISS-oekom ISSOEK SNPC 2nd Party Consultant 0 30 2021-11-10</t>
  </si>
  <si>
    <t>Kinnevik AB</t>
  </si>
  <si>
    <t>BS4766942</t>
  </si>
  <si>
    <t>BBG013JMFLL7</t>
  </si>
  <si>
    <t>KINVB</t>
  </si>
  <si>
    <t>2021-11-23</t>
  </si>
  <si>
    <t>2026-11-23</t>
  </si>
  <si>
    <t>Other Financial</t>
  </si>
  <si>
    <t>SLB CPN STEP-UP: 7.5BPTS/SPT ANNUALLY STARTING 2022; SPT1: GHG; SPT2: GENDER EQUALITY; SPT3: ESG SCORE</t>
  </si>
  <si>
    <t>Bookrunner Nordea NORDEA JLMB Joint Lead Managers-Books 0 1 2021-11-15 Bookrunner SEB SEB JLMB Joint Lead Managers-Books 0 1 2021-11-15</t>
  </si>
  <si>
    <t>BS4766959</t>
  </si>
  <si>
    <t>BBG013JMFMF2</t>
  </si>
  <si>
    <t>2028-11-23</t>
  </si>
  <si>
    <t>Accor SA</t>
  </si>
  <si>
    <t>BS4767460</t>
  </si>
  <si>
    <t>BBG013JMPMT6</t>
  </si>
  <si>
    <t>ACFP</t>
  </si>
  <si>
    <t>2021-11-29</t>
  </si>
  <si>
    <t>2028-11-29</t>
  </si>
  <si>
    <t>Lodging</t>
  </si>
  <si>
    <t>STEP-UP MARGIN: 12.5BPS PER KPI; KPI1: SCOPE 1,2 GHG EMISSIONS REDUCTION BY 25.2% BY 2025, KPI2: SCOPE 3 GHG EMISSIONS REDUCTION BY 15% BY 2025</t>
  </si>
  <si>
    <t>Bookrunner Banco Santander SANT JLMB Joint Lead Managers-Books 0 1 2021-11-18 Bookrunner Commerzbank COBA JLMB Joint Lead Managers-Books 0 1 2021-11-18 Bookrunner Credit Agricole CIB CACIB JLMB Joint Lead Managers-Books 0 1 2021-11-18 Bookrunner HSBC HSBC JLMB Joint Lead Managers-Books 0 1 2021-11-18 Bookrunner MUFG Securities EMEA PLC MUFG JLMB Joint Lead Managers-Books 0 1 2021-11-18 Bookrunner Societe Generale SG JLMB Joint Lead Managers-Books 0 1 2021-11-18 Bookrunner UniCredit UNICRD JLMB Joint Lead Managers-Books 0 1 2021-11-18 NonBookrunner Credit Agricole CIB CACIB GLCO Global Coordinator(s) 0 1 2021-11-18 NonBookrunner HSBC HSBC GLCO Global Coordinator(s) 0 1 2021-11-18 Trustee Allen &amp; Overy LLP ALLOVR LAM Legal Adviser(s) to the Manage 0 16 2021-11-18 ESG Assurance Provider Sustainalytics BV SUSANA SNPC 2nd Party Consultant 0 30 2021-11-18</t>
  </si>
  <si>
    <t>ASTM SpA</t>
  </si>
  <si>
    <t>BS4792864</t>
  </si>
  <si>
    <t>BBG013JP2L70</t>
  </si>
  <si>
    <t>ATIM</t>
  </si>
  <si>
    <t>2021-11-25</t>
  </si>
  <si>
    <t>2026-11-25</t>
  </si>
  <si>
    <t>SLB STP-UP: 50BPTS/ANNUM; STP DATE: 07/2025; KPI1: GHG (20BPTS)</t>
  </si>
  <si>
    <t>Bookrunner Banca Akros SpA AKROS JLMB Joint Lead Managers-Books 0 1 2021-11-18 Bookrunner Banco Santander SANT JLMB Joint Lead Managers-Books 0 1 2021-11-18 Bookrunner BNP Paribas BNPP JLMB Joint Lead Managers-Books 0 1 2021-11-18 Bookrunner CaixaBank CAIXA JLMB Joint Lead Managers-Books 0 1 2021-11-18 Bookrunner Credit Agricole CIB CACIB JLMB Joint Lead Managers-Books 0 1 2021-11-18 Bookrunner Credit Suisse CS JLMB Joint Lead Managers-Books 0 1 2021-11-18 Bookrunner IMI - Intesa Sanpaolo IMI JLMB Joint Lead Managers-Books 0 1 2021-11-18 Bookrunner JP Morgan Securities PLC JPM JLMB Joint Lead Managers-Books 0 1 2021-11-18 Bookrunner Mediobanca MEDBCA JLMB Joint Lead Managers-Books 0 1 2021-11-18 Bookrunner Societe Generale SG JLMB Joint Lead Managers-Books 0 1 2021-11-18 Bookrunner UniCredit UNICRD JLMB Joint Lead Managers-Books 0 1 2021-11-18 Trustee IMI - Intesa Sanpaolo IMI ESGA ESG Agent 0 7 2021-11-18 Trustee Mediobanca MEDBCA ESGA ESG Agent 0 7 2021-11-18 Trustee UniCredit UNICRD ESGA ESG Agent 0 7 2021-11-18 Trustee Legance Avvocati Associati LSLA LAI Legal Adviser to the Issuer(s) 0 16 2021-11-18 Trustee White &amp; Case/Milan W&amp;C LAM Legal Adviser(s) to the Manage 0 16 2021-11-18</t>
  </si>
  <si>
    <t>BS4792872</t>
  </si>
  <si>
    <t>BBG013JP2M23</t>
  </si>
  <si>
    <t>2030-01-25</t>
  </si>
  <si>
    <t>SLB STP-UP: 50BPTS/ANNUM; STP DATE: 07/2028; KPI1: GHG (28BPTS) ; KPI2: GHG (42BPTS)</t>
  </si>
  <si>
    <t>BS4792906</t>
  </si>
  <si>
    <t>BBG013JP2PY1</t>
  </si>
  <si>
    <t>2033-11-25</t>
  </si>
  <si>
    <t>SLB STP-UP: 50BPTS/ANNUM; STP DATE: 07/2031; KPI1: GHG (20BPTS) ; KPI2: GHG (30BPTS)</t>
  </si>
  <si>
    <t>Bookrunner Banca Akros SpA AKROS JLMB Joint Lead Managers-Books 0 1 2021-11-18 Bookrunner Banco Santander SANT JLMB Joint Lead Managers-Books 0 1 2021-11-18 Bookrunner BNP Paribas BNPP JLMB Joint Lead Managers-Books 0 1 2021-11-18 Bookrunner CaixaBank CAIXA JLMB Joint Lead Managers-Books 0 1 2021-11-18 Bookrunner Credit Agricole CIB CACIB JLMB Joint Lead Managers-Books 0 1 2021-11-18 Bookrunner Credit Suisse CS JLMB Joint Lead Managers-Books 0 1 2021-11-18 Bookrunner IMI - Intesa Sanpaolo IMI JLMB Joint Lead Managers-Books 0 1 2021-11-18 Bookrunner JP Morgan JPM JLMB Joint Lead Managers-Books 0 1 2021-11-18 Bookrunner Mediobanca MEDBCA JLMB Joint Lead Managers-Books 0 1 2021-11-18 Bookrunner Societe Generale SG JLMB Joint Lead Managers-Books 0 1 2021-11-18 Bookrunner UniCredit UNICRD JLMB Joint Lead Managers-Books 0 1 2021-11-18 Trustee Deutsche Bank AG London DB PAAG Paying Agent(s) 0 7 2021-11-18 Trustee Deutsche Trustee Co Ltd DBTRUS TRST Trustee(s) 0 7 2021-11-18 Trustee Walkers Listing Services Ltd WALLIS LIST Listing Agent(s) 0 7 2021-11-18 Trustee IMI - Intesa Sanpaolo IMI ESGA ESG Agent 0 7 2021-11-18 Trustee Mediobanca MEDBCA ESGA ESG Agent 0 7 2021-11-18 Trustee UniCredit UNICRD ESGA ESG Agent 0 7 2021-11-18 Trustee Legance Avvocati Associati LSLA LAI Legal Adviser to the Issuer(s) 0 16 2021-11-18 Trustee White &amp; Case/Milan W&amp;C LAM Legal Adviser(s) to the Manage 0 16 2021-11-18</t>
  </si>
  <si>
    <t>M FINANCE SASU</t>
  </si>
  <si>
    <t>BS4845456</t>
  </si>
  <si>
    <t>BBG013JRK0H1</t>
  </si>
  <si>
    <t>MONNOY</t>
  </si>
  <si>
    <t>2021-10-04</t>
  </si>
  <si>
    <t>2029-10-04</t>
  </si>
  <si>
    <t>SLB STEP-UP/DOWN: 50bpts MAX; SPT DATE: 2023, 2025, 2027; KPI1: GREEN HOUSE GASES; KPI2: GENDER EQUALITY</t>
  </si>
  <si>
    <t>Bookrunner Credit Agricole Corporate &amp; In CACIB JLMB Joint Lead Managers-Books 0 1 2021-09-27 Bookrunner Natixis NATIX JLMB Joint Lead Managers-Books 0 1 2021-09-27 Trustee BNP Paribas Securities Service BNPPAR PAAG Paying Agent(s) 0 7 2021-09-27 Trustee BNP Paribas Securities Service BNPPAR FISC Fiscal Agent(s) 0 7 2021-09-27</t>
  </si>
  <si>
    <t>BS4847320</t>
  </si>
  <si>
    <t>BBG013JRMJP9</t>
  </si>
  <si>
    <t>2028-10-04</t>
  </si>
  <si>
    <t>Bookrunner Credit Agricole CIB CACIB JLMB Joint Lead Managers-Books 0 1 2021-09-27 Bookrunner Natixis NATIX JLMB Joint Lead Managers-Books 0 1 2021-09-27 Trustee BNP Paribas Securities Service BNPPAR PAAG Paying Agent(s) 0 7 2021-09-27 Trustee BNP Paribas Securities Service BNPPAR FISC Fiscal Agent(s) 0 7 2021-09-27</t>
  </si>
  <si>
    <t>BS4848583</t>
  </si>
  <si>
    <t>BBG013JRSQR5</t>
  </si>
  <si>
    <t>2031-10-04</t>
  </si>
  <si>
    <t>Mota-Engil SGPS SA</t>
  </si>
  <si>
    <t>BS5188310</t>
  </si>
  <si>
    <t>BBG013KN1016</t>
  </si>
  <si>
    <t>EGLPL</t>
  </si>
  <si>
    <t>PT</t>
  </si>
  <si>
    <t>2021-12-02</t>
  </si>
  <si>
    <t>2026-12-02</t>
  </si>
  <si>
    <t>SINKABLE</t>
  </si>
  <si>
    <t>ISSD IN EXCH FOR PTMENWOM0007,PTMENUOM0009. STEP-UP MARGIN: EUR 1.25 REDEMP INC PER BOND. STEP-UP EVENT: LTIFR (SEE SPO) &gt; 3.3 BY 12/31/2025.</t>
  </si>
  <si>
    <t>Bookrunner Banco Finantia BANFIN JLMB Joint Lead Managers-Books 0 4 2021-12-15 Bookrunner Caixa Banco de Investimento SA CXBI JLMB Joint Lead Managers-Books 0 4 2021-12-15 Bookrunner Haitong Bank SA HAITIB JLMB Joint Lead Managers-Books 0 4 2021-12-15 Bookrunner Banco Finantia BANFIN JLMB Joint Lead Managers-Books 0 1 2021-11-17 Bookrunner Caixa Banco de Investimento SA CXBI JLMB Joint Lead Managers-Books 0 1 2021-11-17 Bookrunner Haitong Bank SA HAITIB JLMB Joint Lead Managers-Books 0 1 2021-11-17 Bookrunner Novo Banco SA NOVBNC JLMB Joint Lead Managers-Books 0 1 2021-11-17 NonBookrunner Banco Finantia BANFIN GLCO Global Coordinator(s) 0 1 2021-11-17 NonBookrunner Caixa Banco de Investimento SA CXBI GLCO Global Coordinator(s) 0 1 2021-11-17 NonBookrunner Haitong Bank SA HAITIB GLCO Global Coordinator(s) 0 1 2021-11-17 NonBookrunner Novo Banco SA NOVBNC GLCO Global Coordinator(s) 0 1 2021-11-17 ESG Assurance Provider S&amp;P Global Inc SPGI SNPC 2nd Party Consultant 0 30 2021-11-17</t>
  </si>
  <si>
    <t>Loomis AB</t>
  </si>
  <si>
    <t>BS5495509</t>
  </si>
  <si>
    <t>BBG013MYTH22</t>
  </si>
  <si>
    <t>LOOMBS</t>
  </si>
  <si>
    <t>2021-11-30</t>
  </si>
  <si>
    <t>2026-11-30</t>
  </si>
  <si>
    <t>REDEMPTION PRICE TO INCREASE TO 101% IF THE ISSUER DOES NOT REDUCE CO2 EMISSIONS BY 20% BY END OF 2025 VS 2019 BASELINE</t>
  </si>
  <si>
    <t>Bookrunner Danske Bank DANSKE JLMB Joint Lead Managers-Books 0 4 2022-04-11 Bookrunner Nordea NORDEA JLMB Joint Lead Managers-Books 0 4 2022-04-11 Bookrunner Danske Bank DANSKE JLMB Joint Lead Managers-Books 0 1 2021-11-23 Bookrunner Nordea NORDEA JLMB Joint Lead Managers-Books 0 1 2021-11-23</t>
  </si>
  <si>
    <t>LANXESS AG</t>
  </si>
  <si>
    <t>BS5948655</t>
  </si>
  <si>
    <t>BBG013PNCKN1</t>
  </si>
  <si>
    <t>LXSGR</t>
  </si>
  <si>
    <t>2021-12-01</t>
  </si>
  <si>
    <t>2029-12-01</t>
  </si>
  <si>
    <t>STEP-UP MARGIN BY 0.25% IF SPT NOT ACHIEVED ON 12/31/25. REDUCTION OF GHG EMISSIONS (SCOPE 1+2) BY 600KT TO 2,600KT (81.250% OF THE 2018 BASELINE) BY 2025.</t>
  </si>
  <si>
    <t>Bookrunner Banco Bilbao Vizcaya London Br BBV JLMB Joint Lead Managers-Books 0 1 2021-11-23 Bookrunner Citigroup Global Markets Ltd CITI JLMB Joint Lead Managers-Books 0 1 2021-11-23 Bookrunner Deutsche Bank DB JLMB Joint Lead Managers-Books 0 1 2021-11-23 Bookrunner DZ Bank DZBK JLMB Joint Lead Managers-Books 0 1 2021-11-23 Bookrunner JP Morgan AG JPM JLMB Joint Lead Managers-Books 0 1 2021-11-23 Bookrunner Mizuho Securities Europe GmbH MIZUHO JLMB Joint Lead Managers-Books 0 1 2021-11-23 Trustee Deutsche Bank AG DB PAAG Paying Agent(s) 0 7 2021-11-23 Trustee Deutsche Bank AG DB FISC Fiscal Agent(s) 0 7 2021-11-23 Trustee Deutsche Bank Luxembourg SA DB LIST Listing Agent(s) 0 7 2021-11-23 Trustee Internal Adviser IA LAI Legal Adviser to the Issuer(s) 0 16 2021-11-23 Trustee Hengeler Mueller HMWW LAM Legal Adviser(s) to the Manage 0 16 2021-11-23 ESG Assurance Provider ISS-oekom ISSOEK SNPC 2nd Party Consultant 0 30 2021-11-23</t>
  </si>
  <si>
    <t>Kerry Group Financial Services Unltd Co</t>
  </si>
  <si>
    <t>BS5958647</t>
  </si>
  <si>
    <t>BBG013PPDGW4</t>
  </si>
  <si>
    <t>KYGID</t>
  </si>
  <si>
    <t>2031-12-01</t>
  </si>
  <si>
    <t>SLB COUPON STEP-UP: 50BPTs/KPI; SPT DATE: 2030; KPI1: GHG; KPI2: FOOD WASTE</t>
  </si>
  <si>
    <t>Bookrunner Allied Irish Banks AIB JLMB Joint Lead Managers-Books 0 1 2021-11-24 Bookrunner Bank of Ireland BKIREL JLMB Joint Lead Managers-Books 0 1 2021-11-24 Bookrunner Barclays BARCS JLMB Joint Lead Managers-Books 0 1 2021-11-24 Bookrunner BNP Paribas/London BNPPAR JLMB Joint Lead Managers-Books 0 1 2021-11-24 Bookrunner BofA Securities BofA JLMB Joint Lead Managers-Books 0 1 2021-11-24 Bookrunner Citi CITI JLMB Joint Lead Managers-Books 0 1 2021-11-24 Bookrunner Cooperatieve Rabobank UA RABONL JLMB Joint Lead Managers-Books 0 1 2021-11-24 Bookrunner Danske Bank DANBNK JLMB Joint Lead Managers-Books 0 1 2021-11-24 Bookrunner Deutsche Bank AG London DB JLMB Joint Lead Managers-Books 0 1 2021-11-24 Bookrunner Goldman Sachs International GSI JLMB Joint Lead Managers-Books 0 1 2021-11-24 Bookrunner HSBC HSBC JLMB Joint Lead Managers-Books 0 1 2021-11-24 Bookrunner JP Morgan Securities PLC JPM JLMB Joint Lead Managers-Books 0 1 2021-11-24 Bookrunner NatWest Markets NWM JLMB Joint Lead Managers-Books 0 1 2021-11-24 Bookrunner Standard Chartered Bank STAN JLMB Joint Lead Managers-Books 0 1 2021-11-24 Trustee Clifford Chance LLP CHANCE LAI Legal Adviser to the Issuer(s) 0 16 2021-11-24 Trustee Freshfields Bruckhaus Deringer FSHFLD LAM Legal Adviser(s) to the Manage 0 16 2021-11-24 ESG Assurance Provider ISS-oekom ISSOEK SNPC 2nd Party Consultant 0 30 2021-11-24</t>
  </si>
  <si>
    <t>Kahrs BondCo AB</t>
  </si>
  <si>
    <t>BS6174186</t>
  </si>
  <si>
    <t>BBG013Q9QBL8</t>
  </si>
  <si>
    <t>KAHRSB</t>
  </si>
  <si>
    <t>2026-12-07</t>
  </si>
  <si>
    <t>Home Improvement</t>
  </si>
  <si>
    <t>STEP-UP MARGIN: 50BPS ADDED TO NOTIONAL AMOUNT UPON MATURITY OR CALL OPTION PRICE; STEP-UP EVENT: MISSING ALL SPTs</t>
  </si>
  <si>
    <t>Bookrunner DNB Markets DNB JLMB Joint Lead Managers-Books 483333.33 1 2021-11-23 Bookrunner Nordea Bank Abp NDASS JLMB Joint Lead Managers-Books 483333.33 1 2021-11-23 Bookrunner Pareto Securities PARETO JLMB Joint Lead Managers-Books 483333.33 1 2021-11-23</t>
  </si>
  <si>
    <t>Rimini Bidco SpA</t>
  </si>
  <si>
    <t>BS6180258</t>
  </si>
  <si>
    <t>BBG013QBJTC2</t>
  </si>
  <si>
    <t>SAFFA</t>
  </si>
  <si>
    <t>2021-12-14</t>
  </si>
  <si>
    <t>STEP-UP MARGIN: 25BP PER SPT; SPTs: REDUCTION OF GHG BY 15%, WATER SENT TO RECOVERY TO 81.5%, WATER DISCHARGE PER TON BY 10% BY 12/31/25, ALL VS 2020 BASELINE</t>
  </si>
  <si>
    <t>Bookrunner Banca di Intermediazione Mobil INTMOB JLMB Joint Lead Managers-Books 0 1 2021-11-30 Bookrunner Barclays BARCS JLMB Joint Lead Managers-Books 0 1 2021-11-30 Bookrunner BNP Paribas BNPP JLMB Joint Lead Managers-Books 0 1 2021-11-30 Bookrunner Credit Suisse CS JLMB Joint Lead Managers-Books 0 1 2021-11-30 Bookrunner UniCredit UNICRD JLMB Joint Lead Managers-Books 0 1 2021-11-30 NonBookrunner Barclays BARCS GLCO Global Coordinator(s) 0 1 2021-11-30 NonBookrunner BNP Paribas BNPP GLCO Global Coordinator(s) 0 1 2021-11-30 Bookrunner Barclays BARCS LEFT Left Lead 0 1 2021-11-30 Trustee Deutsche Bank AG London DB PAAG Paying Agent(s) 0 7 2021-11-30 Trustee Deutsche Bank AG London DB CALC Calculation Agent(s) 0 7 2021-11-30 Trustee Law Debenture Trust Corp PLC LAWDEB TRST Trustee(s) 0 7 2021-11-30 Trustee Deutsche Bank AG London DB TRNS Transfer Agent(s) 0 7 2021-11-30 Trustee Deutsche Bank Luxembourg SA DB LIST Listing Agent(s) 0 7 2021-11-30 Trustee Deutsche Bank Luxembourg SA DB RGST Registrar(s) 0 7 2021-11-30 Trustee Allen &amp; Overy/Rome ALOVIT LAI Legal Adviser to the Issuer(s) 0 16 2021-11-30 Trustee Paul Weiss Rifkind Wharton &amp; G PWEISS LAI Legal Adviser to the Issuer(s) 0 16 2021-11-30 Trustee McDermott Will &amp; Emery UK LLP MCDWIL LAT Legal Adviser(s) to the Truste 0 16 2021-11-30 Trustee Latham &amp; Watkins LATHAM LAM Legal Adviser(s) to the Manage 0 16 2021-11-30 Trustee Latham &amp; Watkins LLP LATHAM LAM Legal Adviser(s) to the Manage 0 16 2021-11-30</t>
  </si>
  <si>
    <t>BS6180290</t>
  </si>
  <si>
    <t>BBG013QBJTQ7</t>
  </si>
  <si>
    <t>Bookrunner Barclays BARCS JLMB Joint Lead Managers-Books 0 1 2021-11-30 Bookrunner BNP Paribas BNPP JLMB Joint Lead Managers-Books 0 1 2021-11-30 Bookrunner Credit Suisse CS JLMB Joint Lead Managers-Books 0 1 2021-11-30 Bookrunner Intesa Sanpaolo INTES JLMB Joint Lead Managers-Books 0 1 2021-11-30 Bookrunner UniCredit UNICRD JLMB Joint Lead Managers-Books 0 1 2021-11-30 NonBookrunner Barclays BARCS GLCO Global Coordinator(s) 0 1 2021-11-30 NonBookrunner BNP Paribas BNPP GLCO Global Coordinator(s) 0 1 2021-11-30 Bookrunner Barclays BARCS LEFT Left Lead 0 1 2021-11-30 Trustee Deutsche Bank AG London DB PAAG Paying Agent(s) 0 7 2021-11-30 Trustee Deutsche Bank AG London DB CALC Calculation Agent(s) 0 7 2021-11-30 Trustee Law Debenture Trust Corp PLC LAWDEB TRST Trustee(s) 0 7 2021-11-30 Trustee Deutsche Bank AG London DB TRNS Transfer Agent(s) 0 7 2021-11-30 Trustee Deutsche Bank Luxembourg SA DB LIST Listing Agent(s) 0 7 2021-11-30 Trustee Deutsche Bank Luxembourg SA DB RGST Registrar(s) 0 7 2021-11-30 Trustee Allen &amp; Overy/Rome ALOVIT LAI Legal Adviser to the Issuer(s) 0 16 2021-11-30 Trustee Paul Weiss Rifkind Wharton &amp; G PWEISS LAI Legal Adviser to the Issuer(s) 0 16 2021-11-30 Trustee McDermott Will &amp; Emery UK LLP MCDWIL LAT Legal Adviser(s) to the Truste 0 16 2021-11-30 Trustee Latham &amp; Watkins LATHAM LAM Legal Adviser(s) to the Manage 0 16 2021-11-30 Trustee Latham &amp; Watkins LLP LATHAM LAM Legal Adviser(s) to the Manage 0 16 2021-11-30 ESG Assurance Provider Sustainalytics BV SUSANA SNPC 2nd Party Consultant 0 30 2021-11-30</t>
  </si>
  <si>
    <t>Elekta AB</t>
  </si>
  <si>
    <t>BS8106574</t>
  </si>
  <si>
    <t>BBG013WMFZX8</t>
  </si>
  <si>
    <t>EKTAB</t>
  </si>
  <si>
    <t>Medical Equipment &amp; Devices Manufacturing</t>
  </si>
  <si>
    <t>Healthcare</t>
  </si>
  <si>
    <t>STEP-UP REDEMPTION: 101%, SPT: 825 UNIT INCREASE OF LINAC INSTALLED BASE BY 04/30/2025 VS 04/30/2020 (BASELINE)</t>
  </si>
  <si>
    <t>Bookrunner Danske Bank DANBNK JLMB Joint Lead Managers-Books 575000 1 2021-12-02 Bookrunner Skandinaviska Enskilda Banken SEB JLMB Joint Lead Managers-Books 575000 1 2021-12-02</t>
  </si>
  <si>
    <t>BS8106590</t>
  </si>
  <si>
    <t>BBG013WMG064</t>
  </si>
  <si>
    <t>STEP-UP CPN: 35BPS, SPT: 825 UNIT INCREASE OF LINAC INSTALLED BASE BY 04/30/2025 VS 04/30/2020 (BASELINE)</t>
  </si>
  <si>
    <t>Bookrunner Danske Bank DANSKE JLMB Joint Lead Managers-Books 0 1 2021-12-02 Bookrunner SEB SEB JLMB Joint Lead Managers-Books 0 1 2021-12-02</t>
  </si>
  <si>
    <t>GEK Terna Holding Real Estate Construction SA</t>
  </si>
  <si>
    <t>BS8796234</t>
  </si>
  <si>
    <t>BBG013XYWMK5</t>
  </si>
  <si>
    <t>GEKTER</t>
  </si>
  <si>
    <t>SLB CPN STEP-UP: 20BPTS/ANNUM; SPT DATE: ANNUALLY ON 06/30; KPI: GHG</t>
  </si>
  <si>
    <t>Bookrunner Alpha Bank AE ALPHA JLMB Joint Lead Managers-Books 0 1 2021-12-07 Bookrunner Eurobank SA EUROB JLMB Joint Lead Managers-Books 0 1 2021-12-07 Bookrunner Euroxx Securities SA EUROXX JLMB Joint Lead Managers-Books 0 1 2021-12-07 Bookrunner National Bank of Greece NBG JLMB Joint Lead Managers-Books 0 1 2021-12-07 Bookrunner Optima Bank &amp; Trust Co OPTIMA JLMB Joint Lead Managers-Books 0 1 2021-12-07 Bookrunner Piraeus Bank PIRAEU JLMB Joint Lead Managers-Books 0 1 2021-12-07</t>
  </si>
  <si>
    <t>BS8814508</t>
  </si>
  <si>
    <t>BBG013Y0QG55</t>
  </si>
  <si>
    <t>10YF</t>
  </si>
  <si>
    <t>Bookrunner Landesbank Hessen-Thuringen Gi HELABA JLMB Joint Lead Managers-Books 0 1 2021-12-07 Bookrunner Raiffeisen Bank International RAIINT JLMB Joint Lead Managers-Books 0 1 2021-12-07 Trustee Clifford Chance LLP CHANCE LAI Legal Adviser to the Issuer(s) 0 16 2021-11-26</t>
  </si>
  <si>
    <t>BS8816255</t>
  </si>
  <si>
    <t>BBG013Y0W6J5</t>
  </si>
  <si>
    <t>5.5</t>
  </si>
  <si>
    <t>BS8816669</t>
  </si>
  <si>
    <t>BBG013Y0WJV3</t>
  </si>
  <si>
    <t>YA Holding AB</t>
  </si>
  <si>
    <t>BS9540193</t>
  </si>
  <si>
    <t>BBG01404GG62</t>
  </si>
  <si>
    <t>YDHDG</t>
  </si>
  <si>
    <t>2021-12-17</t>
  </si>
  <si>
    <t>2024-12-17</t>
  </si>
  <si>
    <t>Educational Services</t>
  </si>
  <si>
    <t>BOND REDEEMED AT 100.75 IF THE ISSUER FAILS TO ACHIEVE SPT</t>
  </si>
  <si>
    <t>Bookrunner Carnegie CARNEG SOLE Sole Manager 0 1 2021-12-09 Trustee Nordic Trustee AB NRDTRS AGNT Agent(s) 0 7 2021-12-09 Trustee Carnegie Investment Bank AB CARNGI ISAG Issuing Agent(s) 0 7 2021-12-09</t>
  </si>
  <si>
    <t>BS9926319</t>
  </si>
  <si>
    <t>BBG01412D5S8</t>
  </si>
  <si>
    <t>2027-12-13</t>
  </si>
  <si>
    <t>BS9926327</t>
  </si>
  <si>
    <t>BBG01412D5V4</t>
  </si>
  <si>
    <t>2025-12-13</t>
  </si>
  <si>
    <t>BayWa AG</t>
  </si>
  <si>
    <t>BT2413768</t>
  </si>
  <si>
    <t>BBG0149BVYS7</t>
  </si>
  <si>
    <t>BYWGR</t>
  </si>
  <si>
    <t>2021-12-21</t>
  </si>
  <si>
    <t>2031-12-22</t>
  </si>
  <si>
    <t>SUSTAINABILITY-LINKED SCHULDSCHEIN TIED TO ESG RATING BY MSCI.</t>
  </si>
  <si>
    <t>Bookrunner Commerzbank COBA JLMB Joint Lead Managers-Books 0 1 2021-12-21 Bookrunner DZ Bank DZBK JLMB Joint Lead Managers-Books 0 1 2021-12-21 Bookrunner Landesbank Baden-Wuerttemberg LBBW JLMB Joint Lead Managers-Books 0 1 2021-12-21 Trustee Landesbank Baden-Wuerttemberg LBBW PAAG Paying Agent(s) 0 7 2021-12-21</t>
  </si>
  <si>
    <t>BT2413925</t>
  </si>
  <si>
    <t>BBG0149BW6B5</t>
  </si>
  <si>
    <t>2028-12-21</t>
  </si>
  <si>
    <t>BT2413933</t>
  </si>
  <si>
    <t>BBG0149BW6F1</t>
  </si>
  <si>
    <t>BT2413941</t>
  </si>
  <si>
    <t>BBG0149BW6J7</t>
  </si>
  <si>
    <t>2026-12-21</t>
  </si>
  <si>
    <t>BT2413966</t>
  </si>
  <si>
    <t>BBG0149BW6P0</t>
  </si>
  <si>
    <t>BT2751928</t>
  </si>
  <si>
    <t>BBG014BFCLJ4</t>
  </si>
  <si>
    <t>6YFX</t>
  </si>
  <si>
    <t>Bookrunner Commerzbank COBA JLMB Joint Lead Managers-Books 0 1 2021-12-22 Bookrunner Landesbank Hessen-Thuringen Gi HELABA JLMB Joint Lead Managers-Books 0 1 2021-12-22 NonBookrunner Australia &amp; New Zealand Bankin ANZ COAR Co-Arranger(s) 0 1 2021-12-22 NonBookrunner Bankinter BKINT COAR Co-Arranger(s) 0 1 2021-12-22 NonBookrunner Intesa Sanpaolo INTES COAR Co-Arranger(s) 0 1 2021-12-22 NonBookrunner Raiffeisen Bank International RAIINT COAR Co-Arranger(s) 0 1 2021-12-22 Trustee Landesbank Hessen-Thuringen Gi HELABA PAAG Paying Agent(s) 0 7 2021-12-22 ESG Assurance Provider ISS-oekom ISSOEK SNPC 2nd Party Consultant 0 30 2021-12-22</t>
  </si>
  <si>
    <t>BT2751951</t>
  </si>
  <si>
    <t>BBG014BFCLP7</t>
  </si>
  <si>
    <t>4YFX</t>
  </si>
  <si>
    <t>VZ Secured Financing BV</t>
  </si>
  <si>
    <t>BT3367682</t>
  </si>
  <si>
    <t>BBG014D43343</t>
  </si>
  <si>
    <t>ZIGGO</t>
  </si>
  <si>
    <t>2022-01-20</t>
  </si>
  <si>
    <t>Cable &amp; Satellite</t>
  </si>
  <si>
    <t>Cable Satellite</t>
  </si>
  <si>
    <t>STEP MARGIN: 12.5BPS, STEP EVENT: CPN INC IF SPT A OR B MISS BY 12/31/2025, REDEMP INC/DEC IF SPT A &amp; B MISS/ACHIEVED, NO LESS THAN 100%</t>
  </si>
  <si>
    <t>Bookrunner BNP Paribas BNPP JLMB Joint Lead Managers-Books 0 1 2022-01-06 Bookrunner BofA Securities BofA JLMB Joint Lead Managers-Books 0 1 2022-01-06 Bookrunner Credit Suisse CS JLMB Joint Lead Managers-Books 0 1 2022-01-06 Bookrunner Deutsche Bank DB JLMB Joint Lead Managers-Books 0 1 2022-01-06 Bookrunner Goldman Sachs GS JLMB Joint Lead Managers-Books 0 1 2022-01-06 Bookrunner ING Groep ING JLMB Joint Lead Managers-Books 0 1 2022-01-06 Bookrunner JP Morgan JPM JLMB Joint Lead Managers-Books 0 1 2022-01-06 Bookrunner Morgan Stanley MS JLMB Joint Lead Managers-Books 0 1 2022-01-06 Bookrunner Rabobank RABO JLMB Joint Lead Managers-Books 0 1 2022-01-06 Bookrunner RBC Capital Markets RBCCM JLMB Joint Lead Managers-Books 0 1 2022-01-06 Bookrunner Scotiabank SCOTIA JLMB Joint Lead Managers-Books 0 1 2022-01-06 Bookrunner Societe Generale SG JLMB Joint Lead Managers-Books 0 1 2022-01-06 Trustee Deutsche Bank AG London DB PAAG Paying Agent(s) 0 7 2022-01-06 Trustee Deutsche Trustee Co Ltd DBTRUS TRST Trustee(s) 0 7 2022-01-06 Trustee Deutsche Bank AG London DB TRNS Transfer Agent(s) 0 7 2022-01-06 Trustee Ogier OGIER LIST Listing Agent(s) 0 7 2022-01-06 Trustee Deutsche Bank Luxembourg SA DB RGST Registrar(s) 0 7 2022-01-06 Trustee Allen &amp; Overy AONETH LAI Legal Adviser to the Issuer(s) 0 16 2022-01-06 Trustee Ropes &amp; Gray Ltd R&amp;G LAI Legal Adviser to the Issuer(s) 0 16 2022-01-06 Trustee Baker McKenzie/London BKLNDN LAT Legal Adviser(s) to the Truste 0 16 2022-01-06 Trustee Clifford Chance/Amsterdam CHANCE LAM Legal Adviser(s) to the Manage 0 16 2022-01-06 Trustee Latham &amp; Watkins LATHAM LAM Legal Adviser(s) to the Manage 0 16 2022-01-06 ESG Assurance Provider Sustainalytics BV SUSANA SNPC 2nd Party Consultant 0 30 2022-01-06</t>
  </si>
  <si>
    <t>BT3367799</t>
  </si>
  <si>
    <t>BBG014D438Q8</t>
  </si>
  <si>
    <t>BT3408114</t>
  </si>
  <si>
    <t>BBG014D6F318</t>
  </si>
  <si>
    <t>RegS</t>
  </si>
  <si>
    <t>Bookrunner BNP Paribas BNPP JLMB Joint Lead Managers-Books 0 1 2022-01-06 Bookrunner BofA Securities BofA JLMB Joint Lead Managers-Books 0 1 2022-01-06 Bookrunner Credit Suisse CS JLMB Joint Lead Managers-Books 0 1 2022-01-06 Bookrunner Deutsche Bank DB JLMB Joint Lead Managers-Books 0 1 2022-01-06 Bookrunner Goldman Sachs GS JLMB Joint Lead Managers-Books 0 1 2022-01-06 Bookrunner ING Groep ING JLMB Joint Lead Managers-Books 0 1 2022-01-06 Bookrunner JP Morgan JPM JLMB Joint Lead Managers-Books 0 1 2022-01-06 Bookrunner Morgan Stanley MS JLMB Joint Lead Managers-Books 0 1 2022-01-06 Bookrunner Rabobank RABO JLMB Joint Lead Managers-Books 0 1 2022-01-06 Bookrunner RBC Capital Markets RBCCM JLMB Joint Lead Managers-Books 0 1 2022-01-06 Bookrunner Scotiabank SCOTIA JLMB Joint Lead Managers-Books 0 1 2022-01-06 Bookrunner Societe Generale SG JLMB Joint Lead Managers-Books 0 1 2022-01-06 Trustee Deutsche Bank AG London DB PAAG Paying Agent(s) 0 7 2022-01-06 Trustee Deutsche Trustee Co Ltd DBTRUS TRST Trustee(s) 0 7 2022-01-06 Trustee Deutsche Bank AG London DB TRNS Transfer Agent(s) 0 7 2022-01-06 Trustee Deutsche Bank Trust Co America DB TRNS Transfer Agent(s) 0 7 2022-01-06 Trustee Deutsche Bank Luxembourg SA DB RGST Registrar(s) 0 7 2022-01-06 Trustee Deutsche Bank Trust Co America DB RGST Registrar(s) 0 7 2022-01-06 Trustee Allen &amp; Overy LLP ALLOVR LAI Legal Adviser to the Issuer(s) 0 16 2022-01-06 Trustee Ropes &amp; Gray International LLP RPGRYI LAI Legal Adviser to the Issuer(s) 0 16 2022-01-06 Trustee Clifford Chance/Amsterdam CHANCE LAM Legal Adviser(s) to the Manage 0 16 2022-01-06 Trustee Latham &amp; Watkins LATHAM LAM Legal Adviser(s) to the Manage 0 16 2022-01-06 ESG Assurance Provider Sustainalytics BV SUSANA SNPC 2nd Party Consultant 0 30 2022-01-06</t>
  </si>
  <si>
    <t>BT3408833</t>
  </si>
  <si>
    <t>BBG014D6JTZ0</t>
  </si>
  <si>
    <t>144a</t>
  </si>
  <si>
    <t>Bookrunner BNP Paribas BNPP JLMB Joint Lead Managers-Books 0 1 2022-01-06 Bookrunner BofA Securities BofA JLMB Joint Lead Managers-Books 0 1 2022-01-06 Bookrunner Credit Suisse CS JLMB Joint Lead Managers-Books 0 1 2022-01-06 Bookrunner Deutsche Bank DB JLMB Joint Lead Managers-Books 0 1 2022-01-06 Bookrunner Goldman Sachs GS JLMB Joint Lead Managers-Books 0 1 2022-01-06 Bookrunner ING Groep ING JLMB Joint Lead Managers-Books 0 1 2022-01-06 Bookrunner JP Morgan JPM JLMB Joint Lead Managers-Books 0 1 2022-01-06 Bookrunner Morgan Stanley MS JLMB Joint Lead Managers-Books 0 1 2022-01-06 Bookrunner Rabobank RABO JLMB Joint Lead Managers-Books 0 1 2022-01-06 Bookrunner RBC Capital Markets RBCCM JLMB Joint Lead Managers-Books 0 1 2022-01-06 Bookrunner Scotiabank SCOTIA JLMB Joint Lead Managers-Books 0 1 2022-01-06 Bookrunner Societe Generale SG JLMB Joint Lead Managers-Books 0 1 2022-01-06 Trustee Deutsche Bank AG London DB PAAG Paying Agent(s) 0 7 2022-01-06 Trustee Deutsche Bank Trust Co America DB PAAG Paying Agent(s) 0 7 2022-01-06 Trustee Deutsche Trustee Co Ltd DBTRUS TRST Trustee(s) 0 7 2022-01-06 Trustee Deutsche Bank AG London DB TRNS Transfer Agent(s) 0 7 2022-01-06 Trustee Deutsche Bank Trust Co America DB TRNS Transfer Agent(s) 0 7 2022-01-06 Trustee Deutsche Bank Luxembourg SA DB RGST Registrar(s) 0 7 2022-01-06 Trustee Deutsche Bank Trust Co America DB RGST Registrar(s) 0 7 2022-01-06 Trustee Allen &amp; Overy LLP ALLOVR LAI Legal Adviser to the Issuer(s) 0 16 2022-01-06 Trustee Ropes &amp; Gray International LLP RPGRYI LAI Legal Adviser to the Issuer(s) 0 16 2022-01-06 Trustee Clifford Chance/Amsterdam CHANCE LAM Legal Adviser(s) to the Manage 0 16 2022-01-06 Trustee Latham &amp; Watkins LATHAM LAM Legal Adviser(s) to the Manage 0 16 2022-01-06 ESG Assurance Provider Sustainalytics BV SUSANA SNPC 2nd Party Consultant 0 30 2022-01-06</t>
  </si>
  <si>
    <t>CPI Property Group SA</t>
  </si>
  <si>
    <t>BT3966533</t>
  </si>
  <si>
    <t>BBG014G3F2J5</t>
  </si>
  <si>
    <t>CPIPGR</t>
  </si>
  <si>
    <t>CZ</t>
  </si>
  <si>
    <t>2022-01-14</t>
  </si>
  <si>
    <t>2030-01-14</t>
  </si>
  <si>
    <t>STEP-UP MARGIN: 25BPS, STEP-UP EVENT: GHG EMISSION INTENSITY &gt; 0.095T CO2EQ/M2 OF CPIPG PROPERTY PORTFOLIO FOR FY 2027.</t>
  </si>
  <si>
    <t>Bookrunner Bank of China International (U BCHINA JLMB Joint Lead Managers-Books 0 1 2022-01-10 Bookrunner Barclays BARCS JLMB Joint Lead Managers-Books 0 1 2022-01-10 Bookrunner Goldman Sachs International GSI JLMB Joint Lead Managers-Books 0 1 2022-01-10 Bookrunner HSBC HSBC JLMB Joint Lead Managers-Books 0 1 2022-01-10 Bookrunner Societe Generale SG JLMB Joint Lead Managers-Books 0 1 2022-01-10 Bookrunner UniCredit UNICRD JLMB Joint Lead Managers-Books 0 1 2022-01-10 NonBookrunner Goldman Sachs International GSI GLCO Global Coordinator(s) 0 1 2022-01-10 NonBookrunner HSBC HSBC GLCO Global Coordinator(s) 0 1 2022-01-10 NonBookrunner Societe Generale SG GLCO Global Coordinator(s) 0 1 2022-01-10 NonBookrunner UniCredit UNICRD GLCO Global Coordinator(s) 0 1 2022-01-10 Trustee Linklaters LLP L&amp;A LAM Legal Adviser(s) to the Manage 0 16 2022-01-10 ESG Assurance Provider Sustainalytics BV SUSANA SNPC 2nd Party Consultant 0 30 2022-01-10</t>
  </si>
  <si>
    <t>BT4292533</t>
  </si>
  <si>
    <t>BBG014GTTYY6</t>
  </si>
  <si>
    <t>2022-01-17</t>
  </si>
  <si>
    <t>2025-11-17</t>
  </si>
  <si>
    <t>Bookrunner Banca Akros SpA AKROS JLMB Joint Lead Managers-Books 0 1 2022-01-10 Bookrunner Banco Bilbao Vizcaya Argentari BBVA JLMB Joint Lead Managers-Books 0 1 2022-01-10 Bookrunner Banco Santander SANT JLMB Joint Lead Managers-Books 0 1 2022-01-10 Bookrunner Barclays BARCS JLMB Joint Lead Managers-Books 0 1 2022-01-10 Bookrunner BNP Paribas BNPP JLMB Joint Lead Managers-Books 0 1 2022-01-10 Bookrunner CaixaBank CAIXA JLMB Joint Lead Managers-Books 0 1 2022-01-10 Bookrunner Citi CITI JLMB Joint Lead Managers-Books 0 1 2022-01-10 Bookrunner Goldman Sachs Bank Europe SE GS JLMB Joint Lead Managers-Books 0 1 2022-01-10 Bookrunner HSBC HSBC JLMB Joint Lead Managers-Books 0 1 2022-01-10 Bookrunner IMI - Intesa Sanpaolo IMI JLMB Joint Lead Managers-Books 0 1 2022-01-10 Bookrunner ING Groep NV ING JLMB Joint Lead Managers-Books 0 1 2022-01-10 Bookrunner JP Morgan JPM JLMB Joint Lead Managers-Books 0 1 2022-01-10 Bookrunner Mediobanca MEDBCA JLMB Joint Lead Managers-Books 0 1 2022-01-10 Bookrunner Natixis NATIX JLMB Joint Lead Managers-Books 0 1 2022-01-10 Bookrunner UniCredit UNICRD JLMB Joint Lead Managers-Books 0 1 2022-01-10 ESG Assurance Provider Vigeo SASV VIGEO SNPC 2nd Party Consultant 0 30 2022-01-10</t>
  </si>
  <si>
    <t>BT4292558</t>
  </si>
  <si>
    <t>BBG014GTV031</t>
  </si>
  <si>
    <t>2031-01-17</t>
  </si>
  <si>
    <t>emtn</t>
  </si>
  <si>
    <t>STEP-UP MARGIN: 25BP, STEP-UP EVENT: 12/31/24 DIRECT GHG EMISSIONS BEING ABOVE 140G/KWHEQ</t>
  </si>
  <si>
    <t>Bookrunner Banca Akros SpA AKROS JLMB Joint Lead Managers-Books 0 1 2022-01-10 Bookrunner Banco Bilbao Vizcaya Argentari BBVA JLMB Joint Lead Managers-Books 0 1 2022-01-10 Bookrunner Banco Santander SANT JLMB Joint Lead Managers-Books 0 1 2022-01-10 Bookrunner Barclays BARCS JLMB Joint Lead Managers-Books 0 1 2022-01-10 Bookrunner BNP Paribas BNPP JLMB Joint Lead Managers-Books 0 1 2022-01-10 Bookrunner CaixaBank CAIXA JLMB Joint Lead Managers-Books 0 1 2022-01-10 Bookrunner Citigroup Global Markets Ltd CITI JLMB Joint Lead Managers-Books 0 1 2022-01-10 Bookrunner Goldman Sachs Bank Europe SE GS JLMB Joint Lead Managers-Books 0 1 2022-01-10 Bookrunner HSBC HSBC JLMB Joint Lead Managers-Books 0 1 2022-01-10 Bookrunner IMI - Intesa Sanpaolo IMI JLMB Joint Lead Managers-Books 0 1 2022-01-10 Bookrunner ING Groep NV ING JLMB Joint Lead Managers-Books 0 1 2022-01-10 Bookrunner JP Morgan Securities PLC JPM JLMB Joint Lead Managers-Books 0 1 2022-01-10 Bookrunner Mediobanca MEDBCA JLMB Joint Lead Managers-Books 0 1 2022-01-10 Bookrunner Natixis NATIX JLMB Joint Lead Managers-Books 0 1 2022-01-10 Bookrunner UniCredit UNICRD JLMB Joint Lead Managers-Books 0 1 2022-01-10 ESG Assurance Provider Vigeo SASV VIGEO SNPC 2nd Party Consultant 0 30 2022-01-10</t>
  </si>
  <si>
    <t>BT4292566</t>
  </si>
  <si>
    <t>BBG014GTV0J4</t>
  </si>
  <si>
    <t>2035-01-17</t>
  </si>
  <si>
    <t>Bookrunner Banca Akros SpA AKROS JLMB Joint Lead Managers-Books 50000 1 2022-01-10 Bookrunner Banco Bilbao Vizcaya Argentari BBVA JLMB Joint Lead Managers-Books 50000 1 2022-01-10 Bookrunner Banco Santander SANT JLMB Joint Lead Managers-Books 50000 1 2022-01-10 Bookrunner Barclays BARCS JLMB Joint Lead Managers-Books 50000 1 2022-01-10 Bookrunner BNP Paribas BNPP JLMB Joint Lead Managers-Books 50000 1 2022-01-10 Bookrunner CaixaBank CAIXA JLMB Joint Lead Managers-Books 50000 1 2022-01-10 Bookrunner Citi CITI JLMB Joint Lead Managers-Books 50000 1 2022-01-10 Bookrunner Goldman Sachs Bank Europe SE GS JLMB Joint Lead Managers-Books 50000 1 2022-01-10 Bookrunner HSBC HSBC JLMB Joint Lead Managers-Books 50000 1 2022-01-10 Bookrunner IMI - Intesa Sanpaolo IMI JLMB Joint Lead Managers-Books 50000 1 2022-01-10 Bookrunner ING Groep ING JLMB Joint Lead Managers-Books 50000 1 2022-01-10 Bookrunner JP Morgan JPM JLMB Joint Lead Managers-Books 50000 1 2022-01-10 Bookrunner Mediobanca MEDBCA JLMB Joint Lead Managers-Books 50000 1 2022-01-10 Bookrunner Natixis NATIX JLMB Joint Lead Managers-Books 50000 1 2022-01-10 Bookrunner UniCredit UNICRD JLMB Joint Lead Managers-Books 50000 1 2022-01-10 ESG Assurance Provider Vigeo SASV VIGEO SNPC 2nd Party Consultant 0 30 2022-01-10</t>
  </si>
  <si>
    <t>Snam SpA</t>
  </si>
  <si>
    <t>BT4343112</t>
  </si>
  <si>
    <t>BBG014GXZ207</t>
  </si>
  <si>
    <t>SRGIM</t>
  </si>
  <si>
    <t>2029-06-20</t>
  </si>
  <si>
    <t>Natural Gas</t>
  </si>
  <si>
    <t>STEP-UP MARGIN: 25bpts, STEP-UP EVENT: FAIL TO REDUCE SCOPE 1/2 GHG EMISSIONS BY 50% BY DEC 2030.</t>
  </si>
  <si>
    <t>Bookrunner Barclays BARCS JLMB Joint Lead Managers-Books 0 1 2022-01-12 Bookrunner BNP Paribas BNPP JLMB Joint Lead Managers-Books 0 1 2022-01-12 Bookrunner Goldman Sachs International GSI JLMB Joint Lead Managers-Books 0 1 2022-01-12 Bookrunner IMI - Intesa Sanpaolo IMI JLMB Joint Lead Managers-Books 0 1 2022-01-12 Bookrunner Mediobanca MEDBCA JLMB Joint Lead Managers-Books 0 1 2022-01-12 Bookrunner Morgan Stanley &amp; Co Internatio MS JLMB Joint Lead Managers-Books 0 1 2022-01-12 Bookrunner Societe Generale SG JLMB Joint Lead Managers-Books 0 1 2022-01-12 Bookrunner UniCredit UNICRD JLMB Joint Lead Managers-Books 0 1 2022-01-12 NonBookrunner Barclays BARCS GLCO Global Coordinator(s) 0 1 2022-01-12 NonBookrunner BNP Paribas BNPP GLCO Global Coordinator(s) 0 1 2022-01-12 NonBookrunner Goldman Sachs International GSI GLCO Global Coordinator(s) 0 1 2022-01-12 Trustee BNP Paribas Securities Service BNPSEC PAAG Paying Agent(s) 0 7 2022-01-12 Trustee BNP Paribas Securities Service BNPSEC LIST Listing Agent(s) 0 7 2022-01-12 Trustee BNP Paribas Securities Service BNPSEC ISAG Issuing Agent(s) 0 7 2022-01-12 Trustee Orrick Herrington &amp; Sutcliffe ORRICK LAI Legal Adviser to the Issuer(s) 0 16 2022-01-12 Trustee Linklaters LLP L&amp;A LAM Legal Adviser(s) to the Manage 0 16 2022-01-12 Trustee Studio Legale Associato assoc LINKLA LAM Legal Adviser(s) to the Manage 0 16 2022-01-12 ESG Assurance Provider ISS-oekom ISSOEK SNPC 2nd Party Consultant 0 30 2022-01-12</t>
  </si>
  <si>
    <t>BT4343138</t>
  </si>
  <si>
    <t>BBG014GXZ4M9</t>
  </si>
  <si>
    <t>2034-06-20</t>
  </si>
  <si>
    <t>CLEAN-UP CALL 80%. STEP-UP MARGIN: 25bpts, STEP-UP EVENT: FAIL TO REDUCE NATURAL GAS/SCOPE 1/2 GHG EMISSIONS BY 55%/40% BY DEC 2025/2027.</t>
  </si>
  <si>
    <t>Bookrunner Barclays Bank Ireland PLC BARCBK JLMB Joint Lead Managers-Books 0 1 2022-01-12 Bookrunner BNP Paribas BNPP JLMB Joint Lead Managers-Books 0 1 2022-01-12 Bookrunner BofA Securities Europe SA BOFAS JLMB Joint Lead Managers-Books 0 1 2022-01-12 Bookrunner Goldman Sachs International GSI JLMB Joint Lead Managers-Books 0 1 2022-01-12 Bookrunner Mizuho Securities Europe GmbH MIZUHO JLMB Joint Lead Managers-Books 0 1 2022-01-12 Bookrunner Morgan Stanley &amp; Co Internatio MS JLMB Joint Lead Managers-Books 0 1 2022-01-12 Bookrunner Societe Generale SG JLMB Joint Lead Managers-Books 0 1 2022-01-12 Bookrunner UniCredit UNICRD JLMB Joint Lead Managers-Books 0 1 2022-01-12 NonBookrunner Barclays BARCS GLCO Global Coordinator(s) 0 1 2022-01-12 NonBookrunner BNP Paribas BNPP GLCO Global Coordinator(s) 0 1 2022-01-12 NonBookrunner Goldman Sachs International GSI GLCO Global Coordinator(s) 0 1 2022-01-12 Trustee BNP Paribas Securities Service BNPSEC PAAG Paying Agent(s) 0 7 2022-01-12 Trustee BNP Paribas Securities Service BNPSEC LIST Listing Agent(s) 0 7 2022-01-12 Trustee BNP Paribas Securities Service BNPSEC ISAG Issuing Agent(s) 0 7 2022-01-12 Trustee Orrick Herrington &amp; Sutcliffe ORRICK LAI Legal Adviser to the Issuer(s) 0 16 2022-01-12 Trustee Linklaters LLP L&amp;A LAM Legal Adviser(s) to the Manage 0 16 2022-01-12 Trustee Studio Legale Associato assoc LINKLA LAM Legal Adviser(s) to the Manage 0 16 2022-01-12 ESG Assurance Provider ISS-oekom ISSOEK SNPC 2nd Party Consultant 0 30 2022-01-12</t>
  </si>
  <si>
    <t>degewo AG</t>
  </si>
  <si>
    <t>BT5670141</t>
  </si>
  <si>
    <t>BBG014LKY8R8</t>
  </si>
  <si>
    <t>DEGEWO</t>
  </si>
  <si>
    <t>2022-02-24</t>
  </si>
  <si>
    <t>2062-02-24</t>
  </si>
  <si>
    <t>40Y</t>
  </si>
  <si>
    <t>PRICING ADJ: +1.5BPS IF KPIS NOT ACHIEVED. KPIS: NEW RENTALS TO HOUSEHOLDS UNDER RESIDENTIAL ENTITLEMENT CERTIFICATE PROGRAM; CO2 EMISSIONS FOR ENTIRE PORTFOLIO</t>
  </si>
  <si>
    <t>Bookrunner BayernLB BAYLB JLMB Joint Lead Managers-Books 0 1 2022-02-24 Bookrunner UniCredit Bank AG UNICRD JLMB Joint Lead Managers-Books 0 1 2022-02-24</t>
  </si>
  <si>
    <t>BT5673616</t>
  </si>
  <si>
    <t>BBG014LL3NG9</t>
  </si>
  <si>
    <t>2057-02-24</t>
  </si>
  <si>
    <t>35Y</t>
  </si>
  <si>
    <t>BT5673632</t>
  </si>
  <si>
    <t>BBG014LL3NX0</t>
  </si>
  <si>
    <t>2052-02-24</t>
  </si>
  <si>
    <t>30Y</t>
  </si>
  <si>
    <t>BT5673640</t>
  </si>
  <si>
    <t>BBG014LL3PM7</t>
  </si>
  <si>
    <t>2047-02-24</t>
  </si>
  <si>
    <t>25Y</t>
  </si>
  <si>
    <t>BT5673665</t>
  </si>
  <si>
    <t>BBG014LL3Q36</t>
  </si>
  <si>
    <t>2042-02-24</t>
  </si>
  <si>
    <t>20Y</t>
  </si>
  <si>
    <t>BT5673673</t>
  </si>
  <si>
    <t>BBG014LL3QG2</t>
  </si>
  <si>
    <t>2037-02-24</t>
  </si>
  <si>
    <t>15Y</t>
  </si>
  <si>
    <t>BT5673681</t>
  </si>
  <si>
    <t>BBG014LL3QX3</t>
  </si>
  <si>
    <t>2032-02-24</t>
  </si>
  <si>
    <t>BT5673699</t>
  </si>
  <si>
    <t>BBG014LL3R52</t>
  </si>
  <si>
    <t>2029-02-24</t>
  </si>
  <si>
    <t>BT5673707</t>
  </si>
  <si>
    <t>BBG014LL3RM3</t>
  </si>
  <si>
    <t>2027-02-24</t>
  </si>
  <si>
    <t>BT5673772</t>
  </si>
  <si>
    <t>BBG014LL45K2</t>
  </si>
  <si>
    <t>2025-02-24</t>
  </si>
  <si>
    <t>Webuild SpA</t>
  </si>
  <si>
    <t>BT5681023</t>
  </si>
  <si>
    <t>BBG014LLWV97</t>
  </si>
  <si>
    <t>IPGIM</t>
  </si>
  <si>
    <t>2022-01-28</t>
  </si>
  <si>
    <t>2026-07-28</t>
  </si>
  <si>
    <t>STEP-UP MARGIN: 75BPS AT REDEMPTION, STEP-UP EVENT: FAILURE TO REDUCE SUM OF SCOPE 1 &amp; 2 GHG EMISSIONS BY 50% BY 12/31/2025 OR AT REDEMPTION.</t>
  </si>
  <si>
    <t>Bookrunner BofA Securities BofA JLMB Joint Lead Managers-Books 0 1 2022-01-19 Bookrunner Goldman Sachs International GSI JLMB Joint Lead Managers-Books 0 1 2022-01-19 Bookrunner IMI - Intesa Sanpaolo IMI JLMB Joint Lead Managers-Books 0 1 2022-01-19 Bookrunner Natixis NATIX JLMB Joint Lead Managers-Books 0 1 2022-01-19 Bookrunner UniCredit UNICRD JLMB Joint Lead Managers-Books 0 1 2022-01-19 NonBookrunner Banca Akros SpA AKROS CLM Co-Lead Manager(s) 0 1 2022-01-19 NonBookrunner Banco Bilbao Vizcaya Argentari BBVA CLM Co-Lead Manager(s) 0 1 2022-01-19 NonBookrunner BNP Paribas BNPP CLM Co-Lead Manager(s) 0 1 2022-01-19 Trustee Bank of New York Mellon/London BNY PAAG Paying Agent(s) 0 7 2022-01-19 Trustee BNY Mellon Corporate Trustee S BNYMEL TRST Trustee(s) 0 7 2022-01-19 Trustee Walkers Listing Services Ltd WALLIS LIST Listing Agent(s) 0 7 2022-01-19 Trustee Bonelli Erede Lombardi P BONELL LAI Legal Adviser to the Issuer(s) 0 16 2022-01-19 Trustee Linklaters LLP L&amp;A LAT Legal Adviser(s) to the Truste 0 16 2022-01-19 Trustee Linklaters LLP L&amp;A LAM Legal Adviser(s) to the Manage 0 16 2022-01-19 Trustee Studio Legale Associato assoc LINKLA LAM Legal Adviser(s) to the Manage 0 16 2022-01-19 ESG Assurance Provider Vigeo SASV VIGEO SNPC 2nd Party Consultant 0 30 2022-01-19</t>
  </si>
  <si>
    <t>FIS Fabbrica Italiana Sintetici SpA</t>
  </si>
  <si>
    <t>BT9871315</t>
  </si>
  <si>
    <t>BBG014ZYYJ44</t>
  </si>
  <si>
    <t>FISITA</t>
  </si>
  <si>
    <t>2022-02-10</t>
  </si>
  <si>
    <t>2027-08-01</t>
  </si>
  <si>
    <t>STEP-UP MARGIN: 0.2% REDEMPTION PRICE PER SPT. STEP-UP EVENT: FAILURE TO MEET YEARLY SPT 1/2/3 BY YEAR-END 2021-2026.</t>
  </si>
  <si>
    <t>Bookrunner Banca Akros SpA AKROS JLMB Joint Lead Managers-Books 0 1 2022-02-03 Bookrunner BNP Paribas BNPP JLMB Joint Lead Managers-Books 0 1 2022-02-03 Bookrunner Credit Suisse CS JLMB Joint Lead Managers-Books 0 1 2022-02-03 Bookrunner IMI - Intesa Sanpaolo IMI JLMB Joint Lead Managers-Books 0 1 2022-02-03 Bookrunner Unicredito Italiano UNICI JLMB Joint Lead Managers-Books 0 1 2022-02-03 NonBookrunner BNP Paribas BNPP GLCO Global Coordinator(s) 0 1 2022-02-03 NonBookrunner Credit Suisse CS GLCO Global Coordinator(s) 0 1 2022-02-03 Trustee Elavon Financial Services Ltd/ EFSLTD PAAG Paying Agent(s) 0 7 2022-02-03 Trustee US Bank Trustees Ltd USB TRST Trustee(s) 0 7 2022-02-03 Trustee Elavon Financial Services Ltd/ EFSLTD TRNS Transfer Agent(s) 0 7 2022-02-03 Trustee Elavon Financial Services Ltd/ EFSLTD RGST Registrar(s) 0 7 2022-02-03 Trustee Latham &amp; Watkins LATHAM LAI Legal Adviser to the Issuer(s) 0 16 2022-02-03 Trustee Latham &amp; Watkins LLP LATHAM LAI Legal Adviser to the Issuer(s) 0 16 2022-02-03 Trustee Reed Smith LLP/GB REED LAT Legal Adviser(s) to the Truste 0 16 2022-02-03 Trustee White &amp; Case LLP WC1 LAM Legal Adviser(s) to the Manage 0 16 2022-02-03 Trustee White &amp; Case/Milan W&amp;C LAM Legal Adviser(s) to the Manage 0 16 2022-02-03 Trustee Pirola Pennuto Zei &amp; Associati PIROLA LATX Legal Adviser(s) to Tax 0 16 2022-02-03 Trustee Tremonti Vitali Romagnoli Picc TRMNTI LATX Legal Adviser(s) to Tax 0 16 2022-02-03 ESG Assurance Provider Sustainalytics BV SUSANA SNPC 2nd Party Consultant 0 30 2022-02-03</t>
  </si>
  <si>
    <t>BT9871331</t>
  </si>
  <si>
    <t>BBG014ZYYKB3</t>
  </si>
  <si>
    <t>Atrium Ljungberg AB</t>
  </si>
  <si>
    <t>BU3126846</t>
  </si>
  <si>
    <t>BBG01561W2S8</t>
  </si>
  <si>
    <t>ATRLJB</t>
  </si>
  <si>
    <t>2022-02-22</t>
  </si>
  <si>
    <t>2027-02-22</t>
  </si>
  <si>
    <t>SUSTAIN. LINKD. KPI 1-4 &amp; SPT 1-4 AS PER SUSTAIN. FRAMEWRK. REDMPT PX INCREASE BY 0.25% PER SPT IF NOT FULFLLD BY 12/31/25. MAX REDMPT 101</t>
  </si>
  <si>
    <t>Bookrunner Handelsbanken Capital Markets HCM SOLE Sole Manager 1000000 1 2022-02-15 Trustee Handelsbanken Capital Markets HCM PAAG Paying Agent(s) 0 7 2022-02-15</t>
  </si>
  <si>
    <t>Vestas Wind Systems Finance BV</t>
  </si>
  <si>
    <t>BU6749503</t>
  </si>
  <si>
    <t>BBG015JQWQ42</t>
  </si>
  <si>
    <t>VWSDC</t>
  </si>
  <si>
    <t>2022-03-15</t>
  </si>
  <si>
    <t>2029-06-15</t>
  </si>
  <si>
    <t>STEP-UP MARGIN: UP TO 25BP; STEP-UP EVENT: SCOPE 1, 2 AND 3 CO2 EMISSIONS</t>
  </si>
  <si>
    <t>Bookrunner Citi CITI JLMB Joint Lead Managers-Books 100000 1 2022-03-08 Bookrunner DNB Markets DNB JLMB Joint Lead Managers-Books 100000 1 2022-03-08 Bookrunner SEB SEB JLMB Joint Lead Managers-Books 100000 1 2022-03-08 Bookrunner Societe Generale SG JLMB Joint Lead Managers-Books 100000 1 2022-03-08 Bookrunner UniCredit UNICRD JLMB Joint Lead Managers-Books 100000 1 2022-03-08 NonBookrunner SEB SEB GLCO Global Coordinator(s) 0 1 2022-03-08 NonBookrunner UniCredit UNICRD GLCO Global Coordinator(s) 0 1 2022-03-08 ESG Assurance Provider DNV GL Group AS DNVGI SNPC 2nd Party Consultant 0 30 2022-03-08</t>
  </si>
  <si>
    <t>BU6749586</t>
  </si>
  <si>
    <t>BBG015JQWRH6</t>
  </si>
  <si>
    <t>2034-06-15</t>
  </si>
  <si>
    <t>Varta AG</t>
  </si>
  <si>
    <t>BU9302615</t>
  </si>
  <si>
    <t>BBG015R5V118</t>
  </si>
  <si>
    <t>VARGR</t>
  </si>
  <si>
    <t>2022-03-30</t>
  </si>
  <si>
    <t>2029-03-30</t>
  </si>
  <si>
    <t>ESG LINKED +/-2.5 BPS BASED ON SUSTAINALYTICS ESG RATING.</t>
  </si>
  <si>
    <t>Bookrunner BayernLB BAYLB JLMB Joint Lead Managers-Books 0 1 2022-03-30 Bookrunner HSBC HSBC JLMB Joint Lead Managers-Books 0 1 2022-03-30 Bookrunner UniCredit UNICRD JLMB Joint Lead Managers-Books 0 1 2022-03-30</t>
  </si>
  <si>
    <t>BU9303993</t>
  </si>
  <si>
    <t>BBG015R60762</t>
  </si>
  <si>
    <t>2027-03-30</t>
  </si>
  <si>
    <t>BV1138858</t>
  </si>
  <si>
    <t>BBG015XJG305</t>
  </si>
  <si>
    <t>2022-03-16</t>
  </si>
  <si>
    <t>2028-03-16</t>
  </si>
  <si>
    <t>RENEWABLE ENERGY SLB. SPT: INSTALLATION &lt; 3,000MW on 12/31/2024. STEP-UP: 25bpts</t>
  </si>
  <si>
    <t>Bookrunner Banco Bilbao Vizcaya Argentari BBVA JLMB Joint Lead Managers-Books 0 1 2022-03-09 Bookrunner Banco Santander SA/London SANTAN JLMB Joint Lead Managers-Books 0 1 2022-03-09 Bookrunner BNP Paribas BNPP JLMB Joint Lead Managers-Books 0 1 2022-03-09 Bookrunner Citigroup Global Markets Ltd CITI JLMB Joint Lead Managers-Books 0 1 2022-03-09 Bookrunner Credit Agricole CIB CACIB JLMB Joint Lead Managers-Books 0 1 2022-03-09 Bookrunner Intesa Sanpaolo SpA/London INTESA JLMB Joint Lead Managers-Books 0 1 2022-03-09 Bookrunner JP Morgan JPM JLMB Joint Lead Managers-Books 0 1 2022-03-09 Bookrunner Mediobanca-Banca di Credito Fi MEDIF JLMB Joint Lead Managers-Books 0 1 2022-03-09 Bookrunner Societe Generale SG JLMB Joint Lead Managers-Books 0 1 2022-03-09 Bookrunner UniCredit Bank AG/London UNICRD JLMB Joint Lead Managers-Books 0 1 2022-03-09 NonBookrunner Citigroup Global Markets Ltd CITI GLCO Global Coordinator(s) 0 1 2022-03-09 NonBookrunner Mediobanca-Banca di Credito Fi MEDIF GLCO Global Coordinator(s) 0 1 2022-03-09 Trustee Bank of New York Mellon/London BNY AGNT Agent(s) 0 7 2022-03-09 Trustee Bank of New York Mellon Luxemb BNYM LIST Listing Agent(s) 0 7 2022-03-09 Trustee Orrick Herrington &amp; Sutcliffe ORRICK LAI Legal Adviser to the Issuer(s) 0 16 2022-03-09 Trustee Allen &amp; Overy/Rome ALOVIT LAM Legal Adviser(s) to the Manage 0 16 2022-03-09 Trustee Allen &amp; Overy/Milan IT LAM Legal Adviser(s) to the Manage 0 16 2022-03-09</t>
  </si>
  <si>
    <t>BV2249076</t>
  </si>
  <si>
    <t>BBG0160XMH28</t>
  </si>
  <si>
    <t>2022-03-22</t>
  </si>
  <si>
    <t>2028-03-22</t>
  </si>
  <si>
    <t>STEP-UP MARGIN: 25BPS, STEP-UP EVENT: REDUCTION OF GHG EMISSIONS (SCOPE 1+2) BY 600KT TO 2,600KT (81.25% OF THE 2018 BASELINE) BY 2025</t>
  </si>
  <si>
    <t>Bookrunner Bank of America Securities Ltd BASL JLMB Joint Lead Managers-Books 0 1 2022-03-14 Bookrunner Barclays BARCS JLMB Joint Lead Managers-Books 0 1 2022-03-14 Bookrunner Commerzbank COBA JLMB Joint Lead Managers-Books 0 1 2022-03-14 Bookrunner JP Morgan Securities PLC JPM JLMB Joint Lead Managers-Books 0 1 2022-03-14 Bookrunner Standard Chartered PLC SCB JLMB Joint Lead Managers-Books 0 1 2022-03-14 Trustee Deutsche Bank AG DB PAAG Paying Agent(s) 0 7 2022-03-14 Trustee Deutsche Bank AG DB FISC Fiscal Agent(s) 0 7 2022-03-14 Trustee Deutsche Bank Luxembourg SA DB LIST Listing Agent(s) 0 7 2022-03-14 Trustee Internal Adviser IA LAI Legal Adviser to the Issuer(s) 0 16 2022-03-14 Trustee Hengeler Mueller HMWW LAM Legal Adviser(s) to the Manage 0 16 2022-03-14</t>
  </si>
  <si>
    <t>L'Oreal SA</t>
  </si>
  <si>
    <t>BV4081634</t>
  </si>
  <si>
    <t>BBG0167XVGD1</t>
  </si>
  <si>
    <t>ORFP</t>
  </si>
  <si>
    <t>2022-03-29</t>
  </si>
  <si>
    <t>2026-06-29</t>
  </si>
  <si>
    <t>STEP-UP MARGIN: 12.5BP PER SPT (2025); SPT1: 0 ABSOLUTE SCOPES 1,2 GHG, SPT2: 14% REDUCTION OF SCOPES 1,2,3; SPT3: USE 50% OF RECYCLED PLASTICS IN PACKAGING</t>
  </si>
  <si>
    <t>Bookrunner Banco Santander SANTAN JLMB Joint Lead Managers-Books 0 1 2022-03-22 Bookrunner BNP Paribas BNPP JLMB Joint Lead Managers-Books 0 1 2022-03-22 Bookrunner BofA Securities Europe SA BOFAS JLMB Joint Lead Managers-Books 0 1 2022-03-22 Bookrunner Citi CITI JLMB Joint Lead Managers-Books 0 1 2022-03-22 Bookrunner Credit Agricole CIB CACIB JLMB Joint Lead Managers-Books 0 1 2022-03-22 Bookrunner Deutsche Bank DB JLMB Joint Lead Managers-Books 0 1 2022-03-22 Bookrunner Goldman Sachs GS JLMB Joint Lead Managers-Books 0 1 2022-03-22 Bookrunner HSBC HSBC JLMB Joint Lead Managers-Books 0 1 2022-03-22 Bookrunner JP Morgan JPM JLMB Joint Lead Managers-Books 0 1 2022-03-22 Bookrunner Natixis NATIX JLMB Joint Lead Managers-Books 0 1 2022-03-22 Bookrunner Societe Generale SG JLMB Joint Lead Managers-Books 0 1 2022-03-22 Bookrunner Standard Chartered Bank STAN JLMB Joint Lead Managers-Books 0 1 2022-03-22 NonBookrunner BNP Paribas BNPP GLCO Global Coordinator(s) 0 1 2022-03-22 NonBookrunner JP Morgan JPM GLCO Global Coordinator(s) 0 1 2022-03-22 Trustee Allen &amp; Overy LLP ALLOVR LAM Legal Adviser(s) to the Manage 0 16 2022-03-22</t>
  </si>
  <si>
    <t>BV4095907</t>
  </si>
  <si>
    <t>BBG0167Z1CR3</t>
  </si>
  <si>
    <t>2022-02-25</t>
  </si>
  <si>
    <t>2030-02-25</t>
  </si>
  <si>
    <t>Bookrunner Commerzbank COBA JLMB Joint Lead Managers-Books 0 1 2022-02-25 Bookrunner Landesbank Hessen-Thuringen Gi HELABA JLMB Joint Lead Managers-Books 0 1 2022-02-25</t>
  </si>
  <si>
    <t>Carrefour SA</t>
  </si>
  <si>
    <t>BV4439030</t>
  </si>
  <si>
    <t>BBG0168SHTJ3</t>
  </si>
  <si>
    <t>CAFP</t>
  </si>
  <si>
    <t>2026-10-30</t>
  </si>
  <si>
    <t>SLB. SPT1/SPT2: SUSTAINABLE FARMING AND FOOD. STEP-UP: 25BPTS IF BOTH SPT NOT SATISFIED ON 10/2026</t>
  </si>
  <si>
    <t>Bookrunner Banco Bilbao Vizcaya Argentari BBVA JLMB Joint Lead Managers-Books 0 1 2022-03-23 Bookrunner BNP Paribas BNPP JLMB Joint Lead Managers-Books 0 1 2022-03-23 Bookrunner BofA Securities Europe SA BOFAS JLMB Joint Lead Managers-Books 0 1 2022-03-23 Bookrunner Credit Agricole CIB CACIB JLMB Joint Lead Managers-Books 0 1 2022-03-23 Bookrunner Helaba Frankfurt HELABA JLMB Joint Lead Managers-Books 0 1 2022-03-23 Bookrunner HSBC Bank PLC HSBC JLMB Joint Lead Managers-Books 0 1 2022-03-23 Bookrunner Societe Generale SG JLMB Joint Lead Managers-Books 0 1 2022-03-23 Bookrunner UniCredit UNICRD JLMB Joint Lead Managers-Books 0 1 2022-03-23 NonBookrunner BNP Paribas BNPP GLCO Global Coordinator(s) 0 1 2022-03-23 NonBookrunner BofA Securities Europe SA BOFAS GLCO Global Coordinator(s) 0 1 2022-03-23 NonBookrunner Credit Agricole CIB CACIB GLCO Global Coordinator(s) 0 1 2022-03-23 NonBookrunner Societe Generale SG GLCO Global Coordinator(s) 0 1 2022-03-23</t>
  </si>
  <si>
    <t>BV4439048</t>
  </si>
  <si>
    <t>BBG0168SHW06</t>
  </si>
  <si>
    <t>2029-10-30</t>
  </si>
  <si>
    <t>SLB. SPT1/SPT2: SUSTAINABLE FARMING AND FOOD. STEP-UP: 25BPTS EACH YEAR IF BOTH SPT NOT SATISFIED ON 10/2026, 2027, 2028 AND 2029</t>
  </si>
  <si>
    <t>Bookrunner Banco Bilbao Vizcaya Argentari BBVA JLMB Joint Lead Managers-Books 0 1 2022-03-23 Bookrunner BNP Paribas BNPP JLMB Joint Lead Managers-Books 0 1 2022-03-23 Bookrunner BofA Securities Europe SA BOFAS JLMB Joint Lead Managers-Books 0 1 2022-03-23 Bookrunner Credit Agricole CIB CACIB JLMB Joint Lead Managers-Books 0 1 2022-03-23 Bookrunner Helaba Frankfurt HELABA JLMB Joint Lead Managers-Books 0 1 2022-03-23 Bookrunner HSBC Bank PLC HSBC JLMB Joint Lead Managers-Books 0 1 2022-03-23 Bookrunner Societe Generale SG JLMB Joint Lead Managers-Books 0 1 2022-03-23 Bookrunner UniCredit UNICRD JLMB Joint Lead Managers-Books 0 1 2022-03-23 NonBookrunner BNP Paribas BNPP GLCO Global Coordinator(s) 0 1 2022-03-23 NonBookrunner BofA Securities Europe SA BOFAS GLCO Global Coordinator(s) 0 1 2022-03-23 NonBookrunner Credit Agricole CIB CACIB GLCO Global Coordinator(s) 0 1 2022-03-23 NonBookrunner Societe Generale SG GLCO Global Coordinator(s) 0 1 2022-03-23 Trustee BNP Paribas Securities Service BNPPAR PAAG Paying Agent(s) 0 7 2022-03-23 Trustee BNP Paribas Securities Service BNPPAR CALC Calculation Agent(s) 0 7 2022-03-23 Trustee BNP Paribas Securities Service BNPPAR FISC Fiscal Agent(s) 0 7 2022-03-23 Trustee Clifford Chance Europe LLP CLIFCH LAI Legal Adviser to the Issuer(s) 0 16 2022-03-23 Trustee Allen &amp; Overy ALLOVR LAM Legal Adviser(s) to the Manage 0 16 2022-03-23</t>
  </si>
  <si>
    <t>Cabonline Group Holding AB</t>
  </si>
  <si>
    <t>BV5219233</t>
  </si>
  <si>
    <t>BBG016C519Z1</t>
  </si>
  <si>
    <t>CABONL</t>
  </si>
  <si>
    <t>2022-04-19</t>
  </si>
  <si>
    <t>2026-04-19</t>
  </si>
  <si>
    <t>STEP-UP MARGIN: 75BPS, STEP-UP EVENT: FAIL TO INC % NON-FOSSIL VEHICLES TO 50%, ALCOHOL IGNITION INTERLOCKS TO 87%, SBTi ALIGNMENT BY END 2025</t>
  </si>
  <si>
    <t>Bookrunner Pareto Securities PARETO SOLE Sole Manager 1650000 1 2022-03-24 Trustee Pareto Securities AB PARETO ISAG Issuing Agent(s) 0 7 2022-03-24</t>
  </si>
  <si>
    <t>BV5722137</t>
  </si>
  <si>
    <t>BBG016DGDJP2</t>
  </si>
  <si>
    <t>2022-04-06</t>
  </si>
  <si>
    <t>2028-04-06</t>
  </si>
  <si>
    <t>STEP-UP MARGIN: 25BPS, STEP-UP EVENT: &lt;40% BY EUR INVESTED OF EQT ELIGIBLE EQUITY PORTFOLIO COMPANIES SET SBTs APPROVED BY SBTi BY 2025</t>
  </si>
  <si>
    <t>Bookrunner BNP Paribas BNPP JLMB Joint Lead Managers-Books 0 1 2022-03-30 Bookrunner Goldman Sachs Bank Europe SE GS JLMB Joint Lead Managers-Books 0 1 2022-03-30 Bookrunner JP Morgan SE JPM JLMB Joint Lead Managers-Books 0 1 2022-03-30 Bookrunner Morgan Stanley MS JLMB Joint Lead Managers-Books 0 1 2022-03-30 Bookrunner Nordea NORDEA JLMB Joint Lead Managers-Books 0 1 2022-03-30 Bookrunner SEB SEB JLMB Joint Lead Managers-Books 0 1 2022-03-30 NonBookrunner Credit Agricole CIB CACIB CM Co-Manager(s) 0 1 2022-03-30 NonBookrunner DNB ASA DNBK CM Co-Manager(s) 0 1 2022-03-30 NonBookrunner Mizuho International PLC MIZUHO CM Co-Manager(s) 0 1 2022-03-30 NonBookrunner NatWest Markets NWM CM Co-Manager(s) 0 1 2022-03-30 NonBookrunner Swedbank SWED CM Co-Manager(s) 0 1 2022-03-30 NonBookrunner Morgan Stanley MS GLCO Global Coordinator(s) 0 1 2022-03-30 ESG Assurance Provider ISS-oekom ISSOEK SNPC 2nd Party Consultant 0 30 2022-03-30</t>
  </si>
  <si>
    <t>CEZ AS</t>
  </si>
  <si>
    <t>BV5734215</t>
  </si>
  <si>
    <t>BBG016DHPQP1</t>
  </si>
  <si>
    <t>CEZCP</t>
  </si>
  <si>
    <t>STEP-UP MARGIN: 75BPS UPON LAST COUPON DATE; SPT: GHG EMISSION INTENSITY (SCOPE 1) 0.26 tCO2e/MWh BY 12/31/2025, 30.8% REDUCTION VS 2019 BASELINE</t>
  </si>
  <si>
    <t>Bookrunner Barclays Bank Ireland PLC BARCBK JLMB Joint Lead Managers-Books 0 1 2022-03-30 Bookrunner Citigroup Global Markets Ltd CITI JLMB Joint Lead Managers-Books 0 1 2022-03-30 Bookrunner Deutsche Bank DB JLMB Joint Lead Managers-Books 0 1 2022-03-30 Bookrunner Erste Group Bank ERSTE JLMB Joint Lead Managers-Books 0 1 2022-03-30 Bookrunner SMBC Nikko Capital Markets Ltd SMBNIK JLMB Joint Lead Managers-Books 0 1 2022-03-30 NonBookrunner Raiffeisen Bank International RAIINT CLM Co-Lead Manager(s) 0 1 2022-03-30 Trustee Deutsche Bank AG London DB AGNT Agent(s) 0 7 2022-03-30 Trustee Deutsche Bank Luxembourg SA DB PAAG Paying Agent(s) 0 7 2022-03-30 Trustee Deutsche Bank Luxembourg SA DB LIST Listing Agent(s) 0 7 2022-03-30 Trustee Kinstellar Sro Advokatni Kance KINSA LAI Legal Adviser to the Issuer(s) 0 16 2022-03-30 Trustee Linklaters LLP L&amp;A LAI Legal Adviser to the Issuer(s) 0 16 2022-03-30 Trustee Dentons UKMEA LLP DENTUK LAM Legal Adviser(s) to the Manage 0 16 2022-03-30 ESG Assurance Provider ISS-oekom ISSOEK SNPC 2nd Party Consultant 0 30 2022-03-30</t>
  </si>
  <si>
    <t>Sanofi</t>
  </si>
  <si>
    <t>BV6300149</t>
  </si>
  <si>
    <t>BBG016FVB8G3</t>
  </si>
  <si>
    <t>SANFP</t>
  </si>
  <si>
    <t>2029-04-06</t>
  </si>
  <si>
    <t>STEP-UP MARGIN: 25 BPS (12/31/2026); SPT: PROVISION OF ESSENTIAL MEDICINES TO AT LEAST 1.5 MILLION PATIENTS IN LOW/LOWER-MIDDLE INCOME COUNTRIES</t>
  </si>
  <si>
    <t>Bookrunner Barclays BARCS JLMB Joint Lead Managers-Books 0 1 2022-03-30 Bookrunner Morgan Stanley MS JLMB Joint Lead Managers-Books 0 1 2022-03-30 Bookrunner MUFG Securities EMEA PLC MUFG JLMB Joint Lead Managers-Books 0 1 2022-03-30 Bookrunner Natixis NATIX JLMB Joint Lead Managers-Books 0 1 2022-03-30 Bookrunner RBC Capital Markets RBCCM JLMB Joint Lead Managers-Books 0 1 2022-03-30 ESG Assurance Provider ISS-oekom ISSOEK SNPC 2nd Party Consultant 0 30 2022-03-30</t>
  </si>
  <si>
    <t>Pernod Ricard SA</t>
  </si>
  <si>
    <t>BV6300610</t>
  </si>
  <si>
    <t>BBG016FVKCG4</t>
  </si>
  <si>
    <t>RIFP</t>
  </si>
  <si>
    <t>2022-04-07</t>
  </si>
  <si>
    <t>2029-04-07</t>
  </si>
  <si>
    <t>SLB BOND. SPT1: GHG EMISSIONS; SPT2: WATER CONSUMPTION. OBSERVATION DATE: 06/30/2025. STEP-UP: 25BPTS IF SPT1 OR SPT2 NOT ACHIEVED.</t>
  </si>
  <si>
    <t>Bookrunner Barclays BARCS JLMB Joint Lead Managers-Books 0 1 2022-03-31 Bookrunner BNP Paribas BNPP JLMB Joint Lead Managers-Books 0 1 2022-03-31 Bookrunner Deutsche Bank DB JLMB Joint Lead Managers-Books 0 1 2022-03-31 Bookrunner HSBC HSBC JLMB Joint Lead Managers-Books 0 1 2022-03-31 Bookrunner Natixis NATIX JLMB Joint Lead Managers-Books 0 1 2022-03-31 Bookrunner Societe Generale SG JLMB Joint Lead Managers-Books 0 1 2022-03-31</t>
  </si>
  <si>
    <t>BV6301808</t>
  </si>
  <si>
    <t>BBG016FVV522</t>
  </si>
  <si>
    <t>2032-04-06</t>
  </si>
  <si>
    <t>STEP-UP MARGIN: 20BPS, STEP-UP EVENT: &lt;40% BY EUR INVESTED OF EQT ELIGIBLE EQUITY PORTFOLIO COMPANIES SET SBTs APPROVED BY SBTi BY 2025</t>
  </si>
  <si>
    <t>BV6871503</t>
  </si>
  <si>
    <t>BBG016J5TZT3</t>
  </si>
  <si>
    <t>2022-04-01</t>
  </si>
  <si>
    <t>2026-05-07</t>
  </si>
  <si>
    <t>STEP-UP MARGIN: 12.5BP PER SPT (12/31/2025) 2018 BASELINE; SPT1: CARBON INTENSITY REDUCTION 9.7%; SPT2: FRESHWATER WITHDRAWAL 25%</t>
  </si>
  <si>
    <t>Bookrunner NatWest Markets NWM SOLE Sole Manager 150000 1 2022-03-23 Trustee Citibank NA/London CITI PAAG Paying Agent(s) 0 7 2022-03-23 Trustee Citibank NA/London CITI FISC Fiscal Agent(s) 0 7 2022-03-23 Trustee Citibank NA/London CITI TRNS Transfer Agent(s) 0 7 2022-03-23 Trustee Citibank Europe PLC CITIFS RGST Registrar(s) 0 7 2022-03-23 Trustee Homburger AG HOMBRE LAI Legal Adviser to the Issuer(s) 0 16 2022-03-23 Trustee Linklaters LLP L&amp;A LAI Legal Adviser to the Issuer(s) 0 16 2022-03-23 Trustee Linklaters LLP/Luxembourg LINKLS LAI Legal Adviser to the Issuer(s) 0 16 2022-03-23 Trustee Linklaters L&amp;A LAI Legal Adviser to the Issuer(s) 0 16 2022-03-23 Trustee Clifford Chance LLP CHANCE LAM Legal Adviser(s) to the Manage 0 16 2022-03-23</t>
  </si>
  <si>
    <t>BV7154339</t>
  </si>
  <si>
    <t>BBG016K63167</t>
  </si>
  <si>
    <t>2022-04-11</t>
  </si>
  <si>
    <t>2029-04-11</t>
  </si>
  <si>
    <t>GBP</t>
  </si>
  <si>
    <t>STEP-UP MARGIN: 25BPS; STEP-UP EVENT: DIRECT GHG EMISSIONS AS OF 31 DECEMBER 2024 BEING ABOVE 140G/KWHEQ, AS CONFIRMED BY EXTERNAL VERIFIER</t>
  </si>
  <si>
    <t>Bookrunner Banco Santander SANT JLMB Joint Lead Managers-Books 0 1 2022-04-04 Bookrunner BNP Paribas BNPP JLMB Joint Lead Managers-Books 0 1 2022-04-04 Bookrunner Credit Agricole CIB CACIB JLMB Joint Lead Managers-Books 0 1 2022-04-04 Bookrunner Goldman Sachs GS JLMB Joint Lead Managers-Books 0 1 2022-04-04 Bookrunner HSBC HSBC JLMB Joint Lead Managers-Books 0 1 2022-04-04 Bookrunner JP Morgan JPM JLMB Joint Lead Managers-Books 0 1 2022-04-04 Bookrunner SMBC Nikko Securities Inc NIKKO JLMB Joint Lead Managers-Books 0 1 2022-04-04 Bookrunner Societe Generale SG JLMB Joint Lead Managers-Books 0 1 2022-04-04 Bookrunner UniCredit UNICRD JLMB Joint Lead Managers-Books 0 1 2022-04-04 ESG Assurance Provider Vigeo SASV VIGEO SNPC 2nd Party Consultant 0 30 2022-04-04</t>
  </si>
  <si>
    <t>CapMan Oyj</t>
  </si>
  <si>
    <t>BV7160799</t>
  </si>
  <si>
    <t>BBG016K6QTV3</t>
  </si>
  <si>
    <t>CPMBV</t>
  </si>
  <si>
    <t>FI</t>
  </si>
  <si>
    <t>2022-04-13</t>
  </si>
  <si>
    <t>2027-04-13</t>
  </si>
  <si>
    <t>STEP-UP MARGIN: 25BPS PER SPT; SPT1: REDUCE GHG EMISSIONS BY 12/2023; SPT2: INTEGRATE SUST. OBJECTIVIES INTO MANAGEMENT'S RENUMERATION BY 12/2023</t>
  </si>
  <si>
    <t>Bookrunner OP Corporate Bank PLC OPBANK SOLE Sole Manager 0 1 2022-04-06 Trustee OP Corporate Bank PLC OPBANK PAAG Paying Agent(s) 0 7 2022-04-06 ESG Assurance Provider ISS-oekom ISSOEK SNPC 2nd Party Consultant 0 30 2022-04-06</t>
  </si>
  <si>
    <t>JAB Holdings BV</t>
  </si>
  <si>
    <t>BV7511991</t>
  </si>
  <si>
    <t>BBG016LBJ5Y8</t>
  </si>
  <si>
    <t>JABHOL</t>
  </si>
  <si>
    <t>2022-04-08</t>
  </si>
  <si>
    <t>2052-04-08</t>
  </si>
  <si>
    <t>STEP-UP MARGIN: UP TO 25 BPS; KPIs: (i,ii) 46.2% SCOPE 1,2 GHG EMISSIONS REDUCTION, (iii) GENDER EQUALITY</t>
  </si>
  <si>
    <t>Bookrunner Banco Santander (US) SANTAN JLMB Joint Lead Managers-Books 0 1 2022-04-05 Bookrunner BMO Capital Markets Corp BMO JLMB Joint Lead Managers-Books 0 1 2022-04-05 Bookrunner BNP Paribas/New York BNPPAR JLMB Joint Lead Managers-Books 0 1 2022-04-05 Bookrunner BofA Securities BofA JLMB Joint Lead Managers-Books 0 1 2022-04-05 Bookrunner Citigroup Global Markets Inc CITI JLMB Joint Lead Managers-Books 0 1 2022-04-05 Bookrunner Credit Agricole Securities USA CASECS JLMB Joint Lead Managers-Books 0 1 2022-04-05 Bookrunner HSBC Securities HSBC JLMB Joint Lead Managers-Books 0 1 2022-04-05 Bookrunner JP Morgan JPM JLMB Joint Lead Managers-Books 0 1 2022-04-05 Bookrunner MUFG Securities Americas Inc MUFG JLMB Joint Lead Managers-Books 0 1 2022-04-05 Bookrunner Rabo Securities USA Inc RABO JLMB Joint Lead Managers-Books 0 1 2022-04-05 Bookrunner Skandinaviska Enskilda Banken SEB JLMB Joint Lead Managers-Books 0 1 2022-04-05 Bookrunner SMBC Nikko Securities America SMBC JLMB Joint Lead Managers-Books 0 1 2022-04-05 Bookrunner TD Securities USA LLC TDSEC JLMB Joint Lead Managers-Books 0 1 2022-04-05 Bookrunner UniCredit Capital Markets Inc UNICRE JLMB Joint Lead Managers-Books 0 1 2022-04-05 ESG Assurance Provider Sustainalytics BV SUSANA SNPC 2nd Party Consultant 0 30 2022-04-05</t>
  </si>
  <si>
    <t>BV7512007</t>
  </si>
  <si>
    <t>BBG016LBJ8B7</t>
  </si>
  <si>
    <t>Arcos Dorados BV</t>
  </si>
  <si>
    <t>BW0558104</t>
  </si>
  <si>
    <t>BBG016Z4HQP5</t>
  </si>
  <si>
    <t>ARCO</t>
  </si>
  <si>
    <t>2022-04-27</t>
  </si>
  <si>
    <t>2029-05-27</t>
  </si>
  <si>
    <t>STEP-UP MARGIN: 12.5BPS/25BPS, STEP-UP EVENT: FAIL TO ACHIEVE EITHER SPT1 OR SPT2/FAIL TO ACHIEVE BOTH SPT1 AND SPT2 BY 12/31/2025.</t>
  </si>
  <si>
    <t>Bookrunner Banco Itau SA ITAU JLMB Joint Lead Managers-Books 0 1 2022-04-21 Bookrunner Banco Santander SANT JLMB Joint Lead Managers-Books 0 1 2022-04-21 Bookrunner Citi CITI JLMB Joint Lead Managers-Books 0 1 2022-04-21 Bookrunner JP Morgan JPM JLMB Joint Lead Managers-Books 0 1 2022-04-21 Trustee Davis Polk &amp; Wardwell DPW LAI Legal Adviser to the Issuer(s) 0 16 2022-04-21</t>
  </si>
  <si>
    <t>BW0558112</t>
  </si>
  <si>
    <t>BBG016Z4HSV4</t>
  </si>
  <si>
    <t>Aegea Finance Sarl</t>
  </si>
  <si>
    <t>BW1911534</t>
  </si>
  <si>
    <t>BBG01730QSH1</t>
  </si>
  <si>
    <t>AEGEBZ</t>
  </si>
  <si>
    <t>2022-05-06</t>
  </si>
  <si>
    <t>2029-05-20</t>
  </si>
  <si>
    <t>Bookrunner Banco BTG Pactual BTG JLMB Joint Lead Managers-Books 0 1 2022-04-27 Bookrunner Banco Itau BBA ITABBA JLMB Joint Lead Managers-Books 0 1 2022-04-27 Bookrunner Bradesco BBI SA BRADSC JLMB Joint Lead Managers-Books 0 1 2022-04-27 Bookrunner JP Morgan JPM JLMB Joint Lead Managers-Books 0 1 2022-04-27 Bookrunner Morgan Stanley MS JLMB Joint Lead Managers-Books 0 1 2022-04-27</t>
  </si>
  <si>
    <t>BW1912169</t>
  </si>
  <si>
    <t>BBG01730RH48</t>
  </si>
  <si>
    <t>Bookrunner Banco BTG Pactual BTG JLMB Joint Lead Managers-Books 0 1 2022-04-27 Bookrunner Banco Itau BBA ITABBA JLMB Joint Lead Managers-Books 0 1 2022-04-27 Bookrunner JP Morgan JPM JLMB Joint Lead Managers-Books 0 1 2022-04-27 Bookrunner Morgan Stanley MS JLMB Joint Lead Managers-Books 0 1 2022-04-27</t>
  </si>
  <si>
    <t>Arcadis NV</t>
  </si>
  <si>
    <t>ZO2068393</t>
  </si>
  <si>
    <t>BBG00X02PN86</t>
  </si>
  <si>
    <t>ARCAD</t>
  </si>
  <si>
    <t>2020-10-14</t>
  </si>
  <si>
    <t>2027-10-14</t>
  </si>
  <si>
    <t>SUSTAINABILITY-LINKED SCHULDSCHEIN. SUSTAINABILITY PRICING ADJUSTMENT: +5BPS IF DEVELOPMENT OF MANAGEMENT SCORE &lt;=53.4; -5BPS IF SCORE &gt;=65.</t>
  </si>
  <si>
    <t>Bookrunner BayernLB BAYLB JLMB Joint Lead Managers-Books 0 1 2020-10-14 Bookrunner HSBC Trinkaus &amp; Burkhardt AG H-TRNK JLMB Joint Lead Managers-Books 0 1 2020-10-14 Bookrunner ING Bank NV Niederlassung ING JLMB Joint Lead Managers-Books 0 1 2020-10-14 Trustee ING Bank NV Niederlassung ING ESGA ESG Agent 0 7 2020-10-14</t>
  </si>
  <si>
    <t>ZO2076883</t>
  </si>
  <si>
    <t>BBG00X02SWM7</t>
  </si>
  <si>
    <t>2025-10-14</t>
  </si>
  <si>
    <t>ZO2076966</t>
  </si>
  <si>
    <t>BBG00X02SWZ3</t>
  </si>
  <si>
    <t>2023-10-16</t>
  </si>
  <si>
    <t>Saria SE &amp; Co KG</t>
  </si>
  <si>
    <t>ZO4338356</t>
  </si>
  <si>
    <t>BBG00X7YRF48</t>
  </si>
  <si>
    <t>SARIAS</t>
  </si>
  <si>
    <t>2020-11-30</t>
  </si>
  <si>
    <t>2023-11-30</t>
  </si>
  <si>
    <t>PRICING STEPS UP BY 50BPS IF NET DEBT/EBITDA &gt;3.75X. MARGIN INCREASES 2BPS IF ESG SCORE IS BELOW 45. DECREASES 2BPS WITH ESG SCORE ABOVE 53.</t>
  </si>
  <si>
    <t>Bookrunner Landesbank Baden-Wuerttemberg LBBW JLMB Joint Lead Managers-Books 0 1 2020-11-30 Bookrunner UniCredit Bank AG UNICRD JLMB Joint Lead Managers-Books 0 1 2020-11-30</t>
  </si>
  <si>
    <t>ZO4339248</t>
  </si>
  <si>
    <t>BBG00X7YSFH3</t>
  </si>
  <si>
    <t>2030-11-30</t>
  </si>
  <si>
    <t>ZO4339677</t>
  </si>
  <si>
    <t>BBG00X7YT0S3</t>
  </si>
  <si>
    <t>2027-11-30</t>
  </si>
  <si>
    <t>ZO4339917</t>
  </si>
  <si>
    <t>BBG00X7YTD87</t>
  </si>
  <si>
    <t>ZO4406484</t>
  </si>
  <si>
    <t>BBG00X8QXQM3</t>
  </si>
  <si>
    <t>2020-09-14</t>
  </si>
  <si>
    <t>2031-01-15</t>
  </si>
  <si>
    <t>STEP-UP MARGIN: 25 BPS.STEP-UP EVENT: 09/16/2027. &lt;=15%. WOMEN ON BOARD&gt;=30% 12/31/2025.</t>
  </si>
  <si>
    <t>Bookrunner Banco Bradesco BBI SA BBBBI JLMB Joint Lead Managers-Books 9615 4 2020-11-16 Bookrunner Banco Safra SA SAFRA JLMB Joint Lead Managers-Books 9615 4 2020-11-16 Bookrunner BNP Paribas Securities Corp BNPPAR JLMB Joint Lead Managers-Books 38461 4 2020-11-16 Bookrunner BofA Securities BofA JLMB Joint Lead Managers-Books 38465 4 2020-11-16 Bookrunner Credit Agricole Securities USA CASECS JLMB Joint Lead Managers-Books 38461 4 2020-11-16 Bookrunner Goldman Sachs GS JLMB Joint Lead Managers-Books 38461 4 2020-11-16 Bookrunner Itau BBA USA Securities Inc ITAU JLMB Joint Lead Managers-Books 9615 4 2020-11-16 Bookrunner JP Morgan JPM JLMB Joint Lead Managers-Books 38465 4 2020-11-16 Bookrunner Mizuho Securities USA LLC MIZ JLMB Joint Lead Managers-Books 38461 4 2020-11-16 Bookrunner Morgan Stanley &amp; Co LLC MS JLMB Joint Lead Managers-Books 38461 4 2020-11-16 Bookrunner MUFG Securities Americas Inc MUFG JLMB Joint Lead Managers-Books 38461 4 2020-11-16 Bookrunner Rabo Securities USA Inc RABO JLMB Joint Lead Managers-Books 38461 4 2020-11-16 Bookrunner Santander Investment Securitie SANTAN JLMB Joint Lead Managers-Books 38461 4 2020-11-16 Bookrunner Scotia Capital USA Inc SCOTIA JLMB Joint Lead Managers-Books 38461 4 2020-11-16 Bookrunner SMBC Nikko Securities America SMBC JLMB Joint Lead Managers-Books 38461 4 2020-11-16 Bookrunner XP Investimentos CCTVM SA XPINVE JLMB Joint Lead Managers-Books 9615 4 2020-11-16 #N/A N/A Cleary Gottlieb Steen &amp; Hamilt CGS&amp;H LAI Legal Adviser to the Issuer(s) 0 17 2020-11-16 #N/A N/A Internal Adviser IA LAI Legal Adviser to the Issuer(s) 0 17 2020-11-16 #N/A N/A Weber Rechtsanwalte GmbH WEBERR LAI Legal Adviser to the Issuer(s) 0 17 2020-11-16 #N/A N/A Linklaters LLP L&amp;A LAM Legal Adviser(s) to the Manage 0 17 2020-11-16 #N/A N/A Pinheiro &amp; Guimaraes Ltda PIGULT LAM Legal Adviser(s) to the Manage 0 17 2020-11-16 Bookrunner BNP Paribas Securities Corp BNPPAR JLMB Joint Lead Managers-Books 62500 1 2020-09-10 Bookrunner BofA Securities BofA JLMB Joint Lead Managers-Books 62500 1 2020-09-10 Bookrunner Credit Agricole Securities USA CASECS JLMB Joint Lead Managers-Books 62500 1 2020-09-10 Bookrunner Goldman Sachs GS JLMB Joint Lead Managers-Books 62500 1 2020-09-10 Bookrunner JP Morgan Securities LLC JPM JLMB Joint Lead Managers-Books 62500 1 2020-09-10 Bookrunner Mizuho Securities USA LLC MIZ JLMB Joint Lead Managers-Books 62500 1 2020-09-10 Bookrunner Morgan Stanley &amp; Co LLC MS JLMB Joint Lead Managers-Books 62500 1 2020-09-10 Bookrunner MUFG Securities Americas Inc MUFG JLMB Joint Lead Managers-Books 62500 1 2020-09-10 Bookrunner Rabo Securities USA Inc RABO JLMB Joint Lead Managers-Books 62500 1 2020-09-10 Bookrunner Santander Investment Securitie SANTAN JLMB Joint Lead Managers-Books 62500 1 2020-09-10 Bookrunner Scotia Capital USA Inc SCOTIA JLMB Joint Lead Managers-Books 62500 1 2020-09-10 Bookrunner SMBC Nikko Securities America SMBC JLMB Joint Lead Managers-Books 62500 1 2020-09-10 NonBookrunner BNP Paribas/New York BNPPAR GLCO Global Coordinator(s) 0 1 2020-09-10 NonBookrunner BofA Securities BofA GLCO Global Coordinator(s) 0 1 2020-09-10 NonBookrunner Credit Agricole Securities USA CASECS GLCO Global Coordinator(s) 0 1 2020-09-10 NonBookrunner JP Morgan JPM GLCO Global Coordinator(s) 0 1 2020-09-10 NonBookrunner Mizuho Securities USA Inc MIZ GLCO Global Coordinator(s) 0 1 2020-09-10 NonBookrunner Rabo Securities USA Inc RABO GLCO Global Coordinator(s) 0 1 2020-09-10 NonBookrunner Scotia Capital Inc SCOTIA GLCO Global Coordinator(s) 0 1 2020-09-10 Trustee Deutsche Bank Trust Company Am DB PAAG Paying Agent(s) 0 7 2020-09-10 Trustee Deutsche Bank Trust Company Am DB TRST Trustee(s) 0 7 2020-09-10 Trustee Deutsche Bank Trust Company Am DB TRNS Transfer Agent(s) 0 7 2020-09-10 Trustee Deutsche Bank Trust Company Am DB RGST Registrar(s) 0 7 2020-09-10 Trustee Cleary Gottlieb Steen &amp; Hamilt CGS&amp;H LAI Legal Adviser to the Issuer(s) 0 16 2020-09-10 Trustee Internal Adviser IA LAI Legal Adviser to the Issuer(s) 0 16 2020-09-10 Trustee Weber Rechtsanwalte GmbH WEBERR LAI Legal Adviser to the Issuer(s) 0 16 2020-09-10 Trustee Linklaters LLP L&amp;A LAM Legal Adviser(s) to the Manage 0 16 2020-09-10 Trustee Pinheiro &amp; Guimaraes Ltda PIGULT LAM Legal Adviser(s) to the Manage 0 16 2020-09-10 ESG Assurance Provider ISS-oekom ISSOEK SNPC 2nd Party Consultant 0 30 2020-09-10</t>
  </si>
  <si>
    <t>Indus Holding AG</t>
  </si>
  <si>
    <t>ZO4853784</t>
  </si>
  <si>
    <t>BBG00XCC7X52</t>
  </si>
  <si>
    <t>INHGR</t>
  </si>
  <si>
    <t>2020-09-15</t>
  </si>
  <si>
    <t>2030-09-15</t>
  </si>
  <si>
    <t>Manufactured Goods</t>
  </si>
  <si>
    <t>Bookrunner Landesbank Hessen-Thuringen Gi HELABA LMGR Lead Manager(s) 0 1 2020-09-15</t>
  </si>
  <si>
    <t>ZO4854253</t>
  </si>
  <si>
    <t>BBG00XCC88Z3</t>
  </si>
  <si>
    <t>2027-09-15</t>
  </si>
  <si>
    <t>ZO4854261</t>
  </si>
  <si>
    <t>BBG00XCC8927</t>
  </si>
  <si>
    <t>2025-09-15</t>
  </si>
  <si>
    <t>Novartis Finance SA</t>
  </si>
  <si>
    <t>ZO5119995</t>
  </si>
  <si>
    <t>BBG00XDG9M27</t>
  </si>
  <si>
    <t>NOVNVX</t>
  </si>
  <si>
    <t>2020-09-23</t>
  </si>
  <si>
    <t>2028-09-23</t>
  </si>
  <si>
    <t>A+</t>
  </si>
  <si>
    <t>STEP-UP MARGIN: 25BP, STEP-UP EVENT: 2025 PATIENT ACCESS TARGETS</t>
  </si>
  <si>
    <t>Bookrunner Barclays BARCS JLMB Joint Lead Managers-Books 0 1 2020-09-16 Bookrunner HSBC HSBC JLMB Joint Lead Managers-Books 0 1 2020-09-16 Bookrunner JP Morgan Securities PLC JPM JLMB Joint Lead Managers-Books 0 1 2020-09-16 Bookrunner Societe Generale SG JLMB Joint Lead Managers-Books 0 1 2020-09-16 NonBookrunner BNP Paribas BNPP CM Co-Manager(s) 0 1 2020-09-16 NonBookrunner Credit Suisse Securities (Euro CS CM Co-Manager(s) 0 1 2020-09-16 NonBookrunner Deutsche Bank AG DB CM Co-Manager(s) 0 1 2020-09-16 NonBookrunner Mizuho Securities Europe GmbH MIZUHO CM Co-Manager(s) 0 1 2020-09-16 Trustee Linklaters LLP L&amp;A LAM Legal Adviser(s) to the Manage 0 16 2020-09-16 ESG Assurance Provider Sustainalytics BV SUSANA SNPC 2nd Party Consultant 0 30 2020-09-16</t>
  </si>
  <si>
    <t>ZO9275116</t>
  </si>
  <si>
    <t>BBG00XV18BH9</t>
  </si>
  <si>
    <t>2020-10-20</t>
  </si>
  <si>
    <t>2027-10-20</t>
  </si>
  <si>
    <t>STEP-UP MARGIN: 25BP, STEP-UP EVENT: DEC 2022 RENEWABLES INSTALLED CAPACITY</t>
  </si>
  <si>
    <t>Bookrunner Bank of America BA JLMB Joint Lead Managers-Books 0 1 2020-10-13 Bookrunner Barclays BARCS JLMB Joint Lead Managers-Books 0 1 2020-10-13 Bookrunner BNP Paribas BNPP JLMB Joint Lead Managers-Books 0 1 2020-10-13 Bookrunner Citi CITI JLMB Joint Lead Managers-Books 0 1 2020-10-13 Bookrunner Credit Agricole CIB CACIB JLMB Joint Lead Managers-Books 0 1 2020-10-13 Bookrunner Deutsche Bank DB JLMB Joint Lead Managers-Books 0 1 2020-10-13 Bookrunner Goldman Sachs International GSI JLMB Joint Lead Managers-Books 0 1 2020-10-13 Bookrunner HSBC HSBC JLMB Joint Lead Managers-Books 0 1 2020-10-13 Bookrunner JP Morgan JPM JLMB Joint Lead Managers-Books 0 1 2020-10-13 Bookrunner Morgan Stanley MS JLMB Joint Lead Managers-Books 0 1 2020-10-13 Bookrunner Natixis NATIX JLMB Joint Lead Managers-Books 0 1 2020-10-13 Bookrunner Societe Generale SG JLMB Joint Lead Managers-Books 0 1 2020-10-13 NonBookrunner JP Morgan JPM DLR Dealer(s) 0 1 2020-10-13 Trustee Linklaters LLP L&amp;A LAM Legal Adviser(s) to the Manage 0 16 2020-10-13 ESG Assurance Provider Vigeo SASV VIGEO SNPC 2nd Party Consultant 0 30 2020-10-13</t>
  </si>
  <si>
    <t>Draegerwerk AG &amp; Co KGaA</t>
  </si>
  <si>
    <t>ZO9796350</t>
  </si>
  <si>
    <t>BBG00XWYFNT9</t>
  </si>
  <si>
    <t>DRAGER</t>
  </si>
  <si>
    <t>2021-01-04</t>
  </si>
  <si>
    <t>2028-01-04</t>
  </si>
  <si>
    <t>ESG-LINKED SCHULDSCHEIN. TWO SETTLEMENT DATES: FIRST SETTLEMENT 01/04/21 FOR EUR 40MM; SECOND SETTLEMENT 03/10/21 FOR EUR 60MM.</t>
  </si>
  <si>
    <t>Bookrunner Landesbank Hessen-Thuringen Gi HELABA LMGR Lead Manager(s) 0 4 2021-03-10 Bookrunner Landesbank Hessen-Thuringen Gi HELABA LMGR Lead Manager(s) 0 1 2021-01-04</t>
  </si>
  <si>
    <t>ZO9796368</t>
  </si>
  <si>
    <t>BBG00XWYFNX4</t>
  </si>
  <si>
    <t>2026-01-04</t>
  </si>
  <si>
    <t>Faber-Castell AG</t>
  </si>
  <si>
    <t>ZP4289051</t>
  </si>
  <si>
    <t>BBG00RCG6FQ3</t>
  </si>
  <si>
    <t>FABCAS</t>
  </si>
  <si>
    <t>2020-02-19</t>
  </si>
  <si>
    <t>2027-02-19</t>
  </si>
  <si>
    <t>ESG-LINKED SCHULDSCHEIN. SUSTAINABILITY PRICING ADJUSTMENT: +2BPS IF SUSTAINABILITY SCORE &lt;=49; -2BPS IF &gt;=69.</t>
  </si>
  <si>
    <t>Bookrunner DZ Bank DZBK JLMB Joint Lead Managers-Books 0 1 2020-02-19 Bookrunner UniCredit Bank AG UNICRD JLMB Joint Lead Managers-Books 0 1 2020-02-19</t>
  </si>
  <si>
    <t>ZP4289689</t>
  </si>
  <si>
    <t>BBG00RCG77L5</t>
  </si>
  <si>
    <t>2025-02-19</t>
  </si>
  <si>
    <t>Voith GmbH &amp; Co KGaA</t>
  </si>
  <si>
    <t>ZP5663015</t>
  </si>
  <si>
    <t>BBG00RFBZ7G8</t>
  </si>
  <si>
    <t>VOITGR</t>
  </si>
  <si>
    <t>2020-02-26</t>
  </si>
  <si>
    <t>2030-02-26</t>
  </si>
  <si>
    <t>ESG-LINKED SCHULDSCHEIN. SUSTAINABILITY PRICING ADJUSTMENT: +2.5BPS IF ESG; RATING &lt;C+ BY ISS ESG; -2.5BPS IF &gt;C+.</t>
  </si>
  <si>
    <t>Bookrunner Landesbank Baden-Wuerttemberg LBBW JLMB Joint Lead Managers-Books 0 1 2020-02-26 Bookrunner UniCredit Bank AG UNICRD JLMB Joint Lead Managers-Books 0 1 2020-02-26</t>
  </si>
  <si>
    <t>ZP5670580</t>
  </si>
  <si>
    <t>BBG00RFC2D88</t>
  </si>
  <si>
    <t>2027-02-26</t>
  </si>
  <si>
    <t>ZP5670671</t>
  </si>
  <si>
    <t>BBG00RFC2F01</t>
  </si>
  <si>
    <t>2025-02-26</t>
  </si>
  <si>
    <t>ZQ0626247</t>
  </si>
  <si>
    <t>BBG00QK2SJL0</t>
  </si>
  <si>
    <t>2019-10-17</t>
  </si>
  <si>
    <t>2024-06-17</t>
  </si>
  <si>
    <t>Bookrunner Bank of America Merrill Lynch BofAML JLMB Joint Lead Managers-Books 0 1 2019-10-10 Bookrunner BNP Paribas BNPP JLMB Joint Lead Managers-Books 0 1 2019-10-10 Bookrunner Credit Agricole CIB CACIB JLMB Joint Lead Managers-Books 0 1 2019-10-10 Bookrunner Credit Suisse CS JLMB Joint Lead Managers-Books 0 1 2019-10-10 Bookrunner Deutsche Bank DB JLMB Joint Lead Managers-Books 0 1 2019-10-10 Bookrunner Goldman Sachs GS JLMB Joint Lead Managers-Books 0 1 2019-10-10 Bookrunner JP Morgan JPM JLMB Joint Lead Managers-Books 0 1 2019-10-10 Bookrunner Mediobanca MEDBCA JLMB Joint Lead Managers-Books 0 1 2019-10-10 Bookrunner Mizuho Bank Ltd MIZUHO JLMB Joint Lead Managers-Books 0 1 2019-10-10 Bookrunner MUFG Securities EMEA PLC MUFG JLMB Joint Lead Managers-Books 0 1 2019-10-10 Bookrunner SMBC Nikko Capital Markets Ltd SMBNIK JLMB Joint Lead Managers-Books 0 1 2019-10-10 ESG Assurance Provider Vigeo SASV VIGEO SNPC 2nd Party Consultant 0 30 2019-10-10</t>
  </si>
  <si>
    <t>ZQ0626254</t>
  </si>
  <si>
    <t>BBG00QK2SJQ5</t>
  </si>
  <si>
    <t>Bookrunner Banco Bilbao Vizcaya Argentari BBVA JLMB Joint Lead Managers-Books 0 1 2019-10-10 Bookrunner Banco Santander SANT JLMB Joint Lead Managers-Books 0 1 2019-10-10 Bookrunner Bank of America Merrill Lynch BofAML JLMB Joint Lead Managers-Books 0 1 2019-10-10 Bookrunner BNP Paribas BNPP JLMB Joint Lead Managers-Books 0 1 2019-10-10 Bookrunner CaixaBank CAIXA JLMB Joint Lead Managers-Books 0 1 2019-10-10 Bookrunner Credit Agricole CIB CACIB JLMB Joint Lead Managers-Books 0 1 2019-10-10 Bookrunner Credit Suisse CS JLMB Joint Lead Managers-Books 0 1 2019-10-10 Bookrunner Deutsche Bank DB JLMB Joint Lead Managers-Books 0 1 2019-10-10 Bookrunner Goldman Sachs GS JLMB Joint Lead Managers-Books 0 1 2019-10-10 Bookrunner JP Morgan JPM JLMB Joint Lead Managers-Books 0 1 2019-10-10 Bookrunner Natixis NATIX JLMB Joint Lead Managers-Books 0 1 2019-10-10 ESG Assurance Provider Vigeo SASV VIGEO SNPC 2nd Party Consultant 0 30 2019-10-10</t>
  </si>
  <si>
    <t>ZQ0626262</t>
  </si>
  <si>
    <t>BBG00QK2SJW8</t>
  </si>
  <si>
    <t>2034-10-17</t>
  </si>
  <si>
    <t>STEP-UP MARGIN: 25BP, STEP-UP EVENT: DIRECT GREEN HOUSE GAS EMISSIONS</t>
  </si>
  <si>
    <t>Bookrunner Banca IMI B.IMI JLMB Joint Lead Managers-Books 0 1 2019-10-10 Bookrunner Bank of America Merrill Lynch BofAML JLMB Joint Lead Managers-Books 0 1 2019-10-10 Bookrunner Barclays BARCS JLMB Joint Lead Managers-Books 0 1 2019-10-10 Bookrunner BNP Paribas BNPP JLMB Joint Lead Managers-Books 0 1 2019-10-10 Bookrunner Credit Agricole CIB CACIB JLMB Joint Lead Managers-Books 0 1 2019-10-10 Bookrunner Credit Suisse CS JLMB Joint Lead Managers-Books 0 1 2019-10-10 Bookrunner Deutsche Bank DB JLMB Joint Lead Managers-Books 0 1 2019-10-10 Bookrunner Goldman Sachs GS JLMB Joint Lead Managers-Books 0 1 2019-10-10 Bookrunner HSBC HSBC JLMB Joint Lead Managers-Books 0 1 2019-10-10 Bookrunner ING Groep ING JLMB Joint Lead Managers-Books 0 1 2019-10-10 Bookrunner JP Morgan JPM JLMB Joint Lead Managers-Books 0 1 2019-10-10 Bookrunner UniCredit UNICRD JLMB Joint Lead Managers-Books 0 1 2019-10-10 ESG Assurance Provider Vigeo SASV VIGEO SNPC 2nd Party Consultant 0 30 2019-10-10</t>
  </si>
  <si>
    <t>Lenzing AG</t>
  </si>
  <si>
    <t>ZQ3524308</t>
  </si>
  <si>
    <t>BBG00QQ5FGN5</t>
  </si>
  <si>
    <t>LNZAV</t>
  </si>
  <si>
    <t>2019-12-09</t>
  </si>
  <si>
    <t>2029-12-09</t>
  </si>
  <si>
    <t>MULTI-CURRENCY DEAL. TOTAL DEAL SIZE EQUIV TO EUR 500MM. CURRENCY SPLIT EUR 441MM AND USD 65MM. TWO SETTLEMENT DATES: 12/09/2019 AND 01/10/2020.</t>
  </si>
  <si>
    <t>Bookrunner BNP Paribas/Frankfurt BNP JLMB Joint Lead Managers-Books 0 4 2020-01-10 Bookrunner Landesbank Baden-Wuerttemberg LBBW JLMB Joint Lead Managers-Books 0 4 2020-01-10 Bookrunner UniCredit Bank AG UNICRD JLMB Joint Lead Managers-Books 0 4 2020-01-10 Bookrunner BNP Paribas/Frankfurt BNP JLMB Joint Lead Managers-Books 0 1 2019-12-09 Bookrunner Landesbank Baden-Wuerttemberg LBBW JLMB Joint Lead Managers-Books 0 1 2019-12-09 Bookrunner UniCredit Bank AG UNICRD JLMB Joint Lead Managers-Books 0 1 2019-12-09</t>
  </si>
  <si>
    <t>ZQ3724734</t>
  </si>
  <si>
    <t>BBG00QQ85TV3</t>
  </si>
  <si>
    <t>2026-12-09</t>
  </si>
  <si>
    <t>7YEU</t>
  </si>
  <si>
    <t>ZQ3724742</t>
  </si>
  <si>
    <t>BBG00QQ85TX1</t>
  </si>
  <si>
    <t>2024-12-09</t>
  </si>
  <si>
    <t>5YEU</t>
  </si>
  <si>
    <t>ZQ3724759</t>
  </si>
  <si>
    <t>BBG00QQ85TZ9</t>
  </si>
  <si>
    <t>7YUS</t>
  </si>
  <si>
    <t>ZQ3724767</t>
  </si>
  <si>
    <t>BBG00QQ85V02</t>
  </si>
  <si>
    <t>Maire Tecnimont SpA</t>
  </si>
  <si>
    <t>ZQ3885113</t>
  </si>
  <si>
    <t>BBG00QQFC3T9</t>
  </si>
  <si>
    <t>MTIM</t>
  </si>
  <si>
    <t>2019-12-11</t>
  </si>
  <si>
    <t>2024-12-11</t>
  </si>
  <si>
    <t>SUSTAINABILITY-LINKED SCHULDSCHEIN. STEPS UP BY 75BPS IF NET DEBT/EBITDA &gt;2.5X. SUSTAINABILITY-TIED PRICING REVISION.</t>
  </si>
  <si>
    <t>Bookrunner Banca IMI B.IMI JLMB Joint Lead Managers-Books 0 1 2019-12-11 Bookrunner UniCredit Group UNICGP JLMB Joint Lead Managers-Books 0 1 2019-12-11 NonBookrunner Societe Generale SG CLM Co-Lead Manager(s) 0 1 2019-12-11</t>
  </si>
  <si>
    <t>ZQ3885279</t>
  </si>
  <si>
    <t>BBG00QQFC8P2</t>
  </si>
  <si>
    <t>2022-12-11</t>
  </si>
  <si>
    <t>ZR4855485</t>
  </si>
  <si>
    <t>BBG00Q69ZX05</t>
  </si>
  <si>
    <t>2019-09-10</t>
  </si>
  <si>
    <t>2024-09-10</t>
  </si>
  <si>
    <t>STEP-UP MARGIN: 25 BP, STEP-UP EVENT: RENEWABLES INSTALLED CAPACITY</t>
  </si>
  <si>
    <t>Bookrunner Bank of America Merrill Lynch BofAML JLMB Joint Lead Managers-Books 0 1 2019-09-05 Bookrunner BNP Paribas/New York BNPPAR JLMB Joint Lead Managers-Books 0 1 2019-09-05 Bookrunner Citigroup Global Markets Inc CITI JLMB Joint Lead Managers-Books 0 1 2019-09-05 Bookrunner Credit Agricole Securities USA CASECS JLMB Joint Lead Managers-Books 0 1 2019-09-05 Bookrunner Goldman Sachs GS JLMB Joint Lead Managers-Books 0 1 2019-09-05 Bookrunner JP Morgan JPM JLMB Joint Lead Managers-Books 0 1 2019-09-05 Bookrunner Morgan Stanley MS JLMB Joint Lead Managers-Books 0 1 2019-09-05 Bookrunner Societe Generale SG JLMB Joint Lead Managers-Books 0 1 2019-09-05 ESG Assurance Provider Vigeo SASV VIGEO SNPC 2nd Party Consultant 0 30 2019-09-05</t>
  </si>
  <si>
    <t>ZR4855493</t>
  </si>
  <si>
    <t>BBG00Q69ZX78</t>
  </si>
  <si>
    <t>Bookrunner Bank of America Merrill Lynch BofAML JLMB Joint Lead Managers-Books 0 1 2019-09-05 Bookrunner BNP Paribas/New York BNPPAR JLMB Joint Lead Managers-Books 0 1 2019-09-05 Bookrunner Citigroup Global Markets Inc CITI JLMB Joint Lead Managers-Books 0 1 2019-09-05 Bookrunner Credit Agricole Securities USA CASECS JLMB Joint Lead Managers-Books 0 1 2019-09-05 Bookrunner Goldman Sachs GS JLMB Joint Lead Managers-Books 0 1 2019-09-05 Bookrunner JP Morgan JPM JLMB Joint Lead Managers-Books 0 1 2019-09-05 Bookrunner Morgan Stanley MS JLMB Joint Lead Managers-Books 0 1 2019-09-05 Bookrunner Societe Generale SG JLMB Joint Lead Managers-Books 0 1 2019-09-05</t>
  </si>
  <si>
    <t>ZS6974621</t>
  </si>
  <si>
    <t>BBG00P5B86Q4</t>
  </si>
  <si>
    <t>2019-07-04</t>
  </si>
  <si>
    <t>2029-07-04</t>
  </si>
  <si>
    <t>Bookrunner ING Bank NV Niederlassung ING JLMB Joint Lead Managers-Books 0 1 2019-07-04 Bookrunner Landesbank Baden-Wuerttemberg LBBW JLMB Joint Lead Managers-Books 0 1 2019-07-04</t>
  </si>
  <si>
    <t>ZS6974936</t>
  </si>
  <si>
    <t>BBG00P5B8G19</t>
  </si>
  <si>
    <t>2027-07-04</t>
  </si>
  <si>
    <t>8YFX</t>
  </si>
  <si>
    <t>ZS6974944</t>
  </si>
  <si>
    <t>BBG00P5B8G28</t>
  </si>
  <si>
    <t>2025-07-04</t>
  </si>
  <si>
    <t>ZS6974969</t>
  </si>
  <si>
    <t>BBG00P5B8G46</t>
  </si>
  <si>
    <t>2024-07-04</t>
  </si>
  <si>
    <t>ZS6974977</t>
  </si>
  <si>
    <t>BBG00P5B8G64</t>
  </si>
  <si>
    <t>ZS6974985</t>
  </si>
  <si>
    <t>BBG00P5B8G73</t>
  </si>
  <si>
    <t>Yield at Issue</t>
  </si>
  <si>
    <t>Use of Proceeds</t>
  </si>
  <si>
    <t>Code</t>
  </si>
  <si>
    <t>Yield ask, yas</t>
  </si>
  <si>
    <t>AM7980791</t>
  </si>
  <si>
    <t>XS1581375182</t>
  </si>
  <si>
    <t>BBG00G6B4TP8</t>
  </si>
  <si>
    <t>General Corporate Purposes</t>
  </si>
  <si>
    <t>AM7980791 Corp</t>
  </si>
  <si>
    <t>AP5382043</t>
  </si>
  <si>
    <t>XS1701884204</t>
  </si>
  <si>
    <t>BBG00HY6NZH0</t>
  </si>
  <si>
    <t>General Corporate Purposes Refinance</t>
  </si>
  <si>
    <t>AP5382043 Corp</t>
  </si>
  <si>
    <t>BM0609990</t>
  </si>
  <si>
    <t>XS2250376477</t>
  </si>
  <si>
    <t>BBG00XYG8H17</t>
  </si>
  <si>
    <t>BM0609990 Corp</t>
  </si>
  <si>
    <t>EJ9768973</t>
  </si>
  <si>
    <t>XS1000538022</t>
  </si>
  <si>
    <t>BBG005NVPNP9</t>
  </si>
  <si>
    <t>EJ9768973 Corp</t>
  </si>
  <si>
    <t>EK7625099</t>
  </si>
  <si>
    <t>XS1195347478</t>
  </si>
  <si>
    <t>BBG00848VL36</t>
  </si>
  <si>
    <t>EK7625099 Corp</t>
  </si>
  <si>
    <t>AM2053230</t>
  </si>
  <si>
    <t>FR0013233384</t>
  </si>
  <si>
    <t>BBG00FS01WW8</t>
  </si>
  <si>
    <t>Recapitalization General Corporate Purposes</t>
  </si>
  <si>
    <t>AM2053230 Corp</t>
  </si>
  <si>
    <t>AW8986910</t>
  </si>
  <si>
    <t>FR0013399029</t>
  </si>
  <si>
    <t>BBG00N6FNMK3</t>
  </si>
  <si>
    <t>AW8986910 Corp</t>
  </si>
  <si>
    <t>BM8244261</t>
  </si>
  <si>
    <t>FR0013521085</t>
  </si>
  <si>
    <t>BBG00YCWM505</t>
  </si>
  <si>
    <t>BM8244261 Corp</t>
  </si>
  <si>
    <t>EK3401941</t>
  </si>
  <si>
    <t>CH0245865842</t>
  </si>
  <si>
    <t>BBG006NF1SF8</t>
  </si>
  <si>
    <t>STEP CPN</t>
  </si>
  <si>
    <t>CHF</t>
  </si>
  <si>
    <t>EK3401941 Corp</t>
  </si>
  <si>
    <t>UV7713612</t>
  </si>
  <si>
    <t>FR0012949949</t>
  </si>
  <si>
    <t>BBG009YNLX33</t>
  </si>
  <si>
    <t>UV7713612 Corp</t>
  </si>
  <si>
    <t>AP4164178</t>
  </si>
  <si>
    <t>US00775CAA45</t>
  </si>
  <si>
    <t>BBG00HW3SN81</t>
  </si>
  <si>
    <t>Acquisition Financing General Corporate Purposes Refinance</t>
  </si>
  <si>
    <t>AP4164178 Corp</t>
  </si>
  <si>
    <t>AP4164525</t>
  </si>
  <si>
    <t>USP01014AA03</t>
  </si>
  <si>
    <t>BBG00HW3SXT6</t>
  </si>
  <si>
    <t>AP4164525 Corp</t>
  </si>
  <si>
    <t>AN7387276</t>
  </si>
  <si>
    <t>XS1627947440</t>
  </si>
  <si>
    <t>BBG00GSQM216</t>
  </si>
  <si>
    <t>Capital Expenditures General Corporate Purposes Investment</t>
  </si>
  <si>
    <t>AN7387276 Corp</t>
  </si>
  <si>
    <t>AQ8879746</t>
  </si>
  <si>
    <t>XS1765875718</t>
  </si>
  <si>
    <t>BBG00JVDJ1N7</t>
  </si>
  <si>
    <t>1st lien</t>
  </si>
  <si>
    <t>Intercompany Loan</t>
  </si>
  <si>
    <t>AQ8879746 Corp</t>
  </si>
  <si>
    <t>EK0521360</t>
  </si>
  <si>
    <t>XS1032529205</t>
  </si>
  <si>
    <t>BBG005Y2R6C0</t>
  </si>
  <si>
    <t>EK0521360 Corp</t>
  </si>
  <si>
    <t>AV2317510</t>
  </si>
  <si>
    <t>FR0013378452</t>
  </si>
  <si>
    <t>BBG00MCJXPP7</t>
  </si>
  <si>
    <t>Refinance</t>
  </si>
  <si>
    <t>AV2317510 Corp</t>
  </si>
  <si>
    <t>AV3879138</t>
  </si>
  <si>
    <t>FR0013378445</t>
  </si>
  <si>
    <t>BBG00MFJBHQ5</t>
  </si>
  <si>
    <t>AV3879138 Corp</t>
  </si>
  <si>
    <t>AV3879146</t>
  </si>
  <si>
    <t>FR0013378460</t>
  </si>
  <si>
    <t>BBG00MFJBHR4</t>
  </si>
  <si>
    <t>AV3879146 Corp</t>
  </si>
  <si>
    <t>QZ7441434</t>
  </si>
  <si>
    <t>FR0013209715</t>
  </si>
  <si>
    <t>BBG00DY3BGD5</t>
  </si>
  <si>
    <t>QZ7441434 Corp</t>
  </si>
  <si>
    <t>ZQ3726978</t>
  </si>
  <si>
    <t>FR0013457942</t>
  </si>
  <si>
    <t>BBG00QQ88506</t>
  </si>
  <si>
    <t>ZQ3726978 Corp</t>
  </si>
  <si>
    <t>ZS1342303</t>
  </si>
  <si>
    <t>FR0125601643</t>
  </si>
  <si>
    <t>BBG00NV9MT70</t>
  </si>
  <si>
    <t>ZS1342303 Corp</t>
  </si>
  <si>
    <t>AV3578581</t>
  </si>
  <si>
    <t>NO0010835523</t>
  </si>
  <si>
    <t>BBG00MF95036</t>
  </si>
  <si>
    <t>AV3578581 Corp</t>
  </si>
  <si>
    <t>AX3336820</t>
  </si>
  <si>
    <t>NO0010843790</t>
  </si>
  <si>
    <t>BBG00NDXVZD6</t>
  </si>
  <si>
    <t>AX3336820 Corp</t>
  </si>
  <si>
    <t>BG0453822</t>
  </si>
  <si>
    <t>NO0010875289</t>
  </si>
  <si>
    <t>BBG00RQ2HBZ6</t>
  </si>
  <si>
    <t>BG0453822 Corp</t>
  </si>
  <si>
    <t>BO6605337</t>
  </si>
  <si>
    <t>SE0013882925</t>
  </si>
  <si>
    <t>BBG00ZQSL106</t>
  </si>
  <si>
    <t>BO6605337 Corp</t>
  </si>
  <si>
    <t>ZS6344064</t>
  </si>
  <si>
    <t>SE0011643295</t>
  </si>
  <si>
    <t>BBG00P4PVHZ4</t>
  </si>
  <si>
    <t>ZS6344064 Corp</t>
  </si>
  <si>
    <t>AS9836832</t>
  </si>
  <si>
    <t>BBG00L3BXNJ8</t>
  </si>
  <si>
    <t>AS9836832 Corp</t>
  </si>
  <si>
    <t>AS9837509</t>
  </si>
  <si>
    <t>BBG00L3BXQW6</t>
  </si>
  <si>
    <t>AS9837509 Corp</t>
  </si>
  <si>
    <t>AU4294172</t>
  </si>
  <si>
    <t>BBG00LXQVTN6</t>
  </si>
  <si>
    <t>AU4294172 Corp</t>
  </si>
  <si>
    <t>AU4296516</t>
  </si>
  <si>
    <t>BBG00LXQY9Q4</t>
  </si>
  <si>
    <t>AU4296516 Corp</t>
  </si>
  <si>
    <t>AU4296938</t>
  </si>
  <si>
    <t>BBG00LXQYMQ5</t>
  </si>
  <si>
    <t>AU4296938 Corp</t>
  </si>
  <si>
    <t>AM5274676</t>
  </si>
  <si>
    <t>DE000BHY0MQ1</t>
  </si>
  <si>
    <t>BBG00FZM8G05</t>
  </si>
  <si>
    <t>AM5274676 Corp</t>
  </si>
  <si>
    <t>AO9374924</t>
  </si>
  <si>
    <t>DE000BHY0MT5</t>
  </si>
  <si>
    <t>BBG00HLB4LF7</t>
  </si>
  <si>
    <t>AO9374924 Corp</t>
  </si>
  <si>
    <t>AR2058899</t>
  </si>
  <si>
    <t>DE000BHY0MW9</t>
  </si>
  <si>
    <t>BBG00K152QT1</t>
  </si>
  <si>
    <t>AR2058899 Corp</t>
  </si>
  <si>
    <t>AR3861523</t>
  </si>
  <si>
    <t>DE000BHY0MX7</t>
  </si>
  <si>
    <t>BBG00K4LTBF2</t>
  </si>
  <si>
    <t>AR3861523 Corp</t>
  </si>
  <si>
    <t>AS7537721</t>
  </si>
  <si>
    <t>DE000BHY0150</t>
  </si>
  <si>
    <t>BBG00L00Z3X1</t>
  </si>
  <si>
    <t>AS7537721 Corp</t>
  </si>
  <si>
    <t>AT3757842</t>
  </si>
  <si>
    <t>DE000BHY0BH3</t>
  </si>
  <si>
    <t>BBG00LBK6B41</t>
  </si>
  <si>
    <t>AT3757842 Corp</t>
  </si>
  <si>
    <t>AU1457376</t>
  </si>
  <si>
    <t>DE000BHY0BJ9</t>
  </si>
  <si>
    <t>BBG00LSCV2M3</t>
  </si>
  <si>
    <t>AU1457376 Corp</t>
  </si>
  <si>
    <t>AW0462324</t>
  </si>
  <si>
    <t>DE000BHY0BN1</t>
  </si>
  <si>
    <t>BBG00MR96NQ7</t>
  </si>
  <si>
    <t>AW0462324 Corp</t>
  </si>
  <si>
    <t>AW9640698</t>
  </si>
  <si>
    <t>DE000BHY0BP6</t>
  </si>
  <si>
    <t>BBG00N6X5HN2</t>
  </si>
  <si>
    <t>AW9640698 Corp</t>
  </si>
  <si>
    <t>AZ9300692</t>
  </si>
  <si>
    <t>DE000BHY0BR2</t>
  </si>
  <si>
    <t>BBG00PWWXZV0</t>
  </si>
  <si>
    <t>AZ9300692 Corp</t>
  </si>
  <si>
    <t>BG3344572</t>
  </si>
  <si>
    <t>DE000BHY0HC1</t>
  </si>
  <si>
    <t>BBG00S023VP4</t>
  </si>
  <si>
    <t>BG3344572 Corp</t>
  </si>
  <si>
    <t>BH7997357</t>
  </si>
  <si>
    <t>DE000BHY0HE7</t>
  </si>
  <si>
    <t>BBG00T64NS68</t>
  </si>
  <si>
    <t>BH7997357 Corp</t>
  </si>
  <si>
    <t>BJ0949823</t>
  </si>
  <si>
    <t>DE000BHY0HG2</t>
  </si>
  <si>
    <t>BBG00TFT9B11</t>
  </si>
  <si>
    <t>BJ0949823 Corp</t>
  </si>
  <si>
    <t>BJ1022851</t>
  </si>
  <si>
    <t>DE000BHY0HJ6</t>
  </si>
  <si>
    <t>BBG00TFVHKG1</t>
  </si>
  <si>
    <t>BJ1022851 Corp</t>
  </si>
  <si>
    <t>BJ1030474</t>
  </si>
  <si>
    <t>DE000BHY0HH0</t>
  </si>
  <si>
    <t>BBG00TFVSPZ7</t>
  </si>
  <si>
    <t>BJ1030474 Corp</t>
  </si>
  <si>
    <t>BJ4445430</t>
  </si>
  <si>
    <t>DE000BHY0B06</t>
  </si>
  <si>
    <t>BBG00TSTRZ14</t>
  </si>
  <si>
    <t>BJ4445430 Corp</t>
  </si>
  <si>
    <t>BJ7618983</t>
  </si>
  <si>
    <t>DE000BHY0HK4</t>
  </si>
  <si>
    <t>BBG00V4T8R69</t>
  </si>
  <si>
    <t>BJ7618983 Corp</t>
  </si>
  <si>
    <t>BJ9318558</t>
  </si>
  <si>
    <t>DE000BHY0HL2</t>
  </si>
  <si>
    <t>BBG00VC8NDK4</t>
  </si>
  <si>
    <t>BJ9318558 Corp</t>
  </si>
  <si>
    <t>BK4582320</t>
  </si>
  <si>
    <t>DE000BHY0HM0</t>
  </si>
  <si>
    <t>BBG00VZQHJD1</t>
  </si>
  <si>
    <t>BK4582320 Corp</t>
  </si>
  <si>
    <t>BM0893818</t>
  </si>
  <si>
    <t>DE000BHY0HR9</t>
  </si>
  <si>
    <t>BBG00XZBVLR4</t>
  </si>
  <si>
    <t>BM0893818 Corp</t>
  </si>
  <si>
    <t>BN4568760</t>
  </si>
  <si>
    <t>DE000BHY0C13</t>
  </si>
  <si>
    <t>BBG00YV0XHP9</t>
  </si>
  <si>
    <t>BN4568760 Corp</t>
  </si>
  <si>
    <t>BN4882591</t>
  </si>
  <si>
    <t>DE000BHY0C21</t>
  </si>
  <si>
    <t>BBG00YVG5WW4</t>
  </si>
  <si>
    <t>BN4882591 Corp</t>
  </si>
  <si>
    <t>BN5211030</t>
  </si>
  <si>
    <t>DE000BHY0C39</t>
  </si>
  <si>
    <t>BBG00YVV62X5</t>
  </si>
  <si>
    <t>BN5211030 Corp</t>
  </si>
  <si>
    <t>BN6163172</t>
  </si>
  <si>
    <t>DE000BHY0C47</t>
  </si>
  <si>
    <t>BBG00YZ20546</t>
  </si>
  <si>
    <t>BN6163172 Corp</t>
  </si>
  <si>
    <t>BN7047192</t>
  </si>
  <si>
    <t>DE000BHY0C54</t>
  </si>
  <si>
    <t>BBG00Z0XQWS0</t>
  </si>
  <si>
    <t>BN7047192 Corp</t>
  </si>
  <si>
    <t>BN8929281</t>
  </si>
  <si>
    <t>DE000BHY0C62</t>
  </si>
  <si>
    <t>BBG00Z4GYB73</t>
  </si>
  <si>
    <t>BN8929281 Corp</t>
  </si>
  <si>
    <t>BO1616248</t>
  </si>
  <si>
    <t>DE000BHY0C88</t>
  </si>
  <si>
    <t>BBG00ZCGCKF9</t>
  </si>
  <si>
    <t>BO1616248 Corp</t>
  </si>
  <si>
    <t>BO2565386</t>
  </si>
  <si>
    <t>DE000BHY0C96</t>
  </si>
  <si>
    <t>BBG00ZFBP352</t>
  </si>
  <si>
    <t>BO2565386 Corp</t>
  </si>
  <si>
    <t>BO2830970</t>
  </si>
  <si>
    <t>DE000BHY0HS7</t>
  </si>
  <si>
    <t>BBG00ZGDV6G1</t>
  </si>
  <si>
    <t>Sr Non Preferred</t>
  </si>
  <si>
    <t>Bail-in</t>
  </si>
  <si>
    <t>BO2830970 Corp</t>
  </si>
  <si>
    <t>BO3848781</t>
  </si>
  <si>
    <t>DE000BHY0HT5</t>
  </si>
  <si>
    <t>BBG00ZHYG0D7</t>
  </si>
  <si>
    <t>BO3848781 Corp</t>
  </si>
  <si>
    <t>BO5221839</t>
  </si>
  <si>
    <t>DE000BHY0HU3</t>
  </si>
  <si>
    <t>BBG00ZLHGC43</t>
  </si>
  <si>
    <t>BO5221839 Corp</t>
  </si>
  <si>
    <t>BP0510753</t>
  </si>
  <si>
    <t>DE000BHY0HV1</t>
  </si>
  <si>
    <t>BBG0100Q4Y38</t>
  </si>
  <si>
    <t>BP0510753 Corp</t>
  </si>
  <si>
    <t>BP4689082</t>
  </si>
  <si>
    <t>DE000BHY0HW9</t>
  </si>
  <si>
    <t>BBG010Z1QCB0</t>
  </si>
  <si>
    <t>BP4689082 Corp</t>
  </si>
  <si>
    <t>BQ0902040</t>
  </si>
  <si>
    <t>DE000BHY0HX7</t>
  </si>
  <si>
    <t>BBG011FFPPP6</t>
  </si>
  <si>
    <t>BQ0902040 Corp</t>
  </si>
  <si>
    <t>BQ5709580</t>
  </si>
  <si>
    <t>DE000BHY0HY5</t>
  </si>
  <si>
    <t>BBG011VCRYG4</t>
  </si>
  <si>
    <t>BQ5709580 Corp</t>
  </si>
  <si>
    <t>BR0357557</t>
  </si>
  <si>
    <t>DE000BHY0HZ2</t>
  </si>
  <si>
    <t>BBG01252DY78</t>
  </si>
  <si>
    <t>BR0357557 Corp</t>
  </si>
  <si>
    <t>BR5049696</t>
  </si>
  <si>
    <t>DE000BHY0H00</t>
  </si>
  <si>
    <t>BBG012M7PFF7</t>
  </si>
  <si>
    <t>BR5049696 Corp</t>
  </si>
  <si>
    <t>BR7245359</t>
  </si>
  <si>
    <t>DE000BHY0H26</t>
  </si>
  <si>
    <t>BBG012RZSB75</t>
  </si>
  <si>
    <t>BR7245359 Corp</t>
  </si>
  <si>
    <t>BR7482903</t>
  </si>
  <si>
    <t>DE000BHY0H18</t>
  </si>
  <si>
    <t>BBG012SP76C4</t>
  </si>
  <si>
    <t>BR7482903 Corp</t>
  </si>
  <si>
    <t>BR8718354</t>
  </si>
  <si>
    <t>DE000BHY0H34</t>
  </si>
  <si>
    <t>BBG012WWC4V2</t>
  </si>
  <si>
    <t>BR8718354 Corp</t>
  </si>
  <si>
    <t>BR9289827</t>
  </si>
  <si>
    <t>DE000BHY0H42</t>
  </si>
  <si>
    <t>BBG012Y3KBC0</t>
  </si>
  <si>
    <t>BR9289827 Corp</t>
  </si>
  <si>
    <t>BS2911177</t>
  </si>
  <si>
    <t>DE000BHY0H59</t>
  </si>
  <si>
    <t>BBG013BLR8R7</t>
  </si>
  <si>
    <t>BS2911177 Corp</t>
  </si>
  <si>
    <t>BS4316714</t>
  </si>
  <si>
    <t>DE000BHY0H67</t>
  </si>
  <si>
    <t>BBG013HCQN80</t>
  </si>
  <si>
    <t>BS4316714 Corp</t>
  </si>
  <si>
    <t>BS8479435</t>
  </si>
  <si>
    <t>DE000BHY0H75</t>
  </si>
  <si>
    <t>BBG013X8K1B1</t>
  </si>
  <si>
    <t>BS8479435 Corp</t>
  </si>
  <si>
    <t>BT3727893</t>
  </si>
  <si>
    <t>DE000BHY0H83</t>
  </si>
  <si>
    <t>BBG014FHHFC1</t>
  </si>
  <si>
    <t>BT3727893 Corp</t>
  </si>
  <si>
    <t>BT4743410</t>
  </si>
  <si>
    <t>DE000BHY0JA1</t>
  </si>
  <si>
    <t>BBG014HRJCB3</t>
  </si>
  <si>
    <t>BT4743410 Corp</t>
  </si>
  <si>
    <t>BT4765603</t>
  </si>
  <si>
    <t>DE000BHY0H91</t>
  </si>
  <si>
    <t>BBG014HT5TY2</t>
  </si>
  <si>
    <t>BT4765603 Corp</t>
  </si>
  <si>
    <t>BT5022442</t>
  </si>
  <si>
    <t>DE000BHY0JB9</t>
  </si>
  <si>
    <t>BBG014J8Y246</t>
  </si>
  <si>
    <t>BT5022442 Corp</t>
  </si>
  <si>
    <t>BU3999101</t>
  </si>
  <si>
    <t>DE000BHY0JC7</t>
  </si>
  <si>
    <t>BBG0157VHJF5</t>
  </si>
  <si>
    <t>BU3999101 Corp</t>
  </si>
  <si>
    <t>BU6070223</t>
  </si>
  <si>
    <t>DE000BHY0JD5</t>
  </si>
  <si>
    <t>BBG015DBXTX2</t>
  </si>
  <si>
    <t>BU6070223 Corp</t>
  </si>
  <si>
    <t>BU7517636</t>
  </si>
  <si>
    <t>DE000BHY0JE3</t>
  </si>
  <si>
    <t>BBG015LBQJG2</t>
  </si>
  <si>
    <t>BU7517636 Corp</t>
  </si>
  <si>
    <t>BU7896402</t>
  </si>
  <si>
    <t>DE000BHY0JF0</t>
  </si>
  <si>
    <t>BBG015MSV0Y9</t>
  </si>
  <si>
    <t>BU7896402 Corp</t>
  </si>
  <si>
    <t>BV1298751</t>
  </si>
  <si>
    <t>DE000BHY0JG8</t>
  </si>
  <si>
    <t>BBG015XX6537</t>
  </si>
  <si>
    <t>BV1298751 Corp</t>
  </si>
  <si>
    <t>BV2091908</t>
  </si>
  <si>
    <t>DE000BHY0JH6</t>
  </si>
  <si>
    <t>BBG01608WWC8</t>
  </si>
  <si>
    <t>BV2091908 Corp</t>
  </si>
  <si>
    <t>BV5723986</t>
  </si>
  <si>
    <t>DE000BHY0JJ2</t>
  </si>
  <si>
    <t>BBG016DGLQ31</t>
  </si>
  <si>
    <t>BV5723986 Corp</t>
  </si>
  <si>
    <t>BV7753791</t>
  </si>
  <si>
    <t>DE000BHY0JK0</t>
  </si>
  <si>
    <t>BBG016LWXMX0</t>
  </si>
  <si>
    <t>BV7753791 Corp</t>
  </si>
  <si>
    <t>BV8983777</t>
  </si>
  <si>
    <t>DE000BHY0JL8</t>
  </si>
  <si>
    <t>BBG016QKZGJ8</t>
  </si>
  <si>
    <t>BV8983777 Corp</t>
  </si>
  <si>
    <t>EJ8172011</t>
  </si>
  <si>
    <t>DE000BHY1497</t>
  </si>
  <si>
    <t>BBG0057GKTQ1</t>
  </si>
  <si>
    <t>General Corporate Purposes Bail-in</t>
  </si>
  <si>
    <t>EJ8172011 Corp</t>
  </si>
  <si>
    <t>EK0637174</t>
  </si>
  <si>
    <t>DE000BHY1554</t>
  </si>
  <si>
    <t>BBG005ZC5S33</t>
  </si>
  <si>
    <t>EMTn</t>
  </si>
  <si>
    <t>EK0637174 Corp</t>
  </si>
  <si>
    <t>EK0700964</t>
  </si>
  <si>
    <t>DE000BHY1570</t>
  </si>
  <si>
    <t>BBG005ZQT616</t>
  </si>
  <si>
    <t>EK0700964 Corp</t>
  </si>
  <si>
    <t>EK3729291</t>
  </si>
  <si>
    <t>DE000BHY0AT0</t>
  </si>
  <si>
    <t>BBG006S43JV8</t>
  </si>
  <si>
    <t>EK3729291 Corp</t>
  </si>
  <si>
    <t>EK3729838</t>
  </si>
  <si>
    <t>DE000BHY0AU8</t>
  </si>
  <si>
    <t>BBG006S456V4</t>
  </si>
  <si>
    <t>EK3729838 Corp</t>
  </si>
  <si>
    <t>EK4151651</t>
  </si>
  <si>
    <t>DE000BHY0AW4</t>
  </si>
  <si>
    <t>BBG006X19LG4</t>
  </si>
  <si>
    <t>EK4151651 Corp</t>
  </si>
  <si>
    <t>EK5029948</t>
  </si>
  <si>
    <t>DE000BHY0AZ7</t>
  </si>
  <si>
    <t>BBG0074NL1Z5</t>
  </si>
  <si>
    <t>EK5029948 Corp</t>
  </si>
  <si>
    <t>EK5980926</t>
  </si>
  <si>
    <t>DE000BHY0A15</t>
  </si>
  <si>
    <t>BBG007J1QDZ6</t>
  </si>
  <si>
    <t>EK5980926 Corp</t>
  </si>
  <si>
    <t>EK6627294</t>
  </si>
  <si>
    <t>DE000BHY0A23</t>
  </si>
  <si>
    <t>BBG007QX0Y80</t>
  </si>
  <si>
    <t>EK6627294 Corp</t>
  </si>
  <si>
    <t>EK6648381</t>
  </si>
  <si>
    <t>DE000BHY0A31</t>
  </si>
  <si>
    <t>BBG007R108C1</t>
  </si>
  <si>
    <t>EK6648381 Corp</t>
  </si>
  <si>
    <t>EK6668736</t>
  </si>
  <si>
    <t>DE000BHY0A49</t>
  </si>
  <si>
    <t>BBG007R5K091</t>
  </si>
  <si>
    <t>EMtn</t>
  </si>
  <si>
    <t>EK6668736 Corp</t>
  </si>
  <si>
    <t>EK6991948</t>
  </si>
  <si>
    <t>DE000BHY0A56</t>
  </si>
  <si>
    <t>BBG007X3VJ23</t>
  </si>
  <si>
    <t>EK6991948 Corp</t>
  </si>
  <si>
    <t>JK0922597</t>
  </si>
  <si>
    <t>DE000BHY0BC4</t>
  </si>
  <si>
    <t>BBG00C7GSLX7</t>
  </si>
  <si>
    <t>JK0922597 Corp</t>
  </si>
  <si>
    <t>JK9112752</t>
  </si>
  <si>
    <t>DE000BHY0BE0</t>
  </si>
  <si>
    <t>BBG00CSJJ484</t>
  </si>
  <si>
    <t>JK9112752 Corp</t>
  </si>
  <si>
    <t>UV7743569</t>
  </si>
  <si>
    <t>DE000BHY0A72</t>
  </si>
  <si>
    <t>BBG009YP0YC9</t>
  </si>
  <si>
    <t>UV7743569 Corp</t>
  </si>
  <si>
    <t>ZO6056949</t>
  </si>
  <si>
    <t>DE000BHY0HN8</t>
  </si>
  <si>
    <t>BBG00XK42YY2</t>
  </si>
  <si>
    <t>ZO6056949 Corp</t>
  </si>
  <si>
    <t>ZO7674211</t>
  </si>
  <si>
    <t>DE000BHY0HP3</t>
  </si>
  <si>
    <t>BBG00XR5NTS7</t>
  </si>
  <si>
    <t>ZO7674211 Corp</t>
  </si>
  <si>
    <t>ZO8750457</t>
  </si>
  <si>
    <t>DE000BHY0HQ1</t>
  </si>
  <si>
    <t>BBG00XTG0TT5</t>
  </si>
  <si>
    <t>ZO8750457 Corp</t>
  </si>
  <si>
    <t>ZP5641367</t>
  </si>
  <si>
    <t>DE000BHY0BY8</t>
  </si>
  <si>
    <t>BBG00RFBLGX4</t>
  </si>
  <si>
    <t>ZP5641367 Corp</t>
  </si>
  <si>
    <t>ZP6180415</t>
  </si>
  <si>
    <t>DE000BHY0BZ5</t>
  </si>
  <si>
    <t>BBG00RHMTP88</t>
  </si>
  <si>
    <t>ZP6180415 Corp</t>
  </si>
  <si>
    <t>ZP9894871</t>
  </si>
  <si>
    <t>DE000BHY0B14</t>
  </si>
  <si>
    <t>BBG00RPHY212</t>
  </si>
  <si>
    <t>ZP9894871 Corp</t>
  </si>
  <si>
    <t>ZQ0697008</t>
  </si>
  <si>
    <t>DE000BHY0BV4</t>
  </si>
  <si>
    <t>BBG00QK3Y1N8</t>
  </si>
  <si>
    <t>ZQ0697008 Corp</t>
  </si>
  <si>
    <t>ZQ7534444</t>
  </si>
  <si>
    <t>DE000BHY0BW2</t>
  </si>
  <si>
    <t>BBG00QYTPKK7</t>
  </si>
  <si>
    <t>ZQ7534444 Corp</t>
  </si>
  <si>
    <t>ZQ8780558</t>
  </si>
  <si>
    <t>DE000BHY0BX0</t>
  </si>
  <si>
    <t>BBG00R0QN0H8</t>
  </si>
  <si>
    <t>ZQ8780558 Corp</t>
  </si>
  <si>
    <t>ZR2280132</t>
  </si>
  <si>
    <t>DE000BHY0BS0</t>
  </si>
  <si>
    <t>BBG00Q2647P9</t>
  </si>
  <si>
    <t>ZR2280132 Corp</t>
  </si>
  <si>
    <t>ZR8862891</t>
  </si>
  <si>
    <t>DE000BHY0BU6</t>
  </si>
  <si>
    <t>BBG00QG535L5</t>
  </si>
  <si>
    <t>ZR8862891 Corp</t>
  </si>
  <si>
    <t>ZS8039944</t>
  </si>
  <si>
    <t>DE000BHY0BQ4</t>
  </si>
  <si>
    <t>BBG00P8023J6</t>
  </si>
  <si>
    <t>ZS8039944 Corp</t>
  </si>
  <si>
    <t>AS4621270</t>
  </si>
  <si>
    <t>BBG00KTDTPX2</t>
  </si>
  <si>
    <t>AS4621270 Corp</t>
  </si>
  <si>
    <t>AS4621304</t>
  </si>
  <si>
    <t>BBG00KTDTR04</t>
  </si>
  <si>
    <t>AS4621304 Corp</t>
  </si>
  <si>
    <t>AS4621312</t>
  </si>
  <si>
    <t>BBG00KTDTRK2</t>
  </si>
  <si>
    <t>AS4621312 Corp</t>
  </si>
  <si>
    <t>BM8817108</t>
  </si>
  <si>
    <t>FI4000456132</t>
  </si>
  <si>
    <t>BBG00YDCPF12</t>
  </si>
  <si>
    <t>BM8817108 Corp</t>
  </si>
  <si>
    <t>AN8852740</t>
  </si>
  <si>
    <t>FR0013261062</t>
  </si>
  <si>
    <t>BBG00GW45PW4</t>
  </si>
  <si>
    <t>AN8852740 Corp</t>
  </si>
  <si>
    <t>AR8730285</t>
  </si>
  <si>
    <t>FR0013326204</t>
  </si>
  <si>
    <t>BBG00KFL49P1</t>
  </si>
  <si>
    <t>General Corporate Purposes Investment</t>
  </si>
  <si>
    <t>AR8730285 Corp</t>
  </si>
  <si>
    <t>AS9584978</t>
  </si>
  <si>
    <t>FR0013342128</t>
  </si>
  <si>
    <t>BBG00L317N09</t>
  </si>
  <si>
    <t>AS9584978 Corp</t>
  </si>
  <si>
    <t>AV8756307</t>
  </si>
  <si>
    <t>FR0013383213</t>
  </si>
  <si>
    <t>BBG00MNSJCF1</t>
  </si>
  <si>
    <t>AV8756307 Corp</t>
  </si>
  <si>
    <t>BH3422640</t>
  </si>
  <si>
    <t>FR0013505260</t>
  </si>
  <si>
    <t>BBG00ST55DC8</t>
  </si>
  <si>
    <t>BH3422640 Corp</t>
  </si>
  <si>
    <t>EK3592061</t>
  </si>
  <si>
    <t>XS1086835979</t>
  </si>
  <si>
    <t>BBG006QVN4V1</t>
  </si>
  <si>
    <t>EK3592061 Corp</t>
  </si>
  <si>
    <t>EK7212922</t>
  </si>
  <si>
    <t>XS1179916017</t>
  </si>
  <si>
    <t>BBG0080JQFZ0</t>
  </si>
  <si>
    <t>EK7212922 Corp</t>
  </si>
  <si>
    <t>JK8431914</t>
  </si>
  <si>
    <t>XS1401331753</t>
  </si>
  <si>
    <t>BBG00CRB6B35</t>
  </si>
  <si>
    <t>JK8431914 Corp</t>
  </si>
  <si>
    <t>ZS5184644</t>
  </si>
  <si>
    <t>FR0013419736</t>
  </si>
  <si>
    <t>BBG00P33KN01</t>
  </si>
  <si>
    <t>ZS5184644 Corp</t>
  </si>
  <si>
    <t>AN9058669</t>
  </si>
  <si>
    <t>FR0013259421</t>
  </si>
  <si>
    <t>BBG00GWYY7F5</t>
  </si>
  <si>
    <t>AN9058669 Corp</t>
  </si>
  <si>
    <t>BO8284420</t>
  </si>
  <si>
    <t>BBG00ZTZWQK8</t>
  </si>
  <si>
    <t>2Y</t>
  </si>
  <si>
    <t>BO8284420 Corp</t>
  </si>
  <si>
    <t>AP8048773</t>
  </si>
  <si>
    <t>US210383AG04</t>
  </si>
  <si>
    <t>BBG00J3Q48P8</t>
  </si>
  <si>
    <t>AP8048773 Corp</t>
  </si>
  <si>
    <t>AP8048815</t>
  </si>
  <si>
    <t>XS1713568811</t>
  </si>
  <si>
    <t>BBG00J3Q48R6</t>
  </si>
  <si>
    <t>AP8048815 Corp</t>
  </si>
  <si>
    <t>AP8057758</t>
  </si>
  <si>
    <t>XS1713569033</t>
  </si>
  <si>
    <t>BBG00J3SDFK3</t>
  </si>
  <si>
    <t>AP8057758 Corp</t>
  </si>
  <si>
    <t>AP8057824</t>
  </si>
  <si>
    <t>USN22038AE85</t>
  </si>
  <si>
    <t>BBG00J3SDJC4</t>
  </si>
  <si>
    <t>AP8057824 Corp</t>
  </si>
  <si>
    <t>BK1042674</t>
  </si>
  <si>
    <t>US21039CAA27</t>
  </si>
  <si>
    <t>BBG00VJ0D3S9</t>
  </si>
  <si>
    <t>BK1042674 Corp</t>
  </si>
  <si>
    <t>BK1048531</t>
  </si>
  <si>
    <t>USF21107AA91</t>
  </si>
  <si>
    <t>BBG00VJ0H0Y4</t>
  </si>
  <si>
    <t>BK1048531 Corp</t>
  </si>
  <si>
    <t>AU9540942</t>
  </si>
  <si>
    <t>CH0441186472</t>
  </si>
  <si>
    <t>BBG00M7QV181</t>
  </si>
  <si>
    <t>AU9540942 Corp</t>
  </si>
  <si>
    <t>AV9411761</t>
  </si>
  <si>
    <t>XS1917855337</t>
  </si>
  <si>
    <t>BBG00MP4Y114</t>
  </si>
  <si>
    <t>AV9411761 Corp</t>
  </si>
  <si>
    <t>AX0036191</t>
  </si>
  <si>
    <t>XS1950499639</t>
  </si>
  <si>
    <t>BBG00N7TX4D9</t>
  </si>
  <si>
    <t>HKD</t>
  </si>
  <si>
    <t>AX0036191 Corp</t>
  </si>
  <si>
    <t>AX2577663</t>
  </si>
  <si>
    <t>BBG00NBM6145</t>
  </si>
  <si>
    <t>AX2577663 Corp</t>
  </si>
  <si>
    <t>BN6169948</t>
  </si>
  <si>
    <t>XS2290544068</t>
  </si>
  <si>
    <t>BBG00YZ28JL9</t>
  </si>
  <si>
    <t>BN6169948 Corp</t>
  </si>
  <si>
    <t>BO1608435</t>
  </si>
  <si>
    <t>XS2307032644</t>
  </si>
  <si>
    <t>BBG00ZCG7960</t>
  </si>
  <si>
    <t>BO1608435 Corp</t>
  </si>
  <si>
    <t>BR6964869</t>
  </si>
  <si>
    <t>XS2394029685</t>
  </si>
  <si>
    <t>BBG012R0L607</t>
  </si>
  <si>
    <t>BR6964869 Corp</t>
  </si>
  <si>
    <t>BU9616550</t>
  </si>
  <si>
    <t>BBG015SF86X5</t>
  </si>
  <si>
    <t>BU9616550 Corp</t>
  </si>
  <si>
    <t>BU9620396</t>
  </si>
  <si>
    <t>BBG015SFKSD5</t>
  </si>
  <si>
    <t>BU9620396 Corp</t>
  </si>
  <si>
    <t>ZP9478550</t>
  </si>
  <si>
    <t>XS2117757182</t>
  </si>
  <si>
    <t>BBG00RNYZNC8</t>
  </si>
  <si>
    <t>ZP9478550 Corp</t>
  </si>
  <si>
    <t>ZS9395642</t>
  </si>
  <si>
    <t>XS2008905155</t>
  </si>
  <si>
    <t>BBG00PBGS185</t>
  </si>
  <si>
    <t>ZS9395642 Corp</t>
  </si>
  <si>
    <t>ZO6404115</t>
  </si>
  <si>
    <t>DE000A3H2XR6</t>
  </si>
  <si>
    <t>BBG00XLVDP50</t>
  </si>
  <si>
    <t>DUE</t>
  </si>
  <si>
    <t>ZO6404115 Corp</t>
  </si>
  <si>
    <t>AM9419426</t>
  </si>
  <si>
    <t>FR0013247202</t>
  </si>
  <si>
    <t>BBG00G997RD4</t>
  </si>
  <si>
    <t>AM9419426 Corp</t>
  </si>
  <si>
    <t>AV9237182</t>
  </si>
  <si>
    <t>FR0013385655</t>
  </si>
  <si>
    <t>BBG00MP284Q4</t>
  </si>
  <si>
    <t>AV9237182 Corp</t>
  </si>
  <si>
    <t>BJ9805646</t>
  </si>
  <si>
    <t>FR0013518537</t>
  </si>
  <si>
    <t>BBG00VDD7BX0</t>
  </si>
  <si>
    <t>BJ9805646 Corp</t>
  </si>
  <si>
    <t>EK7755532</t>
  </si>
  <si>
    <t>FR0012599892</t>
  </si>
  <si>
    <t>BBG00873HTV2</t>
  </si>
  <si>
    <t>EK7755532 Corp</t>
  </si>
  <si>
    <t>ZR4449552</t>
  </si>
  <si>
    <t>FR0013444395</t>
  </si>
  <si>
    <t>BBG00Q5CDJ68</t>
  </si>
  <si>
    <t>ZR4449552 Corp</t>
  </si>
  <si>
    <t>AZ4209054</t>
  </si>
  <si>
    <t>BBG00PM1XZY6</t>
  </si>
  <si>
    <t>AZ4209054 Corp</t>
  </si>
  <si>
    <t>BG5717767</t>
  </si>
  <si>
    <t>SE0012194074</t>
  </si>
  <si>
    <t>BBG00S6QHNQ7</t>
  </si>
  <si>
    <t>BG5717767 Corp</t>
  </si>
  <si>
    <t>BG5829497</t>
  </si>
  <si>
    <t>SE0012194082</t>
  </si>
  <si>
    <t>BBG00S6S9NL7</t>
  </si>
  <si>
    <t>BG5829497 Corp</t>
  </si>
  <si>
    <t>AM5310512</t>
  </si>
  <si>
    <t>CH0353428060</t>
  </si>
  <si>
    <t>BBG00FZP4PT1</t>
  </si>
  <si>
    <t>AM5310512 Corp</t>
  </si>
  <si>
    <t>AN7155798</t>
  </si>
  <si>
    <t>USN30707AE88</t>
  </si>
  <si>
    <t>BBG00GSK3ZX2</t>
  </si>
  <si>
    <t>AN7155798 Corp</t>
  </si>
  <si>
    <t>AN7155863</t>
  </si>
  <si>
    <t>US29278GAC24</t>
  </si>
  <si>
    <t>BBG00GSK42H2</t>
  </si>
  <si>
    <t>AN7155863 Corp</t>
  </si>
  <si>
    <t>AN7160301</t>
  </si>
  <si>
    <t>US29278GAA67</t>
  </si>
  <si>
    <t>BBG00GSK9VB9</t>
  </si>
  <si>
    <t>AN7160301 Corp</t>
  </si>
  <si>
    <t>AN7162919</t>
  </si>
  <si>
    <t>USN30707AC23</t>
  </si>
  <si>
    <t>BBG00GSKDF01</t>
  </si>
  <si>
    <t>AN7162919 Corp</t>
  </si>
  <si>
    <t>AP4154393</t>
  </si>
  <si>
    <t>US29278GAF54</t>
  </si>
  <si>
    <t>BBG00HW2ZLF1</t>
  </si>
  <si>
    <t>AP4154393 Corp</t>
  </si>
  <si>
    <t>AP4154443</t>
  </si>
  <si>
    <t>USN30707AG37</t>
  </si>
  <si>
    <t>BBG00HW2ZPD4</t>
  </si>
  <si>
    <t>AP4154443 Corp</t>
  </si>
  <si>
    <t>AU4810464</t>
  </si>
  <si>
    <t>US29278GAK40</t>
  </si>
  <si>
    <t>BBG00LYB9VX7</t>
  </si>
  <si>
    <t>AU4810464 Corp</t>
  </si>
  <si>
    <t>AU4810472</t>
  </si>
  <si>
    <t>USN30707AL22</t>
  </si>
  <si>
    <t>BBG00LYB9VY6</t>
  </si>
  <si>
    <t>AU4810472 Corp</t>
  </si>
  <si>
    <t>EK6992367</t>
  </si>
  <si>
    <t>XS1176079843</t>
  </si>
  <si>
    <t>BBG007X3Z7M3</t>
  </si>
  <si>
    <t>EK6992367 Corp</t>
  </si>
  <si>
    <t>LW1575866</t>
  </si>
  <si>
    <t>XS1425966287</t>
  </si>
  <si>
    <t>BBG00CXBHBD5</t>
  </si>
  <si>
    <t>LW1575866 Corp</t>
  </si>
  <si>
    <t>AM0925751</t>
  </si>
  <si>
    <t>XS1551068676</t>
  </si>
  <si>
    <t>BBG00FQPGHG0</t>
  </si>
  <si>
    <t>AM0925751 Corp</t>
  </si>
  <si>
    <t>AP0773766</t>
  </si>
  <si>
    <t>XS1684269332</t>
  </si>
  <si>
    <t>BBG00HNRNHY7</t>
  </si>
  <si>
    <t>AP0773766 Corp</t>
  </si>
  <si>
    <t>AU3947721</t>
  </si>
  <si>
    <t>US26874RAG39</t>
  </si>
  <si>
    <t>BBG00LWXRKM7</t>
  </si>
  <si>
    <t>X-R</t>
  </si>
  <si>
    <t>AU3947721 Corp</t>
  </si>
  <si>
    <t>AU3950071</t>
  </si>
  <si>
    <t>XS1826630425</t>
  </si>
  <si>
    <t>BBG00LWXSMR7</t>
  </si>
  <si>
    <t>AU3950071 Corp</t>
  </si>
  <si>
    <t>AU3950097</t>
  </si>
  <si>
    <t>US26874RAE80</t>
  </si>
  <si>
    <t>BBG00LWXT1K9</t>
  </si>
  <si>
    <t>AU3950097 Corp</t>
  </si>
  <si>
    <t>AU3950204</t>
  </si>
  <si>
    <t>XS1826622240</t>
  </si>
  <si>
    <t>BBG00LWXTT55</t>
  </si>
  <si>
    <t>AU3950204 Corp</t>
  </si>
  <si>
    <t>AU4088244</t>
  </si>
  <si>
    <t>IT0005344293</t>
  </si>
  <si>
    <t>BBG00LX0JKW6</t>
  </si>
  <si>
    <t>X</t>
  </si>
  <si>
    <t>AU4088244 Corp</t>
  </si>
  <si>
    <t>AU4088269</t>
  </si>
  <si>
    <t>US26874RAH12</t>
  </si>
  <si>
    <t>BBG00LX0JVN2</t>
  </si>
  <si>
    <t>N-R</t>
  </si>
  <si>
    <t>AU4088269 Corp</t>
  </si>
  <si>
    <t>AU4088277</t>
  </si>
  <si>
    <t>IT0005344319</t>
  </si>
  <si>
    <t>BBG00LX0JX94</t>
  </si>
  <si>
    <t>AU4088277 Corp</t>
  </si>
  <si>
    <t>AU4088285</t>
  </si>
  <si>
    <t>US26874RAF55</t>
  </si>
  <si>
    <t>BBG00LX0JXF7</t>
  </si>
  <si>
    <t>AU4088285 Corp</t>
  </si>
  <si>
    <t>AU4088301</t>
  </si>
  <si>
    <t>IT0005344343</t>
  </si>
  <si>
    <t>BBG00LX0K691</t>
  </si>
  <si>
    <t>AU4088301 Corp</t>
  </si>
  <si>
    <t>AU4088335</t>
  </si>
  <si>
    <t>IT0005344327</t>
  </si>
  <si>
    <t>BBG00LX0KYC6</t>
  </si>
  <si>
    <t>AU4088335 Corp</t>
  </si>
  <si>
    <t>BJ4186976</t>
  </si>
  <si>
    <t>XS2176783319</t>
  </si>
  <si>
    <t>BBG00TS9XYV1</t>
  </si>
  <si>
    <t>BJ4186976 Corp</t>
  </si>
  <si>
    <t>BJ4186984</t>
  </si>
  <si>
    <t>XS2176785447</t>
  </si>
  <si>
    <t>BBG00TS9XYW0</t>
  </si>
  <si>
    <t>BJ4186984 Corp</t>
  </si>
  <si>
    <t>EJ7421625</t>
  </si>
  <si>
    <t>XS0951565091</t>
  </si>
  <si>
    <t>BBG004SL9C35</t>
  </si>
  <si>
    <t>EJ7421625 Corp</t>
  </si>
  <si>
    <t>EJ8205399</t>
  </si>
  <si>
    <t>XS0970852348</t>
  </si>
  <si>
    <t>BBG0057R9KP0</t>
  </si>
  <si>
    <t>EJ8205399 Corp</t>
  </si>
  <si>
    <t>EK0407552</t>
  </si>
  <si>
    <t>XS1023703090</t>
  </si>
  <si>
    <t>BBG005WY3Y91</t>
  </si>
  <si>
    <t>EK0407552 Corp</t>
  </si>
  <si>
    <t>EK7214605</t>
  </si>
  <si>
    <t>XS1180451657</t>
  </si>
  <si>
    <t>BBG0080JRYC3</t>
  </si>
  <si>
    <t>EK7214605 Corp</t>
  </si>
  <si>
    <t>LW0762507</t>
  </si>
  <si>
    <t>XS1412593185</t>
  </si>
  <si>
    <t>BBG00CW36DC3</t>
  </si>
  <si>
    <t>LW0762507 Corp</t>
  </si>
  <si>
    <t>LW0762598</t>
  </si>
  <si>
    <t>XS1412711217</t>
  </si>
  <si>
    <t>BBG00CW36J49</t>
  </si>
  <si>
    <t>LW0762598 Corp</t>
  </si>
  <si>
    <t>QZ5429787</t>
  </si>
  <si>
    <t>XS1493322355</t>
  </si>
  <si>
    <t>BBG00DSN5GN4</t>
  </si>
  <si>
    <t>QZ5429787 Corp</t>
  </si>
  <si>
    <t>QZ5429944</t>
  </si>
  <si>
    <t>XS1493328477</t>
  </si>
  <si>
    <t>BBG00DSN5KP3</t>
  </si>
  <si>
    <t>QZ5429944 Corp</t>
  </si>
  <si>
    <t>UV8561036</t>
  </si>
  <si>
    <t>XS1292988984</t>
  </si>
  <si>
    <t>BBG00B01GWD0</t>
  </si>
  <si>
    <t>UV8561036 Corp</t>
  </si>
  <si>
    <t>ZP5396533</t>
  </si>
  <si>
    <t>XS2107315470</t>
  </si>
  <si>
    <t>BBG00RDQM245</t>
  </si>
  <si>
    <t>ZP5396533 Corp</t>
  </si>
  <si>
    <t>ZR9900880</t>
  </si>
  <si>
    <t>XS2065946837</t>
  </si>
  <si>
    <t>BBG00QJ0DF03</t>
  </si>
  <si>
    <t>ZR9900880 Corp</t>
  </si>
  <si>
    <t>ZS4441649</t>
  </si>
  <si>
    <t>US26874RAJ77</t>
  </si>
  <si>
    <t>BBG00P2CMD02</t>
  </si>
  <si>
    <t>ZS4441649 Corp</t>
  </si>
  <si>
    <t>ZS4441656</t>
  </si>
  <si>
    <t>XS1992085867</t>
  </si>
  <si>
    <t>BBG00P2CMD39</t>
  </si>
  <si>
    <t>ZS4441656 Corp</t>
  </si>
  <si>
    <t>ZS5471553</t>
  </si>
  <si>
    <t>US26874RAK41</t>
  </si>
  <si>
    <t>BBG00P3BX900</t>
  </si>
  <si>
    <t>ZS5471553 Corp</t>
  </si>
  <si>
    <t>AR4499497</t>
  </si>
  <si>
    <t>XS1785467751</t>
  </si>
  <si>
    <t>BBG00K5S5DQ6</t>
  </si>
  <si>
    <t>AR4499497 Corp</t>
  </si>
  <si>
    <t>AV7218127</t>
  </si>
  <si>
    <t>BBG00MKMQ3S5</t>
  </si>
  <si>
    <t>Bridge-loan Payment General Corporate Purposes</t>
  </si>
  <si>
    <t>AV7218127 Corp</t>
  </si>
  <si>
    <t>AV7218291</t>
  </si>
  <si>
    <t>BBG00MKMQ6P1</t>
  </si>
  <si>
    <t>AV7218291 Corp</t>
  </si>
  <si>
    <t>AV7221477</t>
  </si>
  <si>
    <t>BBG00MKMQPY9</t>
  </si>
  <si>
    <t>AV7221477 Corp</t>
  </si>
  <si>
    <t>AX6658428</t>
  </si>
  <si>
    <t>XS1963830002</t>
  </si>
  <si>
    <t>BBG00NL1J066</t>
  </si>
  <si>
    <t>AX6658428 Corp</t>
  </si>
  <si>
    <t>BK6879856</t>
  </si>
  <si>
    <t>XS2209344543</t>
  </si>
  <si>
    <t>BBG00WC50SW7</t>
  </si>
  <si>
    <t>BK6879856 Corp</t>
  </si>
  <si>
    <t>ZQ5987008</t>
  </si>
  <si>
    <t>XS2081474046</t>
  </si>
  <si>
    <t>BBG00QV15TC3</t>
  </si>
  <si>
    <t>ZQ5987008 Corp</t>
  </si>
  <si>
    <t>AP9123708</t>
  </si>
  <si>
    <t>IT0005283616</t>
  </si>
  <si>
    <t>BBG00J5HH300</t>
  </si>
  <si>
    <t>AP9123708 Corp</t>
  </si>
  <si>
    <t>AZ4209153</t>
  </si>
  <si>
    <t>BBG00PM1Y0B7</t>
  </si>
  <si>
    <t>AZ4209153 Corp</t>
  </si>
  <si>
    <t>AR9312299</t>
  </si>
  <si>
    <t>GRC1451184D4</t>
  </si>
  <si>
    <t>BBG00KG22CH6</t>
  </si>
  <si>
    <t>AR9312299 Corp</t>
  </si>
  <si>
    <t>BK2789893</t>
  </si>
  <si>
    <t>GRC1451207D3</t>
  </si>
  <si>
    <t>BBG00VR88871</t>
  </si>
  <si>
    <t>BK2789893 Corp</t>
  </si>
  <si>
    <t>AU4930197</t>
  </si>
  <si>
    <t>SE0011670611</t>
  </si>
  <si>
    <t>BBG00LYD4H78</t>
  </si>
  <si>
    <t>AU4930197 Corp</t>
  </si>
  <si>
    <t>BH7876825</t>
  </si>
  <si>
    <t>CH0541537996</t>
  </si>
  <si>
    <t>BBG00T630P43</t>
  </si>
  <si>
    <t>BH7876825 Corp</t>
  </si>
  <si>
    <t>QZ4681495</t>
  </si>
  <si>
    <t>XS1488419935</t>
  </si>
  <si>
    <t>BBG00DRDGZV4</t>
  </si>
  <si>
    <t>General Corporate Purposes LBO Financing Refinance</t>
  </si>
  <si>
    <t>QZ4681495 Corp</t>
  </si>
  <si>
    <t>ZR7445516</t>
  </si>
  <si>
    <t>XS2057835717</t>
  </si>
  <si>
    <t>BBG00QD5PF41</t>
  </si>
  <si>
    <t>ZR7445516 Corp</t>
  </si>
  <si>
    <t>ZR7445524</t>
  </si>
  <si>
    <t>XS2057835808</t>
  </si>
  <si>
    <t>BBG00QD5PF50</t>
  </si>
  <si>
    <t>ZR7445524 Corp</t>
  </si>
  <si>
    <t>BM7804578</t>
  </si>
  <si>
    <t>XS2265990452</t>
  </si>
  <si>
    <t>BBG00YCG5ZL0</t>
  </si>
  <si>
    <t>BM7804578 Corp</t>
  </si>
  <si>
    <t>EJ6830479</t>
  </si>
  <si>
    <t>XS0935948272</t>
  </si>
  <si>
    <t>BBG004KPHH61</t>
  </si>
  <si>
    <t>EJ6830479 Corp</t>
  </si>
  <si>
    <t>EJ7267564</t>
  </si>
  <si>
    <t>XS0935947977</t>
  </si>
  <si>
    <t>BBG004Q11K95</t>
  </si>
  <si>
    <t>EJ7267564 Corp</t>
  </si>
  <si>
    <t>QZ7287803</t>
  </si>
  <si>
    <t>XS1504194173</t>
  </si>
  <si>
    <t>BBG00DY0Y3X3</t>
  </si>
  <si>
    <t>QZ7287803 Corp</t>
  </si>
  <si>
    <t>AO8527100</t>
  </si>
  <si>
    <t>XS1672151492</t>
  </si>
  <si>
    <t>BBG00HK0VYP3</t>
  </si>
  <si>
    <t>AO8527100 Corp</t>
  </si>
  <si>
    <t>BH5794574</t>
  </si>
  <si>
    <t>XS2156244043</t>
  </si>
  <si>
    <t>BBG00T1L3SD9</t>
  </si>
  <si>
    <t>BH5794574 Corp</t>
  </si>
  <si>
    <t>BN4840201</t>
  </si>
  <si>
    <t>XS2286441964</t>
  </si>
  <si>
    <t>BBG00YVDZGJ8</t>
  </si>
  <si>
    <t>BN4840201 Corp</t>
  </si>
  <si>
    <t>BN4840227</t>
  </si>
  <si>
    <t>XS2286442186</t>
  </si>
  <si>
    <t>BBG00YVDZGM4</t>
  </si>
  <si>
    <t>BN4840227 Corp</t>
  </si>
  <si>
    <t>BO8633683</t>
  </si>
  <si>
    <t>XS2328418186</t>
  </si>
  <si>
    <t>BBG00ZVJ7VF4</t>
  </si>
  <si>
    <t>BO8633683 Corp</t>
  </si>
  <si>
    <t>BR2429784</t>
  </si>
  <si>
    <t>XS2384273715</t>
  </si>
  <si>
    <t>BBG012CD6GS0</t>
  </si>
  <si>
    <t>BR2429784 Corp</t>
  </si>
  <si>
    <t>BR8099524</t>
  </si>
  <si>
    <t>XS2397538252</t>
  </si>
  <si>
    <t>BBG012V14ML1</t>
  </si>
  <si>
    <t>BR8099524 Corp</t>
  </si>
  <si>
    <t>BV6631543</t>
  </si>
  <si>
    <t>XS2463918313</t>
  </si>
  <si>
    <t>BBG016H76TM7</t>
  </si>
  <si>
    <t>BV6631543 Corp</t>
  </si>
  <si>
    <t>EK0281486</t>
  </si>
  <si>
    <t>XS1019821732</t>
  </si>
  <si>
    <t>BBG005V19V12</t>
  </si>
  <si>
    <t>EK0281486 Corp</t>
  </si>
  <si>
    <t>LW1706537</t>
  </si>
  <si>
    <t>XS1420337633</t>
  </si>
  <si>
    <t>BBG00CXHMFY4</t>
  </si>
  <si>
    <t>LW1706537 Corp</t>
  </si>
  <si>
    <t>LW1706727</t>
  </si>
  <si>
    <t>XS1420338102</t>
  </si>
  <si>
    <t>BBG00CXHMV24</t>
  </si>
  <si>
    <t>LW1706727 Corp</t>
  </si>
  <si>
    <t>ZQ6618644</t>
  </si>
  <si>
    <t>XS2081615473</t>
  </si>
  <si>
    <t>BBG00QX2RJN5</t>
  </si>
  <si>
    <t>ZQ6618644 Corp</t>
  </si>
  <si>
    <t>EJ6945111</t>
  </si>
  <si>
    <t>XS0939681408</t>
  </si>
  <si>
    <t>BBG004MDKPW5</t>
  </si>
  <si>
    <t>EJ6945111 Corp</t>
  </si>
  <si>
    <t>AM0715459</t>
  </si>
  <si>
    <t>FR0013231768</t>
  </si>
  <si>
    <t>BBG00FQJRY57</t>
  </si>
  <si>
    <t>AM0715459 Corp</t>
  </si>
  <si>
    <t>EK6372677</t>
  </si>
  <si>
    <t>FR0012370872</t>
  </si>
  <si>
    <t>BBG007NL9L88</t>
  </si>
  <si>
    <t>EK6372677 Corp</t>
  </si>
  <si>
    <t>JK5694415</t>
  </si>
  <si>
    <t>FR0013143351</t>
  </si>
  <si>
    <t>BBG00CKGFFQ7</t>
  </si>
  <si>
    <t>JK5694415 Corp</t>
  </si>
  <si>
    <t>AT3083041</t>
  </si>
  <si>
    <t>BBG00L99BTG1</t>
  </si>
  <si>
    <t>AT3083041 Corp</t>
  </si>
  <si>
    <t>AT3087273</t>
  </si>
  <si>
    <t>BBG00L99C956</t>
  </si>
  <si>
    <t>AT3087273 Corp</t>
  </si>
  <si>
    <t>BQ2678564</t>
  </si>
  <si>
    <t>BBG011LXJK78</t>
  </si>
  <si>
    <t>BQ2678564 Corp</t>
  </si>
  <si>
    <t>BV6625016</t>
  </si>
  <si>
    <t>BBG016H5JHF1</t>
  </si>
  <si>
    <t>BV6625016 Corp</t>
  </si>
  <si>
    <t>BV6625198</t>
  </si>
  <si>
    <t>BBG016H5LR39</t>
  </si>
  <si>
    <t>BV6625198 Corp</t>
  </si>
  <si>
    <t>BV6625206</t>
  </si>
  <si>
    <t>BBG016H5LS55</t>
  </si>
  <si>
    <t>BV6625206 Corp</t>
  </si>
  <si>
    <t>ZP0094521</t>
  </si>
  <si>
    <t>BBG00R2LT9C7</t>
  </si>
  <si>
    <t>ZP0094521 Corp</t>
  </si>
  <si>
    <t>ZP0095775</t>
  </si>
  <si>
    <t>BBG00R2LTSK6</t>
  </si>
  <si>
    <t>ZP0095775 Corp</t>
  </si>
  <si>
    <t>AM8379274</t>
  </si>
  <si>
    <t>DE000A19HCW0</t>
  </si>
  <si>
    <t>BBG00G6QJ740</t>
  </si>
  <si>
    <t>AM8379274 Corp</t>
  </si>
  <si>
    <t>AM8379308</t>
  </si>
  <si>
    <t>DE000A19HCX8</t>
  </si>
  <si>
    <t>BBG00G6QJ7N9</t>
  </si>
  <si>
    <t>AM8379308 Corp</t>
  </si>
  <si>
    <t>AT0029203</t>
  </si>
  <si>
    <t>DE000A1919G4</t>
  </si>
  <si>
    <t>BBG00L429K00</t>
  </si>
  <si>
    <t>AT0029203 Corp</t>
  </si>
  <si>
    <t>AT1197058</t>
  </si>
  <si>
    <t>DE000A1919H2</t>
  </si>
  <si>
    <t>BBG00L56QZL5</t>
  </si>
  <si>
    <t>11Y</t>
  </si>
  <si>
    <t>AT1197058 Corp</t>
  </si>
  <si>
    <t>BH6826250</t>
  </si>
  <si>
    <t>DE000A28V301</t>
  </si>
  <si>
    <t>BBG00T2M5JX2</t>
  </si>
  <si>
    <t>BH6826250 Corp</t>
  </si>
  <si>
    <t>BH6826268</t>
  </si>
  <si>
    <t>DE000A28V319</t>
  </si>
  <si>
    <t>BBG00T2M5JZ0</t>
  </si>
  <si>
    <t>BH6826268 Corp</t>
  </si>
  <si>
    <t>BM6305148</t>
  </si>
  <si>
    <t>US46653KAA60</t>
  </si>
  <si>
    <t>BBG00Y78DDN2</t>
  </si>
  <si>
    <t>BM6305148 Corp</t>
  </si>
  <si>
    <t>BM6305239</t>
  </si>
  <si>
    <t>USN4717KAV81</t>
  </si>
  <si>
    <t>BBG00Y78DF02</t>
  </si>
  <si>
    <t>BM6305239 Corp</t>
  </si>
  <si>
    <t>BP7786075</t>
  </si>
  <si>
    <t>US46653KAB44</t>
  </si>
  <si>
    <t>BBG0116YQ408</t>
  </si>
  <si>
    <t>BP7786075 Corp</t>
  </si>
  <si>
    <t>BP7801056</t>
  </si>
  <si>
    <t>USN4717KBE57</t>
  </si>
  <si>
    <t>BBG0116Z46B2</t>
  </si>
  <si>
    <t>BP7801056 Corp</t>
  </si>
  <si>
    <t>BQ4130176</t>
  </si>
  <si>
    <t>DE000A3KPTG6</t>
  </si>
  <si>
    <t>BBG011PQPKZ1</t>
  </si>
  <si>
    <t>BQ4130176 Corp</t>
  </si>
  <si>
    <t>EK8759004</t>
  </si>
  <si>
    <t>DE000A1Z0TA4</t>
  </si>
  <si>
    <t>BBG008KR9ZN8</t>
  </si>
  <si>
    <t>EK8759004 Corp</t>
  </si>
  <si>
    <t>LW1703757</t>
  </si>
  <si>
    <t>DE000A181034</t>
  </si>
  <si>
    <t>BBG00CXHKWJ6</t>
  </si>
  <si>
    <t>LW1703757 Corp</t>
  </si>
  <si>
    <t>UV7427841</t>
  </si>
  <si>
    <t>DE000A1Z6C06</t>
  </si>
  <si>
    <t>BBG009XY73J5</t>
  </si>
  <si>
    <t>UV7427841 Corp</t>
  </si>
  <si>
    <t>ZP7090951</t>
  </si>
  <si>
    <t>DE000A28SVV0</t>
  </si>
  <si>
    <t>BBG00RKC05G2</t>
  </si>
  <si>
    <t>ZP7090951 Corp</t>
  </si>
  <si>
    <t>ZQ9628475</t>
  </si>
  <si>
    <t>DE000A2SBDE0</t>
  </si>
  <si>
    <t>BBG00R288V76</t>
  </si>
  <si>
    <t>ZQ9628475 Corp</t>
  </si>
  <si>
    <t>ZQ9628483</t>
  </si>
  <si>
    <t>DE000A2SBDF7</t>
  </si>
  <si>
    <t>BBG00R288V85</t>
  </si>
  <si>
    <t>ZQ9628483 Corp</t>
  </si>
  <si>
    <t>BS5063844</t>
  </si>
  <si>
    <t>US46592QAB59</t>
  </si>
  <si>
    <t>BBG013KFKVD1</t>
  </si>
  <si>
    <t>BS5063844 Corp</t>
  </si>
  <si>
    <t>BS5063869</t>
  </si>
  <si>
    <t>USL5S59NAB13</t>
  </si>
  <si>
    <t>BBG013KFKY90</t>
  </si>
  <si>
    <t>BS5063869 Corp</t>
  </si>
  <si>
    <t>ZO4141503</t>
  </si>
  <si>
    <t>XS2231330965</t>
  </si>
  <si>
    <t>BBG00X7J54D0</t>
  </si>
  <si>
    <t>ZO4141503 Corp</t>
  </si>
  <si>
    <t>ZO4141511</t>
  </si>
  <si>
    <t>XS2231331344</t>
  </si>
  <si>
    <t>BBG00X7J54G7</t>
  </si>
  <si>
    <t>ZO4141511 Corp</t>
  </si>
  <si>
    <t>EK3170355</t>
  </si>
  <si>
    <t>AT0000A17Z60</t>
  </si>
  <si>
    <t>BBG006LH0745</t>
  </si>
  <si>
    <t>EK3170355 Corp</t>
  </si>
  <si>
    <t>AZ4209583</t>
  </si>
  <si>
    <t>BBG00PM1Y3C0</t>
  </si>
  <si>
    <t>AZ4209583 Corp</t>
  </si>
  <si>
    <t>UV6102981</t>
  </si>
  <si>
    <t>XS1288849471</t>
  </si>
  <si>
    <t>BBG009W37W46</t>
  </si>
  <si>
    <t>UV6102981 Corp</t>
  </si>
  <si>
    <t>ZR6113974</t>
  </si>
  <si>
    <t>XS2042667944</t>
  </si>
  <si>
    <t>BBG00Q8G4LV3</t>
  </si>
  <si>
    <t>ZR6113974 Corp</t>
  </si>
  <si>
    <t>BG0393440</t>
  </si>
  <si>
    <t>SE0012676005</t>
  </si>
  <si>
    <t>BBG00RQ17W65</t>
  </si>
  <si>
    <t>BG0393440 Corp</t>
  </si>
  <si>
    <t>BG0393457</t>
  </si>
  <si>
    <t>SE0012675999</t>
  </si>
  <si>
    <t>BBG00RQ17W83</t>
  </si>
  <si>
    <t>BG0393457 Corp</t>
  </si>
  <si>
    <t>AX9037059</t>
  </si>
  <si>
    <t>US49836AAA25</t>
  </si>
  <si>
    <t>BBG00NQJG7L3</t>
  </si>
  <si>
    <t>AX9037059 Corp</t>
  </si>
  <si>
    <t>AX9046282</t>
  </si>
  <si>
    <t>USA35155AA77</t>
  </si>
  <si>
    <t>BBG00NQJN7M4</t>
  </si>
  <si>
    <t>AX9046282 Corp</t>
  </si>
  <si>
    <t>EK3772200</t>
  </si>
  <si>
    <t>US49835LAA98</t>
  </si>
  <si>
    <t>BBG006S8RW53</t>
  </si>
  <si>
    <t>EK3772200 Corp</t>
  </si>
  <si>
    <t>EK3795979</t>
  </si>
  <si>
    <t>USL5828LAA72</t>
  </si>
  <si>
    <t>BBG006SCSKX8</t>
  </si>
  <si>
    <t>EK3795979 Corp</t>
  </si>
  <si>
    <t>AP1154305</t>
  </si>
  <si>
    <t>XS1685798370</t>
  </si>
  <si>
    <t>BBG00HPJCNW4</t>
  </si>
  <si>
    <t>AP1154305 Corp</t>
  </si>
  <si>
    <t>AR7173271</t>
  </si>
  <si>
    <t>XS1787477543</t>
  </si>
  <si>
    <t>BBG00K9M8VT9</t>
  </si>
  <si>
    <t>AR7173271 Corp</t>
  </si>
  <si>
    <t>BH3926376</t>
  </si>
  <si>
    <t>XS2150015555</t>
  </si>
  <si>
    <t>BBG00SVCZFZ7</t>
  </si>
  <si>
    <t>BH3926376 Corp</t>
  </si>
  <si>
    <t>QZ3839276</t>
  </si>
  <si>
    <t>XS1485532896</t>
  </si>
  <si>
    <t>BBG00DQC2227</t>
  </si>
  <si>
    <t>QZ3839276 Corp</t>
  </si>
  <si>
    <t>QZ3842650</t>
  </si>
  <si>
    <t>XS1485533431</t>
  </si>
  <si>
    <t>BBG00DQC3T36</t>
  </si>
  <si>
    <t>QZ3842650 Corp</t>
  </si>
  <si>
    <t>ZO3666625</t>
  </si>
  <si>
    <t>XS2229470146</t>
  </si>
  <si>
    <t>BBG00X6KLTW4</t>
  </si>
  <si>
    <t>ZO3666625 Corp</t>
  </si>
  <si>
    <t>BV4081618</t>
  </si>
  <si>
    <t>FR0014009EI0</t>
  </si>
  <si>
    <t>BBG0167XVG32</t>
  </si>
  <si>
    <t>General Corporate Purposes Stock Buyback</t>
  </si>
  <si>
    <t>BV4081618 Corp</t>
  </si>
  <si>
    <t>BV4437786</t>
  </si>
  <si>
    <t>FR0014009EH2</t>
  </si>
  <si>
    <t>BBG0168S4YL3</t>
  </si>
  <si>
    <t>BV4437786 Corp</t>
  </si>
  <si>
    <t>AS5793342</t>
  </si>
  <si>
    <t>XS1820748538</t>
  </si>
  <si>
    <t>BBG00KW3DSZ9</t>
  </si>
  <si>
    <t>AS5793342 Corp</t>
  </si>
  <si>
    <t>BR2431830</t>
  </si>
  <si>
    <t>XS2383886947</t>
  </si>
  <si>
    <t>BBG012CD7KK8</t>
  </si>
  <si>
    <t>BR2431830 Corp</t>
  </si>
  <si>
    <t>QZ7298362</t>
  </si>
  <si>
    <t>XS1501367921</t>
  </si>
  <si>
    <t>BBG00DY10929</t>
  </si>
  <si>
    <t>QZ7298362 Corp</t>
  </si>
  <si>
    <t>AO1503470</t>
  </si>
  <si>
    <t>FR0013266848</t>
  </si>
  <si>
    <t>BBG00H1RSYD2</t>
  </si>
  <si>
    <t>Acquisition Financing General Corporate Purposes</t>
  </si>
  <si>
    <t>AO1503470 Corp</t>
  </si>
  <si>
    <t>AO1503660</t>
  </si>
  <si>
    <t>FR0013266830</t>
  </si>
  <si>
    <t>BBG00H1RT143</t>
  </si>
  <si>
    <t>AO1503660 Corp</t>
  </si>
  <si>
    <t>AP4175547</t>
  </si>
  <si>
    <t>FR0013286846</t>
  </si>
  <si>
    <t>BBG00HW8SBR5</t>
  </si>
  <si>
    <t>AP4175547 Corp</t>
  </si>
  <si>
    <t>AR4828976</t>
  </si>
  <si>
    <t>FR0013321080</t>
  </si>
  <si>
    <t>BBG00K64QXL6</t>
  </si>
  <si>
    <t>AR4828976 Corp</t>
  </si>
  <si>
    <t>AZ1870858</t>
  </si>
  <si>
    <t>FR0013428943</t>
  </si>
  <si>
    <t>BBG00PGDQQJ2</t>
  </si>
  <si>
    <t>AZ1870858 Corp</t>
  </si>
  <si>
    <t>BJ4447105</t>
  </si>
  <si>
    <t>FR0013513538</t>
  </si>
  <si>
    <t>BBG00TSTT590</t>
  </si>
  <si>
    <t>BJ4447105 Corp</t>
  </si>
  <si>
    <t>BP5102168</t>
  </si>
  <si>
    <t>FR0126775347</t>
  </si>
  <si>
    <t>BBG0110R3388</t>
  </si>
  <si>
    <t>BP5102168 Corp</t>
  </si>
  <si>
    <t>BT4923806</t>
  </si>
  <si>
    <t>FR0127197822</t>
  </si>
  <si>
    <t>BBG014J2WJ71</t>
  </si>
  <si>
    <t>NMTN</t>
  </si>
  <si>
    <t>BT4923806 Corp</t>
  </si>
  <si>
    <t>JV2082388</t>
  </si>
  <si>
    <t>FR0013073277</t>
  </si>
  <si>
    <t>BBG00BM5PTX2</t>
  </si>
  <si>
    <t>JV2082388 Corp</t>
  </si>
  <si>
    <t>ZR5703973</t>
  </si>
  <si>
    <t>SE0011869932</t>
  </si>
  <si>
    <t>BBG00Q77RFR7</t>
  </si>
  <si>
    <t>ZR5703973 Corp</t>
  </si>
  <si>
    <t>AS1999877</t>
  </si>
  <si>
    <t>XS1800025022</t>
  </si>
  <si>
    <t>BBG00KL4TN83</t>
  </si>
  <si>
    <t>AS1999877 Corp</t>
  </si>
  <si>
    <t>AQ5794393</t>
  </si>
  <si>
    <t>PTMENUOM0009</t>
  </si>
  <si>
    <t>BBG00JMYVR05</t>
  </si>
  <si>
    <t>73062799,5</t>
  </si>
  <si>
    <t>AQ5794393 Corp</t>
  </si>
  <si>
    <t>AV6232368</t>
  </si>
  <si>
    <t>PTMENWOM0007</t>
  </si>
  <si>
    <t>BBG00MJM88P9</t>
  </si>
  <si>
    <t>AV6232368 Corp</t>
  </si>
  <si>
    <t>ZP1987236</t>
  </si>
  <si>
    <t>PTMENAOM0011</t>
  </si>
  <si>
    <t>BBG00R6X8Y08</t>
  </si>
  <si>
    <t>PUTABLE</t>
  </si>
  <si>
    <t>ZP1987236 Corp</t>
  </si>
  <si>
    <t>ZQ3271017</t>
  </si>
  <si>
    <t>PTMENXOM0006</t>
  </si>
  <si>
    <t>BBG00QPYRY24</t>
  </si>
  <si>
    <t>186756644,2</t>
  </si>
  <si>
    <t>ZQ3271017 Corp</t>
  </si>
  <si>
    <t>AU8767926</t>
  </si>
  <si>
    <t>XS1892117919</t>
  </si>
  <si>
    <t>BBG00M6GWK18</t>
  </si>
  <si>
    <t>AU8767926 Corp</t>
  </si>
  <si>
    <t>LW0229606</t>
  </si>
  <si>
    <t>XS1409382030</t>
  </si>
  <si>
    <t>BBG00CV0RDJ0</t>
  </si>
  <si>
    <t>LW0229606 Corp</t>
  </si>
  <si>
    <t>ZR8272786</t>
  </si>
  <si>
    <t>XS2060691040</t>
  </si>
  <si>
    <t>BBG00QFL1KN8</t>
  </si>
  <si>
    <t>ZR8272786 Corp</t>
  </si>
  <si>
    <t>AN0018217</t>
  </si>
  <si>
    <t>XS1585010074</t>
  </si>
  <si>
    <t>BBG00GBDK466</t>
  </si>
  <si>
    <t>AN0018217 Corp</t>
  </si>
  <si>
    <t>AR1704246</t>
  </si>
  <si>
    <t>XS1769040111</t>
  </si>
  <si>
    <t>BBG00K08B0D0</t>
  </si>
  <si>
    <t>AR1704246 Corp</t>
  </si>
  <si>
    <t>AR1705011</t>
  </si>
  <si>
    <t>XS1769041192</t>
  </si>
  <si>
    <t>BBG00K08BGC6</t>
  </si>
  <si>
    <t>AR1705011 Corp</t>
  </si>
  <si>
    <t>AR1705052</t>
  </si>
  <si>
    <t>XS1769041606</t>
  </si>
  <si>
    <t>BBG00K08BJF7</t>
  </si>
  <si>
    <t>AR1705052 Corp</t>
  </si>
  <si>
    <t>EK5787362</t>
  </si>
  <si>
    <t>XS1134729794</t>
  </si>
  <si>
    <t>BBG007G72YL1</t>
  </si>
  <si>
    <t>EK5787362 Corp</t>
  </si>
  <si>
    <t>QZ5423871</t>
  </si>
  <si>
    <t>XS1492825051</t>
  </si>
  <si>
    <t>BBG00DSN3LQ2</t>
  </si>
  <si>
    <t>QZ5423871 Corp</t>
  </si>
  <si>
    <t>QZ5424044</t>
  </si>
  <si>
    <t>XS1492825481</t>
  </si>
  <si>
    <t>BBG00DSN3PY4</t>
  </si>
  <si>
    <t>QZ5424044 Corp</t>
  </si>
  <si>
    <t>BH4959509</t>
  </si>
  <si>
    <t>FR0013506524</t>
  </si>
  <si>
    <t>BBG00SYJ9XH9</t>
  </si>
  <si>
    <t>BH4959509 Corp</t>
  </si>
  <si>
    <t>BH4959517</t>
  </si>
  <si>
    <t>FR0013506532</t>
  </si>
  <si>
    <t>BBG00SYJ9XJ7</t>
  </si>
  <si>
    <t>BH4959517 Corp</t>
  </si>
  <si>
    <t>BR6668031</t>
  </si>
  <si>
    <t>FR0014005SC1</t>
  </si>
  <si>
    <t>BBG012QR6C94</t>
  </si>
  <si>
    <t>eMTN</t>
  </si>
  <si>
    <t>BR6668031 Corp</t>
  </si>
  <si>
    <t>EK5002275</t>
  </si>
  <si>
    <t>FR0012173862</t>
  </si>
  <si>
    <t>BBG0074H8JB0</t>
  </si>
  <si>
    <t>EK5002275 Corp</t>
  </si>
  <si>
    <t>LW0760287</t>
  </si>
  <si>
    <t>FR0013172939</t>
  </si>
  <si>
    <t>BBG00CW35KB9</t>
  </si>
  <si>
    <t>LW0760287 Corp</t>
  </si>
  <si>
    <t>LW3054704</t>
  </si>
  <si>
    <t>US714264AM01</t>
  </si>
  <si>
    <t>BBG00D0WZF62</t>
  </si>
  <si>
    <t>LW3054704 Corp</t>
  </si>
  <si>
    <t>LW3161954</t>
  </si>
  <si>
    <t>USF7061BAQ35</t>
  </si>
  <si>
    <t>BBG00D0YJTX6</t>
  </si>
  <si>
    <t>LW3161954 Corp</t>
  </si>
  <si>
    <t>UV8688979</t>
  </si>
  <si>
    <t>FR0012968931</t>
  </si>
  <si>
    <t>BBG00B07LNM1</t>
  </si>
  <si>
    <t>UV8688979 Corp</t>
  </si>
  <si>
    <t>ZQ2158991</t>
  </si>
  <si>
    <t>FR0013456423</t>
  </si>
  <si>
    <t>BBG00QN34CD5</t>
  </si>
  <si>
    <t>ZQ2158991 Corp</t>
  </si>
  <si>
    <t>ZQ2159007</t>
  </si>
  <si>
    <t>FR0013456431</t>
  </si>
  <si>
    <t>BBG00QN34CF3</t>
  </si>
  <si>
    <t>ZQ2159007 Corp</t>
  </si>
  <si>
    <t>ZQ2159015</t>
  </si>
  <si>
    <t>FR0013456449</t>
  </si>
  <si>
    <t>BBG00QN34CG2</t>
  </si>
  <si>
    <t>ZQ2159015 Corp</t>
  </si>
  <si>
    <t>EK9468597</t>
  </si>
  <si>
    <t>ES0205072004</t>
  </si>
  <si>
    <t>BBG009BHXYL6</t>
  </si>
  <si>
    <t>EK9468597 Corp</t>
  </si>
  <si>
    <t>EK9469256</t>
  </si>
  <si>
    <t>ES0205072012</t>
  </si>
  <si>
    <t>BBG009BHZ0Z3</t>
  </si>
  <si>
    <t>EK9469256 Corp</t>
  </si>
  <si>
    <t>AQ5656691</t>
  </si>
  <si>
    <t>PLPKN0000166</t>
  </si>
  <si>
    <t>BBG00JM9PVM4</t>
  </si>
  <si>
    <t>AQ5656691 Corp</t>
  </si>
  <si>
    <t>AS8723858</t>
  </si>
  <si>
    <t>PLPKN0000174</t>
  </si>
  <si>
    <t>BBG00L1K75R9</t>
  </si>
  <si>
    <t>AS8723858 Corp</t>
  </si>
  <si>
    <t>AT1545306</t>
  </si>
  <si>
    <t>PLPKN0000182</t>
  </si>
  <si>
    <t>BBG00L75BSL7</t>
  </si>
  <si>
    <t>AT1545306 Corp</t>
  </si>
  <si>
    <t>AT5758244</t>
  </si>
  <si>
    <t>PLPKN0000190</t>
  </si>
  <si>
    <t>BBG00LDT2MS4</t>
  </si>
  <si>
    <t>E</t>
  </si>
  <si>
    <t>AT5758244 Corp</t>
  </si>
  <si>
    <t>AT0942645</t>
  </si>
  <si>
    <t>BBG00L4T3PW1</t>
  </si>
  <si>
    <t>AT0942645 Corp</t>
  </si>
  <si>
    <t>ZQ7459790</t>
  </si>
  <si>
    <t>BBG00QYMWR29</t>
  </si>
  <si>
    <t>ZQ7459790 Corp</t>
  </si>
  <si>
    <t>ZQ7464113</t>
  </si>
  <si>
    <t>BBG00QYMXBJ5</t>
  </si>
  <si>
    <t>ZQ7464113 Corp</t>
  </si>
  <si>
    <t>AR7570161</t>
  </si>
  <si>
    <t>FR0013324332</t>
  </si>
  <si>
    <t>BBG00K9ZTM35</t>
  </si>
  <si>
    <t>5FXD</t>
  </si>
  <si>
    <t>AR7570161 Corp</t>
  </si>
  <si>
    <t>AR7572142</t>
  </si>
  <si>
    <t>FR0013324373</t>
  </si>
  <si>
    <t>BBG00K9ZVVS5</t>
  </si>
  <si>
    <t>20FX</t>
  </si>
  <si>
    <t>AR7572142 Corp</t>
  </si>
  <si>
    <t>AR7572159</t>
  </si>
  <si>
    <t>FR0013324357</t>
  </si>
  <si>
    <t>BBG00K9ZVVT4</t>
  </si>
  <si>
    <t>12FX</t>
  </si>
  <si>
    <t>AR7572159 Corp</t>
  </si>
  <si>
    <t>AR7572167</t>
  </si>
  <si>
    <t>FR0013324340</t>
  </si>
  <si>
    <t>BBG00K9ZVVV1</t>
  </si>
  <si>
    <t>8FXD</t>
  </si>
  <si>
    <t>AR7572167 Corp</t>
  </si>
  <si>
    <t>AT0702809</t>
  </si>
  <si>
    <t>US801060AC87</t>
  </si>
  <si>
    <t>BBG00L4MSHY5</t>
  </si>
  <si>
    <t>AT0702809 Corp</t>
  </si>
  <si>
    <t>AT0702833</t>
  </si>
  <si>
    <t>US801060AD60</t>
  </si>
  <si>
    <t>BBG00L4MSK23</t>
  </si>
  <si>
    <t>AT0702833 Corp</t>
  </si>
  <si>
    <t>AX6646969</t>
  </si>
  <si>
    <t>FR0013409844</t>
  </si>
  <si>
    <t>BBG00NL1BZ58</t>
  </si>
  <si>
    <t>AX6646969 Corp</t>
  </si>
  <si>
    <t>AX6646977</t>
  </si>
  <si>
    <t>FR0013409851</t>
  </si>
  <si>
    <t>BBG00NL1BZ76</t>
  </si>
  <si>
    <t>AX6646977 Corp</t>
  </si>
  <si>
    <t>BH2917491</t>
  </si>
  <si>
    <t>FR0013505104</t>
  </si>
  <si>
    <t>BBG00SSJBD96</t>
  </si>
  <si>
    <t>BH2917491 Corp</t>
  </si>
  <si>
    <t>BH2917509</t>
  </si>
  <si>
    <t>FR0013505112</t>
  </si>
  <si>
    <t>BBG00SSJBDD1</t>
  </si>
  <si>
    <t>BH2917509 Corp</t>
  </si>
  <si>
    <t>BV6300123</t>
  </si>
  <si>
    <t>FR0014009KS6</t>
  </si>
  <si>
    <t>BBG016FVB739</t>
  </si>
  <si>
    <t>BV6300123 Corp</t>
  </si>
  <si>
    <t>EJ9229422</t>
  </si>
  <si>
    <t>FR0011625433</t>
  </si>
  <si>
    <t>BBG005K24YQ4</t>
  </si>
  <si>
    <t>EJ9229422 Corp</t>
  </si>
  <si>
    <t>EK4728052</t>
  </si>
  <si>
    <t>FR0012146801</t>
  </si>
  <si>
    <t>BBG0072HSC98</t>
  </si>
  <si>
    <t>EK4728052 Corp</t>
  </si>
  <si>
    <t>JK5980772</t>
  </si>
  <si>
    <t>FR0013143997</t>
  </si>
  <si>
    <t>BBG00CLFCDC1</t>
  </si>
  <si>
    <t>JK5980772 Corp</t>
  </si>
  <si>
    <t>JK5981119</t>
  </si>
  <si>
    <t>FR0013144003</t>
  </si>
  <si>
    <t>BBG00CLFCH41</t>
  </si>
  <si>
    <t>JK5981119 Corp</t>
  </si>
  <si>
    <t>QZ4684325</t>
  </si>
  <si>
    <t>FR0013201621</t>
  </si>
  <si>
    <t>BBG00DRDJL42</t>
  </si>
  <si>
    <t>QZ4684325 Corp</t>
  </si>
  <si>
    <t>QZ4685272</t>
  </si>
  <si>
    <t>FR0013201639</t>
  </si>
  <si>
    <t>BBG00DRDJVX8</t>
  </si>
  <si>
    <t>QZ4685272 Corp</t>
  </si>
  <si>
    <t>UV8676750</t>
  </si>
  <si>
    <t>FR0012969038</t>
  </si>
  <si>
    <t>BBG00B07J963</t>
  </si>
  <si>
    <t>UV8676750 Corp</t>
  </si>
  <si>
    <t>AS4928287</t>
  </si>
  <si>
    <t>BBG00KVBQQQ2</t>
  </si>
  <si>
    <t>AS4928287 Corp</t>
  </si>
  <si>
    <t>AS4929673</t>
  </si>
  <si>
    <t>BBG00KVBQWG0</t>
  </si>
  <si>
    <t>AS4929673 Corp</t>
  </si>
  <si>
    <t>AS4931505</t>
  </si>
  <si>
    <t>BBG00KVBR319</t>
  </si>
  <si>
    <t>AS4931505 Corp</t>
  </si>
  <si>
    <t>AQ3418656</t>
  </si>
  <si>
    <t>FR0013302809</t>
  </si>
  <si>
    <t>BBG00JFYWBY0</t>
  </si>
  <si>
    <t>AQ3418656 Corp</t>
  </si>
  <si>
    <t>AT0872560</t>
  </si>
  <si>
    <t>FR0013344215</t>
  </si>
  <si>
    <t>BBG00L4S26L8</t>
  </si>
  <si>
    <t>AT0872560 Corp</t>
  </si>
  <si>
    <t>AW5997290</t>
  </si>
  <si>
    <t>FR0013396876</t>
  </si>
  <si>
    <t>BBG00N10S5P8</t>
  </si>
  <si>
    <t>AW5997290 Corp</t>
  </si>
  <si>
    <t>BG5379378</t>
  </si>
  <si>
    <t>FR0013494168</t>
  </si>
  <si>
    <t>BBG00S5CY044</t>
  </si>
  <si>
    <t>BG5379378 Corp</t>
  </si>
  <si>
    <t>BH5288965</t>
  </si>
  <si>
    <t>FR0013506862</t>
  </si>
  <si>
    <t>BBG00SZRS1T6</t>
  </si>
  <si>
    <t>BH5288965 Corp</t>
  </si>
  <si>
    <t>BJ8983345</t>
  </si>
  <si>
    <t>FR0013517711</t>
  </si>
  <si>
    <t>BBG00V9SF2X3</t>
  </si>
  <si>
    <t>BJ8983345 Corp</t>
  </si>
  <si>
    <t>EK7883839</t>
  </si>
  <si>
    <t>FR0012601367</t>
  </si>
  <si>
    <t>BBG0087L4ZH8</t>
  </si>
  <si>
    <t>EK7883839 Corp</t>
  </si>
  <si>
    <t>QZ4315847</t>
  </si>
  <si>
    <t>FR0013201308</t>
  </si>
  <si>
    <t>BBG00DR64CT6</t>
  </si>
  <si>
    <t>QZ4315847 Corp</t>
  </si>
  <si>
    <t>UV7588378</t>
  </si>
  <si>
    <t>FR0012939841</t>
  </si>
  <si>
    <t>BBG009Y36TB4</t>
  </si>
  <si>
    <t>UV7588378 Corp</t>
  </si>
  <si>
    <t>AU1162612</t>
  </si>
  <si>
    <t>FR0013348745</t>
  </si>
  <si>
    <t>BBG00LQGTFD0</t>
  </si>
  <si>
    <t>AU1162612 Corp</t>
  </si>
  <si>
    <t>AU2349564</t>
  </si>
  <si>
    <t>FR0013348737</t>
  </si>
  <si>
    <t>BBG00LTYFZM9</t>
  </si>
  <si>
    <t>AU2349564 Corp</t>
  </si>
  <si>
    <t>ZS7592752</t>
  </si>
  <si>
    <t>FR0013420072</t>
  </si>
  <si>
    <t>BBG00P7J9782</t>
  </si>
  <si>
    <t>ZS7592752 Corp</t>
  </si>
  <si>
    <t>AM2048354</t>
  </si>
  <si>
    <t>XS1555402145</t>
  </si>
  <si>
    <t>BBG00FRZZN37</t>
  </si>
  <si>
    <t>AM2048354 Corp</t>
  </si>
  <si>
    <t>AO5359275</t>
  </si>
  <si>
    <t>XS1657785538</t>
  </si>
  <si>
    <t>BBG00HBDR6K6</t>
  </si>
  <si>
    <t>AO5359275 Corp</t>
  </si>
  <si>
    <t>AP5121219</t>
  </si>
  <si>
    <t>XS1700721464</t>
  </si>
  <si>
    <t>BBG00HY21P67</t>
  </si>
  <si>
    <t>AP5121219 Corp</t>
  </si>
  <si>
    <t>AU4784719</t>
  </si>
  <si>
    <t>XS1881004730</t>
  </si>
  <si>
    <t>BBG00LYB12Q7</t>
  </si>
  <si>
    <t>AU4784719 Corp</t>
  </si>
  <si>
    <t>AW9642348</t>
  </si>
  <si>
    <t>XS1957442541</t>
  </si>
  <si>
    <t>BBG00N6YPS90</t>
  </si>
  <si>
    <t>AW9642348 Corp</t>
  </si>
  <si>
    <t>BJ9805455</t>
  </si>
  <si>
    <t>XS2190256706</t>
  </si>
  <si>
    <t>BBG00VDD77T4</t>
  </si>
  <si>
    <t>Project Finance</t>
  </si>
  <si>
    <t>BJ9805455 Corp</t>
  </si>
  <si>
    <t>BM8251845</t>
  </si>
  <si>
    <t>XS2268340010</t>
  </si>
  <si>
    <t>BBG00YCWTFN1</t>
  </si>
  <si>
    <t>BM8251845 Corp</t>
  </si>
  <si>
    <t>BN9675925</t>
  </si>
  <si>
    <t>XS2300208928</t>
  </si>
  <si>
    <t>BBG00Z6B8NG5</t>
  </si>
  <si>
    <t>BN9675925 Corp</t>
  </si>
  <si>
    <t>BQ2450170</t>
  </si>
  <si>
    <t>XS2358231798</t>
  </si>
  <si>
    <t>BBG011LMDFR7</t>
  </si>
  <si>
    <t>BQ2450170 Corp</t>
  </si>
  <si>
    <t>EK0259912</t>
  </si>
  <si>
    <t>XS1019326641</t>
  </si>
  <si>
    <t>BBG005TX7NP9</t>
  </si>
  <si>
    <t>EK0259912 Corp</t>
  </si>
  <si>
    <t>EK5489241</t>
  </si>
  <si>
    <t>XS1126183760</t>
  </si>
  <si>
    <t>BBG007B98174</t>
  </si>
  <si>
    <t>EK5489241 Corp</t>
  </si>
  <si>
    <t>QJ5853362</t>
  </si>
  <si>
    <t>XS1318709497</t>
  </si>
  <si>
    <t>BBG00BCD00Z4</t>
  </si>
  <si>
    <t>QJ5853362 Corp</t>
  </si>
  <si>
    <t>QZ8441011</t>
  </si>
  <si>
    <t>XS1505573482</t>
  </si>
  <si>
    <t>BBG00DZMLWK8</t>
  </si>
  <si>
    <t>QZ8441011 Corp</t>
  </si>
  <si>
    <t>ZR4792589</t>
  </si>
  <si>
    <t>XS2051660335</t>
  </si>
  <si>
    <t>BBG00Q68Z8R3</t>
  </si>
  <si>
    <t>ZR4792589 Corp</t>
  </si>
  <si>
    <t>ZR4792597</t>
  </si>
  <si>
    <t>XS2051660509</t>
  </si>
  <si>
    <t>BBG00Q68Z8S2</t>
  </si>
  <si>
    <t>ZR4792597 Corp</t>
  </si>
  <si>
    <t>ZS8568355</t>
  </si>
  <si>
    <t>XS2005658781</t>
  </si>
  <si>
    <t>BBG00P9216C2</t>
  </si>
  <si>
    <t>ZS8568355 Corp</t>
  </si>
  <si>
    <t>AU3097196</t>
  </si>
  <si>
    <t>XS1876473122</t>
  </si>
  <si>
    <t>BBG00LW4YHB2</t>
  </si>
  <si>
    <t>AU3097196 Corp</t>
  </si>
  <si>
    <t>AZ2271171</t>
  </si>
  <si>
    <t>XS2017329306</t>
  </si>
  <si>
    <t>BBG00PGS6RV5</t>
  </si>
  <si>
    <t>AZ2271171 Corp</t>
  </si>
  <si>
    <t>AZ2271320</t>
  </si>
  <si>
    <t>XS2017330221</t>
  </si>
  <si>
    <t>BBG00PGS6XX0</t>
  </si>
  <si>
    <t>AZ2271320 Corp</t>
  </si>
  <si>
    <t>EK1451427</t>
  </si>
  <si>
    <t>US78469GAA22</t>
  </si>
  <si>
    <t>BBG0067M7850</t>
  </si>
  <si>
    <t>EK1451427 Corp</t>
  </si>
  <si>
    <t>UV5504278</t>
  </si>
  <si>
    <t>US78469GAD60</t>
  </si>
  <si>
    <t>BBG009T2PWC3</t>
  </si>
  <si>
    <t>CALL/PUT</t>
  </si>
  <si>
    <t>UV5504278 Corp</t>
  </si>
  <si>
    <t>AM7149413</t>
  </si>
  <si>
    <t>US86964WAB81</t>
  </si>
  <si>
    <t>BBG00G4V6BF4</t>
  </si>
  <si>
    <t>AM7149413 Corp</t>
  </si>
  <si>
    <t>AM8073679</t>
  </si>
  <si>
    <t>USA8372TAC20</t>
  </si>
  <si>
    <t>BBG00G6CN3Y2</t>
  </si>
  <si>
    <t>AM8073679 Corp</t>
  </si>
  <si>
    <t>AU5663219</t>
  </si>
  <si>
    <t>US86964WAC64</t>
  </si>
  <si>
    <t>BBG00M0FZCR3</t>
  </si>
  <si>
    <t>AU5663219 Corp</t>
  </si>
  <si>
    <t>AU5663227</t>
  </si>
  <si>
    <t>USA8372TAF50</t>
  </si>
  <si>
    <t>BBG00M0FZCS2</t>
  </si>
  <si>
    <t>AU5663227 Corp</t>
  </si>
  <si>
    <t>AZ6941415</t>
  </si>
  <si>
    <t>US86964WAF95</t>
  </si>
  <si>
    <t>BBG00PQCQPJ5</t>
  </si>
  <si>
    <t>AZ6941415 Corp</t>
  </si>
  <si>
    <t>AZ6941456</t>
  </si>
  <si>
    <t>US86964WAH51</t>
  </si>
  <si>
    <t>BBG00PQCR544</t>
  </si>
  <si>
    <t>AZ6941456 Corp</t>
  </si>
  <si>
    <t>ZS7837538</t>
  </si>
  <si>
    <t>US86964WAG78</t>
  </si>
  <si>
    <t>BBG00P7SPFN9</t>
  </si>
  <si>
    <t>ZS7837538 Corp</t>
  </si>
  <si>
    <t>ZS7837546</t>
  </si>
  <si>
    <t>USA8372TAK46</t>
  </si>
  <si>
    <t>BBG00P7SPFQ6</t>
  </si>
  <si>
    <t>ZS7837546 Corp</t>
  </si>
  <si>
    <t>AO1483202</t>
  </si>
  <si>
    <t>XS1577960203</t>
  </si>
  <si>
    <t>BBG00H1RMD08</t>
  </si>
  <si>
    <t>AO1483202 Corp</t>
  </si>
  <si>
    <t>AR5374095</t>
  </si>
  <si>
    <t>XS1789459473</t>
  </si>
  <si>
    <t>BBG00K6R0Q10</t>
  </si>
  <si>
    <t>AR5374095 Corp</t>
  </si>
  <si>
    <t>AR5377015</t>
  </si>
  <si>
    <t>XS1789456024</t>
  </si>
  <si>
    <t>BBG00K6R14Q1</t>
  </si>
  <si>
    <t>AR5377015 Corp</t>
  </si>
  <si>
    <t>AS3234836</t>
  </si>
  <si>
    <t>XS1813724603</t>
  </si>
  <si>
    <t>BBG00KP7QSP5</t>
  </si>
  <si>
    <t>AS3234836 Corp</t>
  </si>
  <si>
    <t>EK8001977</t>
  </si>
  <si>
    <t>XS1211044075</t>
  </si>
  <si>
    <t>BBG0088L6HJ3</t>
  </si>
  <si>
    <t>EK8001977 Corp</t>
  </si>
  <si>
    <t>EK8246317</t>
  </si>
  <si>
    <t>XS1211040917</t>
  </si>
  <si>
    <t>BBG008D1TD96</t>
  </si>
  <si>
    <t>EK8246317 Corp</t>
  </si>
  <si>
    <t>LW9395119</t>
  </si>
  <si>
    <t>XS1439749281</t>
  </si>
  <si>
    <t>BBG00DDX7596</t>
  </si>
  <si>
    <t>LW9395119 Corp</t>
  </si>
  <si>
    <t>LW9395143</t>
  </si>
  <si>
    <t>XS1439749364</t>
  </si>
  <si>
    <t>BBG00DDX7BX6</t>
  </si>
  <si>
    <t>LW9395143 Corp</t>
  </si>
  <si>
    <t>ZO4448841</t>
  </si>
  <si>
    <t>XS2198213956</t>
  </si>
  <si>
    <t>BBG00X8RHHT2</t>
  </si>
  <si>
    <t>ZO4448841 Corp</t>
  </si>
  <si>
    <t>AR5347505</t>
  </si>
  <si>
    <t>US88167AAH41</t>
  </si>
  <si>
    <t>BBG00K6QTVX5</t>
  </si>
  <si>
    <t>AR5347505 Corp</t>
  </si>
  <si>
    <t>AR5347554</t>
  </si>
  <si>
    <t>US88167AAJ07</t>
  </si>
  <si>
    <t>BBG00K6QTXV3</t>
  </si>
  <si>
    <t>AR5347554 Corp</t>
  </si>
  <si>
    <t>AR5358668</t>
  </si>
  <si>
    <t>USN8540WAA29</t>
  </si>
  <si>
    <t>BBG00K6QY593</t>
  </si>
  <si>
    <t>AR5358668 Corp</t>
  </si>
  <si>
    <t>AR5358916</t>
  </si>
  <si>
    <t>USN8540WAB02</t>
  </si>
  <si>
    <t>BBG00K6QY7Q0</t>
  </si>
  <si>
    <t>AR5358916 Corp</t>
  </si>
  <si>
    <t>AS3230792</t>
  </si>
  <si>
    <t>US88167AAL52</t>
  </si>
  <si>
    <t>BBG00KP7P8Q9</t>
  </si>
  <si>
    <t>AS3230792 Corp</t>
  </si>
  <si>
    <t>AS3231204</t>
  </si>
  <si>
    <t>US88167AAK79</t>
  </si>
  <si>
    <t>BBG00KP7PJ85</t>
  </si>
  <si>
    <t>AS3231204 Corp</t>
  </si>
  <si>
    <t>LW9258275</t>
  </si>
  <si>
    <t>US88167AAD37</t>
  </si>
  <si>
    <t>BBG00DDM04X3</t>
  </si>
  <si>
    <t>LW9258275 Corp</t>
  </si>
  <si>
    <t>LW9258408</t>
  </si>
  <si>
    <t>US88167AAE10</t>
  </si>
  <si>
    <t>BBG00DDM0BW8</t>
  </si>
  <si>
    <t>LW9258408 Corp</t>
  </si>
  <si>
    <t>LW9258564</t>
  </si>
  <si>
    <t>US88167AAF84</t>
  </si>
  <si>
    <t>BBG00DDM0L65</t>
  </si>
  <si>
    <t>LW9258564 Corp</t>
  </si>
  <si>
    <t>ZO0486696</t>
  </si>
  <si>
    <t>US88167AAN19</t>
  </si>
  <si>
    <t>BBG00WRF93S0</t>
  </si>
  <si>
    <t>ZO0486696 Corp</t>
  </si>
  <si>
    <t>ZQ5956706</t>
  </si>
  <si>
    <t>US88167AAM36</t>
  </si>
  <si>
    <t>BBG00QTZGGM6</t>
  </si>
  <si>
    <t>ZQ5956706 Corp</t>
  </si>
  <si>
    <t>ZQ5956714</t>
  </si>
  <si>
    <t>USN8540WAC84</t>
  </si>
  <si>
    <t>BBG00QTZGGN5</t>
  </si>
  <si>
    <t>ZQ5956714 Corp</t>
  </si>
  <si>
    <t>AP1175862</t>
  </si>
  <si>
    <t>AT0000A1XBU6</t>
  </si>
  <si>
    <t>BBG00HPJNKF7</t>
  </si>
  <si>
    <t>AP1175862 Corp</t>
  </si>
  <si>
    <t>AV1770131</t>
  </si>
  <si>
    <t>AT0000A23ST9</t>
  </si>
  <si>
    <t>BBG00MC0NJ73</t>
  </si>
  <si>
    <t>AV1770131 Corp</t>
  </si>
  <si>
    <t>BN1313269</t>
  </si>
  <si>
    <t>AT0000A2LJ58</t>
  </si>
  <si>
    <t>BBG00YLWJ9S1</t>
  </si>
  <si>
    <t>BN1313269 Corp</t>
  </si>
  <si>
    <t>ZQ4401522</t>
  </si>
  <si>
    <t>AT0000A2AX04</t>
  </si>
  <si>
    <t>BBG00QRWM7Q4</t>
  </si>
  <si>
    <t>ZQ4401522 Corp</t>
  </si>
  <si>
    <t>AM0198102</t>
  </si>
  <si>
    <t>FR0013230943</t>
  </si>
  <si>
    <t>BBG00FPJS480</t>
  </si>
  <si>
    <t>AM0198102 Corp</t>
  </si>
  <si>
    <t>AP0285563</t>
  </si>
  <si>
    <t>FR0013281888</t>
  </si>
  <si>
    <t>BBG00HMNXWR1</t>
  </si>
  <si>
    <t>AP0285563 Corp</t>
  </si>
  <si>
    <t>AT0446449</t>
  </si>
  <si>
    <t>FR0013342334</t>
  </si>
  <si>
    <t>BBG00L4G89D1</t>
  </si>
  <si>
    <t>AT0446449 Corp</t>
  </si>
  <si>
    <t>AX4641962</t>
  </si>
  <si>
    <t>BBG00NHKG2M0</t>
  </si>
  <si>
    <t>AX4641962 Corp</t>
  </si>
  <si>
    <t>AX4642077</t>
  </si>
  <si>
    <t>BBG00NHKG7Q5</t>
  </si>
  <si>
    <t>AX4642077 Corp</t>
  </si>
  <si>
    <t>EK0161308</t>
  </si>
  <si>
    <t>FR0011689033</t>
  </si>
  <si>
    <t>BBG005T72D73</t>
  </si>
  <si>
    <t>EK0161308 Corp</t>
  </si>
  <si>
    <t>JK3177587</t>
  </si>
  <si>
    <t>FR0013139482</t>
  </si>
  <si>
    <t>BBG00CCP4XS7</t>
  </si>
  <si>
    <t>JK3177587 Corp</t>
  </si>
  <si>
    <t>ZP0081528</t>
  </si>
  <si>
    <t>BBG00R2LKDD6</t>
  </si>
  <si>
    <t>ZP0081528 Corp</t>
  </si>
  <si>
    <t>ZP0081536</t>
  </si>
  <si>
    <t>BBG00R2LKDH2</t>
  </si>
  <si>
    <t>ZP0081536 Corp</t>
  </si>
  <si>
    <t>BT1102487</t>
  </si>
  <si>
    <t>BBG0145YZQZ6</t>
  </si>
  <si>
    <t>BT1102487 Corp</t>
  </si>
  <si>
    <t>AP6386753</t>
  </si>
  <si>
    <t>XS1707063589</t>
  </si>
  <si>
    <t>BBG00HZV7BV9</t>
  </si>
  <si>
    <t>AP6386753 Corp</t>
  </si>
  <si>
    <t>BM9066002</t>
  </si>
  <si>
    <t>XS2271356201</t>
  </si>
  <si>
    <t>BBG00YFC8JV8</t>
  </si>
  <si>
    <t>BM9066002 Corp</t>
  </si>
  <si>
    <t>ZP4279953</t>
  </si>
  <si>
    <t>XS2102392276</t>
  </si>
  <si>
    <t>BBG00RCG2FH7</t>
  </si>
  <si>
    <t>ZP4279953 Corp</t>
  </si>
  <si>
    <t>Pair nr</t>
  </si>
  <si>
    <t>slb_id</t>
  </si>
  <si>
    <t>cb_id</t>
  </si>
  <si>
    <t>Unique slbs</t>
  </si>
  <si>
    <t>Unique cbs</t>
  </si>
  <si>
    <t>slb yas</t>
  </si>
  <si>
    <t>slb ask bb</t>
  </si>
  <si>
    <t>slb ask ref</t>
  </si>
  <si>
    <t>mixed all</t>
  </si>
  <si>
    <t>diff yas ask</t>
  </si>
  <si>
    <t>avg diff</t>
  </si>
  <si>
    <t>cb yas</t>
  </si>
  <si>
    <t>cb ask bb</t>
  </si>
  <si>
    <t xml:space="preserve">Count of SPT </t>
  </si>
  <si>
    <t>Count</t>
  </si>
  <si>
    <t>Mean</t>
  </si>
  <si>
    <t>Variance</t>
  </si>
  <si>
    <t>Min</t>
  </si>
  <si>
    <t>Max</t>
  </si>
  <si>
    <t>Grand Total</t>
  </si>
  <si>
    <t>Mean yield</t>
  </si>
  <si>
    <t>NA</t>
  </si>
  <si>
    <t>Sector (BICS1)</t>
  </si>
  <si>
    <t>Mean Yield</t>
  </si>
  <si>
    <t>Average Step-up</t>
  </si>
  <si>
    <t>Average of Yield ask, at issue</t>
  </si>
  <si>
    <t>(blank)</t>
  </si>
  <si>
    <t>CBs</t>
  </si>
  <si>
    <t>Yld to Mty (Ask)</t>
  </si>
  <si>
    <t>Yld to Mty (Bid)</t>
  </si>
  <si>
    <t>mixed</t>
  </si>
  <si>
    <t>BG4373653 Corp</t>
  </si>
  <si>
    <t>BG5616522 Corp</t>
  </si>
  <si>
    <t>BG5616605 Corp</t>
  </si>
  <si>
    <t>BJ4743974 Corp</t>
  </si>
  <si>
    <t>BJ4744352 Corp</t>
  </si>
  <si>
    <t>BJ4744360 Corp</t>
  </si>
  <si>
    <t>BK2300865 Corp</t>
  </si>
  <si>
    <t>BK2300873 Corp</t>
  </si>
  <si>
    <t>BK2300881 Corp</t>
  </si>
  <si>
    <t>PLO144500017</t>
  </si>
  <si>
    <t>BM1904754 Corp</t>
  </si>
  <si>
    <t>BM2548139 Corp</t>
  </si>
  <si>
    <t>BM2549186 Corp</t>
  </si>
  <si>
    <t>BM3493996 Corp</t>
  </si>
  <si>
    <t>BM3494424 Corp</t>
  </si>
  <si>
    <t>BM3494432 Corp</t>
  </si>
  <si>
    <t>BM3494457 Corp</t>
  </si>
  <si>
    <t>BM3494465 Corp</t>
  </si>
  <si>
    <t>XS2261215011</t>
  </si>
  <si>
    <t>BM6017461 Corp</t>
  </si>
  <si>
    <t>FR0014000OG2</t>
  </si>
  <si>
    <t>BM6028963 Corp</t>
  </si>
  <si>
    <t>XS2254184547</t>
  </si>
  <si>
    <t>BM8015802 Corp</t>
  </si>
  <si>
    <t>PLPKN0000208</t>
  </si>
  <si>
    <t>BM9487067 Corp</t>
  </si>
  <si>
    <t>ES0205072020</t>
  </si>
  <si>
    <t>BM9791419 Corp</t>
  </si>
  <si>
    <t>FR0014000X03</t>
  </si>
  <si>
    <t>BN0249456 Corp</t>
  </si>
  <si>
    <t>FR0014000X11</t>
  </si>
  <si>
    <t>BN0253896 Corp</t>
  </si>
  <si>
    <t>FR0014000SC2</t>
  </si>
  <si>
    <t>BN0834745 Corp</t>
  </si>
  <si>
    <t>US49836AAC80</t>
  </si>
  <si>
    <t>BN3697297 Corp</t>
  </si>
  <si>
    <t>USA35155AE99</t>
  </si>
  <si>
    <t>BN3697396 Corp</t>
  </si>
  <si>
    <t>BN4942759 Corp</t>
  </si>
  <si>
    <t>BN4943351 Corp</t>
  </si>
  <si>
    <t>BN4943443 Corp</t>
  </si>
  <si>
    <t>US82883PAA21</t>
  </si>
  <si>
    <t>BN5372337 Corp</t>
  </si>
  <si>
    <t>USL8449RAA79</t>
  </si>
  <si>
    <t>BN5372345 Corp</t>
  </si>
  <si>
    <t>BN6486508 Corp</t>
  </si>
  <si>
    <t>BN6486912 Corp</t>
  </si>
  <si>
    <t>BN6486920 Corp</t>
  </si>
  <si>
    <t>BN6486938 Corp</t>
  </si>
  <si>
    <t>US62459LAA70</t>
  </si>
  <si>
    <t>BN7992819 Corp</t>
  </si>
  <si>
    <t>USL65266AA36</t>
  </si>
  <si>
    <t>BN7992835 Corp</t>
  </si>
  <si>
    <t>DE000A3H2VA6</t>
  </si>
  <si>
    <t>BN9200765 Corp</t>
  </si>
  <si>
    <t>US21039CAB00</t>
  </si>
  <si>
    <t>BN9953066 Corp</t>
  </si>
  <si>
    <t>USF21107AB74</t>
  </si>
  <si>
    <t>BN9953165 Corp</t>
  </si>
  <si>
    <t>ES0305072011</t>
  </si>
  <si>
    <t>BO0411690 Corp</t>
  </si>
  <si>
    <t>XS2303070911</t>
  </si>
  <si>
    <t>BO0866331 Corp</t>
  </si>
  <si>
    <t>BO2270474 Corp</t>
  </si>
  <si>
    <t>BO2287999 Corp</t>
  </si>
  <si>
    <t>BO2288013 Corp</t>
  </si>
  <si>
    <t>BO2288021 Corp</t>
  </si>
  <si>
    <t>BO2288039 Corp</t>
  </si>
  <si>
    <t>BO4001745 Corp</t>
  </si>
  <si>
    <t>BO4001760 Corp</t>
  </si>
  <si>
    <t>BO4001778 Corp</t>
  </si>
  <si>
    <t>XS2314265237</t>
  </si>
  <si>
    <t>BO4570236 Corp</t>
  </si>
  <si>
    <t>XS2317288301</t>
  </si>
  <si>
    <t>BO5182908 Corp</t>
  </si>
  <si>
    <t>PLO037100016</t>
  </si>
  <si>
    <t>BO6681916 Corp</t>
  </si>
  <si>
    <t>XS2326550899</t>
  </si>
  <si>
    <t>BO7346857 Corp</t>
  </si>
  <si>
    <t>XS2320746394</t>
  </si>
  <si>
    <t>BO7653054 Corp</t>
  </si>
  <si>
    <t>XS2326548562</t>
  </si>
  <si>
    <t>BO8025047 Corp</t>
  </si>
  <si>
    <t>XS2333301757</t>
  </si>
  <si>
    <t>BP0490451 Corp</t>
  </si>
  <si>
    <t>XS2333302722</t>
  </si>
  <si>
    <t>BP0490469 Corp</t>
  </si>
  <si>
    <t>XS2333301674</t>
  </si>
  <si>
    <t>BP0490477 Corp</t>
  </si>
  <si>
    <t>XS2333302052</t>
  </si>
  <si>
    <t>BP0490485 Corp</t>
  </si>
  <si>
    <t>XS2328873463</t>
  </si>
  <si>
    <t>BP0568710 Corp</t>
  </si>
  <si>
    <t>DE000BHY0SL9</t>
  </si>
  <si>
    <t>BP0671035 Corp</t>
  </si>
  <si>
    <t>XS2337326727</t>
  </si>
  <si>
    <t>BP2016262 Corp</t>
  </si>
  <si>
    <t>XS2332306344</t>
  </si>
  <si>
    <t>BP2664129 Corp</t>
  </si>
  <si>
    <t>US427169AA59</t>
  </si>
  <si>
    <t>BP2693730 Corp</t>
  </si>
  <si>
    <t>XS2340137426</t>
  </si>
  <si>
    <t>BP2693748 Corp</t>
  </si>
  <si>
    <t>USL47909AA11</t>
  </si>
  <si>
    <t>BP2693755 Corp</t>
  </si>
  <si>
    <t>XS2340137343</t>
  </si>
  <si>
    <t>BP2693763 Corp</t>
  </si>
  <si>
    <t>AT0000A2QS11</t>
  </si>
  <si>
    <t>BP3002782 Corp</t>
  </si>
  <si>
    <t>US46188AAA25</t>
  </si>
  <si>
    <t>BP3021477 Corp</t>
  </si>
  <si>
    <t>USA3R74HAA50</t>
  </si>
  <si>
    <t>BP3021485 Corp</t>
  </si>
  <si>
    <t>XS2355161956</t>
  </si>
  <si>
    <t>BP3490789 Corp</t>
  </si>
  <si>
    <t>XS2338570331</t>
  </si>
  <si>
    <t>BP3855841 Corp</t>
  </si>
  <si>
    <t>FR0014003GX7</t>
  </si>
  <si>
    <t>BP3866681 Corp</t>
  </si>
  <si>
    <t>FR0014003G27</t>
  </si>
  <si>
    <t>BP4319292 Corp</t>
  </si>
  <si>
    <t>XS2335148701</t>
  </si>
  <si>
    <t>BP5467942 Corp</t>
  </si>
  <si>
    <t>XS2335148024</t>
  </si>
  <si>
    <t>BP5467959 Corp</t>
  </si>
  <si>
    <t>XS2344772426</t>
  </si>
  <si>
    <t>BP7949749 Corp</t>
  </si>
  <si>
    <t>NO0011017113</t>
  </si>
  <si>
    <t>BP8607064 Corp</t>
  </si>
  <si>
    <t>XS2344735811</t>
  </si>
  <si>
    <t>BP8798616 Corp</t>
  </si>
  <si>
    <t>BP9767255 Corp</t>
  </si>
  <si>
    <t>BP9768873 Corp</t>
  </si>
  <si>
    <t>BP9785794 Corp</t>
  </si>
  <si>
    <t>BP9786156 Corp</t>
  </si>
  <si>
    <t>XS2353182020</t>
  </si>
  <si>
    <t>BP9829774 Corp</t>
  </si>
  <si>
    <t>XS2353182293</t>
  </si>
  <si>
    <t>BP9829808 Corp</t>
  </si>
  <si>
    <t>XS2353182376</t>
  </si>
  <si>
    <t>BP9829816 Corp</t>
  </si>
  <si>
    <t>US46592QAA76</t>
  </si>
  <si>
    <t>BP9865349 Corp</t>
  </si>
  <si>
    <t>USL5S59NAA30</t>
  </si>
  <si>
    <t>BP9865356 Corp</t>
  </si>
  <si>
    <t>FR0014003YP6</t>
  </si>
  <si>
    <t>BP9946271 Corp</t>
  </si>
  <si>
    <t>XS2353270239</t>
  </si>
  <si>
    <t>BQ0031691 Corp</t>
  </si>
  <si>
    <t>BQ1161117 Corp</t>
  </si>
  <si>
    <t>BQ1161786 Corp</t>
  </si>
  <si>
    <t>BQ1161794 Corp</t>
  </si>
  <si>
    <t>XS2358383896</t>
  </si>
  <si>
    <t>BQ1586537 Corp</t>
  </si>
  <si>
    <t>XS2358383466</t>
  </si>
  <si>
    <t>BQ1586552 Corp</t>
  </si>
  <si>
    <t>BQ2320183 Corp</t>
  </si>
  <si>
    <t>BQ2321892 Corp</t>
  </si>
  <si>
    <t>XS2361343267</t>
  </si>
  <si>
    <t>BQ2953850 Corp</t>
  </si>
  <si>
    <t>XS2361343770</t>
  </si>
  <si>
    <t>BQ2953868 Corp</t>
  </si>
  <si>
    <t>XS2361345478</t>
  </si>
  <si>
    <t>BQ2953876 Corp</t>
  </si>
  <si>
    <t>XS2361342889</t>
  </si>
  <si>
    <t>BQ2953892 Corp</t>
  </si>
  <si>
    <t>XS2361343697</t>
  </si>
  <si>
    <t>BQ2954189 Corp</t>
  </si>
  <si>
    <t>XS2361344315</t>
  </si>
  <si>
    <t>BQ2954205 Corp</t>
  </si>
  <si>
    <t>US86964WAK80</t>
  </si>
  <si>
    <t>BQ2995893 Corp</t>
  </si>
  <si>
    <t>XS2361358299</t>
  </si>
  <si>
    <t>BQ3131753 Corp</t>
  </si>
  <si>
    <t>XS2361358539</t>
  </si>
  <si>
    <t>BQ3131761 Corp</t>
  </si>
  <si>
    <t>XS2364001078</t>
  </si>
  <si>
    <t>BQ3956720 Corp</t>
  </si>
  <si>
    <t>US29278GAM06</t>
  </si>
  <si>
    <t>BQ4396710 Corp</t>
  </si>
  <si>
    <t>US29278GAN88</t>
  </si>
  <si>
    <t>BQ4396728 Corp</t>
  </si>
  <si>
    <t>US29278GAP37</t>
  </si>
  <si>
    <t>BQ4396736 Corp</t>
  </si>
  <si>
    <t>US29278GAQ10</t>
  </si>
  <si>
    <t>BQ4396744 Corp</t>
  </si>
  <si>
    <t>USN30706VC11</t>
  </si>
  <si>
    <t>BQ4396769 Corp</t>
  </si>
  <si>
    <t>USN30706VD93</t>
  </si>
  <si>
    <t>BQ4396777 Corp</t>
  </si>
  <si>
    <t>USN30706VE76</t>
  </si>
  <si>
    <t>BQ4396785 Corp</t>
  </si>
  <si>
    <t>USN30706VF42</t>
  </si>
  <si>
    <t>BQ4396793 Corp</t>
  </si>
  <si>
    <t>XS2359929812</t>
  </si>
  <si>
    <t>BQ5041802 Corp</t>
  </si>
  <si>
    <t>FR0014004UE6</t>
  </si>
  <si>
    <t>BQ6920418 Corp</t>
  </si>
  <si>
    <t>BR0363092 Corp</t>
  </si>
  <si>
    <t>BR0363373 Corp</t>
  </si>
  <si>
    <t>XS2382209125</t>
  </si>
  <si>
    <t>BR1756716 Corp</t>
  </si>
  <si>
    <t>XS2385389551</t>
  </si>
  <si>
    <t>BR3184446 Corp</t>
  </si>
  <si>
    <t>XS2385390724</t>
  </si>
  <si>
    <t>BR3193496 Corp</t>
  </si>
  <si>
    <t>US86964WAL63</t>
  </si>
  <si>
    <t>BR3636874 Corp</t>
  </si>
  <si>
    <t>XS2389120325</t>
  </si>
  <si>
    <t>BR4160098 Corp</t>
  </si>
  <si>
    <t>XS2389112736</t>
  </si>
  <si>
    <t>BR4193255 Corp</t>
  </si>
  <si>
    <t>US47837RAD26</t>
  </si>
  <si>
    <t>BR4231683 Corp</t>
  </si>
  <si>
    <t>US781467AE54</t>
  </si>
  <si>
    <t>BR4709829 Corp</t>
  </si>
  <si>
    <t>USL79090AD51</t>
  </si>
  <si>
    <t>BR4709845 Corp</t>
  </si>
  <si>
    <t>SE0013360476</t>
  </si>
  <si>
    <t>BR5281596 Corp</t>
  </si>
  <si>
    <t>XS2390400633</t>
  </si>
  <si>
    <t>BR5522767 Corp</t>
  </si>
  <si>
    <t>XS2390400716</t>
  </si>
  <si>
    <t>BR5522783 Corp</t>
  </si>
  <si>
    <t>XS2390400807</t>
  </si>
  <si>
    <t>BR5522809 Corp</t>
  </si>
  <si>
    <t>FR0014005OK3</t>
  </si>
  <si>
    <t>BR6431919 Corp</t>
  </si>
  <si>
    <t>ES0229743002</t>
  </si>
  <si>
    <t>BR6478951 Corp</t>
  </si>
  <si>
    <t>BR6744469 Corp</t>
  </si>
  <si>
    <t>BR6752157 Corp</t>
  </si>
  <si>
    <t>BR6756869 Corp</t>
  </si>
  <si>
    <t>XS2393539593</t>
  </si>
  <si>
    <t>BR7204091 Corp</t>
  </si>
  <si>
    <t>XS2397355095</t>
  </si>
  <si>
    <t>BR7695454 Corp</t>
  </si>
  <si>
    <t>XS2397354288</t>
  </si>
  <si>
    <t>BR7695462 Corp</t>
  </si>
  <si>
    <t>XS2397354528</t>
  </si>
  <si>
    <t>BR7695512 Corp</t>
  </si>
  <si>
    <t>XS2397354015</t>
  </si>
  <si>
    <t>BR7695538 Corp</t>
  </si>
  <si>
    <t>XS2395419844</t>
  </si>
  <si>
    <t>BR8722620 Corp</t>
  </si>
  <si>
    <t>XS2399933386</t>
  </si>
  <si>
    <t>BR8975129 Corp</t>
  </si>
  <si>
    <t>XS2393520734</t>
  </si>
  <si>
    <t>BS0195161 Corp</t>
  </si>
  <si>
    <t>BS0343308 Corp</t>
  </si>
  <si>
    <t>BS0344702 Corp</t>
  </si>
  <si>
    <t>BS0345642 Corp</t>
  </si>
  <si>
    <t>XS2399981435</t>
  </si>
  <si>
    <t>BS1023271 Corp</t>
  </si>
  <si>
    <t>SE0017072457</t>
  </si>
  <si>
    <t>BS1439477 Corp</t>
  </si>
  <si>
    <t>BS1742383 Corp</t>
  </si>
  <si>
    <t>BS1742524 Corp</t>
  </si>
  <si>
    <t>BS1742532 Corp</t>
  </si>
  <si>
    <t>BS1742540 Corp</t>
  </si>
  <si>
    <t>XS2406607098</t>
  </si>
  <si>
    <t>BS1759346 Corp</t>
  </si>
  <si>
    <t>XS2406607171</t>
  </si>
  <si>
    <t>BS1759429 Corp</t>
  </si>
  <si>
    <t>US88167AAQ40</t>
  </si>
  <si>
    <t>BS1759452 Corp</t>
  </si>
  <si>
    <t>US88167AAP66</t>
  </si>
  <si>
    <t>BS1775391 Corp</t>
  </si>
  <si>
    <t>FR0014006G24</t>
  </si>
  <si>
    <t>BS1954855 Corp</t>
  </si>
  <si>
    <t>BS2203120 Corp</t>
  </si>
  <si>
    <t>BS2205612 Corp</t>
  </si>
  <si>
    <t>BS2206420 Corp</t>
  </si>
  <si>
    <t>BS2209622 Corp</t>
  </si>
  <si>
    <t>XS2406727409</t>
  </si>
  <si>
    <t>BS2397401 Corp</t>
  </si>
  <si>
    <t>XS2406727151</t>
  </si>
  <si>
    <t>BS2397476 Corp</t>
  </si>
  <si>
    <t>XS2403428472</t>
  </si>
  <si>
    <t>BS2667019 Corp</t>
  </si>
  <si>
    <t>XS2405483301</t>
  </si>
  <si>
    <t>BS2687603 Corp</t>
  </si>
  <si>
    <t>FR0014006EG0</t>
  </si>
  <si>
    <t>BS2913736 Corp</t>
  </si>
  <si>
    <t>XS2406890066</t>
  </si>
  <si>
    <t>BS3080196 Corp</t>
  </si>
  <si>
    <t>XS2407955827</t>
  </si>
  <si>
    <t>BS3838106 Corp</t>
  </si>
  <si>
    <t>XS2407954002</t>
  </si>
  <si>
    <t>BS3838114 Corp</t>
  </si>
  <si>
    <t>SE0013360534</t>
  </si>
  <si>
    <t>BS4766942 Corp</t>
  </si>
  <si>
    <t>SE0013360542</t>
  </si>
  <si>
    <t>BS4766959 Corp</t>
  </si>
  <si>
    <t>FR0014006ND8</t>
  </si>
  <si>
    <t>BS4767460 Corp</t>
  </si>
  <si>
    <t>XS2412267358</t>
  </si>
  <si>
    <t>BS4792864 Corp</t>
  </si>
  <si>
    <t>XS2412267515</t>
  </si>
  <si>
    <t>BS4792872 Corp</t>
  </si>
  <si>
    <t>XS2412267788</t>
  </si>
  <si>
    <t>BS4792906 Corp</t>
  </si>
  <si>
    <t>FR0014004UD8</t>
  </si>
  <si>
    <t>BS4845456 Corp</t>
  </si>
  <si>
    <t>FR0014004UB2</t>
  </si>
  <si>
    <t>BS4847320 Corp</t>
  </si>
  <si>
    <t>FR0014004UC0</t>
  </si>
  <si>
    <t>BS4848583 Corp</t>
  </si>
  <si>
    <t>PTMENYOM0005</t>
  </si>
  <si>
    <t>BS5188310 Corp</t>
  </si>
  <si>
    <t>SE0013360559</t>
  </si>
  <si>
    <t>BS5495509 Corp</t>
  </si>
  <si>
    <t>XS2415386726</t>
  </si>
  <si>
    <t>BS5948655 Corp</t>
  </si>
  <si>
    <t>XS2414830963</t>
  </si>
  <si>
    <t>BS5958647 Corp</t>
  </si>
  <si>
    <t>SE0017085285</t>
  </si>
  <si>
    <t>BS6174186 Corp</t>
  </si>
  <si>
    <t>XS2417499832</t>
  </si>
  <si>
    <t>BS6180258 Corp</t>
  </si>
  <si>
    <t>XS2417486771</t>
  </si>
  <si>
    <t>BS6180290 Corp</t>
  </si>
  <si>
    <t>SE0016274260</t>
  </si>
  <si>
    <t>BS8106574 Corp</t>
  </si>
  <si>
    <t>SE0016274278</t>
  </si>
  <si>
    <t>BS8106590 Corp</t>
  </si>
  <si>
    <t>GRC145121CD2</t>
  </si>
  <si>
    <t>BS8796234 Corp</t>
  </si>
  <si>
    <t>BS8814508 Corp</t>
  </si>
  <si>
    <t>BS8816255 Corp</t>
  </si>
  <si>
    <t>BS8816669 Corp</t>
  </si>
  <si>
    <t>SE0016831150</t>
  </si>
  <si>
    <t>BS9540193 Corp</t>
  </si>
  <si>
    <t>BS9926319 Corp</t>
  </si>
  <si>
    <t>BS9926327 Corp</t>
  </si>
  <si>
    <t>BT2413768 Corp</t>
  </si>
  <si>
    <t>BT2413925 Corp</t>
  </si>
  <si>
    <t>BT2413933 Corp</t>
  </si>
  <si>
    <t>BT2413941 Corp</t>
  </si>
  <si>
    <t>BT2413966 Corp</t>
  </si>
  <si>
    <t>BT2751928 Corp</t>
  </si>
  <si>
    <t>BT2751951 Corp</t>
  </si>
  <si>
    <t>XS2431016034</t>
  </si>
  <si>
    <t>BT3367682 Corp</t>
  </si>
  <si>
    <t>XS2431015655</t>
  </si>
  <si>
    <t>BT3367799 Corp</t>
  </si>
  <si>
    <t>USN9T19KAA74</t>
  </si>
  <si>
    <t>BT3408114 Corp</t>
  </si>
  <si>
    <t>US91845AAA34</t>
  </si>
  <si>
    <t>BT3408833 Corp</t>
  </si>
  <si>
    <t>XS2432162654</t>
  </si>
  <si>
    <t>BT3966533 Corp</t>
  </si>
  <si>
    <t>XS2432293673</t>
  </si>
  <si>
    <t>BT4292533 Corp</t>
  </si>
  <si>
    <t>XS2432293756</t>
  </si>
  <si>
    <t>BT4292558 Corp</t>
  </si>
  <si>
    <t>XS2432293913</t>
  </si>
  <si>
    <t>BT4292566 Corp</t>
  </si>
  <si>
    <t>XS2433211310</t>
  </si>
  <si>
    <t>BT4343112 Corp</t>
  </si>
  <si>
    <t>XS2433226854</t>
  </si>
  <si>
    <t>BT4343138 Corp</t>
  </si>
  <si>
    <t>BT5670141 Corp</t>
  </si>
  <si>
    <t>BT5673616 Corp</t>
  </si>
  <si>
    <t>BT5673632 Corp</t>
  </si>
  <si>
    <t>BT5673640 Corp</t>
  </si>
  <si>
    <t>BT5673665 Corp</t>
  </si>
  <si>
    <t>BT5673673 Corp</t>
  </si>
  <si>
    <t>BT5673681 Corp</t>
  </si>
  <si>
    <t>BT5673699 Corp</t>
  </si>
  <si>
    <t>BT5673707 Corp</t>
  </si>
  <si>
    <t>BT5673772 Corp</t>
  </si>
  <si>
    <t>XS2437324333</t>
  </si>
  <si>
    <t>BT5681023 Corp</t>
  </si>
  <si>
    <t>XS2436585355</t>
  </si>
  <si>
    <t>BT9871315 Corp</t>
  </si>
  <si>
    <t>XS2436586247</t>
  </si>
  <si>
    <t>BT9871331 Corp</t>
  </si>
  <si>
    <t>SE0013883428</t>
  </si>
  <si>
    <t>BU3126846 Corp</t>
  </si>
  <si>
    <t>XS2449928543</t>
  </si>
  <si>
    <t>BU6749503 Corp</t>
  </si>
  <si>
    <t>XS2449929517</t>
  </si>
  <si>
    <t>BU6749586 Corp</t>
  </si>
  <si>
    <t>BU9302615 Corp</t>
  </si>
  <si>
    <t>BU9303993 Corp</t>
  </si>
  <si>
    <t>XS2457496359</t>
  </si>
  <si>
    <t>BV1138858 Corp</t>
  </si>
  <si>
    <t>XS2459163619</t>
  </si>
  <si>
    <t>BV2249076 Corp</t>
  </si>
  <si>
    <t>FR0014009EJ8</t>
  </si>
  <si>
    <t>BV4081634 Corp</t>
  </si>
  <si>
    <t>BV4095907 Corp</t>
  </si>
  <si>
    <t>FR0014009DZ6</t>
  </si>
  <si>
    <t>BV4439030 Corp</t>
  </si>
  <si>
    <t>FR0014009E07</t>
  </si>
  <si>
    <t>BV4439048 Corp</t>
  </si>
  <si>
    <t>SE0017767346</t>
  </si>
  <si>
    <t>BV5219233 Corp</t>
  </si>
  <si>
    <t>XS2463988795</t>
  </si>
  <si>
    <t>BV5722137 Corp</t>
  </si>
  <si>
    <t>XS2461786829</t>
  </si>
  <si>
    <t>BV5734215 Corp</t>
  </si>
  <si>
    <t>FR0014009KQ0</t>
  </si>
  <si>
    <t>BV6300149 Corp</t>
  </si>
  <si>
    <t>FR0014009L57</t>
  </si>
  <si>
    <t>BV6300610 Corp</t>
  </si>
  <si>
    <t>XS2463990775</t>
  </si>
  <si>
    <t>BV6301808 Corp</t>
  </si>
  <si>
    <t>XS2463497201</t>
  </si>
  <si>
    <t>BV6871503 Corp</t>
  </si>
  <si>
    <t>XS2466363202</t>
  </si>
  <si>
    <t>BV7154339 Corp</t>
  </si>
  <si>
    <t>FI4000519178</t>
  </si>
  <si>
    <t>BV7160799 Corp</t>
  </si>
  <si>
    <t>US46653KAC27</t>
  </si>
  <si>
    <t>BV7511991 Corp</t>
  </si>
  <si>
    <t>USN4717KBG06</t>
  </si>
  <si>
    <t>BV7512007 Corp</t>
  </si>
  <si>
    <t>US03965TAB98</t>
  </si>
  <si>
    <t>BW0558104 Corp</t>
  </si>
  <si>
    <t>USP04568AB06</t>
  </si>
  <si>
    <t>BW0558112 Corp</t>
  </si>
  <si>
    <t>US00775CAB28</t>
  </si>
  <si>
    <t>BW1911534 Corp</t>
  </si>
  <si>
    <t>USL01343AA79</t>
  </si>
  <si>
    <t>BW1912169 Corp</t>
  </si>
  <si>
    <t>ZO2068393 Corp</t>
  </si>
  <si>
    <t>ZO2076883 Corp</t>
  </si>
  <si>
    <t>ZO2076966 Corp</t>
  </si>
  <si>
    <t>ZO4338356 Corp</t>
  </si>
  <si>
    <t>ZO4339248 Corp</t>
  </si>
  <si>
    <t>ZO4339677 Corp</t>
  </si>
  <si>
    <t>ZO4339917 Corp</t>
  </si>
  <si>
    <t>US86964WAJ18</t>
  </si>
  <si>
    <t>ZO4406484 Corp</t>
  </si>
  <si>
    <t>ZO4853784 Corp</t>
  </si>
  <si>
    <t>ZO4854253 Corp</t>
  </si>
  <si>
    <t>ZO4854261 Corp</t>
  </si>
  <si>
    <t>XS2235996217</t>
  </si>
  <si>
    <t>ZO5119995 Corp</t>
  </si>
  <si>
    <t>XS2244418609</t>
  </si>
  <si>
    <t>ZO9275116 Corp</t>
  </si>
  <si>
    <t>ZO9796350 Corp</t>
  </si>
  <si>
    <t>ZO9796368 Corp</t>
  </si>
  <si>
    <t>ZP4289051 Corp</t>
  </si>
  <si>
    <t>ZP4289689 Corp</t>
  </si>
  <si>
    <t>ZP5663015 Corp</t>
  </si>
  <si>
    <t>ZP5670580 Corp</t>
  </si>
  <si>
    <t>ZP5670671 Corp</t>
  </si>
  <si>
    <t>XS2066706818</t>
  </si>
  <si>
    <t>ZQ0626247 Corp</t>
  </si>
  <si>
    <t>XS2066706909</t>
  </si>
  <si>
    <t>ZQ0626254 Corp</t>
  </si>
  <si>
    <t>XS2066706735</t>
  </si>
  <si>
    <t>ZQ0626262 Corp</t>
  </si>
  <si>
    <t>ZQ3524308 Corp</t>
  </si>
  <si>
    <t>ZQ3724734 Corp</t>
  </si>
  <si>
    <t>ZQ3724742 Corp</t>
  </si>
  <si>
    <t>ZQ3724759 Corp</t>
  </si>
  <si>
    <t>ZQ3724767 Corp</t>
  </si>
  <si>
    <t>ZQ3885113 Corp</t>
  </si>
  <si>
    <t>ZQ3885279 Corp</t>
  </si>
  <si>
    <t>US29278GAL23</t>
  </si>
  <si>
    <t>ZR4855485 Corp</t>
  </si>
  <si>
    <t>USN30707AM05</t>
  </si>
  <si>
    <t>ZR4855493 Corp</t>
  </si>
  <si>
    <t>ZS6974621 Corp</t>
  </si>
  <si>
    <t>ZS6974936 Corp</t>
  </si>
  <si>
    <t>ZS6974944 Corp</t>
  </si>
  <si>
    <t>ZS6974969 Corp</t>
  </si>
  <si>
    <t>ZS6974977 Corp</t>
  </si>
  <si>
    <t>ZS6974985 Corp</t>
  </si>
  <si>
    <t>2017-01-11</t>
  </si>
  <si>
    <t>2023-01-11</t>
  </si>
  <si>
    <t>2017-01-17</t>
  </si>
  <si>
    <t>2027-01-15</t>
  </si>
  <si>
    <t>2027-01-17</t>
  </si>
  <si>
    <t>2017-01-25</t>
  </si>
  <si>
    <t>2025-01-25</t>
  </si>
  <si>
    <t>2024-01-25</t>
  </si>
  <si>
    <t>2017-02-22</t>
  </si>
  <si>
    <t>2025-02-21</t>
  </si>
  <si>
    <t>200</t>
  </si>
  <si>
    <t>2017-03-03</t>
  </si>
  <si>
    <t>2024-09-03</t>
  </si>
  <si>
    <t>2017-03-16</t>
  </si>
  <si>
    <t>2047-03-16</t>
  </si>
  <si>
    <t>2024-03-16</t>
  </si>
  <si>
    <t>2017-05-18</t>
  </si>
  <si>
    <t>2024-05-22</t>
  </si>
  <si>
    <t>2028-05-18</t>
  </si>
  <si>
    <t>2017-03-30</t>
  </si>
  <si>
    <t>2017-03-31</t>
  </si>
  <si>
    <t>2027-09-30</t>
  </si>
  <si>
    <t>2017-05-25</t>
  </si>
  <si>
    <t>2047-05-25</t>
  </si>
  <si>
    <t>2027-05-25</t>
  </si>
  <si>
    <t>2017-06-08</t>
  </si>
  <si>
    <t>2027-06-08</t>
  </si>
  <si>
    <t>2017-06-14</t>
  </si>
  <si>
    <t>2023-06-14</t>
  </si>
  <si>
    <t>2017-06-07</t>
  </si>
  <si>
    <t>2025-06-07</t>
  </si>
  <si>
    <t>2017-07-05</t>
  </si>
  <si>
    <t>2027-07-05</t>
  </si>
  <si>
    <t>2017-07-06</t>
  </si>
  <si>
    <t>2032-07-06</t>
  </si>
  <si>
    <t>2024-07-06</t>
  </si>
  <si>
    <t>2017-08-02</t>
  </si>
  <si>
    <t>2024-08-02</t>
  </si>
  <si>
    <t>2017-08-29</t>
  </si>
  <si>
    <t>2029-08-29</t>
  </si>
  <si>
    <t>2017-09-05</t>
  </si>
  <si>
    <t>2024-01-05</t>
  </si>
  <si>
    <t>203</t>
  </si>
  <si>
    <t>2017-09-12</t>
  </si>
  <si>
    <t>2022-09-12</t>
  </si>
  <si>
    <t>2017-09-15</t>
  </si>
  <si>
    <t>2025-03-14</t>
  </si>
  <si>
    <t>2017-09-19</t>
  </si>
  <si>
    <t>2024-09-19</t>
  </si>
  <si>
    <t>2017-10-11</t>
  </si>
  <si>
    <t>2022-10-11</t>
  </si>
  <si>
    <t>2017-10-06</t>
  </si>
  <si>
    <t>2017-10-10</t>
  </si>
  <si>
    <t>2024-10-10</t>
  </si>
  <si>
    <t>2017-10-09</t>
  </si>
  <si>
    <t>2023-10-09</t>
  </si>
  <si>
    <t>2017-10-25</t>
  </si>
  <si>
    <t>2027-10-25</t>
  </si>
  <si>
    <t>2017-10-19</t>
  </si>
  <si>
    <t>2027-10-19</t>
  </si>
  <si>
    <t>2017-10-26</t>
  </si>
  <si>
    <t>2024-10-26</t>
  </si>
  <si>
    <t>2017-11-09</t>
  </si>
  <si>
    <t>2026-02-15</t>
  </si>
  <si>
    <t>2024-10-06</t>
  </si>
  <si>
    <t>2017-12-13</t>
  </si>
  <si>
    <t>2017-12-20</t>
  </si>
  <si>
    <t>2022-12-08</t>
  </si>
  <si>
    <t>2018-01-04</t>
  </si>
  <si>
    <t>2023-01-04</t>
  </si>
  <si>
    <t>2018-02-08</t>
  </si>
  <si>
    <t>2028-02-08</t>
  </si>
  <si>
    <t>2018-02-14</t>
  </si>
  <si>
    <t>2023-08-14</t>
  </si>
  <si>
    <t>2030-08-14</t>
  </si>
  <si>
    <t>2038-08-14</t>
  </si>
  <si>
    <t>2018-02-15</t>
  </si>
  <si>
    <t>2023-02-15</t>
  </si>
  <si>
    <t>2018-02-26</t>
  </si>
  <si>
    <t>2026-02-26</t>
  </si>
  <si>
    <t>207</t>
  </si>
  <si>
    <t>2018-03-08</t>
  </si>
  <si>
    <t>2025-06-15</t>
  </si>
  <si>
    <t>2018-03-06</t>
  </si>
  <si>
    <t>2026-03-06</t>
  </si>
  <si>
    <t>2018-03-14</t>
  </si>
  <si>
    <t>2024-04-15</t>
  </si>
  <si>
    <t>2028-03-01</t>
  </si>
  <si>
    <t>2025-03-01</t>
  </si>
  <si>
    <t>2018-03-19</t>
  </si>
  <si>
    <t>2026-03-19</t>
  </si>
  <si>
    <t>2018-03-21</t>
  </si>
  <si>
    <t>2023-03-21</t>
  </si>
  <si>
    <t>2038-03-21</t>
  </si>
  <si>
    <t>2030-03-21</t>
  </si>
  <si>
    <t>2026-03-21</t>
  </si>
  <si>
    <t>2018-03-27</t>
  </si>
  <si>
    <t>2024-03-27</t>
  </si>
  <si>
    <t>2018-04-04</t>
  </si>
  <si>
    <t>2025-04-04</t>
  </si>
  <si>
    <t>2018-05-03</t>
  </si>
  <si>
    <t>2024-04-30</t>
  </si>
  <si>
    <t>2018-05-17</t>
  </si>
  <si>
    <t>2018-05-14</t>
  </si>
  <si>
    <t>2023-05-14</t>
  </si>
  <si>
    <t>2024-05-14</t>
  </si>
  <si>
    <t>2025-05-14</t>
  </si>
  <si>
    <t>2018-01-12</t>
  </si>
  <si>
    <t>2023-01-12</t>
  </si>
  <si>
    <t>2025-01-12</t>
  </si>
  <si>
    <t>2018-05-16</t>
  </si>
  <si>
    <t>2025-05-16</t>
  </si>
  <si>
    <t>2018-05-30</t>
  </si>
  <si>
    <t>2023-05-30</t>
  </si>
  <si>
    <t>2018-06-05</t>
  </si>
  <si>
    <t>2022-06-05</t>
  </si>
  <si>
    <t>2018-06-12</t>
  </si>
  <si>
    <t>2023-06-12</t>
  </si>
  <si>
    <t>2018-07-19</t>
  </si>
  <si>
    <t>2023-07-19</t>
  </si>
  <si>
    <t>2025-07-19</t>
  </si>
  <si>
    <t>2018-06-25</t>
  </si>
  <si>
    <t>2026-06-25</t>
  </si>
  <si>
    <t>2018-06-18</t>
  </si>
  <si>
    <t>2025-06-18</t>
  </si>
  <si>
    <t>2018-06-19</t>
  </si>
  <si>
    <t>2023-06-19</t>
  </si>
  <si>
    <t>2028-06-19</t>
  </si>
  <si>
    <t>2018-06-21</t>
  </si>
  <si>
    <t>2027-06-21</t>
  </si>
  <si>
    <t>2018-07-16</t>
  </si>
  <si>
    <t>2023-07-16</t>
  </si>
  <si>
    <t>2029-06-25</t>
  </si>
  <si>
    <t>2022-06-19</t>
  </si>
  <si>
    <t>2018-05-15</t>
  </si>
  <si>
    <t>2023-05-15</t>
  </si>
  <si>
    <t>2025-05-15</t>
  </si>
  <si>
    <t>2018-07-09</t>
  </si>
  <si>
    <t>2022-10-10</t>
  </si>
  <si>
    <t>2018-07-13</t>
  </si>
  <si>
    <t>2022-07-13</t>
  </si>
  <si>
    <t>2018-07-18</t>
  </si>
  <si>
    <t>2025-07-18</t>
  </si>
  <si>
    <t>2018-08-27</t>
  </si>
  <si>
    <t>2023-08-28</t>
  </si>
  <si>
    <t>2024-07-18</t>
  </si>
  <si>
    <t>2018-09-06</t>
  </si>
  <si>
    <t>2023-09-06</t>
  </si>
  <si>
    <t>2018-09-12</t>
  </si>
  <si>
    <t>2023-09-12</t>
  </si>
  <si>
    <t>2028-09-12</t>
  </si>
  <si>
    <t>2018-10-25</t>
  </si>
  <si>
    <t>2023-10-25</t>
  </si>
  <si>
    <t>2025-10-25</t>
  </si>
  <si>
    <t>2028-10-25</t>
  </si>
  <si>
    <t>2018-09-18</t>
  </si>
  <si>
    <t>2023-09-18</t>
  </si>
  <si>
    <t>2018-09-14</t>
  </si>
  <si>
    <t>2029-06-14</t>
  </si>
  <si>
    <t>2018-09-20</t>
  </si>
  <si>
    <t>2023-09-20</t>
  </si>
  <si>
    <t>2029-01-15</t>
  </si>
  <si>
    <t>2018-10-16</t>
  </si>
  <si>
    <t>2028-10-16</t>
  </si>
  <si>
    <t>2018-11-16</t>
  </si>
  <si>
    <t>2023-11-16</t>
  </si>
  <si>
    <t>2018-11-07</t>
  </si>
  <si>
    <t>2025-05-07</t>
  </si>
  <si>
    <t>2018-11-06</t>
  </si>
  <si>
    <t>2028-11-06</t>
  </si>
  <si>
    <t>2022-05-07</t>
  </si>
  <si>
    <t>2028-11-07</t>
  </si>
  <si>
    <t>2018-11-28</t>
  </si>
  <si>
    <t>2022-11-28</t>
  </si>
  <si>
    <t>2018-12-20</t>
  </si>
  <si>
    <t>2022-12-20</t>
  </si>
  <si>
    <t>2024-12-20</t>
  </si>
  <si>
    <t>2023-12-20</t>
  </si>
  <si>
    <t>2018-12-04</t>
  </si>
  <si>
    <t>2026-05-04</t>
  </si>
  <si>
    <t>2018-12-06</t>
  </si>
  <si>
    <t>2018-12-10</t>
  </si>
  <si>
    <t>2028-12-08</t>
  </si>
  <si>
    <t>2018-12-12</t>
  </si>
  <si>
    <t>2028-12-12</t>
  </si>
  <si>
    <t>212</t>
  </si>
  <si>
    <t>2019-01-15</t>
  </si>
  <si>
    <t>2028-01-15</t>
  </si>
  <si>
    <t>2019-02-04</t>
  </si>
  <si>
    <t>2026-02-04</t>
  </si>
  <si>
    <t>2019-02-05</t>
  </si>
  <si>
    <t>2026-02-05</t>
  </si>
  <si>
    <t>2019-02-28</t>
  </si>
  <si>
    <t>2025-08-28</t>
  </si>
  <si>
    <t>2019-02-12</t>
  </si>
  <si>
    <t>2024-02-12</t>
  </si>
  <si>
    <t>2019-03-21</t>
  </si>
  <si>
    <t>2027-03-21</t>
  </si>
  <si>
    <t>2019-02-26</t>
  </si>
  <si>
    <t>2024-02-26</t>
  </si>
  <si>
    <t>2019-04-09</t>
  </si>
  <si>
    <t>2025-04-09</t>
  </si>
  <si>
    <t>2023-04-09</t>
  </si>
  <si>
    <t>2029-03-21</t>
  </si>
  <si>
    <t>2034-03-21</t>
  </si>
  <si>
    <t>2019-03-27</t>
  </si>
  <si>
    <t>2019-04-03</t>
  </si>
  <si>
    <t>2029-04-03</t>
  </si>
  <si>
    <t>2019-06-24</t>
  </si>
  <si>
    <t>2028-06-24</t>
  </si>
  <si>
    <t>2019-06-26</t>
  </si>
  <si>
    <t>2024-06-26</t>
  </si>
  <si>
    <t>2019-05-04</t>
  </si>
  <si>
    <t>2023-05-04</t>
  </si>
  <si>
    <t>2019-04-02</t>
  </si>
  <si>
    <t>2024-04-02</t>
  </si>
  <si>
    <t>2019-01-20</t>
  </si>
  <si>
    <t>2025-01-20</t>
  </si>
  <si>
    <t>2019-08-14</t>
  </si>
  <si>
    <t>2030-01-15</t>
  </si>
  <si>
    <t>2019-08-09</t>
  </si>
  <si>
    <t>2022-08-09</t>
  </si>
  <si>
    <t>2020-02-18</t>
  </si>
  <si>
    <t>2026-02-18</t>
  </si>
  <si>
    <t>2020-03-04</t>
  </si>
  <si>
    <t>2050-03-04</t>
  </si>
  <si>
    <t>2020-03-11</t>
  </si>
  <si>
    <t>2029-03-11</t>
  </si>
  <si>
    <t>2020-03-13</t>
  </si>
  <si>
    <t>2023-03-13</t>
  </si>
  <si>
    <t>2025-03-13</t>
  </si>
  <si>
    <t>2020-03-30</t>
  </si>
  <si>
    <t>2025-04-01</t>
  </si>
  <si>
    <t>2030-04-01</t>
  </si>
  <si>
    <t>2020-04-01</t>
  </si>
  <si>
    <t>2027-12-15</t>
  </si>
  <si>
    <t>2020-04-02</t>
  </si>
  <si>
    <t>2027-04-02</t>
  </si>
  <si>
    <t>2025-04-07</t>
  </si>
  <si>
    <t>2030-04-08</t>
  </si>
  <si>
    <t>2020-04-09</t>
  </si>
  <si>
    <t>2027-04-09</t>
  </si>
  <si>
    <t>2020-04-17</t>
  </si>
  <si>
    <t>2027-04-17</t>
  </si>
  <si>
    <t>2035-04-17</t>
  </si>
  <si>
    <t>2020-04-28</t>
  </si>
  <si>
    <t>2023-04-28</t>
  </si>
  <si>
    <t>2020-04-22</t>
  </si>
  <si>
    <t>2024-04-22</t>
  </si>
  <si>
    <t>2020-05-04</t>
  </si>
  <si>
    <t>2023-06-28</t>
  </si>
  <si>
    <t>2020-04-30</t>
  </si>
  <si>
    <t>2020-05-18</t>
  </si>
  <si>
    <t>2026-05-18</t>
  </si>
  <si>
    <t>2031-05-18</t>
  </si>
  <si>
    <t>2020-05-20</t>
  </si>
  <si>
    <t>2030-05-20</t>
  </si>
  <si>
    <t>2020-06-05</t>
  </si>
  <si>
    <t>2023-06-05</t>
  </si>
  <si>
    <t>2020-06-12</t>
  </si>
  <si>
    <t>2020-06-15</t>
  </si>
  <si>
    <t>2025-06-13</t>
  </si>
  <si>
    <t>2020-06-17</t>
  </si>
  <si>
    <t>2020-06-18</t>
  </si>
  <si>
    <t>2029-06-18</t>
  </si>
  <si>
    <t>2020-06-30</t>
  </si>
  <si>
    <t>2020-07-03</t>
  </si>
  <si>
    <t>2027-07-03</t>
  </si>
  <si>
    <t>2020-07-20</t>
  </si>
  <si>
    <t>2050-07-20</t>
  </si>
  <si>
    <t>2020-07-31</t>
  </si>
  <si>
    <t>2020-10-28</t>
  </si>
  <si>
    <t>2032-10-28</t>
  </si>
  <si>
    <t>2020-10-29</t>
  </si>
  <si>
    <t>2035-10-29</t>
  </si>
  <si>
    <t>2030-11-23</t>
  </si>
  <si>
    <t>2020-12-03</t>
  </si>
  <si>
    <t>2030-12-03</t>
  </si>
  <si>
    <t>2025-12-09</t>
  </si>
  <si>
    <t>2020-12-15</t>
  </si>
  <si>
    <t>2025-12-15</t>
  </si>
  <si>
    <t>2020-12-17</t>
  </si>
  <si>
    <t>2025-12-17</t>
  </si>
  <si>
    <t>2021-01-18</t>
  </si>
  <si>
    <t>2026-01-16</t>
  </si>
  <si>
    <t>2021-01-19</t>
  </si>
  <si>
    <t>2027-07-19</t>
  </si>
  <si>
    <t>2033-01-19</t>
  </si>
  <si>
    <t>2031-01-20</t>
  </si>
  <si>
    <t>2021-01-21</t>
  </si>
  <si>
    <t>2030-01-21</t>
  </si>
  <si>
    <t>2021-01-27</t>
  </si>
  <si>
    <t>2031-01-27</t>
  </si>
  <si>
    <t>2021-01-28</t>
  </si>
  <si>
    <t>2024-01-26</t>
  </si>
  <si>
    <t>2021-02-10</t>
  </si>
  <si>
    <t>2021-02-15</t>
  </si>
  <si>
    <t>2025-08-15</t>
  </si>
  <si>
    <t>2031-11-28</t>
  </si>
  <si>
    <t>2024-03-28</t>
  </si>
  <si>
    <t>2030-03-04</t>
  </si>
  <si>
    <t>2021-03-12</t>
  </si>
  <si>
    <t>2029-03-12</t>
  </si>
  <si>
    <t>2021-03-29</t>
  </si>
  <si>
    <t>2023-03-29</t>
  </si>
  <si>
    <t>2023-03-31</t>
  </si>
  <si>
    <t>2021-04-19</t>
  </si>
  <si>
    <t>2026-04-17</t>
  </si>
  <si>
    <t>2021-05-19</t>
  </si>
  <si>
    <t>2033-05-19</t>
  </si>
  <si>
    <t>2021-05-17</t>
  </si>
  <si>
    <t>2023-05-17</t>
  </si>
  <si>
    <t>2021-05-28</t>
  </si>
  <si>
    <t>2051-05-28</t>
  </si>
  <si>
    <t>2021-06-29</t>
  </si>
  <si>
    <t>2031-06-30</t>
  </si>
  <si>
    <t>2021-06-30</t>
  </si>
  <si>
    <t>2021-03-30</t>
  </si>
  <si>
    <t>2028-03-30</t>
  </si>
  <si>
    <t>2021-07-14</t>
  </si>
  <si>
    <t>2031-07-14</t>
  </si>
  <si>
    <t>2021-07-22</t>
  </si>
  <si>
    <t>2030-07-22</t>
  </si>
  <si>
    <t>2021-08-24</t>
  </si>
  <si>
    <t>2026-08-24</t>
  </si>
  <si>
    <t>2021-09-03</t>
  </si>
  <si>
    <t>2030-09-03</t>
  </si>
  <si>
    <t>2021-09-08</t>
  </si>
  <si>
    <t>2027-09-08</t>
  </si>
  <si>
    <t>2031-09-29</t>
  </si>
  <si>
    <t>2021-10-07</t>
  </si>
  <si>
    <t>2031-10-07</t>
  </si>
  <si>
    <t>2021-10-08</t>
  </si>
  <si>
    <t>2036-10-08</t>
  </si>
  <si>
    <t>2021-10-18</t>
  </si>
  <si>
    <t>2030-01-18</t>
  </si>
  <si>
    <t>2021-10-19</t>
  </si>
  <si>
    <t>2026-10-19</t>
  </si>
  <si>
    <t>2025-11-18</t>
  </si>
  <si>
    <t>2021-12-10</t>
  </si>
  <si>
    <t>2031-12-10</t>
  </si>
  <si>
    <t>2021-12-28</t>
  </si>
  <si>
    <t>2028-12-28</t>
  </si>
  <si>
    <t>2022-01-13</t>
  </si>
  <si>
    <t>2028-01-13</t>
  </si>
  <si>
    <t>2022-01-19</t>
  </si>
  <si>
    <t>2026-01-19</t>
  </si>
  <si>
    <t>2022-01-18</t>
  </si>
  <si>
    <t>2022-01-11</t>
  </si>
  <si>
    <t>2024-01-11</t>
  </si>
  <si>
    <t>2032-01-19</t>
  </si>
  <si>
    <t>2022-02-17</t>
  </si>
  <si>
    <t>2025-02-17</t>
  </si>
  <si>
    <t>2029-02-23</t>
  </si>
  <si>
    <t>2022-03-03</t>
  </si>
  <si>
    <t>2025-03-03</t>
  </si>
  <si>
    <t>2028-04-13</t>
  </si>
  <si>
    <t>2026-04-13</t>
  </si>
  <si>
    <t>2032-03-15</t>
  </si>
  <si>
    <t>2022-03-18</t>
  </si>
  <si>
    <t>2025-03-18</t>
  </si>
  <si>
    <t>2024-03-29</t>
  </si>
  <si>
    <t>2022-04-04</t>
  </si>
  <si>
    <t>2022-01-12</t>
  </si>
  <si>
    <t>2032-01-12</t>
  </si>
  <si>
    <t>2029-01-12</t>
  </si>
  <si>
    <t>2022-04-14</t>
  </si>
  <si>
    <t>2025-04-14</t>
  </si>
  <si>
    <t>2022-04-22</t>
  </si>
  <si>
    <t>2025-04-22</t>
  </si>
  <si>
    <t>2013-05-22</t>
  </si>
  <si>
    <t>2023-05-22</t>
  </si>
  <si>
    <t>2013-06-03</t>
  </si>
  <si>
    <t>2033-06-03</t>
  </si>
  <si>
    <t>2025-05-22</t>
  </si>
  <si>
    <t>2013-07-09</t>
  </si>
  <si>
    <t>2023-07-10</t>
  </si>
  <si>
    <t>2013-09-12</t>
  </si>
  <si>
    <t>78</t>
  </si>
  <si>
    <t>2025-09-12</t>
  </si>
  <si>
    <t>2013-11-14</t>
  </si>
  <si>
    <t>2023-11-14</t>
  </si>
  <si>
    <t>2013-12-04</t>
  </si>
  <si>
    <t>2023-12-04</t>
  </si>
  <si>
    <t>2014-01-22</t>
  </si>
  <si>
    <t>2024-01-22</t>
  </si>
  <si>
    <t>2014-01-28</t>
  </si>
  <si>
    <t>2029-01-29</t>
  </si>
  <si>
    <t>2014-02-13</t>
  </si>
  <si>
    <t>2024-02-13</t>
  </si>
  <si>
    <t>2026-02-13</t>
  </si>
  <si>
    <t>2014-02-18</t>
  </si>
  <si>
    <t>2023-02-17</t>
  </si>
  <si>
    <t>2014-03-26</t>
  </si>
  <si>
    <t>2034-04-01</t>
  </si>
  <si>
    <t>2014-06-25</t>
  </si>
  <si>
    <t>2014-06-27</t>
  </si>
  <si>
    <t>2022-06-27</t>
  </si>
  <si>
    <t>2014-07-15</t>
  </si>
  <si>
    <t>2022-07-15</t>
  </si>
  <si>
    <t>2014-07-14</t>
  </si>
  <si>
    <t>2022-07-14</t>
  </si>
  <si>
    <t>2024-07-15</t>
  </si>
  <si>
    <t>2014-07-16</t>
  </si>
  <si>
    <t>2024-07-16</t>
  </si>
  <si>
    <t>2014-08-06</t>
  </si>
  <si>
    <t>2024-08-06</t>
  </si>
  <si>
    <t>2014-09-10</t>
  </si>
  <si>
    <t>2026-09-10</t>
  </si>
  <si>
    <t>2014-09-29</t>
  </si>
  <si>
    <t>2024-09-27</t>
  </si>
  <si>
    <t>2014-09-26</t>
  </si>
  <si>
    <t>2022-09-26</t>
  </si>
  <si>
    <t>2014-10-22</t>
  </si>
  <si>
    <t>2023-04-21</t>
  </si>
  <si>
    <t>2014-11-07</t>
  </si>
  <si>
    <t>2026-11-09</t>
  </si>
  <si>
    <t>2014-11-18</t>
  </si>
  <si>
    <t>2024-11-18</t>
  </si>
  <si>
    <t>2014-12-10</t>
  </si>
  <si>
    <t>2024-12-10</t>
  </si>
  <si>
    <t>2014-12-23</t>
  </si>
  <si>
    <t>2023-12-27</t>
  </si>
  <si>
    <t>2014-12-30</t>
  </si>
  <si>
    <t>2024-12-30</t>
  </si>
  <si>
    <t>2015-01-22</t>
  </si>
  <si>
    <t>2025-01-22</t>
  </si>
  <si>
    <t>2015-01-27</t>
  </si>
  <si>
    <t>2025-01-27</t>
  </si>
  <si>
    <t>2015-02-03</t>
  </si>
  <si>
    <t>2025-06-03</t>
  </si>
  <si>
    <t>2015-02-02</t>
  </si>
  <si>
    <t>2026-02-02</t>
  </si>
  <si>
    <t>2015-02-25</t>
  </si>
  <si>
    <t>2015-03-10</t>
  </si>
  <si>
    <t>2025-03-10</t>
  </si>
  <si>
    <t>2015-03-11</t>
  </si>
  <si>
    <t>2025-03-11</t>
  </si>
  <si>
    <t>2015-03-31</t>
  </si>
  <si>
    <t>2027-03-31</t>
  </si>
  <si>
    <t>2015-04-30</t>
  </si>
  <si>
    <t>2025-04-30</t>
  </si>
  <si>
    <t>2015-05-27</t>
  </si>
  <si>
    <t>2025-05-27</t>
  </si>
  <si>
    <t>1</t>
  </si>
  <si>
    <t>2022-05-27</t>
  </si>
  <si>
    <t>2</t>
  </si>
  <si>
    <t>2016-02-22</t>
  </si>
  <si>
    <t>2023-02-22</t>
  </si>
  <si>
    <t>2016-03-18</t>
  </si>
  <si>
    <t>2026-03-18</t>
  </si>
  <si>
    <t>2016-04-01</t>
  </si>
  <si>
    <t>2016-04-05</t>
  </si>
  <si>
    <t>2024-04-05</t>
  </si>
  <si>
    <t>2028-04-05</t>
  </si>
  <si>
    <t>2016-04-26</t>
  </si>
  <si>
    <t>2024-04-26</t>
  </si>
  <si>
    <t>2016-05-03</t>
  </si>
  <si>
    <t>2024-05-03</t>
  </si>
  <si>
    <t>198</t>
  </si>
  <si>
    <t>2015-12-16</t>
  </si>
  <si>
    <t>2027-12-16</t>
  </si>
  <si>
    <t>2016-05-11</t>
  </si>
  <si>
    <t>2026-05-11</t>
  </si>
  <si>
    <t>2016-05-17</t>
  </si>
  <si>
    <t>2022-05-17</t>
  </si>
  <si>
    <t>2028-05-17</t>
  </si>
  <si>
    <t>2016-06-01</t>
  </si>
  <si>
    <t>2026-06-01</t>
  </si>
  <si>
    <t>2016-05-25</t>
  </si>
  <si>
    <t>2023-05-25</t>
  </si>
  <si>
    <t>2016-05-26</t>
  </si>
  <si>
    <t>2023-05-26</t>
  </si>
  <si>
    <t>2028-05-26</t>
  </si>
  <si>
    <t>2016-06-08</t>
  </si>
  <si>
    <t>2026-06-08</t>
  </si>
  <si>
    <t>2016-07-21</t>
  </si>
  <si>
    <t>2023-07-21</t>
  </si>
  <si>
    <t>2046-10-01</t>
  </si>
  <si>
    <t>2016-07-25</t>
  </si>
  <si>
    <t>2024-10-15</t>
  </si>
  <si>
    <t>2028-10-15</t>
  </si>
  <si>
    <t>2015-11-19</t>
  </si>
  <si>
    <t>2023-11-19</t>
  </si>
  <si>
    <t>2016-09-09</t>
  </si>
  <si>
    <t>2028-09-11</t>
  </si>
  <si>
    <t>2024-09-09</t>
  </si>
  <si>
    <t>2016-09-13</t>
  </si>
  <si>
    <t>2022-09-13</t>
  </si>
  <si>
    <t>2027-01-13</t>
  </si>
  <si>
    <t>2016-09-20</t>
  </si>
  <si>
    <t>2028-09-20</t>
  </si>
  <si>
    <t>2016-09-19</t>
  </si>
  <si>
    <t>2028-09-19</t>
  </si>
  <si>
    <t>2016-10-14</t>
  </si>
  <si>
    <t>2026-10-14</t>
  </si>
  <si>
    <t>2016-10-07</t>
  </si>
  <si>
    <t>2026-10-07</t>
  </si>
  <si>
    <t>2016-10-06</t>
  </si>
  <si>
    <t>2023-10-06</t>
  </si>
  <si>
    <t>2016-10-25</t>
  </si>
  <si>
    <t>2026-10-25</t>
  </si>
  <si>
    <t>2015-08-19</t>
  </si>
  <si>
    <t>2035-08-01</t>
  </si>
  <si>
    <t>2015-09-10</t>
  </si>
  <si>
    <t>2025-09-10</t>
  </si>
  <si>
    <t>2015-09-16</t>
  </si>
  <si>
    <t>2022-09-16</t>
  </si>
  <si>
    <t>2015-09-08</t>
  </si>
  <si>
    <t>2023-09-08</t>
  </si>
  <si>
    <t>2015-09-17</t>
  </si>
  <si>
    <t>2023-09-17</t>
  </si>
  <si>
    <t>2015-09-09</t>
  </si>
  <si>
    <t>2022-09-09</t>
  </si>
  <si>
    <t>2015-09-18</t>
  </si>
  <si>
    <t>2024-01-18</t>
  </si>
  <si>
    <t>2015-09-22</t>
  </si>
  <si>
    <t>2025-09-22</t>
  </si>
  <si>
    <t>2015-09-28</t>
  </si>
  <si>
    <t>2023-09-28</t>
  </si>
  <si>
    <t>2025-01-31</t>
  </si>
  <si>
    <t>2032-12-14</t>
  </si>
  <si>
    <t>2032-09-15</t>
  </si>
  <si>
    <t>2020-09-29</t>
  </si>
  <si>
    <t>2032-09-29</t>
  </si>
  <si>
    <t>2020-10-01</t>
  </si>
  <si>
    <t>2026-01-15</t>
  </si>
  <si>
    <t>2020-10-12</t>
  </si>
  <si>
    <t>2050-10-12</t>
  </si>
  <si>
    <t>2020-10-16</t>
  </si>
  <si>
    <t>2030-10-16</t>
  </si>
  <si>
    <t>2019-10-02</t>
  </si>
  <si>
    <t>2026-10-11</t>
  </si>
  <si>
    <t>2026-10-02</t>
  </si>
  <si>
    <t>2020-01-13</t>
  </si>
  <si>
    <t>2024-01-13</t>
  </si>
  <si>
    <t>2020-01-28</t>
  </si>
  <si>
    <t>2027-01-28</t>
  </si>
  <si>
    <t>2020-01-23</t>
  </si>
  <si>
    <t>2030-01-23</t>
  </si>
  <si>
    <t>2025-01-23</t>
  </si>
  <si>
    <t>2025-01-28</t>
  </si>
  <si>
    <t>2020-01-31</t>
  </si>
  <si>
    <t>2039-12-19</t>
  </si>
  <si>
    <t>2020-02-13</t>
  </si>
  <si>
    <t>2030-02-13</t>
  </si>
  <si>
    <t>2020-02-17</t>
  </si>
  <si>
    <t>2027-02-17</t>
  </si>
  <si>
    <t>2025-10-17</t>
  </si>
  <si>
    <t>2019-10-24</t>
  </si>
  <si>
    <t>2023-10-24</t>
  </si>
  <si>
    <t>2027-10-24</t>
  </si>
  <si>
    <t>2031-10-24</t>
  </si>
  <si>
    <t>2019-10-30</t>
  </si>
  <si>
    <t>2024-10-30</t>
  </si>
  <si>
    <t>2019-11-06</t>
  </si>
  <si>
    <t>2024-11-06</t>
  </si>
  <si>
    <t>2019-11-13</t>
  </si>
  <si>
    <t>2025-11-13</t>
  </si>
  <si>
    <t>2019-11-25</t>
  </si>
  <si>
    <t>2019-11-27</t>
  </si>
  <si>
    <t>2027-06-15</t>
  </si>
  <si>
    <t>2019-11-29</t>
  </si>
  <si>
    <t>2026-11-29</t>
  </si>
  <si>
    <t>2020-01-14</t>
  </si>
  <si>
    <t>2024-11-14</t>
  </si>
  <si>
    <t>2039-12-09</t>
  </si>
  <si>
    <t>2019-12-18</t>
  </si>
  <si>
    <t>2027-12-20</t>
  </si>
  <si>
    <t>2019-08-27</t>
  </si>
  <si>
    <t>2022-08-29</t>
  </si>
  <si>
    <t>2019-09-06</t>
  </si>
  <si>
    <t>2024-09-06</t>
  </si>
  <si>
    <t>2019-09-12</t>
  </si>
  <si>
    <t>2024-05-12</t>
  </si>
  <si>
    <t>2034-09-12</t>
  </si>
  <si>
    <t>2019-09-18</t>
  </si>
  <si>
    <t>2019-09-20</t>
  </si>
  <si>
    <t>2029-09-20</t>
  </si>
  <si>
    <t>2019-09-30</t>
  </si>
  <si>
    <t>2022-09-30</t>
  </si>
  <si>
    <t>2026-09-30</t>
  </si>
  <si>
    <t>2019-10-03</t>
  </si>
  <si>
    <t>2031-10-03</t>
  </si>
  <si>
    <t>2023-10-31</t>
  </si>
  <si>
    <t>2019-10-11</t>
  </si>
  <si>
    <t>2034-10-11</t>
  </si>
  <si>
    <t>2019-04-17</t>
  </si>
  <si>
    <t>2019-05-09</t>
  </si>
  <si>
    <t>2019-05-15</t>
  </si>
  <si>
    <t>2027-05-17</t>
  </si>
  <si>
    <t>2019-05-21</t>
  </si>
  <si>
    <t>2022-11-21</t>
  </si>
  <si>
    <t>2019-05-22</t>
  </si>
  <si>
    <t>2026-05-22</t>
  </si>
  <si>
    <t>2019-05-29</t>
  </si>
  <si>
    <t>2029-05-29</t>
  </si>
  <si>
    <t>2019-06-07</t>
  </si>
  <si>
    <t>2030-01-07</t>
  </si>
  <si>
    <t>2019-06-06</t>
  </si>
  <si>
    <t>2026-06-06</t>
  </si>
  <si>
    <t>Issuer</t>
  </si>
  <si>
    <t>Coupon</t>
  </si>
  <si>
    <t>Preferred RIC</t>
  </si>
  <si>
    <t>Principal Currency</t>
  </si>
  <si>
    <t>Country of Issue</t>
  </si>
  <si>
    <t>Issuer Type</t>
  </si>
  <si>
    <t>Instrument Type</t>
  </si>
  <si>
    <t>Amount Issued (USD)</t>
  </si>
  <si>
    <t>Bond Grade</t>
  </si>
  <si>
    <t>Yield to Maturity</t>
  </si>
  <si>
    <t>Date</t>
  </si>
  <si>
    <t>Ask yield</t>
  </si>
  <si>
    <t>diff</t>
  </si>
  <si>
    <t>correct</t>
  </si>
  <si>
    <t>VOSG</t>
  </si>
  <si>
    <t>4,0000</t>
  </si>
  <si>
    <t>DEA3H2VA=</t>
  </si>
  <si>
    <t>Euro</t>
  </si>
  <si>
    <t>Germany</t>
  </si>
  <si>
    <t>Inhaberschuldverschreibung</t>
  </si>
  <si>
    <t>Fixed then Floating</t>
  </si>
  <si>
    <t>158114432</t>
  </si>
  <si>
    <t>--</t>
  </si>
  <si>
    <t>UBMV</t>
  </si>
  <si>
    <t>5,5000</t>
  </si>
  <si>
    <t>XS2355161956=</t>
  </si>
  <si>
    <t>Austria</t>
  </si>
  <si>
    <t>Fixed Resettable</t>
  </si>
  <si>
    <t>105409621</t>
  </si>
  <si>
    <t>10,9290100</t>
  </si>
  <si>
    <t>ENEL Finance International NV</t>
  </si>
  <si>
    <t>ENEIL</t>
  </si>
  <si>
    <t>0,0000</t>
  </si>
  <si>
    <t>IT206670681=</t>
  </si>
  <si>
    <t>Eurobond</t>
  </si>
  <si>
    <t>Bond</t>
  </si>
  <si>
    <t>Plain Vanilla Fixed Coupon</t>
  </si>
  <si>
    <t>1054096217</t>
  </si>
  <si>
    <t>Investment Grade</t>
  </si>
  <si>
    <t>1,1497570</t>
  </si>
  <si>
    <t>2,6500</t>
  </si>
  <si>
    <t>29278GAL2=</t>
  </si>
  <si>
    <t>US Dollar</t>
  </si>
  <si>
    <t>United States</t>
  </si>
  <si>
    <t>Note</t>
  </si>
  <si>
    <t>1500000000</t>
  </si>
  <si>
    <t>3,8181280</t>
  </si>
  <si>
    <t>IT205233555=</t>
  </si>
  <si>
    <t>3,7630020</t>
  </si>
  <si>
    <t>YAINVY</t>
  </si>
  <si>
    <t>8,8010</t>
  </si>
  <si>
    <t>SE0016831150=TE</t>
  </si>
  <si>
    <t>Swedish Krona</t>
  </si>
  <si>
    <t>Sweden</t>
  </si>
  <si>
    <t>Fixed Margin over Index</t>
  </si>
  <si>
    <t>50396346</t>
  </si>
  <si>
    <t>Grupopikolin SL</t>
  </si>
  <si>
    <t>LIDEKG</t>
  </si>
  <si>
    <t>EST14207S=MV</t>
  </si>
  <si>
    <t>Spain</t>
  </si>
  <si>
    <t>Other / Complex Floating Rate</t>
  </si>
  <si>
    <t>20027828</t>
  </si>
  <si>
    <t>Aktiebolaget Grundstenen 168252</t>
  </si>
  <si>
    <t>ATIBG</t>
  </si>
  <si>
    <t>6,7900</t>
  </si>
  <si>
    <t>NO1101711=</t>
  </si>
  <si>
    <t>Norwegian Krone</t>
  </si>
  <si>
    <t>Norway</t>
  </si>
  <si>
    <t>106012587</t>
  </si>
  <si>
    <t>Holding d'infrastructures Des Metiers De l'environnement SAS</t>
  </si>
  <si>
    <t>EQTIND</t>
  </si>
  <si>
    <t>0,1250</t>
  </si>
  <si>
    <t>NL238538955=</t>
  </si>
  <si>
    <t>474343298</t>
  </si>
  <si>
    <t>2,0137300</t>
  </si>
  <si>
    <t>TPE</t>
  </si>
  <si>
    <t>7,4500</t>
  </si>
  <si>
    <t>PLO144500017=</t>
  </si>
  <si>
    <t>Polish Zloty</t>
  </si>
  <si>
    <t>Poland</t>
  </si>
  <si>
    <t>225804994</t>
  </si>
  <si>
    <t>7,9701860</t>
  </si>
  <si>
    <t>VALSG</t>
  </si>
  <si>
    <t>7,3760</t>
  </si>
  <si>
    <t>SE0017072457=</t>
  </si>
  <si>
    <t>106928999</t>
  </si>
  <si>
    <t>8,1246310</t>
  </si>
  <si>
    <t>0,2500</t>
  </si>
  <si>
    <t>IT243229367=</t>
  </si>
  <si>
    <t>1317620272</t>
  </si>
  <si>
    <t>1,6009830</t>
  </si>
  <si>
    <t>Polski Koncern Naftowy Orlen SA</t>
  </si>
  <si>
    <t>PKN</t>
  </si>
  <si>
    <t>3,5100</t>
  </si>
  <si>
    <t>PLPKN0000208=</t>
  </si>
  <si>
    <t>7,3293010</t>
  </si>
  <si>
    <t>Public Power Corporation SA</t>
  </si>
  <si>
    <t>DEH</t>
  </si>
  <si>
    <t>3,8750</t>
  </si>
  <si>
    <t>GR231426523=</t>
  </si>
  <si>
    <t>816924568</t>
  </si>
  <si>
    <t>High Yield</t>
  </si>
  <si>
    <t>5,5234580</t>
  </si>
  <si>
    <t>PFLPE</t>
  </si>
  <si>
    <t>4,7500</t>
  </si>
  <si>
    <t>PL233330167=</t>
  </si>
  <si>
    <t>421638487</t>
  </si>
  <si>
    <t>7,2688020</t>
  </si>
  <si>
    <t>PL233330205=</t>
  </si>
  <si>
    <t>368933676</t>
  </si>
  <si>
    <t>5,5651680</t>
  </si>
  <si>
    <t>PL233330175=RRPS</t>
  </si>
  <si>
    <t>7,1487620</t>
  </si>
  <si>
    <t>PL233330272=RRPS</t>
  </si>
  <si>
    <t>5,5651270</t>
  </si>
  <si>
    <t>HIGLUC</t>
  </si>
  <si>
    <t>9,5720</t>
  </si>
  <si>
    <t>SE0017767346=</t>
  </si>
  <si>
    <t>168031284</t>
  </si>
  <si>
    <t>9,7301140</t>
  </si>
  <si>
    <t>LHNCM</t>
  </si>
  <si>
    <t>1,6250</t>
  </si>
  <si>
    <t>XS2463497201=TE</t>
  </si>
  <si>
    <t>3,1250</t>
  </si>
  <si>
    <t>AT0000A2QS11=</t>
  </si>
  <si>
    <t>79057216</t>
  </si>
  <si>
    <t>3,6720710</t>
  </si>
  <si>
    <t>IT239040063=</t>
  </si>
  <si>
    <t>1,8283270</t>
  </si>
  <si>
    <t>Schneider</t>
  </si>
  <si>
    <t>SCHN</t>
  </si>
  <si>
    <t>FR0014000OG2=</t>
  </si>
  <si>
    <t>France</t>
  </si>
  <si>
    <t>Zero Coupon</t>
  </si>
  <si>
    <t>685162562</t>
  </si>
  <si>
    <t>-2,3437080</t>
  </si>
  <si>
    <t>SSAB</t>
  </si>
  <si>
    <t>1,8960</t>
  </si>
  <si>
    <t>SE235327023=</t>
  </si>
  <si>
    <t>203674284</t>
  </si>
  <si>
    <t>1,4891080</t>
  </si>
  <si>
    <t>LOREAL</t>
  </si>
  <si>
    <t>0,8750</t>
  </si>
  <si>
    <t>FR0014009EJ8=</t>
  </si>
  <si>
    <t>1,1923920</t>
  </si>
  <si>
    <t>Lion Polaris Lux 4 SA</t>
  </si>
  <si>
    <t>LNPLXO</t>
  </si>
  <si>
    <t>LU236134369=</t>
  </si>
  <si>
    <t>685162541</t>
  </si>
  <si>
    <t>4,5950250</t>
  </si>
  <si>
    <t>LPLXTU</t>
  </si>
  <si>
    <t>LU236134288=</t>
  </si>
  <si>
    <t>790572163</t>
  </si>
  <si>
    <t>6,0049520</t>
  </si>
  <si>
    <t>LU236134326=RRPS</t>
  </si>
  <si>
    <t>5,9191390</t>
  </si>
  <si>
    <t>LU236134377=RRPS</t>
  </si>
  <si>
    <t>1,3750</t>
  </si>
  <si>
    <t>29278GAM0=</t>
  </si>
  <si>
    <t>1250000000</t>
  </si>
  <si>
    <t>4,0968390</t>
  </si>
  <si>
    <t>IT234646249=</t>
  </si>
  <si>
    <t>NBNPFF</t>
  </si>
  <si>
    <t>3,6250</t>
  </si>
  <si>
    <t>NL235838346=</t>
  </si>
  <si>
    <t>553400514</t>
  </si>
  <si>
    <t>7,1609470</t>
  </si>
  <si>
    <t>NL235838389=RRPS</t>
  </si>
  <si>
    <t>7,0410660</t>
  </si>
  <si>
    <t>WBD</t>
  </si>
  <si>
    <t>IT243732433=</t>
  </si>
  <si>
    <t>6,8157510</t>
  </si>
  <si>
    <t>GRANG</t>
  </si>
  <si>
    <t>1,2660</t>
  </si>
  <si>
    <t>SE0013360476=</t>
  </si>
  <si>
    <t>61102285</t>
  </si>
  <si>
    <t>2,1831980</t>
  </si>
  <si>
    <t>YFXEDB</t>
  </si>
  <si>
    <t>4,6250</t>
  </si>
  <si>
    <t>JE238912032=RRPS</t>
  </si>
  <si>
    <t>537589071</t>
  </si>
  <si>
    <t>6,5479590</t>
  </si>
  <si>
    <t>JE238911273=</t>
  </si>
  <si>
    <t>6,6580100</t>
  </si>
  <si>
    <t>Cullinan Holdco SCSp</t>
  </si>
  <si>
    <t>CLLNH</t>
  </si>
  <si>
    <t>LU239735452=</t>
  </si>
  <si>
    <t>400556562</t>
  </si>
  <si>
    <t>7,2579230</t>
  </si>
  <si>
    <t>LU239735401=</t>
  </si>
  <si>
    <t>263524054</t>
  </si>
  <si>
    <t>6,4745940</t>
  </si>
  <si>
    <t>LU239735509=RRPS</t>
  </si>
  <si>
    <t>7,1308020</t>
  </si>
  <si>
    <t>XS2397354288=TE</t>
  </si>
  <si>
    <t>269850179</t>
  </si>
  <si>
    <t>CARR</t>
  </si>
  <si>
    <t>1,8750</t>
  </si>
  <si>
    <t>FR0014009DZ6=</t>
  </si>
  <si>
    <t>2,3404810</t>
  </si>
  <si>
    <t>HNKG</t>
  </si>
  <si>
    <t>1,7500</t>
  </si>
  <si>
    <t>DE240795400=</t>
  </si>
  <si>
    <t>250000000</t>
  </si>
  <si>
    <t>3,8501490</t>
  </si>
  <si>
    <t>KINV</t>
  </si>
  <si>
    <t>0,6270</t>
  </si>
  <si>
    <t>SE0013360534=</t>
  </si>
  <si>
    <t>152755713</t>
  </si>
  <si>
    <t>1,4609220</t>
  </si>
  <si>
    <t>AULIAS</t>
  </si>
  <si>
    <t>1,0000</t>
  </si>
  <si>
    <t>IT241226735=</t>
  </si>
  <si>
    <t>2,7157120</t>
  </si>
  <si>
    <t>LOOM</t>
  </si>
  <si>
    <t>1,2900</t>
  </si>
  <si>
    <t>SE0013360559=</t>
  </si>
  <si>
    <t>2,1177200</t>
  </si>
  <si>
    <t>Mota Engil SGPS SA</t>
  </si>
  <si>
    <t>MOTA</t>
  </si>
  <si>
    <t>4,2500</t>
  </si>
  <si>
    <t>PTMENYOM005=</t>
  </si>
  <si>
    <t>Portugal</t>
  </si>
  <si>
    <t>139140173</t>
  </si>
  <si>
    <t>4,5472620</t>
  </si>
  <si>
    <t>Kahrs BondCo publ AB</t>
  </si>
  <si>
    <t>KAHNO</t>
  </si>
  <si>
    <t>6,0000</t>
  </si>
  <si>
    <t>SE0017085285=</t>
  </si>
  <si>
    <t>147663855</t>
  </si>
  <si>
    <t>7,0850610</t>
  </si>
  <si>
    <t>Rimini BidCo SpA</t>
  </si>
  <si>
    <t>APIMTI</t>
  </si>
  <si>
    <t>5,2500</t>
  </si>
  <si>
    <t>LU241749983=RRPS</t>
  </si>
  <si>
    <t>469072816</t>
  </si>
  <si>
    <t>9,0641670</t>
  </si>
  <si>
    <t>LU241748677=</t>
  </si>
  <si>
    <t>9,0629990</t>
  </si>
  <si>
    <t>5,1500</t>
  </si>
  <si>
    <t>EST13961S=MV</t>
  </si>
  <si>
    <t>18973731</t>
  </si>
  <si>
    <t>Elekta AB (publ)</t>
  </si>
  <si>
    <t>EKTAA</t>
  </si>
  <si>
    <t>0,9210</t>
  </si>
  <si>
    <t>SE0016274260=</t>
  </si>
  <si>
    <t>117112713</t>
  </si>
  <si>
    <t>1,6685310</t>
  </si>
  <si>
    <t>EPED</t>
  </si>
  <si>
    <t>2,7500</t>
  </si>
  <si>
    <t>FR240548330=</t>
  </si>
  <si>
    <t>1264915461</t>
  </si>
  <si>
    <t>6,0345600</t>
  </si>
  <si>
    <t>ATRLJ</t>
  </si>
  <si>
    <t>1,3320</t>
  </si>
  <si>
    <t>SE0013883428=</t>
  </si>
  <si>
    <t>101837142</t>
  </si>
  <si>
    <t>2,4015210</t>
  </si>
  <si>
    <t>CEZ as</t>
  </si>
  <si>
    <t>CEZP</t>
  </si>
  <si>
    <t>2,3750</t>
  </si>
  <si>
    <t>CZ246178682=</t>
  </si>
  <si>
    <t>632457730</t>
  </si>
  <si>
    <t>2,4639600</t>
  </si>
  <si>
    <t>CAPMAN</t>
  </si>
  <si>
    <t>4,5000</t>
  </si>
  <si>
    <t>FI4000519178=HE</t>
  </si>
  <si>
    <t>Finland</t>
  </si>
  <si>
    <t>42163848</t>
  </si>
  <si>
    <t>Invalid field(s).</t>
  </si>
  <si>
    <t>TEVACC</t>
  </si>
  <si>
    <t>88167AAP6=</t>
  </si>
  <si>
    <t>1000000000</t>
  </si>
  <si>
    <t>6,8417210</t>
  </si>
  <si>
    <t>TEVAR</t>
  </si>
  <si>
    <t>3,7500</t>
  </si>
  <si>
    <t>IL240660709=</t>
  </si>
  <si>
    <t>1159505839</t>
  </si>
  <si>
    <t>6,2398650</t>
  </si>
  <si>
    <t>HMSOHM</t>
  </si>
  <si>
    <t>GB234477242=</t>
  </si>
  <si>
    <t>737867352</t>
  </si>
  <si>
    <t>4,2182980</t>
  </si>
  <si>
    <t>0,3750</t>
  </si>
  <si>
    <t>IT206670690=</t>
  </si>
  <si>
    <t>1,9264320</t>
  </si>
  <si>
    <t>IT235318202=</t>
  </si>
  <si>
    <t>1,9273790</t>
  </si>
  <si>
    <t>LNPLXC</t>
  </si>
  <si>
    <t>5,3750</t>
  </si>
  <si>
    <t>LU236134431=</t>
  </si>
  <si>
    <t>326769827</t>
  </si>
  <si>
    <t>8,0225580</t>
  </si>
  <si>
    <t>LU236134547=</t>
  </si>
  <si>
    <t>7,8724100</t>
  </si>
  <si>
    <t>FABIS</t>
  </si>
  <si>
    <t>5,6250</t>
  </si>
  <si>
    <t>IT243658535=</t>
  </si>
  <si>
    <t>7,5871470</t>
  </si>
  <si>
    <t>IT243658624=</t>
  </si>
  <si>
    <t>7,4472210</t>
  </si>
  <si>
    <t>IT224441860=</t>
  </si>
  <si>
    <t>British Pound</t>
  </si>
  <si>
    <t>628551314</t>
  </si>
  <si>
    <t>3,1696010</t>
  </si>
  <si>
    <t>OVS</t>
  </si>
  <si>
    <t>2,2500</t>
  </si>
  <si>
    <t>IT239352073=</t>
  </si>
  <si>
    <t>210819243</t>
  </si>
  <si>
    <t>2,7088130</t>
  </si>
  <si>
    <t>ABIO</t>
  </si>
  <si>
    <t>2,8500</t>
  </si>
  <si>
    <t>FR0014000X03=</t>
  </si>
  <si>
    <t>53970035</t>
  </si>
  <si>
    <t>Veritas SpA</t>
  </si>
  <si>
    <t>VERTS</t>
  </si>
  <si>
    <t>3,2500</t>
  </si>
  <si>
    <t>IT225418454=</t>
  </si>
  <si>
    <t>4,7148360</t>
  </si>
  <si>
    <t>AB</t>
  </si>
  <si>
    <t>1,5000</t>
  </si>
  <si>
    <t>IT245749635=</t>
  </si>
  <si>
    <t>527048108</t>
  </si>
  <si>
    <t>2,3537480</t>
  </si>
  <si>
    <t>Lanxess AG</t>
  </si>
  <si>
    <t>LXSG</t>
  </si>
  <si>
    <t>DE245916361=</t>
  </si>
  <si>
    <t>2,7815270</t>
  </si>
  <si>
    <t>EQTAB</t>
  </si>
  <si>
    <t>SE246398879=</t>
  </si>
  <si>
    <t>2,9259300</t>
  </si>
  <si>
    <t>Hapag Lloyd AG</t>
  </si>
  <si>
    <t>HLAG</t>
  </si>
  <si>
    <t>2,5000</t>
  </si>
  <si>
    <t>DE232654856=</t>
  </si>
  <si>
    <t>316228865</t>
  </si>
  <si>
    <t>4,0755850</t>
  </si>
  <si>
    <t>DE232655089=</t>
  </si>
  <si>
    <t>4,0354850</t>
  </si>
  <si>
    <t>Iochpe-Maxion Austria GmbH</t>
  </si>
  <si>
    <t>MYPKFX</t>
  </si>
  <si>
    <t>5,0000</t>
  </si>
  <si>
    <t>46188AAA2=</t>
  </si>
  <si>
    <t>400000000</t>
  </si>
  <si>
    <t>7,4679160</t>
  </si>
  <si>
    <t>BR233942294=</t>
  </si>
  <si>
    <t>7,3972180</t>
  </si>
  <si>
    <t>Verallia SAS</t>
  </si>
  <si>
    <t>VRLA</t>
  </si>
  <si>
    <t>FR0014003G27=</t>
  </si>
  <si>
    <t>3,6193150</t>
  </si>
  <si>
    <t>Herens Holdco SARL</t>
  </si>
  <si>
    <t>HERTOH</t>
  </si>
  <si>
    <t>427169AA5=</t>
  </si>
  <si>
    <t>350000000</t>
  </si>
  <si>
    <t>7,0466630</t>
  </si>
  <si>
    <t>LU234149032=</t>
  </si>
  <si>
    <t>ENI</t>
  </si>
  <si>
    <t>IT234473581=</t>
  </si>
  <si>
    <t>2,1111790</t>
  </si>
  <si>
    <t>EDENX</t>
  </si>
  <si>
    <t>FR0014003YP6=</t>
  </si>
  <si>
    <t>421638470</t>
  </si>
  <si>
    <t>0,1654290</t>
  </si>
  <si>
    <t>RXL</t>
  </si>
  <si>
    <t>2,1250</t>
  </si>
  <si>
    <t>FR233230634=</t>
  </si>
  <si>
    <t>3,7833030</t>
  </si>
  <si>
    <t>29278GAN8=</t>
  </si>
  <si>
    <t>4,3299620</t>
  </si>
  <si>
    <t>IT234646265=</t>
  </si>
  <si>
    <t>4,3059400</t>
  </si>
  <si>
    <t>3,3750</t>
  </si>
  <si>
    <t>GR235992981=</t>
  </si>
  <si>
    <t>5,7493680</t>
  </si>
  <si>
    <t>Valeo SE</t>
  </si>
  <si>
    <t>VLOF</t>
  </si>
  <si>
    <t>FR0014004UE6=</t>
  </si>
  <si>
    <t>4,0056250</t>
  </si>
  <si>
    <t>SUZBCS</t>
  </si>
  <si>
    <t>86964WAL6=</t>
  </si>
  <si>
    <t>500000000</t>
  </si>
  <si>
    <t>5,3653430</t>
  </si>
  <si>
    <t>0,6250</t>
  </si>
  <si>
    <t>NL238539072=</t>
  </si>
  <si>
    <t>2,6866190</t>
  </si>
  <si>
    <t>NOVFN</t>
  </si>
  <si>
    <t>CH223599621=</t>
  </si>
  <si>
    <t>1950078003</t>
  </si>
  <si>
    <t>1,6875500</t>
  </si>
  <si>
    <t>CCHEX</t>
  </si>
  <si>
    <t>FR239998143=</t>
  </si>
  <si>
    <t>4,2829800</t>
  </si>
  <si>
    <t>Lune Holdings SARL</t>
  </si>
  <si>
    <t>APLUXJ</t>
  </si>
  <si>
    <t>LU240672715=</t>
  </si>
  <si>
    <t>7,4149040</t>
  </si>
  <si>
    <t>LU240672740=RRPS</t>
  </si>
  <si>
    <t>7,2928290</t>
  </si>
  <si>
    <t>0,8270</t>
  </si>
  <si>
    <t>SE0013360542=</t>
  </si>
  <si>
    <t>50918571</t>
  </si>
  <si>
    <t>1,6335680</t>
  </si>
  <si>
    <t>ACCP</t>
  </si>
  <si>
    <t>FR0014006ND8=</t>
  </si>
  <si>
    <t>4,3647970</t>
  </si>
  <si>
    <t>3,0000</t>
  </si>
  <si>
    <t>FR0014000X11=</t>
  </si>
  <si>
    <t>CRIP</t>
  </si>
  <si>
    <t>FR0014000SC2=</t>
  </si>
  <si>
    <t>129528086</t>
  </si>
  <si>
    <t>1,9250</t>
  </si>
  <si>
    <t>SE0016274278=</t>
  </si>
  <si>
    <t>35642999</t>
  </si>
  <si>
    <t>4,0512940</t>
  </si>
  <si>
    <t>GEK TERNA Holdings Real Estate Construction SA</t>
  </si>
  <si>
    <t>HRM</t>
  </si>
  <si>
    <t>2,3000</t>
  </si>
  <si>
    <t>GRC145121CD2=</t>
  </si>
  <si>
    <t>Greece</t>
  </si>
  <si>
    <t>3,6893440</t>
  </si>
  <si>
    <t>FR240342847=</t>
  </si>
  <si>
    <t>4,0943440</t>
  </si>
  <si>
    <t>Sanofi SA</t>
  </si>
  <si>
    <t>SASY</t>
  </si>
  <si>
    <t>1,2500</t>
  </si>
  <si>
    <t>FR0014009KQ0=</t>
  </si>
  <si>
    <t>1,6793570</t>
  </si>
  <si>
    <t>PERP</t>
  </si>
  <si>
    <t>FR0014009L57=</t>
  </si>
  <si>
    <t>2,0067820</t>
  </si>
  <si>
    <t>2,8750</t>
  </si>
  <si>
    <t>IT246636320=</t>
  </si>
  <si>
    <t>942826972</t>
  </si>
  <si>
    <t>3,5197920</t>
  </si>
  <si>
    <t>COK</t>
  </si>
  <si>
    <t>21039CAB0=</t>
  </si>
  <si>
    <t>6,2914010</t>
  </si>
  <si>
    <t>USF21107AB74=</t>
  </si>
  <si>
    <t>6,3653880</t>
  </si>
  <si>
    <t>5,1250</t>
  </si>
  <si>
    <t>88167AAQ4=</t>
  </si>
  <si>
    <t>7,0485700</t>
  </si>
  <si>
    <t>Herens Midco SARL</t>
  </si>
  <si>
    <t>HERTOM</t>
  </si>
  <si>
    <t>LU234013734=</t>
  </si>
  <si>
    <t>484884260</t>
  </si>
  <si>
    <t>8,9762810</t>
  </si>
  <si>
    <t>LU234013742=RRPS</t>
  </si>
  <si>
    <t>8,7864760</t>
  </si>
  <si>
    <t>Aegea Finance SARL</t>
  </si>
  <si>
    <t>CNTRAC</t>
  </si>
  <si>
    <t>6,7500</t>
  </si>
  <si>
    <t>00775CAB2=</t>
  </si>
  <si>
    <t>7,2081980</t>
  </si>
  <si>
    <t>BR247695630=</t>
  </si>
  <si>
    <t>Arcos Dorados Holdings Inc</t>
  </si>
  <si>
    <t>6,1250</t>
  </si>
  <si>
    <t>VG244937969=</t>
  </si>
  <si>
    <t>6,4418040</t>
  </si>
  <si>
    <t>03965TAB9=</t>
  </si>
  <si>
    <t>6,4658880</t>
  </si>
  <si>
    <t>IT239040071=</t>
  </si>
  <si>
    <t>2,2979180</t>
  </si>
  <si>
    <t>Vestas Wind Sys</t>
  </si>
  <si>
    <t>VWSVE</t>
  </si>
  <si>
    <t>DK244992854=</t>
  </si>
  <si>
    <t>2,2262750</t>
  </si>
  <si>
    <t>SRG</t>
  </si>
  <si>
    <t>0,7500</t>
  </si>
  <si>
    <t>IT243321131=RRPS</t>
  </si>
  <si>
    <t>895981785</t>
  </si>
  <si>
    <t>2,3039160</t>
  </si>
  <si>
    <t>Repsol Europe Finance SARL</t>
  </si>
  <si>
    <t>REPRL</t>
  </si>
  <si>
    <t>ES236135829=</t>
  </si>
  <si>
    <t>2,1568650</t>
  </si>
  <si>
    <t>FR233514802=</t>
  </si>
  <si>
    <t>5,5142260</t>
  </si>
  <si>
    <t>FR233514870=RRPS</t>
  </si>
  <si>
    <t>5,4441180</t>
  </si>
  <si>
    <t>HMFNC</t>
  </si>
  <si>
    <t>NL230307091=</t>
  </si>
  <si>
    <t>2,5164140</t>
  </si>
  <si>
    <t>FR0014009E07=</t>
  </si>
  <si>
    <t>2,8274330</t>
  </si>
  <si>
    <t>ATOS</t>
  </si>
  <si>
    <t>FR0014006G24=</t>
  </si>
  <si>
    <t>843276974</t>
  </si>
  <si>
    <t>4,8261060</t>
  </si>
  <si>
    <t>DE241538672=</t>
  </si>
  <si>
    <t>3,0388130</t>
  </si>
  <si>
    <t>OEG</t>
  </si>
  <si>
    <t>LU243216265=</t>
  </si>
  <si>
    <t>4,6971500</t>
  </si>
  <si>
    <t>IT241226751=</t>
  </si>
  <si>
    <t>3,4784440</t>
  </si>
  <si>
    <t>AD</t>
  </si>
  <si>
    <t>NL231728830=</t>
  </si>
  <si>
    <t>2,2919810</t>
  </si>
  <si>
    <t>4,3750</t>
  </si>
  <si>
    <t>IL240660717=</t>
  </si>
  <si>
    <t>1581144326</t>
  </si>
  <si>
    <t>6,4656310</t>
  </si>
  <si>
    <t>0,5000</t>
  </si>
  <si>
    <t>IT235318229=</t>
  </si>
  <si>
    <t>2,4621560</t>
  </si>
  <si>
    <t>KLBNDA</t>
  </si>
  <si>
    <t>3,2000</t>
  </si>
  <si>
    <t>49836AAC8=</t>
  </si>
  <si>
    <t>6,2133650</t>
  </si>
  <si>
    <t>BR228416487=</t>
  </si>
  <si>
    <t>6,2779810</t>
  </si>
  <si>
    <t>86964WAJ1=</t>
  </si>
  <si>
    <t>5,7875050</t>
  </si>
  <si>
    <t>IT243229375=</t>
  </si>
  <si>
    <t>2,5392810</t>
  </si>
  <si>
    <t>JSLGCI</t>
  </si>
  <si>
    <t>5,2000</t>
  </si>
  <si>
    <t>82883PAA2=</t>
  </si>
  <si>
    <t>625000000</t>
  </si>
  <si>
    <t>8,0711930</t>
  </si>
  <si>
    <t>BR229034120=</t>
  </si>
  <si>
    <t>MOVDP</t>
  </si>
  <si>
    <t>62459LAA7=</t>
  </si>
  <si>
    <t>800000000</t>
  </si>
  <si>
    <t>8,1418240</t>
  </si>
  <si>
    <t>BR225208107=</t>
  </si>
  <si>
    <t>PLO037100016=</t>
  </si>
  <si>
    <t>7,7734890</t>
  </si>
  <si>
    <t>EWRSFY</t>
  </si>
  <si>
    <t>DEBHY0SL=</t>
  </si>
  <si>
    <t>2,2673430</t>
  </si>
  <si>
    <t>CH226121501=</t>
  </si>
  <si>
    <t>2,8086890</t>
  </si>
  <si>
    <t>SE233857033=</t>
  </si>
  <si>
    <t>3,3729970</t>
  </si>
  <si>
    <t>29278GAP3=</t>
  </si>
  <si>
    <t>4,5799130</t>
  </si>
  <si>
    <t>IT236507491=</t>
  </si>
  <si>
    <t>4,5820140</t>
  </si>
  <si>
    <t>IMTP</t>
  </si>
  <si>
    <t>BE234223216=</t>
  </si>
  <si>
    <t>3,3180450</t>
  </si>
  <si>
    <t>IT236400107=</t>
  </si>
  <si>
    <t>2,6650950</t>
  </si>
  <si>
    <t>ATLAE</t>
  </si>
  <si>
    <t>IT233732672=</t>
  </si>
  <si>
    <t>3,7352550</t>
  </si>
  <si>
    <t>Johnson Controls International PLC</t>
  </si>
  <si>
    <t>2,0000</t>
  </si>
  <si>
    <t>47837RAD2=</t>
  </si>
  <si>
    <t>4,4169960</t>
  </si>
  <si>
    <t>LEGD</t>
  </si>
  <si>
    <t>FR0014005OK3=</t>
  </si>
  <si>
    <t>1,9835000</t>
  </si>
  <si>
    <t>Holcim US Finance SARL &amp; Cie SCS</t>
  </si>
  <si>
    <t>LHNHO</t>
  </si>
  <si>
    <t>2,2400</t>
  </si>
  <si>
    <t>CH238220912=</t>
  </si>
  <si>
    <t>100000000</t>
  </si>
  <si>
    <t>3,8190820</t>
  </si>
  <si>
    <t>FR0014006EG0=</t>
  </si>
  <si>
    <t>3,8039600</t>
  </si>
  <si>
    <t>Kerry Group Financial Services Unlimited Co</t>
  </si>
  <si>
    <t>KYGKGF</t>
  </si>
  <si>
    <t>IE241483096=</t>
  </si>
  <si>
    <t>2,4003480</t>
  </si>
  <si>
    <t>JBS Finance Luxembourg SARL</t>
  </si>
  <si>
    <t>JBSSCX</t>
  </si>
  <si>
    <t>46592QAA7=</t>
  </si>
  <si>
    <t>5,8056050</t>
  </si>
  <si>
    <t>BR235432374=</t>
  </si>
  <si>
    <t>86964WAK8=</t>
  </si>
  <si>
    <t>5,8475170</t>
  </si>
  <si>
    <t>VOZGHN</t>
  </si>
  <si>
    <t>91845AAA3=</t>
  </si>
  <si>
    <t>1525000000</t>
  </si>
  <si>
    <t>7,0923710</t>
  </si>
  <si>
    <t>NL243228948=</t>
  </si>
  <si>
    <t>3,5000</t>
  </si>
  <si>
    <t>NL243101565=</t>
  </si>
  <si>
    <t>5,5775920</t>
  </si>
  <si>
    <t>NL243101603=RRPS</t>
  </si>
  <si>
    <t>5,4974780</t>
  </si>
  <si>
    <t>Rumo Luxembourg SARL</t>
  </si>
  <si>
    <t>RAILCR</t>
  </si>
  <si>
    <t>4,2000</t>
  </si>
  <si>
    <t>781467AE5=</t>
  </si>
  <si>
    <t>6,6783990</t>
  </si>
  <si>
    <t>BR238968097=</t>
  </si>
  <si>
    <t>SE246399077=</t>
  </si>
  <si>
    <t>3,6186750</t>
  </si>
  <si>
    <t>DE240795582=</t>
  </si>
  <si>
    <t>2,1674820</t>
  </si>
  <si>
    <t>ES236135853=</t>
  </si>
  <si>
    <t>2,6792710</t>
  </si>
  <si>
    <t>NL240689006=</t>
  </si>
  <si>
    <t>2,5807400</t>
  </si>
  <si>
    <t>IT241226778=</t>
  </si>
  <si>
    <t>3,9396730</t>
  </si>
  <si>
    <t>HRA</t>
  </si>
  <si>
    <t>IT239993338=</t>
  </si>
  <si>
    <t>2,7469480</t>
  </si>
  <si>
    <t>DK244992951=</t>
  </si>
  <si>
    <t>2,8066790</t>
  </si>
  <si>
    <t>IT243322685=</t>
  </si>
  <si>
    <t>2,7661920</t>
  </si>
  <si>
    <t>IT239040080=</t>
  </si>
  <si>
    <t>2,8585870</t>
  </si>
  <si>
    <t>1,1250</t>
  </si>
  <si>
    <t>IT206670673=</t>
  </si>
  <si>
    <t>2,7733730</t>
  </si>
  <si>
    <t>IT243229391=</t>
  </si>
  <si>
    <t>2,8470800</t>
  </si>
  <si>
    <t>ENOR</t>
  </si>
  <si>
    <t>ES022974300=1M</t>
  </si>
  <si>
    <t>31622886</t>
  </si>
  <si>
    <t>IT235318237=</t>
  </si>
  <si>
    <t>2,9576850</t>
  </si>
  <si>
    <t>GSUNI</t>
  </si>
  <si>
    <t>NL239353959=</t>
  </si>
  <si>
    <t>2,2518530</t>
  </si>
  <si>
    <t>VERB</t>
  </si>
  <si>
    <t>0,9000</t>
  </si>
  <si>
    <t>AT232074639=</t>
  </si>
  <si>
    <t>2,2467760</t>
  </si>
  <si>
    <t>Kelag kaerntner Elektrizitaets AG</t>
  </si>
  <si>
    <t>KAENBK</t>
  </si>
  <si>
    <t>1,1500</t>
  </si>
  <si>
    <t>AT232887346=</t>
  </si>
  <si>
    <t>29278GAQ1=</t>
  </si>
  <si>
    <t>750000000</t>
  </si>
  <si>
    <t>5,0588670</t>
  </si>
  <si>
    <t>IT236509630=</t>
  </si>
  <si>
    <t>5,0345280</t>
  </si>
  <si>
    <t>ANATEH</t>
  </si>
  <si>
    <t>46653KAC2=</t>
  </si>
  <si>
    <t>5,5261370</t>
  </si>
  <si>
    <t>USN4717KBG06=</t>
  </si>
  <si>
    <t>5,4409980</t>
  </si>
  <si>
    <t>AKHFOP</t>
  </si>
  <si>
    <t>0,8900</t>
  </si>
  <si>
    <t>Japanese Yen</t>
  </si>
  <si>
    <t>77023800</t>
  </si>
  <si>
    <t>5,28E+08</t>
  </si>
  <si>
    <t>6,42E+08</t>
  </si>
  <si>
    <t>1,5</t>
  </si>
  <si>
    <t>8,02E+08</t>
  </si>
  <si>
    <t>5,37E+08</t>
  </si>
  <si>
    <t>1,25</t>
  </si>
  <si>
    <t>6,44E+08</t>
  </si>
  <si>
    <t>2,5</t>
  </si>
  <si>
    <t>5,27E+08</t>
  </si>
  <si>
    <t>2,23E+08</t>
  </si>
  <si>
    <t>0,55</t>
  </si>
  <si>
    <t>1,25E+09</t>
  </si>
  <si>
    <t>3,21E+08</t>
  </si>
  <si>
    <t>8,34E+08</t>
  </si>
  <si>
    <t>5,35E+08</t>
  </si>
  <si>
    <t>4,76</t>
  </si>
  <si>
    <t>1,5E+09</t>
  </si>
  <si>
    <t>4,75</t>
  </si>
  <si>
    <t>5,61E+08</t>
  </si>
  <si>
    <t>0,29</t>
  </si>
  <si>
    <t>3,16</t>
  </si>
  <si>
    <t>5,67E+08</t>
  </si>
  <si>
    <t>5,71E+08</t>
  </si>
  <si>
    <t>0,75</t>
  </si>
  <si>
    <t>4,15E+08</t>
  </si>
  <si>
    <t>9,01E+08</t>
  </si>
  <si>
    <t>1,75</t>
  </si>
  <si>
    <t>5,95E+08</t>
  </si>
  <si>
    <t>7,18E+08</t>
  </si>
  <si>
    <t>7,76E+08</t>
  </si>
  <si>
    <t>8,98E+08</t>
  </si>
  <si>
    <t>1,78E+08</t>
  </si>
  <si>
    <t>3,25</t>
  </si>
  <si>
    <t>3,5</t>
  </si>
  <si>
    <t>5,75</t>
  </si>
  <si>
    <t>4,7E+08</t>
  </si>
  <si>
    <t>0,5</t>
  </si>
  <si>
    <t>7,68E+08</t>
  </si>
  <si>
    <t>3,55E+08</t>
  </si>
  <si>
    <t>5,84E+08</t>
  </si>
  <si>
    <t>4,66E+08</t>
  </si>
  <si>
    <t>4,25</t>
  </si>
  <si>
    <t>8,82E+08</t>
  </si>
  <si>
    <t>3,51</t>
  </si>
  <si>
    <t>6,74E+08</t>
  </si>
  <si>
    <t>9,31E+08</t>
  </si>
  <si>
    <t>1,7</t>
  </si>
  <si>
    <t>6,15E+08</t>
  </si>
  <si>
    <t>1,23E+09</t>
  </si>
  <si>
    <t>4,96E+08</t>
  </si>
  <si>
    <t>6,75</t>
  </si>
  <si>
    <t>4,5</t>
  </si>
  <si>
    <t>1,11E+09</t>
  </si>
  <si>
    <t>6,17E+08</t>
  </si>
  <si>
    <t>0,54</t>
  </si>
  <si>
    <t>2,15E+09</t>
  </si>
  <si>
    <t>1,54E+09</t>
  </si>
  <si>
    <t>2,46E+09</t>
  </si>
  <si>
    <t>1,05</t>
  </si>
  <si>
    <t>1,84E+09</t>
  </si>
  <si>
    <t>1,48E+08</t>
  </si>
  <si>
    <t>3,95</t>
  </si>
  <si>
    <t>1,98E+08</t>
  </si>
  <si>
    <t>1,06E+09</t>
  </si>
  <si>
    <t>3,09E+08</t>
  </si>
  <si>
    <t>5,91E+08</t>
  </si>
  <si>
    <t>8,75E+08</t>
  </si>
  <si>
    <t>0,25</t>
  </si>
  <si>
    <t>3,63</t>
  </si>
  <si>
    <t>5,89E+08</t>
  </si>
  <si>
    <t>8,77E+08</t>
  </si>
  <si>
    <t>6,96E+08</t>
  </si>
  <si>
    <t>8,71E+08</t>
  </si>
  <si>
    <t>1,87E+08</t>
  </si>
  <si>
    <t>3,8</t>
  </si>
  <si>
    <t>8,81E+08</t>
  </si>
  <si>
    <t>4,24</t>
  </si>
  <si>
    <t>1,49E+08</t>
  </si>
  <si>
    <t>0,39</t>
  </si>
  <si>
    <t>1,74E+08</t>
  </si>
  <si>
    <t>4,12</t>
  </si>
  <si>
    <t>1,05E+09</t>
  </si>
  <si>
    <t>1,75E+09</t>
  </si>
  <si>
    <t>3,48E+08</t>
  </si>
  <si>
    <t>1,65E+08</t>
  </si>
  <si>
    <t>1,63</t>
  </si>
  <si>
    <t>1,37E+08</t>
  </si>
  <si>
    <t>8,6E+08</t>
  </si>
  <si>
    <t>4,01E+08</t>
  </si>
  <si>
    <t>1,25E+08</t>
  </si>
  <si>
    <t>5,7E+08</t>
  </si>
  <si>
    <t>8,04E+08</t>
  </si>
  <si>
    <t>2,31E+08</t>
  </si>
  <si>
    <t>5,69E+08</t>
  </si>
  <si>
    <t>0,8</t>
  </si>
  <si>
    <t>8,54E+08</t>
  </si>
  <si>
    <t>6,86E+08</t>
  </si>
  <si>
    <t>4,51</t>
  </si>
  <si>
    <t>1,93E+08</t>
  </si>
  <si>
    <t>6,18E+08</t>
  </si>
  <si>
    <t>7,38E+08</t>
  </si>
  <si>
    <t>5,68E+08</t>
  </si>
  <si>
    <t>8,44E+08</t>
  </si>
  <si>
    <t>5,8</t>
  </si>
  <si>
    <t>7,5E+08</t>
  </si>
  <si>
    <t>4,56E+08</t>
  </si>
  <si>
    <t>2,75</t>
  </si>
  <si>
    <t>1,51E+08</t>
  </si>
  <si>
    <t>5,21</t>
  </si>
  <si>
    <t>5,08</t>
  </si>
  <si>
    <t>2,24E+08</t>
  </si>
  <si>
    <t>0,01</t>
  </si>
  <si>
    <t>1,27E+08</t>
  </si>
  <si>
    <t>2,09</t>
  </si>
  <si>
    <t>9,03E+08</t>
  </si>
  <si>
    <t>1,03E+08</t>
  </si>
  <si>
    <t>1,1E+09</t>
  </si>
  <si>
    <t>1,09E+09</t>
  </si>
  <si>
    <t>5,42E+08</t>
  </si>
  <si>
    <t>1,08E+09</t>
  </si>
  <si>
    <t>5,47E+08</t>
  </si>
  <si>
    <t>5,43E+08</t>
  </si>
  <si>
    <t>3,39E+08</t>
  </si>
  <si>
    <t>0,45</t>
  </si>
  <si>
    <t>0,46</t>
  </si>
  <si>
    <t>0,49</t>
  </si>
  <si>
    <t>7,31E+08</t>
  </si>
  <si>
    <t>6,59E+08</t>
  </si>
  <si>
    <t>0,08</t>
  </si>
  <si>
    <t>5,62E+08</t>
  </si>
  <si>
    <t>4,51E+08</t>
  </si>
  <si>
    <t>8,42E+08</t>
  </si>
  <si>
    <t>1,38</t>
  </si>
  <si>
    <t>6,72E+08</t>
  </si>
  <si>
    <t>3,25E+08</t>
  </si>
  <si>
    <t>3,75</t>
  </si>
  <si>
    <t>8,25E+08</t>
  </si>
  <si>
    <t>5,88E+08</t>
  </si>
  <si>
    <t>0,44</t>
  </si>
  <si>
    <t>2,2</t>
  </si>
  <si>
    <t>6,07E+08</t>
  </si>
  <si>
    <t>0,7</t>
  </si>
  <si>
    <t>7,28E+08</t>
  </si>
  <si>
    <t>9,12E+08</t>
  </si>
  <si>
    <t>6,06E+08</t>
  </si>
  <si>
    <t>7,88E+08</t>
  </si>
  <si>
    <t>0,11</t>
  </si>
  <si>
    <t>0,02</t>
  </si>
  <si>
    <t>1,03E+09</t>
  </si>
  <si>
    <t>0,71</t>
  </si>
  <si>
    <t>3,05E+08</t>
  </si>
  <si>
    <t>-0,35</t>
  </si>
  <si>
    <t>1,76E+08</t>
  </si>
  <si>
    <t>5,93E+08</t>
  </si>
  <si>
    <t>9,16E+08</t>
  </si>
  <si>
    <t>1,19E+08</t>
  </si>
  <si>
    <t>5,92E+08</t>
  </si>
  <si>
    <t>0,03</t>
  </si>
  <si>
    <t>-0,4</t>
  </si>
  <si>
    <t>1,19E+09</t>
  </si>
  <si>
    <t>5,81E+08</t>
  </si>
  <si>
    <t>0,35</t>
  </si>
  <si>
    <t>0,4</t>
  </si>
  <si>
    <t>3,47E+08</t>
  </si>
  <si>
    <t>1,16E+09</t>
  </si>
  <si>
    <t>0,05</t>
  </si>
  <si>
    <t>2,72</t>
  </si>
  <si>
    <t>0,16</t>
  </si>
  <si>
    <t>-0,16</t>
  </si>
  <si>
    <t>5,58E+08</t>
  </si>
  <si>
    <t>0,42</t>
  </si>
  <si>
    <t>1,45E+08</t>
  </si>
  <si>
    <t>8,31E+08</t>
  </si>
  <si>
    <t>9,27E+08</t>
  </si>
  <si>
    <t>5,45E+08</t>
  </si>
  <si>
    <t>1,1</t>
  </si>
  <si>
    <t>4,2</t>
  </si>
  <si>
    <t>1,28E+09</t>
  </si>
  <si>
    <t>2,45</t>
  </si>
  <si>
    <t>1,6E+09</t>
  </si>
  <si>
    <t>1,35E+09</t>
  </si>
  <si>
    <t>4,08E+08</t>
  </si>
  <si>
    <t>9,49E+08</t>
  </si>
  <si>
    <t>8,13E+08</t>
  </si>
  <si>
    <t>6,78E+08</t>
  </si>
  <si>
    <t>3,68</t>
  </si>
  <si>
    <t>1,37E+09</t>
  </si>
  <si>
    <t>6,83E+08</t>
  </si>
  <si>
    <t>0,66</t>
  </si>
  <si>
    <t>3,01</t>
  </si>
  <si>
    <t>2,05E+08</t>
  </si>
  <si>
    <t>1,68E+08</t>
  </si>
  <si>
    <t>1,36E+09</t>
  </si>
  <si>
    <t>1,2</t>
  </si>
  <si>
    <t>1,84E+08</t>
  </si>
  <si>
    <t>1,52</t>
  </si>
  <si>
    <t>5,25</t>
  </si>
  <si>
    <t>1,95E+09</t>
  </si>
  <si>
    <t>0,78</t>
  </si>
  <si>
    <t>9,5E+08</t>
  </si>
  <si>
    <t>7,46E+08</t>
  </si>
  <si>
    <t>1,3</t>
  </si>
  <si>
    <t>6,21E+08</t>
  </si>
  <si>
    <t>1,66E+09</t>
  </si>
  <si>
    <t>1,13E+09</t>
  </si>
  <si>
    <t>3,41E+08</t>
  </si>
  <si>
    <t>1,49</t>
  </si>
  <si>
    <t>5,36E+08</t>
  </si>
  <si>
    <t>7,9E+08</t>
  </si>
  <si>
    <t>7,51E+08</t>
  </si>
  <si>
    <t>1,39E+09</t>
  </si>
  <si>
    <t>6,73E+08</t>
  </si>
  <si>
    <t>5,51E+08</t>
  </si>
  <si>
    <t>6,76E+08</t>
  </si>
  <si>
    <t>3,42E+08</t>
  </si>
  <si>
    <t>6,84E+08</t>
  </si>
  <si>
    <t>7,98E+08</t>
  </si>
  <si>
    <t>8,47E+08</t>
  </si>
  <si>
    <t>5,76E+08</t>
  </si>
  <si>
    <t>3,28E+08</t>
  </si>
  <si>
    <t>7,43E+08</t>
  </si>
  <si>
    <t>6,8E+08</t>
  </si>
  <si>
    <t>7,93E+08</t>
  </si>
  <si>
    <t>9,07E+08</t>
  </si>
  <si>
    <t>1,4E+09</t>
  </si>
  <si>
    <t>1,29E+09</t>
  </si>
  <si>
    <t>2,25</t>
  </si>
  <si>
    <t>2,8</t>
  </si>
  <si>
    <t>3,18</t>
  </si>
  <si>
    <t>3,5E+09</t>
  </si>
  <si>
    <t>3,15</t>
  </si>
  <si>
    <t>4,1</t>
  </si>
  <si>
    <t>1,65E+09</t>
  </si>
  <si>
    <t>8,24E+08</t>
  </si>
  <si>
    <t>7,01E+08</t>
  </si>
  <si>
    <t>1,12E+09</t>
  </si>
  <si>
    <t>3,96E+08</t>
  </si>
  <si>
    <t>9,55E+08</t>
  </si>
  <si>
    <t>1,01E+09</t>
  </si>
  <si>
    <t>6,71E+08</t>
  </si>
  <si>
    <t>4,4E+08</t>
  </si>
  <si>
    <t>3,35E+08</t>
  </si>
  <si>
    <t>1,07E+09</t>
  </si>
  <si>
    <t>8,48E+08</t>
  </si>
  <si>
    <t>8,95E+08</t>
  </si>
  <si>
    <t>5,65E+08</t>
  </si>
  <si>
    <t>8,53E+08</t>
  </si>
  <si>
    <t>9,98E+08</t>
  </si>
  <si>
    <t>7,12E+08</t>
  </si>
  <si>
    <t>0,13</t>
  </si>
  <si>
    <t>0,95</t>
  </si>
  <si>
    <t>2,75E+08</t>
  </si>
  <si>
    <t>0,07</t>
  </si>
  <si>
    <t>1,94E+08</t>
  </si>
  <si>
    <t>1,11E+08</t>
  </si>
  <si>
    <t>5,55E+08</t>
  </si>
  <si>
    <t>5,53E+08</t>
  </si>
  <si>
    <t>1,32E+08</t>
  </si>
  <si>
    <t>9,79E+08</t>
  </si>
  <si>
    <t>4,68E+08</t>
  </si>
  <si>
    <t>5,52E+08</t>
  </si>
  <si>
    <t>7,75E+08</t>
  </si>
  <si>
    <t>6,64E+08</t>
  </si>
  <si>
    <t>1,81E+08</t>
  </si>
  <si>
    <t>1,23</t>
  </si>
  <si>
    <t>8,26E+08</t>
  </si>
  <si>
    <t>6,14E+08</t>
  </si>
  <si>
    <t>4,3E+08</t>
  </si>
  <si>
    <t>5,49E+08</t>
  </si>
  <si>
    <t>1,64E+08</t>
  </si>
  <si>
    <t>8,29E+08</t>
  </si>
  <si>
    <t>5,6E+08</t>
  </si>
  <si>
    <t>2,9</t>
  </si>
  <si>
    <t>5,18</t>
  </si>
  <si>
    <t>5,57E+08</t>
  </si>
  <si>
    <t>2,84E+08</t>
  </si>
  <si>
    <t>4,45</t>
  </si>
  <si>
    <t>(Multiple Items)</t>
  </si>
  <si>
    <t>TRUE</t>
  </si>
  <si>
    <t>*N.S. = Not Specified</t>
  </si>
  <si>
    <t>∑¥</t>
  </si>
  <si>
    <t xml:space="preserve">UP TO 25 BPS </t>
  </si>
  <si>
    <t>Hapag-Lloyd's offering includes a potential 25bp coupon step-up, as well as a call price increase,</t>
  </si>
  <si>
    <t>targets that include improving access to medicines in low- and middle-income countries (LMICs) and reducing greenhouse gas (GHG) emissions.</t>
  </si>
  <si>
    <t xml:space="preserve">GHG EMISSIONS SCOPE 1&amp;2 </t>
  </si>
  <si>
    <t>Row Labels</t>
  </si>
  <si>
    <t>Sum of Amt Issued</t>
  </si>
  <si>
    <t>PERPETUAL/CALL</t>
  </si>
  <si>
    <t>TOTAL</t>
  </si>
  <si>
    <t># SLBs</t>
  </si>
  <si>
    <t>USD (billions)</t>
  </si>
  <si>
    <t>% (USD billions)</t>
  </si>
  <si>
    <t>f</t>
  </si>
  <si>
    <t>Multiple options</t>
  </si>
  <si>
    <t>yes</t>
  </si>
  <si>
    <t>Less/More than25?</t>
  </si>
  <si>
    <t>Step-up: &gt;25bps</t>
  </si>
  <si>
    <t>Step-up: &lt;25bps</t>
  </si>
  <si>
    <t>Step-up: 25bps</t>
  </si>
  <si>
    <t>No information</t>
  </si>
  <si>
    <t>Step-up &amp; down</t>
  </si>
  <si>
    <t>Cumulative step-up</t>
  </si>
  <si>
    <t>%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</si>
</sst>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0"/>
    <numFmt numFmtId="166" formatCode="yyyy\-mm\-dd"/>
    <numFmt numFmtId="167" formatCode="0.000"/>
    <numFmt numFmtId="168" formatCode="0.0%"/>
    <numFmt numFmtId="171" formatCode="0.0\ %"/>
    <numFmt numFmtId="174" formatCode="0.0"/>
  </numFmts>
  <fonts count="21" x14ac:knownFonts="1">
    <font>
      <sz val="11"/>
      <color theme="1"/>
      <name val="Calibri"/>
      <scheme val="minor"/>
    </font>
    <font>
      <b/>
      <sz val="11"/>
      <color theme="1"/>
      <name val="Calibri"/>
      <family val="2"/>
    </font>
    <font>
      <sz val="11"/>
      <color theme="1"/>
      <name val="Calibri"/>
      <family val="2"/>
    </font>
    <font>
      <sz val="11"/>
      <color rgb="FF000000"/>
      <name val="Calibri"/>
      <family val="2"/>
    </font>
    <font>
      <sz val="11"/>
      <color rgb="FF9C5700"/>
      <name val="Calibri"/>
      <family val="2"/>
    </font>
    <font>
      <sz val="12"/>
      <color rgb="FF000000"/>
      <name val="Calibri"/>
      <family val="2"/>
    </font>
    <font>
      <b/>
      <sz val="11"/>
      <color rgb="FF000000"/>
      <name val="Calibri"/>
      <family val="2"/>
    </font>
    <font>
      <b/>
      <sz val="11"/>
      <color rgb="FFFFFFFF"/>
      <name val="Calibri"/>
      <family val="2"/>
    </font>
    <font>
      <sz val="11"/>
      <color rgb="FF000000"/>
      <name val="Calibri"/>
      <family val="2"/>
      <scheme val="minor"/>
    </font>
    <font>
      <sz val="11"/>
      <color theme="1"/>
      <name val="Calibri"/>
      <family val="2"/>
      <scheme val="minor"/>
    </font>
    <font>
      <b/>
      <sz val="11"/>
      <color theme="1"/>
      <name val="Calibri"/>
      <family val="2"/>
      <scheme val="minor"/>
    </font>
    <font>
      <i/>
      <sz val="10"/>
      <color theme="1"/>
      <name val="Calibri"/>
      <family val="2"/>
      <scheme val="minor"/>
    </font>
    <font>
      <sz val="10"/>
      <color theme="1"/>
      <name val="Calibri"/>
      <family val="2"/>
      <scheme val="minor"/>
    </font>
    <font>
      <sz val="11"/>
      <color theme="1"/>
      <name val="Calibri"/>
      <scheme val="minor"/>
    </font>
    <font>
      <sz val="10"/>
      <color rgb="FF000000"/>
      <name val="Tahoma"/>
      <family val="2"/>
    </font>
    <font>
      <b/>
      <sz val="10"/>
      <color rgb="FF000000"/>
      <name val="Tahoma"/>
      <family val="2"/>
    </font>
    <font>
      <sz val="11"/>
      <color rgb="FF000000"/>
      <name val="Helvetica"/>
      <family val="2"/>
    </font>
    <font>
      <sz val="10"/>
      <color rgb="FF000000"/>
      <name val="Calibri"/>
      <family val="2"/>
      <scheme val="minor"/>
    </font>
    <font>
      <b/>
      <sz val="10"/>
      <color rgb="FF000000"/>
      <name val="Calibri"/>
      <family val="2"/>
      <scheme val="minor"/>
    </font>
    <font>
      <sz val="12"/>
      <color rgb="FF00567A"/>
      <name val="Calibri"/>
      <family val="2"/>
    </font>
    <font>
      <i/>
      <sz val="11"/>
      <color rgb="FF000000"/>
      <name val="Calibri"/>
      <family val="2"/>
    </font>
  </fonts>
  <fills count="12">
    <fill>
      <patternFill patternType="none"/>
    </fill>
    <fill>
      <patternFill patternType="gray125"/>
    </fill>
    <fill>
      <patternFill patternType="solid">
        <fgColor theme="4"/>
        <bgColor theme="4"/>
      </patternFill>
    </fill>
    <fill>
      <patternFill patternType="solid">
        <fgColor rgb="FFFF0000"/>
        <bgColor rgb="FFFF0000"/>
      </patternFill>
    </fill>
    <fill>
      <patternFill patternType="solid">
        <fgColor rgb="FFFFEB9C"/>
        <bgColor rgb="FFFFEB9C"/>
      </patternFill>
    </fill>
    <fill>
      <patternFill patternType="solid">
        <fgColor rgb="FF4A86E8"/>
        <bgColor rgb="FF4A86E8"/>
      </patternFill>
    </fill>
    <fill>
      <patternFill patternType="solid">
        <fgColor rgb="FF4F81BD"/>
        <bgColor rgb="FF4F81BD"/>
      </patternFill>
    </fill>
    <fill>
      <patternFill patternType="solid">
        <fgColor rgb="FFFFC7CE"/>
        <bgColor rgb="FFFFC7CE"/>
      </patternFill>
    </fill>
    <fill>
      <patternFill patternType="solid">
        <fgColor theme="7" tint="0.79998168889431442"/>
        <bgColor indexed="64"/>
      </patternFill>
    </fill>
    <fill>
      <patternFill patternType="solid">
        <fgColor theme="7" tint="0.79998168889431442"/>
        <bgColor rgb="FFFF0000"/>
      </patternFill>
    </fill>
    <fill>
      <patternFill patternType="solid">
        <fgColor theme="7" tint="0.79998168889431442"/>
        <bgColor theme="4"/>
      </patternFill>
    </fill>
    <fill>
      <patternFill patternType="solid">
        <fgColor theme="0"/>
        <bgColor indexed="64"/>
      </patternFill>
    </fill>
  </fills>
  <borders count="2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999999"/>
      </left>
      <right/>
      <top/>
      <bottom/>
      <diagonal/>
    </border>
    <border>
      <left style="thin">
        <color rgb="FF999999"/>
      </left>
      <right style="thin">
        <color rgb="FF999999"/>
      </right>
      <top/>
      <bottom/>
      <diagonal/>
    </border>
    <border>
      <left style="thin">
        <color rgb="FF000000"/>
      </left>
      <right style="thin">
        <color rgb="FF000000"/>
      </right>
      <top/>
      <bottom style="thin">
        <color rgb="FF000000"/>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bottom style="thin">
        <color rgb="FF000000"/>
      </bottom>
      <diagonal/>
    </border>
    <border>
      <left style="thin">
        <color rgb="FF999999"/>
      </left>
      <right style="thin">
        <color rgb="FF999999"/>
      </right>
      <top/>
      <bottom style="thin">
        <color rgb="FF000000"/>
      </bottom>
      <diagonal/>
    </border>
    <border>
      <left style="thin">
        <color rgb="FF000000"/>
      </left>
      <right/>
      <top style="thin">
        <color rgb="FF000000"/>
      </top>
      <bottom/>
      <diagonal/>
    </border>
    <border>
      <left style="thin">
        <color rgb="FF999999"/>
      </left>
      <right style="thin">
        <color rgb="FF000000"/>
      </right>
      <top style="thin">
        <color rgb="FF000000"/>
      </top>
      <bottom/>
      <diagonal/>
    </border>
    <border>
      <left style="thin">
        <color rgb="FF000000"/>
      </left>
      <right/>
      <top style="thin">
        <color rgb="FF999999"/>
      </top>
      <bottom/>
      <diagonal/>
    </border>
    <border>
      <left style="thin">
        <color rgb="FF999999"/>
      </left>
      <right style="thin">
        <color rgb="FF000000"/>
      </right>
      <top style="thin">
        <color rgb="FF999999"/>
      </top>
      <bottom/>
      <diagonal/>
    </border>
    <border>
      <left style="thin">
        <color rgb="FF000000"/>
      </left>
      <right/>
      <top/>
      <bottom/>
      <diagonal/>
    </border>
    <border>
      <left style="thin">
        <color rgb="FF999999"/>
      </left>
      <right style="thin">
        <color rgb="FF000000"/>
      </right>
      <top/>
      <bottom/>
      <diagonal/>
    </border>
    <border>
      <left style="thin">
        <color rgb="FF000000"/>
      </left>
      <right/>
      <top/>
      <bottom style="thin">
        <color rgb="FF000000"/>
      </bottom>
      <diagonal/>
    </border>
    <border>
      <left style="thin">
        <color rgb="FF999999"/>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medium">
        <color indexed="64"/>
      </bottom>
      <diagonal/>
    </border>
    <border>
      <left/>
      <right/>
      <top style="medium">
        <color indexed="64"/>
      </top>
      <bottom style="thin">
        <color indexed="64"/>
      </bottom>
      <diagonal/>
    </border>
    <border>
      <left/>
      <right/>
      <top style="thin">
        <color rgb="FF000000"/>
      </top>
      <bottom style="medium">
        <color indexed="64"/>
      </bottom>
      <diagonal/>
    </border>
  </borders>
  <cellStyleXfs count="2">
    <xf numFmtId="0" fontId="0" fillId="0" borderId="0"/>
    <xf numFmtId="9" fontId="13" fillId="0" borderId="0" applyFont="0" applyFill="0" applyBorder="0" applyAlignment="0" applyProtection="0"/>
  </cellStyleXfs>
  <cellXfs count="132">
    <xf numFmtId="0" fontId="0" fillId="0" borderId="0" xfId="0" applyFont="1" applyAlignment="1"/>
    <xf numFmtId="0" fontId="1" fillId="0" borderId="0" xfId="0" applyFont="1"/>
    <xf numFmtId="0" fontId="2" fillId="0" borderId="0" xfId="0" applyFont="1"/>
    <xf numFmtId="0" fontId="2" fillId="2" borderId="1" xfId="0" applyFont="1" applyFill="1" applyBorder="1"/>
    <xf numFmtId="0" fontId="2" fillId="3" borderId="1" xfId="0" applyFont="1" applyFill="1" applyBorder="1"/>
    <xf numFmtId="0" fontId="3" fillId="0" borderId="0" xfId="0" applyFont="1" applyAlignment="1">
      <alignment horizontal="right"/>
    </xf>
    <xf numFmtId="0" fontId="3" fillId="0" borderId="0" xfId="0" applyFont="1"/>
    <xf numFmtId="0" fontId="3" fillId="0" borderId="0" xfId="0" applyFont="1" applyAlignment="1">
      <alignment horizontal="left"/>
    </xf>
    <xf numFmtId="0" fontId="2" fillId="4" borderId="1" xfId="0" applyFont="1" applyFill="1" applyBorder="1"/>
    <xf numFmtId="0" fontId="4" fillId="4" borderId="1" xfId="0" applyFont="1" applyFill="1" applyBorder="1"/>
    <xf numFmtId="0" fontId="3" fillId="4" borderId="1" xfId="0" applyFont="1" applyFill="1" applyBorder="1"/>
    <xf numFmtId="0" fontId="6" fillId="0" borderId="0" xfId="0" applyFont="1"/>
    <xf numFmtId="0" fontId="2" fillId="5" borderId="1" xfId="0" applyFont="1" applyFill="1" applyBorder="1"/>
    <xf numFmtId="0" fontId="2" fillId="0" borderId="0" xfId="0" quotePrefix="1" applyFont="1"/>
    <xf numFmtId="14" fontId="2" fillId="0" borderId="0" xfId="0" applyNumberFormat="1" applyFont="1"/>
    <xf numFmtId="165" fontId="2" fillId="0" borderId="0" xfId="0" applyNumberFormat="1" applyFont="1"/>
    <xf numFmtId="0" fontId="7" fillId="6" borderId="1" xfId="0" applyFont="1" applyFill="1" applyBorder="1"/>
    <xf numFmtId="166" fontId="3" fillId="0" borderId="0" xfId="0" applyNumberFormat="1" applyFont="1"/>
    <xf numFmtId="4" fontId="3" fillId="0" borderId="0" xfId="0" applyNumberFormat="1" applyFont="1" applyAlignment="1">
      <alignment horizontal="right"/>
    </xf>
    <xf numFmtId="4" fontId="2" fillId="0" borderId="0" xfId="0" applyNumberFormat="1" applyFont="1"/>
    <xf numFmtId="0" fontId="2" fillId="0" borderId="2" xfId="0" applyFont="1" applyBorder="1"/>
    <xf numFmtId="0" fontId="1" fillId="0" borderId="2" xfId="0" applyFont="1" applyBorder="1" applyAlignment="1">
      <alignment horizontal="center" vertical="top"/>
    </xf>
    <xf numFmtId="0" fontId="2" fillId="0" borderId="0" xfId="0" applyFont="1" applyAlignment="1">
      <alignment horizontal="right"/>
    </xf>
    <xf numFmtId="0" fontId="2" fillId="0" borderId="3" xfId="0" applyFont="1" applyBorder="1"/>
    <xf numFmtId="0" fontId="2" fillId="0" borderId="4" xfId="0" applyFont="1" applyBorder="1"/>
    <xf numFmtId="0" fontId="2" fillId="0" borderId="2" xfId="0" applyFont="1" applyBorder="1" applyAlignment="1"/>
    <xf numFmtId="0" fontId="2" fillId="0" borderId="5" xfId="0" applyFont="1" applyBorder="1"/>
    <xf numFmtId="167" fontId="2" fillId="0" borderId="5" xfId="0" applyNumberFormat="1" applyFont="1" applyBorder="1"/>
    <xf numFmtId="0" fontId="2" fillId="0" borderId="6" xfId="0" applyFont="1" applyBorder="1"/>
    <xf numFmtId="167" fontId="2" fillId="0" borderId="6" xfId="0" applyNumberFormat="1" applyFont="1" applyBorder="1"/>
    <xf numFmtId="0" fontId="2" fillId="0" borderId="7" xfId="0" applyFont="1" applyBorder="1"/>
    <xf numFmtId="0" fontId="2" fillId="0" borderId="8" xfId="0" applyFont="1" applyBorder="1"/>
    <xf numFmtId="0" fontId="2" fillId="0" borderId="9" xfId="0" applyFont="1" applyBorder="1"/>
    <xf numFmtId="0" fontId="8" fillId="0" borderId="0" xfId="0" applyFont="1"/>
    <xf numFmtId="168" fontId="9" fillId="0" borderId="0" xfId="0" applyNumberFormat="1" applyFont="1"/>
    <xf numFmtId="167" fontId="2" fillId="0" borderId="6" xfId="0" applyNumberFormat="1" applyFont="1" applyBorder="1" applyAlignment="1">
      <alignment horizontal="right"/>
    </xf>
    <xf numFmtId="0" fontId="9" fillId="0" borderId="0" xfId="0" applyFont="1"/>
    <xf numFmtId="167" fontId="2" fillId="0" borderId="9" xfId="0" applyNumberFormat="1" applyFont="1" applyBorder="1" applyAlignment="1">
      <alignment horizontal="right"/>
    </xf>
    <xf numFmtId="167" fontId="2" fillId="0" borderId="8" xfId="0" applyNumberFormat="1" applyFont="1" applyBorder="1"/>
    <xf numFmtId="0" fontId="2" fillId="0" borderId="12" xfId="0" applyFont="1" applyBorder="1"/>
    <xf numFmtId="0" fontId="2" fillId="0" borderId="13" xfId="0" applyFont="1" applyBorder="1"/>
    <xf numFmtId="167" fontId="2" fillId="0" borderId="13" xfId="0" applyNumberFormat="1" applyFont="1" applyBorder="1"/>
    <xf numFmtId="0" fontId="2" fillId="0" borderId="14" xfId="0" applyFont="1" applyBorder="1"/>
    <xf numFmtId="0" fontId="2" fillId="0" borderId="15" xfId="0" applyFont="1" applyBorder="1"/>
    <xf numFmtId="0" fontId="2" fillId="0" borderId="16" xfId="0" applyFont="1" applyBorder="1"/>
    <xf numFmtId="167" fontId="2" fillId="0" borderId="17" xfId="0" applyNumberFormat="1" applyFont="1" applyBorder="1"/>
    <xf numFmtId="0" fontId="2" fillId="0" borderId="18" xfId="0" applyFont="1" applyBorder="1"/>
    <xf numFmtId="167" fontId="2" fillId="0" borderId="19" xfId="0" applyNumberFormat="1" applyFont="1" applyBorder="1"/>
    <xf numFmtId="0" fontId="2" fillId="0" borderId="20" xfId="0" applyFont="1" applyBorder="1"/>
    <xf numFmtId="167" fontId="2" fillId="0" borderId="21" xfId="0" applyNumberFormat="1" applyFont="1" applyBorder="1"/>
    <xf numFmtId="0" fontId="2" fillId="0" borderId="15" xfId="0" applyFont="1" applyBorder="1" applyAlignment="1">
      <alignment horizontal="right"/>
    </xf>
    <xf numFmtId="0" fontId="2" fillId="0" borderId="19" xfId="0" applyFont="1" applyBorder="1" applyAlignment="1">
      <alignment horizontal="right"/>
    </xf>
    <xf numFmtId="0" fontId="2" fillId="0" borderId="19" xfId="0" applyFont="1" applyBorder="1"/>
    <xf numFmtId="0" fontId="2" fillId="0" borderId="21" xfId="0" applyFont="1" applyBorder="1"/>
    <xf numFmtId="0" fontId="2" fillId="0" borderId="22" xfId="0" applyFont="1" applyBorder="1"/>
    <xf numFmtId="0" fontId="2" fillId="0" borderId="23" xfId="0" applyFont="1" applyBorder="1"/>
    <xf numFmtId="168" fontId="2" fillId="0" borderId="23" xfId="0" applyNumberFormat="1" applyFont="1" applyBorder="1"/>
    <xf numFmtId="0" fontId="2" fillId="0" borderId="24" xfId="0" applyFont="1" applyBorder="1"/>
    <xf numFmtId="0" fontId="10" fillId="0" borderId="0" xfId="0" applyFont="1" applyAlignment="1"/>
    <xf numFmtId="0" fontId="9" fillId="0" borderId="0" xfId="0" applyFont="1" applyAlignment="1"/>
    <xf numFmtId="4" fontId="9" fillId="0" borderId="0" xfId="0" applyNumberFormat="1" applyFont="1"/>
    <xf numFmtId="0" fontId="2" fillId="0" borderId="0" xfId="0" applyFont="1" applyAlignment="1">
      <alignment horizontal="center"/>
    </xf>
    <xf numFmtId="3" fontId="3" fillId="0" borderId="0" xfId="0" applyNumberFormat="1" applyFont="1" applyAlignment="1">
      <alignment horizontal="right"/>
    </xf>
    <xf numFmtId="11" fontId="3" fillId="0" borderId="0" xfId="0" applyNumberFormat="1" applyFont="1" applyAlignment="1">
      <alignment horizontal="right"/>
    </xf>
    <xf numFmtId="0" fontId="3" fillId="7" borderId="1" xfId="0" applyFont="1" applyFill="1" applyBorder="1"/>
    <xf numFmtId="0" fontId="3" fillId="3" borderId="1" xfId="0" applyFont="1" applyFill="1" applyBorder="1"/>
    <xf numFmtId="0" fontId="0" fillId="0" borderId="3" xfId="0" pivotButton="1" applyFont="1" applyBorder="1" applyAlignment="1"/>
    <xf numFmtId="0" fontId="0" fillId="0" borderId="4" xfId="0" applyFont="1" applyBorder="1" applyAlignment="1"/>
    <xf numFmtId="0" fontId="0" fillId="0" borderId="3" xfId="0" applyFont="1" applyBorder="1" applyAlignment="1"/>
    <xf numFmtId="0" fontId="0" fillId="0" borderId="4" xfId="0" applyNumberFormat="1" applyFont="1" applyBorder="1" applyAlignment="1"/>
    <xf numFmtId="0" fontId="0" fillId="0" borderId="7" xfId="0" applyFont="1" applyBorder="1" applyAlignment="1"/>
    <xf numFmtId="0" fontId="0" fillId="0" borderId="8" xfId="0" applyNumberFormat="1" applyFont="1" applyBorder="1" applyAlignment="1"/>
    <xf numFmtId="0" fontId="0" fillId="0" borderId="10" xfId="0" applyFont="1" applyBorder="1" applyAlignment="1"/>
    <xf numFmtId="0" fontId="0" fillId="0" borderId="11" xfId="0" applyNumberFormat="1" applyFont="1" applyBorder="1" applyAlignment="1"/>
    <xf numFmtId="0" fontId="0" fillId="0" borderId="11" xfId="0" pivotButton="1" applyFont="1" applyBorder="1" applyAlignment="1"/>
    <xf numFmtId="0" fontId="0" fillId="0" borderId="11" xfId="0" applyFont="1" applyBorder="1" applyAlignment="1"/>
    <xf numFmtId="0" fontId="12" fillId="0" borderId="0" xfId="0" applyFont="1" applyAlignment="1">
      <alignment horizontal="right"/>
    </xf>
    <xf numFmtId="0" fontId="11" fillId="0" borderId="0" xfId="0" applyFont="1" applyAlignment="1">
      <alignment horizontal="left"/>
    </xf>
    <xf numFmtId="0" fontId="1" fillId="0" borderId="0" xfId="0" applyFont="1" applyFill="1"/>
    <xf numFmtId="0" fontId="2" fillId="0" borderId="0" xfId="0" applyFont="1" applyFill="1"/>
    <xf numFmtId="0" fontId="0" fillId="0" borderId="0" xfId="0" applyFont="1" applyFill="1" applyAlignment="1"/>
    <xf numFmtId="0" fontId="2" fillId="0" borderId="1" xfId="0" applyFont="1" applyFill="1" applyBorder="1"/>
    <xf numFmtId="0" fontId="3" fillId="0" borderId="0" xfId="0" applyFont="1" applyFill="1"/>
    <xf numFmtId="0" fontId="3" fillId="0" borderId="0" xfId="0" applyFont="1" applyFill="1" applyAlignment="1">
      <alignment horizontal="right"/>
    </xf>
    <xf numFmtId="0" fontId="3" fillId="0" borderId="0" xfId="0" applyFont="1" applyFill="1" applyAlignment="1">
      <alignment horizontal="left"/>
    </xf>
    <xf numFmtId="0" fontId="2" fillId="8" borderId="0" xfId="0" applyFont="1" applyFill="1"/>
    <xf numFmtId="0" fontId="2" fillId="8" borderId="1" xfId="0" applyFont="1" applyFill="1" applyBorder="1"/>
    <xf numFmtId="0" fontId="3" fillId="8" borderId="0" xfId="0" applyFont="1" applyFill="1"/>
    <xf numFmtId="0" fontId="3" fillId="8" borderId="0" xfId="0" applyFont="1" applyFill="1" applyAlignment="1">
      <alignment horizontal="right"/>
    </xf>
    <xf numFmtId="0" fontId="3" fillId="8" borderId="0" xfId="0" applyFont="1" applyFill="1" applyAlignment="1">
      <alignment horizontal="left"/>
    </xf>
    <xf numFmtId="0" fontId="0" fillId="8" borderId="0" xfId="0" applyFont="1" applyFill="1" applyAlignment="1"/>
    <xf numFmtId="0" fontId="2" fillId="9" borderId="1" xfId="0" applyFont="1" applyFill="1" applyBorder="1"/>
    <xf numFmtId="0" fontId="2" fillId="10" borderId="1" xfId="0" applyFont="1" applyFill="1" applyBorder="1"/>
    <xf numFmtId="1" fontId="2" fillId="0" borderId="0" xfId="0" applyNumberFormat="1" applyFont="1" applyFill="1"/>
    <xf numFmtId="0" fontId="16" fillId="0" borderId="0" xfId="0" applyFont="1" applyFill="1" applyAlignment="1"/>
    <xf numFmtId="0" fontId="5" fillId="0" borderId="0" xfId="0" applyFont="1" applyFill="1"/>
    <xf numFmtId="0" fontId="19" fillId="0" borderId="0" xfId="0" applyFont="1" applyFill="1" applyAlignment="1"/>
    <xf numFmtId="164" fontId="2" fillId="0" borderId="1" xfId="0" applyNumberFormat="1" applyFont="1" applyFill="1" applyBorder="1"/>
    <xf numFmtId="0" fontId="4" fillId="0" borderId="1" xfId="0" applyFont="1" applyFill="1" applyBorder="1"/>
    <xf numFmtId="0" fontId="0" fillId="11" borderId="0" xfId="0" applyFont="1" applyFill="1" applyAlignment="1"/>
    <xf numFmtId="0" fontId="9" fillId="11" borderId="0" xfId="0" applyFont="1" applyFill="1" applyAlignment="1"/>
    <xf numFmtId="0" fontId="0" fillId="11" borderId="0" xfId="0" applyFont="1" applyFill="1" applyAlignment="1">
      <alignment horizontal="left"/>
    </xf>
    <xf numFmtId="0" fontId="0" fillId="11" borderId="0" xfId="0" applyNumberFormat="1" applyFont="1" applyFill="1" applyAlignment="1"/>
    <xf numFmtId="171" fontId="0" fillId="11" borderId="0" xfId="1" applyNumberFormat="1" applyFont="1" applyFill="1" applyAlignment="1"/>
    <xf numFmtId="174" fontId="0" fillId="11" borderId="0" xfId="0" applyNumberFormat="1" applyFont="1" applyFill="1" applyAlignment="1"/>
    <xf numFmtId="0" fontId="0" fillId="11" borderId="25" xfId="0" applyFont="1" applyFill="1" applyBorder="1" applyAlignment="1"/>
    <xf numFmtId="0" fontId="9" fillId="11" borderId="26" xfId="0" applyFont="1" applyFill="1" applyBorder="1" applyAlignment="1"/>
    <xf numFmtId="0" fontId="9" fillId="11" borderId="26" xfId="0" applyFont="1" applyFill="1" applyBorder="1" applyAlignment="1">
      <alignment horizontal="left"/>
    </xf>
    <xf numFmtId="0" fontId="0" fillId="11" borderId="26" xfId="0" applyFont="1" applyFill="1" applyBorder="1" applyAlignment="1"/>
    <xf numFmtId="0" fontId="10" fillId="11" borderId="25" xfId="0" applyFont="1" applyFill="1" applyBorder="1" applyAlignment="1"/>
    <xf numFmtId="174" fontId="10" fillId="11" borderId="25" xfId="0" applyNumberFormat="1" applyFont="1" applyFill="1" applyBorder="1" applyAlignment="1"/>
    <xf numFmtId="171" fontId="10" fillId="11" borderId="25" xfId="1" applyNumberFormat="1" applyFont="1" applyFill="1" applyBorder="1" applyAlignment="1"/>
    <xf numFmtId="0" fontId="9" fillId="11" borderId="26" xfId="0" applyFont="1" applyFill="1" applyBorder="1" applyAlignment="1">
      <alignment horizontal="center"/>
    </xf>
    <xf numFmtId="0" fontId="6" fillId="0" borderId="0" xfId="0" applyFont="1" applyFill="1"/>
    <xf numFmtId="0" fontId="20" fillId="0" borderId="0" xfId="0" applyFont="1" applyFill="1" applyAlignment="1">
      <alignment horizontal="right"/>
    </xf>
    <xf numFmtId="0" fontId="20" fillId="0" borderId="0" xfId="0" applyFont="1" applyAlignment="1">
      <alignment horizontal="right"/>
    </xf>
    <xf numFmtId="0" fontId="0" fillId="11" borderId="1" xfId="0" applyFont="1" applyFill="1" applyBorder="1" applyAlignment="1"/>
    <xf numFmtId="0" fontId="9" fillId="11" borderId="1" xfId="0" applyFont="1" applyFill="1" applyBorder="1" applyAlignment="1"/>
    <xf numFmtId="0" fontId="9" fillId="11" borderId="25" xfId="0" applyFont="1" applyFill="1" applyBorder="1" applyAlignment="1"/>
    <xf numFmtId="171" fontId="9" fillId="11" borderId="0" xfId="1" applyNumberFormat="1" applyFont="1" applyFill="1" applyAlignment="1"/>
    <xf numFmtId="0" fontId="9" fillId="11" borderId="26" xfId="0" applyFont="1" applyFill="1" applyBorder="1" applyAlignment="1">
      <alignment horizontal="left" indent="2"/>
    </xf>
    <xf numFmtId="0" fontId="9" fillId="11" borderId="26" xfId="0" applyFont="1" applyFill="1" applyBorder="1" applyAlignment="1">
      <alignment horizontal="right"/>
    </xf>
    <xf numFmtId="171" fontId="0" fillId="11" borderId="25" xfId="1" applyNumberFormat="1" applyFont="1" applyFill="1" applyBorder="1" applyAlignment="1"/>
    <xf numFmtId="0" fontId="0" fillId="11" borderId="0" xfId="0" applyFont="1" applyFill="1" applyAlignment="1">
      <alignment horizontal="left" indent="10"/>
    </xf>
    <xf numFmtId="0" fontId="0" fillId="11" borderId="25" xfId="0" applyFont="1" applyFill="1" applyBorder="1" applyAlignment="1">
      <alignment horizontal="left" indent="10"/>
    </xf>
    <xf numFmtId="0" fontId="9" fillId="11" borderId="26" xfId="0" applyFont="1" applyFill="1" applyBorder="1" applyAlignment="1">
      <alignment horizontal="left" indent="4"/>
    </xf>
    <xf numFmtId="0" fontId="9" fillId="0" borderId="1" xfId="0" applyFont="1" applyBorder="1"/>
    <xf numFmtId="167" fontId="9" fillId="0" borderId="1" xfId="0" applyNumberFormat="1" applyFont="1" applyBorder="1"/>
    <xf numFmtId="0" fontId="9" fillId="0" borderId="25" xfId="0" applyFont="1" applyBorder="1"/>
    <xf numFmtId="167" fontId="9" fillId="0" borderId="25" xfId="0" applyNumberFormat="1" applyFont="1" applyBorder="1"/>
    <xf numFmtId="0" fontId="0" fillId="0" borderId="27" xfId="0" applyFont="1" applyBorder="1" applyAlignment="1"/>
    <xf numFmtId="0" fontId="9" fillId="0" borderId="26" xfId="0" applyFont="1" applyBorder="1"/>
  </cellXfs>
  <cellStyles count="2">
    <cellStyle name="Normal" xfId="0" builtinId="0"/>
    <cellStyle name="Per cent" xfId="1" builtinId="5"/>
  </cellStyles>
  <dxfs count="15">
    <dxf>
      <fill>
        <patternFill patternType="solid">
          <fgColor rgb="FFF4C7C3"/>
          <bgColor rgb="FFF4C7C3"/>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000000"/>
                </a:solidFill>
                <a:latin typeface="+mn-lt"/>
              </a:defRPr>
            </a:pPr>
            <a:r>
              <a:rPr lang="en-GB" sz="1400" b="0" i="0">
                <a:solidFill>
                  <a:srgbClr val="000000"/>
                </a:solidFill>
                <a:latin typeface="+mn-lt"/>
              </a:rPr>
              <a:t>Number of bonds by country</a:t>
            </a:r>
          </a:p>
        </c:rich>
      </c:tx>
      <c:overlay val="0"/>
    </c:title>
    <c:autoTitleDeleted val="0"/>
    <c:plotArea>
      <c:layout/>
      <c:barChart>
        <c:barDir val="col"/>
        <c:grouping val="clustered"/>
        <c:varyColors val="1"/>
        <c:ser>
          <c:idx val="0"/>
          <c:order val="0"/>
          <c:tx>
            <c:v>Count</c:v>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840A-4C4F-A0BB-49AFA45D4E4F}"/>
              </c:ext>
            </c:extLst>
          </c:dPt>
          <c:dLbls>
            <c:spPr>
              <a:noFill/>
              <a:ln>
                <a:noFill/>
              </a:ln>
              <a:effectLst/>
            </c:spPr>
            <c:txPr>
              <a:bodyPr/>
              <a:lstStyle/>
              <a:p>
                <a:pPr lvl="0">
                  <a:defRPr/>
                </a:pPr>
                <a:endParaRPr lang="en-FI"/>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'All SLBs Pivot'!$D$16:$D$29</c:f>
              <c:strCache>
                <c:ptCount val="14"/>
                <c:pt idx="0">
                  <c:v>DE</c:v>
                </c:pt>
                <c:pt idx="1">
                  <c:v>NL</c:v>
                </c:pt>
                <c:pt idx="2">
                  <c:v>FR</c:v>
                </c:pt>
                <c:pt idx="3">
                  <c:v>LU</c:v>
                </c:pt>
                <c:pt idx="4">
                  <c:v>AT</c:v>
                </c:pt>
                <c:pt idx="5">
                  <c:v>IT</c:v>
                </c:pt>
                <c:pt idx="6">
                  <c:v>SE</c:v>
                </c:pt>
                <c:pt idx="7">
                  <c:v>ES</c:v>
                </c:pt>
                <c:pt idx="8">
                  <c:v>GR</c:v>
                </c:pt>
                <c:pt idx="9">
                  <c:v>IE</c:v>
                </c:pt>
                <c:pt idx="10">
                  <c:v>PL</c:v>
                </c:pt>
                <c:pt idx="11">
                  <c:v>CZ</c:v>
                </c:pt>
                <c:pt idx="12">
                  <c:v>FI</c:v>
                </c:pt>
                <c:pt idx="13">
                  <c:v>PT</c:v>
                </c:pt>
              </c:strCache>
            </c:strRef>
          </c:cat>
          <c:val>
            <c:numRef>
              <c:f>'All SLBs Pivot'!$E$16:$E$29</c:f>
              <c:numCache>
                <c:formatCode>General</c:formatCode>
                <c:ptCount val="14"/>
                <c:pt idx="0">
                  <c:v>96</c:v>
                </c:pt>
                <c:pt idx="1">
                  <c:v>48</c:v>
                </c:pt>
                <c:pt idx="2">
                  <c:v>39</c:v>
                </c:pt>
                <c:pt idx="3">
                  <c:v>31</c:v>
                </c:pt>
                <c:pt idx="4">
                  <c:v>26</c:v>
                </c:pt>
                <c:pt idx="5">
                  <c:v>21</c:v>
                </c:pt>
                <c:pt idx="6">
                  <c:v>16</c:v>
                </c:pt>
                <c:pt idx="7">
                  <c:v>3</c:v>
                </c:pt>
                <c:pt idx="8">
                  <c:v>3</c:v>
                </c:pt>
                <c:pt idx="9">
                  <c:v>3</c:v>
                </c:pt>
                <c:pt idx="10">
                  <c:v>3</c:v>
                </c:pt>
                <c:pt idx="11">
                  <c:v>1</c:v>
                </c:pt>
                <c:pt idx="12">
                  <c:v>1</c:v>
                </c:pt>
                <c:pt idx="13">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40A-4C4F-A0BB-49AFA45D4E4F}"/>
            </c:ext>
          </c:extLst>
        </c:ser>
        <c:dLbls>
          <c:showLegendKey val="0"/>
          <c:showVal val="0"/>
          <c:showCatName val="0"/>
          <c:showSerName val="0"/>
          <c:showPercent val="0"/>
          <c:showBubbleSize val="0"/>
        </c:dLbls>
        <c:gapWidth val="150"/>
        <c:axId val="1394752557"/>
        <c:axId val="364094974"/>
      </c:barChart>
      <c:catAx>
        <c:axId val="1394752557"/>
        <c:scaling>
          <c:orientation val="minMax"/>
        </c:scaling>
        <c:delete val="0"/>
        <c:axPos val="b"/>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FI"/>
          </a:p>
        </c:txPr>
        <c:crossAx val="364094974"/>
        <c:crosses val="autoZero"/>
        <c:auto val="1"/>
        <c:lblAlgn val="ctr"/>
        <c:lblOffset val="100"/>
        <c:noMultiLvlLbl val="1"/>
      </c:catAx>
      <c:valAx>
        <c:axId val="36409497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FI"/>
          </a:p>
        </c:txPr>
        <c:crossAx val="1394752557"/>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757575"/>
                </a:solidFill>
                <a:latin typeface="+mn-lt"/>
              </a:defRPr>
            </a:pPr>
            <a:r>
              <a:rPr lang="en-GB" sz="1400" b="0" i="0">
                <a:solidFill>
                  <a:srgbClr val="757575"/>
                </a:solidFill>
                <a:latin typeface="+mn-lt"/>
              </a:rPr>
              <a:t>Yield by country</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cat>
            <c:strRef>
              <c:f>'All SLBs Pivot'!$H$35:$H$46</c:f>
              <c:strCache>
                <c:ptCount val="12"/>
                <c:pt idx="0">
                  <c:v>FI</c:v>
                </c:pt>
                <c:pt idx="1">
                  <c:v>LU</c:v>
                </c:pt>
                <c:pt idx="2">
                  <c:v>AT</c:v>
                </c:pt>
                <c:pt idx="3">
                  <c:v>DE</c:v>
                </c:pt>
                <c:pt idx="4">
                  <c:v>GR</c:v>
                </c:pt>
                <c:pt idx="5">
                  <c:v>IT</c:v>
                </c:pt>
                <c:pt idx="6">
                  <c:v>SE</c:v>
                </c:pt>
                <c:pt idx="7">
                  <c:v>NL</c:v>
                </c:pt>
                <c:pt idx="8">
                  <c:v>CZ</c:v>
                </c:pt>
                <c:pt idx="9">
                  <c:v>PL</c:v>
                </c:pt>
                <c:pt idx="10">
                  <c:v>FR</c:v>
                </c:pt>
                <c:pt idx="11">
                  <c:v>IE</c:v>
                </c:pt>
              </c:strCache>
            </c:strRef>
          </c:cat>
          <c:val>
            <c:numRef>
              <c:f>'All SLBs Pivot'!$I$35:$I$46</c:f>
              <c:numCache>
                <c:formatCode>General</c:formatCode>
                <c:ptCount val="12"/>
                <c:pt idx="0">
                  <c:v>4.5</c:v>
                </c:pt>
                <c:pt idx="1">
                  <c:v>4.0470666666666668</c:v>
                </c:pt>
                <c:pt idx="2">
                  <c:v>3.4402499999999994</c:v>
                </c:pt>
                <c:pt idx="3">
                  <c:v>3.0762499999999995</c:v>
                </c:pt>
                <c:pt idx="4">
                  <c:v>2.9683333333333337</c:v>
                </c:pt>
                <c:pt idx="5">
                  <c:v>2.749222222222222</c:v>
                </c:pt>
                <c:pt idx="6">
                  <c:v>2.7462307692307695</c:v>
                </c:pt>
                <c:pt idx="7">
                  <c:v>2.3560888888888893</c:v>
                </c:pt>
                <c:pt idx="8">
                  <c:v>2.2850000000000001</c:v>
                </c:pt>
                <c:pt idx="9">
                  <c:v>2.012</c:v>
                </c:pt>
                <c:pt idx="10">
                  <c:v>1.744230769230769</c:v>
                </c:pt>
                <c:pt idx="11">
                  <c:v>1.5863333333333332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285-2D43-93EA-BCB07B10C268}"/>
            </c:ext>
          </c:extLst>
        </c:ser>
        <c:dLbls>
          <c:showLegendKey val="0"/>
          <c:showVal val="0"/>
          <c:showCatName val="0"/>
          <c:showSerName val="0"/>
          <c:showPercent val="0"/>
          <c:showBubbleSize val="0"/>
        </c:dLbls>
        <c:gapWidth val="150"/>
        <c:axId val="422214532"/>
        <c:axId val="475184853"/>
      </c:barChart>
      <c:catAx>
        <c:axId val="422214532"/>
        <c:scaling>
          <c:orientation val="minMax"/>
        </c:scaling>
        <c:delete val="0"/>
        <c:axPos val="b"/>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FI"/>
          </a:p>
        </c:txPr>
        <c:crossAx val="475184853"/>
        <c:crosses val="autoZero"/>
        <c:auto val="1"/>
        <c:lblAlgn val="ctr"/>
        <c:lblOffset val="100"/>
        <c:noMultiLvlLbl val="1"/>
      </c:catAx>
      <c:valAx>
        <c:axId val="4751848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FI"/>
          </a:p>
        </c:txPr>
        <c:crossAx val="422214532"/>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clustered"/>
        <c:varyColors val="1"/>
        <c:ser>
          <c:idx val="0"/>
          <c:order val="0"/>
          <c:tx>
            <c:v>Count</c:v>
          </c:tx>
          <c:spPr>
            <a:solidFill>
              <a:srgbClr val="4472C4"/>
            </a:solidFill>
            <a:ln cmpd="sng">
              <a:solidFill>
                <a:srgbClr val="000000"/>
              </a:solidFill>
            </a:ln>
          </c:spPr>
          <c:invertIfNegative val="1"/>
          <c:cat>
            <c:strRef>
              <c:f>'All SLBs Pivot'!$D$32:$D$41</c:f>
              <c:strCache>
                <c:ptCount val="10"/>
                <c:pt idx="0">
                  <c:v>Industrials</c:v>
                </c:pt>
                <c:pt idx="1">
                  <c:v>Materials</c:v>
                </c:pt>
                <c:pt idx="2">
                  <c:v>Utilities</c:v>
                </c:pt>
                <c:pt idx="3">
                  <c:v>Consumer Discretionary</c:v>
                </c:pt>
                <c:pt idx="4">
                  <c:v>Financials</c:v>
                </c:pt>
                <c:pt idx="5">
                  <c:v>Consumer Staples</c:v>
                </c:pt>
                <c:pt idx="6">
                  <c:v>Energy</c:v>
                </c:pt>
                <c:pt idx="7">
                  <c:v>Health Care</c:v>
                </c:pt>
                <c:pt idx="8">
                  <c:v>Communications</c:v>
                </c:pt>
                <c:pt idx="9">
                  <c:v>Technology</c:v>
                </c:pt>
              </c:strCache>
            </c:strRef>
          </c:cat>
          <c:val>
            <c:numRef>
              <c:f>'All SLBs Pivot'!$E$32:$E$41</c:f>
              <c:numCache>
                <c:formatCode>General</c:formatCode>
                <c:ptCount val="10"/>
                <c:pt idx="0">
                  <c:v>70</c:v>
                </c:pt>
                <c:pt idx="1">
                  <c:v>57</c:v>
                </c:pt>
                <c:pt idx="2">
                  <c:v>43</c:v>
                </c:pt>
                <c:pt idx="3">
                  <c:v>37</c:v>
                </c:pt>
                <c:pt idx="4">
                  <c:v>25</c:v>
                </c:pt>
                <c:pt idx="5">
                  <c:v>23</c:v>
                </c:pt>
                <c:pt idx="6">
                  <c:v>11</c:v>
                </c:pt>
                <c:pt idx="7">
                  <c:v>10</c:v>
                </c:pt>
                <c:pt idx="8">
                  <c:v>9</c:v>
                </c:pt>
                <c:pt idx="9">
                  <c:v>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B9C-B744-946E-C5AECE8F1B74}"/>
            </c:ext>
          </c:extLst>
        </c:ser>
        <c:dLbls>
          <c:showLegendKey val="0"/>
          <c:showVal val="0"/>
          <c:showCatName val="0"/>
          <c:showSerName val="0"/>
          <c:showPercent val="0"/>
          <c:showBubbleSize val="0"/>
        </c:dLbls>
        <c:gapWidth val="150"/>
        <c:axId val="2017819613"/>
        <c:axId val="870217037"/>
      </c:barChart>
      <c:catAx>
        <c:axId val="2017819613"/>
        <c:scaling>
          <c:orientation val="minMax"/>
        </c:scaling>
        <c:delete val="0"/>
        <c:axPos val="b"/>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FI"/>
          </a:p>
        </c:txPr>
        <c:crossAx val="870217037"/>
        <c:crosses val="autoZero"/>
        <c:auto val="1"/>
        <c:lblAlgn val="ctr"/>
        <c:lblOffset val="100"/>
        <c:noMultiLvlLbl val="1"/>
      </c:catAx>
      <c:valAx>
        <c:axId val="87021703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FI"/>
          </a:p>
        </c:txPr>
        <c:crossAx val="201781961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clustered"/>
        <c:varyColors val="1"/>
        <c:ser>
          <c:idx val="0"/>
          <c:order val="0"/>
          <c:tx>
            <c:v>Mean Yield</c:v>
          </c:tx>
          <c:spPr>
            <a:solidFill>
              <a:srgbClr val="4472C4"/>
            </a:solidFill>
            <a:ln cmpd="sng">
              <a:solidFill>
                <a:srgbClr val="000000"/>
              </a:solidFill>
            </a:ln>
          </c:spPr>
          <c:invertIfNegative val="1"/>
          <c:cat>
            <c:strRef>
              <c:f>'All SLBs Pivot'!$M$33:$M$42</c:f>
              <c:strCache>
                <c:ptCount val="10"/>
                <c:pt idx="0">
                  <c:v>Technology</c:v>
                </c:pt>
                <c:pt idx="1">
                  <c:v>Consumer Discretionary</c:v>
                </c:pt>
                <c:pt idx="2">
                  <c:v>Communications</c:v>
                </c:pt>
                <c:pt idx="3">
                  <c:v>Materials</c:v>
                </c:pt>
                <c:pt idx="4">
                  <c:v>Industrials</c:v>
                </c:pt>
                <c:pt idx="5">
                  <c:v>Health Care</c:v>
                </c:pt>
                <c:pt idx="6">
                  <c:v>Consumer Staples</c:v>
                </c:pt>
                <c:pt idx="7">
                  <c:v>Energy</c:v>
                </c:pt>
                <c:pt idx="8">
                  <c:v>Financials</c:v>
                </c:pt>
                <c:pt idx="9">
                  <c:v>Utilities</c:v>
                </c:pt>
              </c:strCache>
            </c:strRef>
          </c:cat>
          <c:val>
            <c:numRef>
              <c:f>'All SLBs Pivot'!$N$33:$N$42</c:f>
              <c:numCache>
                <c:formatCode>General</c:formatCode>
                <c:ptCount val="10"/>
                <c:pt idx="0">
                  <c:v>5.0054999999999996</c:v>
                </c:pt>
                <c:pt idx="1">
                  <c:v>3.9722352941176475</c:v>
                </c:pt>
                <c:pt idx="2">
                  <c:v>3.7256</c:v>
                </c:pt>
                <c:pt idx="3">
                  <c:v>3.5011142857142854</c:v>
                </c:pt>
                <c:pt idx="4">
                  <c:v>2.7535909090909083</c:v>
                </c:pt>
                <c:pt idx="5">
                  <c:v>2.7235</c:v>
                </c:pt>
                <c:pt idx="6">
                  <c:v>2.7004374999999996</c:v>
                </c:pt>
                <c:pt idx="7">
                  <c:v>2.3110000000000004</c:v>
                </c:pt>
                <c:pt idx="8">
                  <c:v>2.281166666666667</c:v>
                </c:pt>
                <c:pt idx="9">
                  <c:v>1.6892307692307691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953-C54B-8172-2D62C64B9423}"/>
            </c:ext>
          </c:extLst>
        </c:ser>
        <c:dLbls>
          <c:showLegendKey val="0"/>
          <c:showVal val="0"/>
          <c:showCatName val="0"/>
          <c:showSerName val="0"/>
          <c:showPercent val="0"/>
          <c:showBubbleSize val="0"/>
        </c:dLbls>
        <c:gapWidth val="150"/>
        <c:axId val="765632950"/>
        <c:axId val="2057744957"/>
      </c:barChart>
      <c:catAx>
        <c:axId val="765632950"/>
        <c:scaling>
          <c:orientation val="minMax"/>
        </c:scaling>
        <c:delete val="0"/>
        <c:axPos val="b"/>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FI"/>
          </a:p>
        </c:txPr>
        <c:crossAx val="2057744957"/>
        <c:crosses val="autoZero"/>
        <c:auto val="1"/>
        <c:lblAlgn val="ctr"/>
        <c:lblOffset val="100"/>
        <c:noMultiLvlLbl val="1"/>
      </c:catAx>
      <c:valAx>
        <c:axId val="20577449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FI"/>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FI"/>
          </a:p>
        </c:txPr>
        <c:crossAx val="765632950"/>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pieChart>
        <c:varyColors val="1"/>
        <c:ser>
          <c:idx val="0"/>
          <c:order val="0"/>
          <c:tx>
            <c:strRef>
              <c:f>'All SLBs Pivot'!$F$103</c:f>
              <c:strCache>
                <c:ptCount val="1"/>
                <c:pt idx="0">
                  <c:v>2</c:v>
                </c:pt>
              </c:strCache>
            </c:strRef>
          </c:tx>
          <c:dPt>
            <c:idx val="0"/>
            <c:bubble3D val="0"/>
            <c:spPr>
              <a:solidFill>
                <a:schemeClr val="accent1"/>
              </a:solidFill>
            </c:spPr>
            <c:extLst>
              <c:ext xmlns:c16="http://schemas.microsoft.com/office/drawing/2014/chart" uri="{C3380CC4-5D6E-409C-BE32-E72D297353CC}">
                <c16:uniqueId val="{00000001-DB4D-5A40-B730-750FDD407C11}"/>
              </c:ext>
            </c:extLst>
          </c:dPt>
          <c:dPt>
            <c:idx val="1"/>
            <c:bubble3D val="0"/>
            <c:spPr>
              <a:solidFill>
                <a:schemeClr val="accent2"/>
              </a:solidFill>
            </c:spPr>
            <c:extLst>
              <c:ext xmlns:c16="http://schemas.microsoft.com/office/drawing/2014/chart" uri="{C3380CC4-5D6E-409C-BE32-E72D297353CC}">
                <c16:uniqueId val="{00000003-DB4D-5A40-B730-750FDD407C11}"/>
              </c:ext>
            </c:extLst>
          </c:dPt>
          <c:dPt>
            <c:idx val="2"/>
            <c:bubble3D val="0"/>
            <c:spPr>
              <a:solidFill>
                <a:schemeClr val="accent3"/>
              </a:solidFill>
            </c:spPr>
            <c:extLst>
              <c:ext xmlns:c16="http://schemas.microsoft.com/office/drawing/2014/chart" uri="{C3380CC4-5D6E-409C-BE32-E72D297353CC}">
                <c16:uniqueId val="{00000005-DB4D-5A40-B730-750FDD407C11}"/>
              </c:ext>
            </c:extLst>
          </c:dPt>
          <c:dPt>
            <c:idx val="3"/>
            <c:bubble3D val="0"/>
            <c:spPr>
              <a:solidFill>
                <a:schemeClr val="accent4"/>
              </a:solidFill>
            </c:spPr>
            <c:extLst>
              <c:ext xmlns:c16="http://schemas.microsoft.com/office/drawing/2014/chart" uri="{C3380CC4-5D6E-409C-BE32-E72D297353CC}">
                <c16:uniqueId val="{00000007-DB4D-5A40-B730-750FDD407C11}"/>
              </c:ext>
            </c:extLst>
          </c:dPt>
          <c:dPt>
            <c:idx val="4"/>
            <c:bubble3D val="0"/>
            <c:spPr>
              <a:solidFill>
                <a:schemeClr val="accent5"/>
              </a:solidFill>
            </c:spPr>
            <c:extLst>
              <c:ext xmlns:c16="http://schemas.microsoft.com/office/drawing/2014/chart" uri="{C3380CC4-5D6E-409C-BE32-E72D297353CC}">
                <c16:uniqueId val="{00000009-DB4D-5A40-B730-750FDD407C11}"/>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'All SLBs Pivot'!$D$104:$D$108</c:f>
              <c:strCache>
                <c:ptCount val="5"/>
                <c:pt idx="0">
                  <c:v>ENVIRONMENT</c:v>
                </c:pt>
                <c:pt idx="1">
                  <c:v>ESG</c:v>
                </c:pt>
                <c:pt idx="2">
                  <c:v>ESG SCORE</c:v>
                </c:pt>
                <c:pt idx="3">
                  <c:v>SOCIAL</c:v>
                </c:pt>
                <c:pt idx="4">
                  <c:v>NA</c:v>
                </c:pt>
              </c:strCache>
            </c:strRef>
          </c:cat>
          <c:val>
            <c:numRef>
              <c:f>'All SLBs Pivot'!$F$104:$F$108</c:f>
              <c:numCache>
                <c:formatCode>0.0%</c:formatCode>
                <c:ptCount val="5"/>
                <c:pt idx="0">
                  <c:v>0.43493150684931509</c:v>
                </c:pt>
                <c:pt idx="1">
                  <c:v>9.2465753424657529E-2</c:v>
                </c:pt>
                <c:pt idx="2">
                  <c:v>0.19863013698630136</c:v>
                </c:pt>
                <c:pt idx="3">
                  <c:v>2.7397260273972601E-2</c:v>
                </c:pt>
                <c:pt idx="4">
                  <c:v>0.24657534246575341</c:v>
                </c:pt>
              </c:numCache>
            </c:numRef>
          </c:val>
          <c:extLst>
            <c:ext xmlns:c16="http://schemas.microsoft.com/office/drawing/2014/chart" uri="{C3380CC4-5D6E-409C-BE32-E72D297353CC}">
              <c16:uniqueId val="{0000000A-DB4D-5A40-B730-750FDD407C11}"/>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en-FI"/>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6</xdr:col>
      <xdr:colOff>895350</xdr:colOff>
      <xdr:row>14</xdr:row>
      <xdr:rowOff>28575</xdr:rowOff>
    </xdr:from>
    <xdr:ext cx="4000500" cy="2886075"/>
    <xdr:graphicFrame macro="">
      <xdr:nvGraphicFramePr>
        <xdr:cNvPr id="660111692" name="Chart 1" title="Chart">
          <a:extLst>
            <a:ext uri="{FF2B5EF4-FFF2-40B4-BE49-F238E27FC236}">
              <a16:creationId xmlns:a16="http://schemas.microsoft.com/office/drawing/2014/main" id="{00000000-0008-0000-0300-00004C815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438150</xdr:colOff>
      <xdr:row>14</xdr:row>
      <xdr:rowOff>85725</xdr:rowOff>
    </xdr:from>
    <xdr:ext cx="4010025" cy="2838450"/>
    <xdr:graphicFrame macro="">
      <xdr:nvGraphicFramePr>
        <xdr:cNvPr id="1704044535" name="Chart 2">
          <a:extLst>
            <a:ext uri="{FF2B5EF4-FFF2-40B4-BE49-F238E27FC236}">
              <a16:creationId xmlns:a16="http://schemas.microsoft.com/office/drawing/2014/main" id="{00000000-0008-0000-0300-0000F7A791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885825</xdr:colOff>
      <xdr:row>30</xdr:row>
      <xdr:rowOff>104775</xdr:rowOff>
    </xdr:from>
    <xdr:ext cx="4019550" cy="3048000"/>
    <xdr:graphicFrame macro="">
      <xdr:nvGraphicFramePr>
        <xdr:cNvPr id="1680013142" name="Chart 3">
          <a:extLst>
            <a:ext uri="{FF2B5EF4-FFF2-40B4-BE49-F238E27FC236}">
              <a16:creationId xmlns:a16="http://schemas.microsoft.com/office/drawing/2014/main" id="{00000000-0008-0000-0300-000056F722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11</xdr:col>
      <xdr:colOff>447675</xdr:colOff>
      <xdr:row>30</xdr:row>
      <xdr:rowOff>114300</xdr:rowOff>
    </xdr:from>
    <xdr:ext cx="4000500" cy="3048000"/>
    <xdr:graphicFrame macro="">
      <xdr:nvGraphicFramePr>
        <xdr:cNvPr id="1648619417" name="Chart 4">
          <a:extLst>
            <a:ext uri="{FF2B5EF4-FFF2-40B4-BE49-F238E27FC236}">
              <a16:creationId xmlns:a16="http://schemas.microsoft.com/office/drawing/2014/main" id="{00000000-0008-0000-0300-000099EF4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6</xdr:col>
      <xdr:colOff>914400</xdr:colOff>
      <xdr:row>47</xdr:row>
      <xdr:rowOff>66675</xdr:rowOff>
    </xdr:from>
    <xdr:ext cx="3981450" cy="2771775"/>
    <xdr:graphicFrame macro="">
      <xdr:nvGraphicFramePr>
        <xdr:cNvPr id="709392321" name="Chart 5">
          <a:extLst>
            <a:ext uri="{FF2B5EF4-FFF2-40B4-BE49-F238E27FC236}">
              <a16:creationId xmlns:a16="http://schemas.microsoft.com/office/drawing/2014/main" id="{00000000-0008-0000-0300-0000C1774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Linda Ruiyi Huang" refreshedDate="44692.009020949074" refreshedVersion="7" recordCount="292" xr:uid="{00000000-000A-0000-FFFF-FFFF00000000}">
  <cacheSource type="worksheet">
    <worksheetSource ref="A1:AR293" sheet="SLBs"/>
  </cacheSource>
  <cacheFields count="41">
    <cacheField name="ID" numFmtId="0">
      <sharedItems containsSemiMixedTypes="0" containsString="0" containsNumber="1" containsInteger="1" minValue="1" maxValue="292"/>
    </cacheField>
    <cacheField name="Issuer Name" numFmtId="0">
      <sharedItems/>
    </cacheField>
    <cacheField name="ISIN" numFmtId="0">
      <sharedItems/>
    </cacheField>
    <cacheField name="Bloomberg ID" numFmtId="0">
      <sharedItems/>
    </cacheField>
    <cacheField name="FIGI" numFmtId="0">
      <sharedItems/>
    </cacheField>
    <cacheField name="Ticker" numFmtId="0">
      <sharedItems/>
    </cacheField>
    <cacheField name="Country/Region ISO Code" numFmtId="0">
      <sharedItems/>
    </cacheField>
    <cacheField name="Cntry of Incorp" numFmtId="0">
      <sharedItems/>
    </cacheField>
    <cacheField name="Cntry of Risk" numFmtId="0">
      <sharedItems/>
    </cacheField>
    <cacheField name="Cpn" numFmtId="0">
      <sharedItems containsSemiMixedTypes="0" containsString="0" containsNumber="1" minValue="0" maxValue="9.572000000000001"/>
    </cacheField>
    <cacheField name="Issue Date" numFmtId="0">
      <sharedItems containsDate="1" containsMixedTypes="1" minDate="2021-11-25T00:00:00" maxDate="2021-11-26T00:00:00"/>
    </cacheField>
    <cacheField name="Maturity" numFmtId="0">
      <sharedItems/>
    </cacheField>
    <cacheField name="Yield at Issue (manual)" numFmtId="0">
      <sharedItems containsMixedTypes="1" containsNumber="1" minValue="-1.5367999999999999" maxValue="9.7329000000000008"/>
    </cacheField>
    <cacheField name="Mty Type" numFmtId="0">
      <sharedItems count="5">
        <s v="AT MATURITY"/>
        <s v="CALLABLE"/>
        <s v="CONVERTIBLE"/>
        <s v="PERP/CALL"/>
        <s v="SINKABLE"/>
      </sharedItems>
    </cacheField>
    <cacheField name="Has Call Provision" numFmtId="0">
      <sharedItems/>
    </cacheField>
    <cacheField name="Series" numFmtId="0">
      <sharedItems/>
    </cacheField>
    <cacheField name="Payment Rank" numFmtId="0">
      <sharedItems/>
    </cacheField>
    <cacheField name="Currency" numFmtId="0">
      <sharedItems/>
    </cacheField>
    <cacheField name="BBG Composite" numFmtId="0">
      <sharedItems/>
    </cacheField>
    <cacheField name="ESG Rating" numFmtId="0">
      <sharedItems/>
    </cacheField>
    <cacheField name="Coupon Type" numFmtId="0">
      <sharedItems/>
    </cacheField>
    <cacheField name="Cpn Freq Des" numFmtId="0">
      <sharedItems/>
    </cacheField>
    <cacheField name="Amt Issued" numFmtId="0">
      <sharedItems containsSemiMixedTypes="0" containsString="0" containsNumber="1" minValue="9295200" maxValue="2161040500"/>
    </cacheField>
    <cacheField name="BICS Level 1" numFmtId="0">
      <sharedItems/>
    </cacheField>
    <cacheField name="BICS Level 2" numFmtId="0">
      <sharedItems/>
    </cacheField>
    <cacheField name="BCLASS Level 1" numFmtId="0">
      <sharedItems/>
    </cacheField>
    <cacheField name="BCLASS Level 2" numFmtId="0">
      <sharedItems/>
    </cacheField>
    <cacheField name="BCLASS Level 3" numFmtId="0">
      <sharedItems/>
    </cacheField>
    <cacheField name="BCLASS Level 4" numFmtId="0">
      <sharedItems/>
    </cacheField>
    <cacheField name="Step up desc" numFmtId="0">
      <sharedItems/>
    </cacheField>
    <cacheField name="Step up" numFmtId="0">
      <sharedItems containsBlank="1" containsMixedTypes="1" containsNumber="1" minValue="1.5" maxValue="75"/>
    </cacheField>
    <cacheField name="Step down" numFmtId="0">
      <sharedItems containsBlank="1" containsMixedTypes="1" containsNumber="1" minValue="1.5" maxValue="50"/>
    </cacheField>
    <cacheField name="Step-up&amp;down?" numFmtId="0">
      <sharedItems/>
    </cacheField>
    <cacheField name="SPT " numFmtId="0">
      <sharedItems containsBlank="1" count="6">
        <s v="ESG SCORE"/>
        <s v="ENVIRONMENT"/>
        <s v="?"/>
        <m/>
        <s v="SOCIAL"/>
        <s v="ESG"/>
      </sharedItems>
    </cacheField>
    <cacheField name="Lead Manager(s)" numFmtId="0">
      <sharedItems/>
    </cacheField>
    <cacheField name="Yield at issue" numFmtId="0">
      <sharedItems containsMixedTypes="1" containsNumber="1" minValue="-0.12" maxValue="7"/>
    </cacheField>
    <cacheField name="Yield ask" numFmtId="0">
      <sharedItems containsMixedTypes="1" containsNumber="1" minValue="-1.472" maxValue="9.7260000000000009"/>
    </cacheField>
    <cacheField name="Refinitiv" numFmtId="0">
      <sharedItems containsMixedTypes="1" containsNumber="1" minValue="0.39400000000000002" maxValue="6.3234000000000004"/>
    </cacheField>
    <cacheField name="Yield ask, at issue" numFmtId="0">
      <sharedItems containsMixedTypes="1" containsNumber="1" minValue="-1.472" maxValue="9.7260000000000009" count="161">
        <s v="#N/A N/A"/>
        <n v="0.47699999999999998"/>
        <n v="-1.472"/>
        <n v="1.149"/>
        <n v="3.1509999999999998"/>
        <n v="3.1549999999999998"/>
        <n v="5.0640000000000001"/>
        <n v="5.0339999999999998"/>
        <n v="5.2119999999999997"/>
        <n v="5.1870000000000003"/>
        <n v="8.4369999999999994"/>
        <n v="3.6859999999999999"/>
        <n v="3.7160000000000002"/>
        <n v="0.46899999999999997"/>
        <n v="3.4489999999999998"/>
        <n v="0.46700000000000003"/>
        <n v="2.875"/>
        <n v="2.4489999999999998"/>
        <n v="0.88300000000000001"/>
        <n v="2.431"/>
        <n v="4.5949999999999998"/>
        <n v="4.57"/>
        <n v="4.6289999999999996"/>
        <n v="4.6139999999999999"/>
        <n v="1.296"/>
        <n v="0.39200000000000002"/>
        <n v="1.7629999999999999"/>
        <n v="1.859"/>
        <n v="4.6239999999999997"/>
        <n v="5.4210000000000003"/>
        <n v="4.641"/>
        <n v="5.44"/>
        <n v="2.6659999999999999"/>
        <n v="5.4340000000000002"/>
        <n v="5.3920000000000003"/>
        <n v="9.7260000000000009"/>
        <n v="1.016"/>
        <n v="1.5329999999999999"/>
        <n v="3.0640000000000001"/>
        <n v="1.85"/>
        <n v="0.29399999999999998"/>
        <n v="0.16600000000000001"/>
        <n v="0.49399999999999999"/>
        <n v="0.92100000000000004"/>
        <n v="3.6890000000000001"/>
        <n v="3.7109999999999999"/>
        <n v="-0.318"/>
        <n v="1.66"/>
        <n v="3.601"/>
        <n v="3.5960000000000001"/>
        <n v="3.706"/>
        <n v="3.7559999999999998"/>
        <n v="5.31"/>
        <n v="3.7"/>
        <n v="3.7450000000000001"/>
        <n v="5.3289999999999997"/>
        <n v="3.2330000000000001"/>
        <n v="0.35299999999999998"/>
        <n v="0.78700000000000003"/>
        <n v="0.55300000000000005"/>
        <n v="1.4059999999999999"/>
        <n v="1.8919999999999999"/>
        <n v="2.2949999999999999"/>
        <n v="3.0030000000000001"/>
        <n v="1.387"/>
        <n v="1.889"/>
        <n v="2.2989999999999999"/>
        <n v="2.988"/>
        <n v="3.1560000000000001"/>
        <n v="2.4249999999999998"/>
        <n v="7.4999999999999997E-2"/>
        <n v="0.54600000000000004"/>
        <n v="2.5529999999999999"/>
        <n v="4.1390000000000002"/>
        <n v="4.141"/>
        <n v="2.0909999999999997"/>
        <n v="4.306"/>
        <n v="4.2839999999999998"/>
        <n v="0.98699999999999999"/>
        <n v="8.6999999999999994E-2"/>
        <n v="0.46"/>
        <n v="0.95499999999999996"/>
        <n v="0.41799999999999998"/>
        <n v="0.78"/>
        <n v="4.6440000000000001"/>
        <n v="4.6020000000000003"/>
        <n v="4.7640000000000002"/>
        <n v="0.86099999999999999"/>
        <n v="0.998"/>
        <n v="2.2719999999999998"/>
        <n v="2.1139999999999999"/>
        <n v="6.7110000000000003"/>
        <n v="3.6909999999999998"/>
        <n v="4.375"/>
        <n v="5.0679999999999996"/>
        <n v="4.75"/>
        <n v="1.01"/>
        <n v="5.5609999999999999"/>
        <n v="5.569"/>
        <n v="2.105"/>
        <n v="2.3980000000000001"/>
        <n v="1.8"/>
        <n v="1.0209999999999999"/>
        <n v="0.55000000000000004"/>
        <n v="1.8149999999999999"/>
        <n v="0.53600000000000003"/>
        <n v="0.72799999999999998"/>
        <n v="2.4079999999999999"/>
        <n v="0.92700000000000005"/>
        <n v="1.65"/>
        <n v="2.3759999999999999"/>
        <n v="0.58099999999999996"/>
        <n v="0.81799999999999995"/>
        <n v="5.7210000000000001"/>
        <n v="5.5110000000000001"/>
        <n v="5.5"/>
        <n v="0.69399999999999995"/>
        <n v="1.843"/>
        <n v="2.2999999999999998"/>
        <n v="0.157"/>
        <n v="3.6840000000000002"/>
        <n v="3.6779999999999999"/>
        <n v="5.1070000000000002"/>
        <n v="5.1379999999999999"/>
        <n v="2.0209999999999999"/>
        <n v="0.30199999999999999"/>
        <n v="1.032"/>
        <n v="1.3460000000000001"/>
        <n v="0.84499999999999997"/>
        <n v="1.2769999999999999"/>
        <n v="4.0060000000000002"/>
        <n v="5.7370000000000001"/>
        <n v="5.79"/>
        <n v="1.417"/>
        <n v="1.516"/>
        <n v="2.1259999999999999"/>
        <n v="1.7070000000000001"/>
        <n v="1.8520000000000001"/>
        <n v="0.85699999999999998"/>
        <n v="1.8440000000000001"/>
        <n v="2.2269999999999999"/>
        <n v="9.0009999999999994"/>
        <n v="2.3929999999999998"/>
        <n v="2.2850000000000001"/>
        <n v="1.3280000000000001"/>
        <n v="1.6120000000000001"/>
        <n v="2.9940000000000002"/>
        <n v="3.1659999999999999"/>
        <n v="4.5"/>
        <n v="4.6080000000000005"/>
        <n v="4.9189999999999996"/>
        <n v="6.2709999999999999"/>
        <n v="6.2679999999999998"/>
        <n v="7"/>
        <n v="3.637"/>
        <n v="3.9E-2"/>
        <n v="0.92800000000000005"/>
        <n v="0.17199999999999999"/>
        <n v="0.42899999999999999"/>
        <n v="1.0589999999999999"/>
        <n v="2.677"/>
      </sharedItems>
    </cacheField>
    <cacheField name="Issuer&amp;MTY&amp;CPN&amp;CURR&amp;Seniority" numFmtId="0">
      <sharedItems/>
    </cacheField>
    <cacheField name="Matched" numFmtId="0">
      <sharedItems count="2">
        <b v="0"/>
        <b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da Ruiyi Huang" refreshedDate="44694.936197337964" createdVersion="7" refreshedVersion="7" minRefreshableVersion="3" recordCount="1000" xr:uid="{0FF4E48A-F858-E843-9D75-511C81D057F8}">
  <cacheSource type="worksheet">
    <worksheetSource ref="A1:AK1048576" sheet="SLBs"/>
  </cacheSource>
  <cacheFields count="37">
    <cacheField name="ID" numFmtId="0">
      <sharedItems containsString="0" containsBlank="1" containsNumber="1" containsInteger="1" minValue="1" maxValue="292"/>
    </cacheField>
    <cacheField name="Issuer Name" numFmtId="0">
      <sharedItems containsBlank="1"/>
    </cacheField>
    <cacheField name="ISIN" numFmtId="0">
      <sharedItems containsBlank="1"/>
    </cacheField>
    <cacheField name="Bloomberg ID" numFmtId="0">
      <sharedItems containsBlank="1"/>
    </cacheField>
    <cacheField name="FIGI" numFmtId="0">
      <sharedItems containsBlank="1"/>
    </cacheField>
    <cacheField name="Ticker" numFmtId="0">
      <sharedItems containsBlank="1"/>
    </cacheField>
    <cacheField name="Country/Region ISO Code" numFmtId="0">
      <sharedItems containsBlank="1"/>
    </cacheField>
    <cacheField name="Cntry of Incorp" numFmtId="0">
      <sharedItems containsBlank="1"/>
    </cacheField>
    <cacheField name="Cntry of Risk" numFmtId="0">
      <sharedItems containsBlank="1"/>
    </cacheField>
    <cacheField name="2" numFmtId="0">
      <sharedItems containsBlank="1"/>
    </cacheField>
    <cacheField name="Cpn" numFmtId="0">
      <sharedItems containsString="0" containsBlank="1" containsNumber="1" minValue="0" maxValue="9.572000000000001"/>
    </cacheField>
    <cacheField name="Issue Date" numFmtId="0">
      <sharedItems containsDate="1" containsBlank="1" containsMixedTypes="1" minDate="2021-11-25T00:00:00" maxDate="2021-11-26T00:00:00"/>
    </cacheField>
    <cacheField name="Maturity" numFmtId="0">
      <sharedItems containsBlank="1"/>
    </cacheField>
    <cacheField name="Yield at Issue (manual)" numFmtId="0">
      <sharedItems containsBlank="1" containsMixedTypes="1" containsNumber="1" minValue="-1.5367999999999999" maxValue="9.7329000000000008"/>
    </cacheField>
    <cacheField name="Mty Type" numFmtId="0">
      <sharedItems containsBlank="1"/>
    </cacheField>
    <cacheField name="Has Call Provision" numFmtId="0">
      <sharedItems containsBlank="1"/>
    </cacheField>
    <cacheField name="Series" numFmtId="0">
      <sharedItems containsBlank="1"/>
    </cacheField>
    <cacheField name="Payment Rank" numFmtId="0">
      <sharedItems containsBlank="1"/>
    </cacheField>
    <cacheField name="Currency" numFmtId="0">
      <sharedItems containsBlank="1"/>
    </cacheField>
    <cacheField name="BBG Composite" numFmtId="0">
      <sharedItems containsBlank="1"/>
    </cacheField>
    <cacheField name="ESG Rating" numFmtId="0">
      <sharedItems containsBlank="1"/>
    </cacheField>
    <cacheField name="Coupon Type" numFmtId="0">
      <sharedItems containsBlank="1"/>
    </cacheField>
    <cacheField name="Cpn Freq Des" numFmtId="0">
      <sharedItems containsBlank="1"/>
    </cacheField>
    <cacheField name="Amt Issued" numFmtId="0">
      <sharedItems containsString="0" containsBlank="1" containsNumber="1" minValue="9295200" maxValue="2161040500" count="162">
        <n v="124223000"/>
        <n v="452352000"/>
        <n v="252336000"/>
        <n v="304220000"/>
        <n v="243312000"/>
        <n v="1006510500"/>
        <n v="771725523.36500001"/>
        <n v="120724000"/>
        <n v="270133000"/>
        <n v="21858480"/>
        <n v="60665500"/>
        <n v="121575000"/>
        <n v="500000000"/>
        <n v="844921000"/>
        <n v="625000000"/>
        <n v="359820000"/>
        <n v="800000000"/>
        <n v="182193000"/>
        <n v="23203750"/>
        <n v="610625000"/>
        <n v="470000000"/>
        <n v="411250000"/>
        <n v="59000000"/>
        <n v="924520750"/>
        <n v="715758000"/>
        <n v="254011000"/>
        <n v="355671000"/>
        <n v="588655000"/>
        <n v="480348000"/>
        <n v="420304500"/>
        <n v="143767200"/>
        <n v="601385000"/>
        <n v="601335000"/>
        <n v="479752000"/>
        <n v="350000000"/>
        <n v="558297400"/>
        <n v="182463000"/>
        <n v="400000000"/>
        <n v="118745000"/>
        <n v="606845000"/>
        <n v="364107000"/>
        <n v="366363000"/>
        <n v="848428000"/>
        <n v="114812250"/>
        <n v="1212220000"/>
        <n v="413514500"/>
        <n v="1189610000"/>
        <n v="1487012500"/>
        <n v="1000000000"/>
        <n v="484887980.21700001"/>
        <n v="239118000"/>
        <n v="473520000"/>
        <n v="622088250"/>
        <n v="58780500"/>
        <n v="885022500"/>
        <n v="767019500"/>
        <n v="365809300"/>
        <n v="767955500"/>
        <n v="708882000"/>
        <n v="590145000"/>
        <n v="1250000000"/>
        <n v="750000000"/>
        <n v="589660000"/>
        <n v="830781000"/>
        <n v="528484500"/>
        <n v="100000000"/>
        <n v="529182000"/>
        <n v="587980000"/>
        <n v="591447000"/>
        <n v="68178000"/>
        <n v="1460250000"/>
        <n v="1168200000"/>
        <n v="692586000"/>
        <n v="34712100"/>
        <n v="115123000"/>
        <n v="347337000"/>
        <n v="438075400"/>
        <n v="288207500"/>
        <n v="88143800"/>
        <n v="580285000"/>
        <n v="184196800"/>
        <n v="225864000"/>
        <n v="346422000"/>
        <n v="122136000"/>
        <n v="281097500"/>
        <n v="1275076000"/>
        <n v="1738740000"/>
        <n v="915936000"/>
        <n v="759049700"/>
        <n v="33500000"/>
        <n v="793037000"/>
        <n v="511641000"/>
        <n v="690738000"/>
        <n v="1381476000"/>
        <n v="575615000"/>
        <n v="796999000"/>
        <n v="565950000"/>
        <n v="250000000"/>
        <n v="165837000"/>
        <n v="55279000"/>
        <n v="788774000"/>
        <n v="840712500"/>
        <n v="1401187500"/>
        <n v="1120950000"/>
        <n v="54609300"/>
        <n v="110380500"/>
        <n v="9295200"/>
        <n v="149192434.875"/>
        <n v="165808500"/>
        <n v="679416000"/>
        <n v="849270000"/>
        <n v="158862000"/>
        <n v="501595100"/>
        <n v="125879000"/>
        <n v="38311000"/>
        <n v="338154000"/>
        <n v="52704000"/>
        <n v="394352000"/>
        <n v="458828550"/>
        <n v="849540000"/>
        <n v="1525000000"/>
        <n v="798147000"/>
        <n v="1426475000"/>
        <n v="855885000"/>
        <n v="962812000"/>
        <n v="736268000"/>
        <n v="558330000"/>
        <n v="446048000"/>
        <n v="401278500"/>
        <n v="107087000"/>
        <n v="546920000"/>
        <n v="278932500"/>
        <n v="549215000"/>
        <n v="661404000"/>
        <n v="1385037500"/>
        <n v="56203500"/>
        <n v="836797500"/>
        <n v="172665900"/>
        <n v="818115000"/>
        <n v="654492000"/>
        <n v="709033000"/>
        <n v="815782500"/>
        <n v="165604500"/>
        <n v="976867500"/>
        <n v="43528400"/>
        <n v="176271000"/>
        <n v="119544000"/>
        <n v="71116800"/>
        <n v="2161040500"/>
        <n v="646985000"/>
        <n v="122531000"/>
        <n v="59355450"/>
        <n v="435148000"/>
        <n v="1112620000"/>
        <n v="556310000"/>
        <n v="552845000.28699994"/>
        <n v="487609290"/>
        <n v="65000000"/>
        <n v="69326875"/>
        <n v="1500000000"/>
        <n v="225626000"/>
        <m/>
      </sharedItems>
    </cacheField>
    <cacheField name="BICS Level 1" numFmtId="0">
      <sharedItems containsBlank="1"/>
    </cacheField>
    <cacheField name="BICS Level 2" numFmtId="0">
      <sharedItems containsBlank="1"/>
    </cacheField>
    <cacheField name="BCLASS Level 1" numFmtId="0">
      <sharedItems containsBlank="1"/>
    </cacheField>
    <cacheField name="BCLASS Level 2" numFmtId="0">
      <sharedItems containsBlank="1"/>
    </cacheField>
    <cacheField name="BCLASS Level 3" numFmtId="0">
      <sharedItems containsBlank="1"/>
    </cacheField>
    <cacheField name="BCLASS Level 4" numFmtId="0">
      <sharedItems containsBlank="1"/>
    </cacheField>
    <cacheField name="Step up desc" numFmtId="0">
      <sharedItems containsBlank="1"/>
    </cacheField>
    <cacheField name="Step up" numFmtId="0">
      <sharedItems containsBlank="1" containsMixedTypes="1" containsNumber="1" minValue="1.5" maxValue="150"/>
    </cacheField>
    <cacheField name="Step down" numFmtId="0">
      <sharedItems containsString="0" containsBlank="1" containsNumber="1" minValue="1.5" maxValue="50"/>
    </cacheField>
    <cacheField name="Step-up&amp;down?" numFmtId="0">
      <sharedItems containsBlank="1" count="3">
        <s v="yes"/>
        <s v=""/>
        <m/>
      </sharedItems>
    </cacheField>
    <cacheField name="Less/More than25?" numFmtId="0">
      <sharedItems containsBlank="1" count="5">
        <s v="Less"/>
        <s v="n/a"/>
        <s v="More"/>
        <s v="Equal"/>
        <m/>
      </sharedItems>
    </cacheField>
    <cacheField name="Multiple options" numFmtId="0">
      <sharedItems containsBlank="1" count="3">
        <m/>
        <s v="yes"/>
        <s v=""/>
      </sharedItems>
    </cacheField>
    <cacheField name="SPT " numFmtId="0">
      <sharedItems containsBlank="1" count="7">
        <s v="ESG SCORE"/>
        <s v="ENVIRONMENT"/>
        <s v="N/A"/>
        <s v="ESG"/>
        <s v="SOCIAL"/>
        <m/>
        <s v="?"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
  <r>
    <n v="61"/>
    <s v="Duerr AG"/>
    <s v="#N/A Field Not Applicable"/>
    <s v="BG4373653"/>
    <s v="BBG00S419B98"/>
    <s v="DUEGR"/>
    <s v="DE"/>
    <s v="DE"/>
    <s v="DE"/>
    <n v="0"/>
    <s v="2020-04-06"/>
    <s v="2030-04-06"/>
    <s v="N/A"/>
    <x v="0"/>
    <s v="N"/>
    <s v="10Y"/>
    <s v="Sr Unsecured"/>
    <s v="EUR"/>
    <s v="#N/A N/A"/>
    <s v="N.S."/>
    <s v="FIXED"/>
    <s v="Annual"/>
    <n v="124223000"/>
    <s v="Industrials"/>
    <s v="Machinery Manufacturing"/>
    <s v="Corporate"/>
    <s v="Industrial"/>
    <s v="Other Industrial"/>
    <s v="Other Industrial"/>
    <s v="PRICING STEPS UP BY 2BPS IF SUSTAINABILITY SCORE &lt;=40. PRICING STEPS DOWN BY 2BPS IF &gt;=62"/>
    <n v="2"/>
    <n v="2"/>
    <s v="yes"/>
    <x v="0"/>
    <s v="Bookrunner DZ Bank DZBK JLMB Joint Lead Managers-Books 38333.33 1 2020-04-06 Bookrunner Landesbank Baden-Wuerttemberg LBBW JLMB Joint Lead Managers-Books 38333.33 1 2020-04-06 Bookrunner UniCredit Bank AG UNICRD JLMB Joint Lead Managers-Books 38333.33 1 2"/>
    <s v="#N/A N/A"/>
    <s v="#N/A N/A"/>
    <e v="#N/A"/>
    <x v="0"/>
    <s v="Duerr AGAT MATURITYFIXEDEURSr Unsecured"/>
    <x v="0"/>
  </r>
  <r>
    <n v="54"/>
    <s v="Duerr AG"/>
    <s v="#N/A Field Not Applicable"/>
    <s v="BG5616522"/>
    <s v="BBG00S5JHCR7"/>
    <s v="DUEGR"/>
    <s v="DE"/>
    <s v="DE"/>
    <s v="DE"/>
    <n v="0"/>
    <s v="2020-04-06"/>
    <s v="2027-04-06"/>
    <s v="N/A"/>
    <x v="0"/>
    <s v="N"/>
    <s v="7Y"/>
    <s v="Sr Unsecured"/>
    <s v="EUR"/>
    <s v="#N/A N/A"/>
    <s v="N.S."/>
    <s v="FLOATING"/>
    <s v="S/A"/>
    <n v="124223000"/>
    <s v="Industrials"/>
    <s v="Machinery Manufacturing"/>
    <s v="Corporate"/>
    <s v="Industrial"/>
    <s v="Other Industrial"/>
    <s v="Other Industrial"/>
    <s v="PRICING STEPS UP BY 2BPS IF SUSTAINABILITY SCORE &lt;=40. PRICING STEPS DOWN BY 2BPS IF &gt;=62"/>
    <n v="2"/>
    <n v="2"/>
    <s v="yes"/>
    <x v="0"/>
    <s v="Bookrunner DZ Bank DZBK JLMB Joint Lead Managers-Books 0 1 2020-04-06 Bookrunner Landesbank Baden-Wuerttemberg LBBW JLMB Joint Lead Managers-Books 0 1 2020-04-06 Bookrunner UniCredit Bank AG UNICRD JLMB Joint Lead Managers-Books 0 1 2020-04-06"/>
    <s v="#N/A N/A"/>
    <s v="#N/A N/A"/>
    <e v="#N/A"/>
    <x v="0"/>
    <s v="Duerr AGAT MATURITYFLOATINGEURSr Unsecured"/>
    <x v="0"/>
  </r>
  <r>
    <n v="55"/>
    <s v="Duerr AG"/>
    <s v="#N/A Field Not Applicable"/>
    <s v="BG5616605"/>
    <s v="BBG00S5JHD04"/>
    <s v="DUEGR"/>
    <s v="DE"/>
    <s v="DE"/>
    <s v="DE"/>
    <n v="0"/>
    <s v="2020-04-06"/>
    <s v="2025-04-06"/>
    <s v="N/A"/>
    <x v="0"/>
    <s v="N"/>
    <s v="5Y"/>
    <s v="Sr Unsecured"/>
    <s v="EUR"/>
    <s v="#N/A N/A"/>
    <s v="N.S."/>
    <s v="FLOATING"/>
    <s v="S/A"/>
    <n v="124223000"/>
    <s v="Industrials"/>
    <s v="Machinery Manufacturing"/>
    <s v="Corporate"/>
    <s v="Industrial"/>
    <s v="Other Industrial"/>
    <s v="Other Industrial"/>
    <s v="ESG-LINKED SCHULDSCHEIN. PRICING TIED TO ESG RATING FROM ECOVADIS +5BPS IF ESG RATING &lt;=44; -5BPS IF &gt;=66."/>
    <n v="5"/>
    <n v="5"/>
    <s v="yes"/>
    <x v="0"/>
    <s v="Bookrunner DZ Bank DZBK JLMB Joint Lead Managers-Books 0 1 2020-04-06 Bookrunner Landesbank Baden-Wuerttemberg LBBW JLMB Joint Lead Managers-Books 0 1 2020-04-06 Bookrunner UniCredit Bank AG UNICRD JLMB Joint Lead Managers-Books 0 1 2020-04-06"/>
    <s v="#N/A N/A"/>
    <s v="#N/A N/A"/>
    <e v="#N/A"/>
    <x v="0"/>
    <s v="Duerr AGAT MATURITYFLOATINGEURSr Unsecured"/>
    <x v="0"/>
  </r>
  <r>
    <n v="22"/>
    <s v="Aurubis AG"/>
    <s v="#N/A Field Not Applicable"/>
    <s v="BJ4743974"/>
    <s v="BBG00TTCWZ96"/>
    <s v="NDAGR"/>
    <s v="DE"/>
    <s v="DE"/>
    <s v="DE"/>
    <n v="0"/>
    <s v="2020-06-23"/>
    <s v="2027-06-23"/>
    <s v="N/A"/>
    <x v="0"/>
    <s v="N"/>
    <s v="7YFL"/>
    <s v="Sr Unsecured"/>
    <s v="EUR"/>
    <s v="#N/A N/A"/>
    <s v="N.S."/>
    <s v="FLOATING"/>
    <s v="S/A"/>
    <n v="452352000"/>
    <s v="Materials"/>
    <s v="Metals &amp; Mining"/>
    <s v="Corporate"/>
    <s v="Industrial"/>
    <s v="Basic Industry"/>
    <s v="Metals and Mining"/>
    <s v="SUSTAINABILITY-LINKED SCHULDSCHEIN.SUSTAINABILITY PRICING ADJUSTMENT +5BPS IF ESG SCORE &lt;=56; -5BPS IF ESG SCORE &gt;=80."/>
    <n v="5"/>
    <n v="5"/>
    <s v="yes"/>
    <x v="0"/>
    <s v="Bookrunner Commerzbank COBA JLMB Joint Lead Managers-Books 0 1 2020-06-23 Bookrunner DZ Bank DZBK JLMB Joint Lead Managers-Books 0 1 2020-06-23 Bookrunner Landesbank Hessen-Thuringen Gi HELABA JLMB Joint Lead Managers-Books 0 1 2020-06-23"/>
    <s v="#N/A N/A"/>
    <s v="#N/A N/A"/>
    <e v="#N/A"/>
    <x v="0"/>
    <s v="Aurubis AGAT MATURITYFLOATINGEURSr Unsecured"/>
    <x v="0"/>
  </r>
  <r>
    <n v="23"/>
    <s v="Aurubis AG"/>
    <s v="#N/A Field Not Applicable"/>
    <s v="BJ4744352"/>
    <s v="BBG00TTCXCM1"/>
    <s v="NDAGR"/>
    <s v="DE"/>
    <s v="DE"/>
    <s v="DE"/>
    <n v="0"/>
    <s v="2020-06-23"/>
    <s v="2025-06-23"/>
    <s v="N/A"/>
    <x v="0"/>
    <s v="N"/>
    <s v="5YFL"/>
    <s v="Sr Unsecured"/>
    <s v="EUR"/>
    <s v="#N/A N/A"/>
    <s v="N.S."/>
    <s v="FLOATING"/>
    <s v="S/A"/>
    <n v="452352000"/>
    <s v="Materials"/>
    <s v="Metals &amp; Mining"/>
    <s v="Corporate"/>
    <s v="Industrial"/>
    <s v="Basic Industry"/>
    <s v="Metals and Mining"/>
    <s v="SUSTAINABILITY-LINKED SCHULDSCHEIN.SUSTAINABILITY PRICING ADJUSTMENT +5BPS IF ESG SCORE &lt;=56; -5BPS IF ESG SCORE &gt;=80."/>
    <n v="5"/>
    <n v="5"/>
    <s v="yes"/>
    <x v="0"/>
    <s v="Bookrunner Commerzbank COBA JLMB Joint Lead Managers-Books 0 1 2020-06-23 Bookrunner DZ Bank DZBK JLMB Joint Lead Managers-Books 0 1 2020-06-23 Bookrunner Landesbank Hessen-Thuringen Gi HELABA JLMB Joint Lead Managers-Books 0 1 2020-06-23"/>
    <s v="#N/A N/A"/>
    <s v="#N/A N/A"/>
    <e v="#N/A"/>
    <x v="0"/>
    <s v="Aurubis AGAT MATURITYFLOATINGEURSr Unsecured"/>
    <x v="0"/>
  </r>
  <r>
    <n v="24"/>
    <s v="Aurubis AG"/>
    <s v="#N/A Field Not Applicable"/>
    <s v="BJ4744360"/>
    <s v="BBG00TTCXCN0"/>
    <s v="NDAGR"/>
    <s v="DE"/>
    <s v="DE"/>
    <s v="DE"/>
    <n v="0"/>
    <s v="2020-06-23"/>
    <s v="2023-06-23"/>
    <s v="N/A"/>
    <x v="0"/>
    <s v="N"/>
    <s v="3YFL"/>
    <s v="Sr Unsecured"/>
    <s v="EUR"/>
    <s v="#N/A N/A"/>
    <s v="N.S."/>
    <s v="FLOATING"/>
    <s v="S/A"/>
    <n v="452352000"/>
    <s v="Materials"/>
    <s v="Metals &amp; Mining"/>
    <s v="Corporate"/>
    <s v="Industrial"/>
    <s v="Basic Industry"/>
    <s v="Metals and Mining"/>
    <s v="SUSTAINABILITY-LINKED SCHULDSCHEIN.SUSTAINABILITY PRICING ADJUSTMENT +5BPS IF ESG SCORE &lt;=56; -5BPS IF ESG SCORE &gt;=80."/>
    <n v="5"/>
    <n v="5"/>
    <s v="yes"/>
    <x v="0"/>
    <s v="Bookrunner Commerzbank COBA JLMB Joint Lead Managers-Books 0 1 2020-06-23 Bookrunner DZ Bank DZBK JLMB Joint Lead Managers-Books 0 1 2020-06-23 Bookrunner Landesbank Hessen-Thuringen Gi HELABA JLMB Joint Lead Managers-Books 0 1 2020-06-23"/>
    <s v="#N/A N/A"/>
    <s v="#N/A N/A"/>
    <e v="#N/A"/>
    <x v="0"/>
    <s v="Aurubis AGAT MATURITYFLOATINGEURSr Unsecured"/>
    <x v="0"/>
  </r>
  <r>
    <n v="20"/>
    <s v="Aurubis AG"/>
    <s v="#N/A Field Not Applicable"/>
    <s v="BK2300865"/>
    <s v="BBG00VPKM8T6"/>
    <s v="NDAGR"/>
    <s v="DE"/>
    <s v="DE"/>
    <s v="DE"/>
    <n v="0"/>
    <s v="2020-06-23"/>
    <s v="2027-06-23"/>
    <s v="N/A"/>
    <x v="0"/>
    <s v="N"/>
    <s v="7YFX"/>
    <s v="Sr Unsecured"/>
    <s v="EUR"/>
    <s v="#N/A N/A"/>
    <s v="N.S."/>
    <s v="FIXED"/>
    <s v="Annual"/>
    <n v="452352000"/>
    <s v="Materials"/>
    <s v="Metals &amp; Mining"/>
    <s v="Corporate"/>
    <s v="Industrial"/>
    <s v="Basic Industry"/>
    <s v="Metals and Mining"/>
    <s v="SUSTAINABILITY-LINKED SCHULDSCHEIN.SUSTAINABILITY PRICING ADJUSTMENT +5BPS IF ESG SCORE &lt;=56; -5BPS IF ESG SCORE &gt;=80."/>
    <n v="5"/>
    <n v="5"/>
    <s v="yes"/>
    <x v="0"/>
    <s v="Bookrunner Commerzbank COBA JLMB Joint Lead Managers-Books 0 1 2020-06-23 Bookrunner DZ Bank DZBK JLMB Joint Lead Managers-Books 0 1 2020-06-23 Bookrunner Landesbank Hessen-Thuringen Gi HELABA JLMB Joint Lead Managers-Books 0 1 2020-06-23"/>
    <s v="#N/A N/A"/>
    <s v="#N/A N/A"/>
    <e v="#N/A"/>
    <x v="0"/>
    <s v="Aurubis AGAT MATURITYFIXEDEURSr Unsecured"/>
    <x v="0"/>
  </r>
  <r>
    <n v="19"/>
    <s v="Aurubis AG"/>
    <s v="#N/A Field Not Applicable"/>
    <s v="BK2300873"/>
    <s v="BBG00VPKM8W2"/>
    <s v="NDAGR"/>
    <s v="DE"/>
    <s v="DE"/>
    <s v="DE"/>
    <n v="0"/>
    <s v="2020-06-23"/>
    <s v="2025-06-23"/>
    <s v="N/A"/>
    <x v="0"/>
    <s v="N"/>
    <s v="5YFX"/>
    <s v="Sr Unsecured"/>
    <s v="EUR"/>
    <s v="#N/A N/A"/>
    <s v="N.S."/>
    <s v="FIXED"/>
    <s v="Annual"/>
    <n v="452352000"/>
    <s v="Materials"/>
    <s v="Metals &amp; Mining"/>
    <s v="Corporate"/>
    <s v="Industrial"/>
    <s v="Basic Industry"/>
    <s v="Metals and Mining"/>
    <s v="SUSTAINABILITY-LINKED SCHULDSCHEIN.SUSTAINABILITY PRICING ADJUSTMENT +5BPS IF ESG SCORE &lt;=56; -5BPS IF ESG SCORE &gt;=80."/>
    <n v="5"/>
    <n v="5"/>
    <s v="yes"/>
    <x v="0"/>
    <s v="Bookrunner Commerzbank COBA JLMB Joint Lead Managers-Books 0 1 2020-06-23 Bookrunner DZ Bank DZBK JLMB Joint Lead Managers-Books 0 1 2020-06-23 Bookrunner Landesbank Hessen-Thuringen Gi HELABA JLMB Joint Lead Managers-Books 0 1 2020-06-23"/>
    <s v="#N/A N/A"/>
    <s v="#N/A N/A"/>
    <e v="#N/A"/>
    <x v="0"/>
    <s v="Aurubis AGAT MATURITYFIXEDEURSr Unsecured"/>
    <x v="0"/>
  </r>
  <r>
    <n v="21"/>
    <s v="Aurubis AG"/>
    <s v="#N/A Field Not Applicable"/>
    <s v="BK2300881"/>
    <s v="BBG00VPKM8X1"/>
    <s v="NDAGR"/>
    <s v="DE"/>
    <s v="DE"/>
    <s v="DE"/>
    <n v="0"/>
    <s v="2020-06-23"/>
    <s v="2023-06-23"/>
    <s v="N/A"/>
    <x v="0"/>
    <s v="N"/>
    <s v="3YFX"/>
    <s v="Sr Unsecured"/>
    <s v="EUR"/>
    <s v="#N/A N/A"/>
    <s v="N.S."/>
    <s v="FIXED"/>
    <s v="Annual"/>
    <n v="452352000"/>
    <s v="Materials"/>
    <s v="Metals &amp; Mining"/>
    <s v="Corporate"/>
    <s v="Industrial"/>
    <s v="Basic Industry"/>
    <s v="Metals and Mining"/>
    <s v="SUSTAINABILITY-LINKED SCHULDSCHEIN.SUSTAINABILITY PRICING ADJUSTMENT +5BPS IF ESG SCORE &lt;=56; -5BPS IF ESG SCORE &gt;=80."/>
    <n v="5"/>
    <n v="5"/>
    <s v="yes"/>
    <x v="0"/>
    <s v="Bookrunner Commerzbank COBA JLMB Joint Lead Managers-Books 0 1 2020-06-23 Bookrunner DZ Bank DZBK JLMB Joint Lead Managers-Books 0 1 2020-06-23 Bookrunner Landesbank Hessen-Thuringen Gi HELABA JLMB Joint Lead Managers-Books 0 1 2020-06-23"/>
    <s v="#N/A N/A"/>
    <s v="#N/A N/A"/>
    <e v="#N/A"/>
    <x v="0"/>
    <s v="Aurubis AGAT MATURITYFIXEDEURSr Unsecured"/>
    <x v="0"/>
  </r>
  <r>
    <n v="245"/>
    <s v="Tauron Polska Energia SA"/>
    <s v="PLO144500017"/>
    <s v="BM1904754"/>
    <s v="BBG00Y1BMBQ2"/>
    <s v="TPEPW"/>
    <s v="PL"/>
    <s v="PL"/>
    <s v="PL"/>
    <n v="7.45"/>
    <s v="2020-10-30"/>
    <s v="2025-10-30"/>
    <n v="1.5762"/>
    <x v="1"/>
    <s v="Y"/>
    <s v="A"/>
    <s v="Unsecured"/>
    <s v="PLN"/>
    <s v="#N/A N/A"/>
    <s v="N.S."/>
    <s v="FLOATING"/>
    <s v="S/A"/>
    <n v="252336000"/>
    <s v="Utilities"/>
    <s v="Utilities"/>
    <s v="Corporate"/>
    <s v="Utility"/>
    <s v="Electric"/>
    <s v="Electric"/>
    <s v="STEP-UP MARGIN: 5BP (IF ONE TARGET NOT MET), 10BP (IF BOTH TARGETS NOT MET), STEP-UP EVENT: CO2 EMISSIONS, RENEWABLE ENERGY INSTALLED CAPACITY"/>
    <s v="multi"/>
    <m/>
    <s v=""/>
    <x v="1"/>
    <s v="Bookrunner Bank Pekao SA PEKAO JLMB Joint Lead Managers-Books 0 1 2020-10-29 Bookrunner Erste Group Bank ERSTE JLMB Joint Lead Managers-Books 0 1 2020-10-29 Bookrunner PKO Bank Polski SA PKOBP JLMB Joint Lead Managers-Books 0 1 2020-10-29 Bookrunner Santa"/>
    <s v="#N/A N/A"/>
    <s v="#N/A N/A"/>
    <n v="1.008"/>
    <x v="0"/>
    <s v="Tauron Polska Energia SACALLABLEFLOATINGPLNUnsecured"/>
    <x v="0"/>
  </r>
  <r>
    <n v="204"/>
    <s v="Puma SE"/>
    <s v="#N/A Field Not Applicable"/>
    <s v="BM2548139"/>
    <s v="BBG00Y2G8KT3"/>
    <s v="PUMGR"/>
    <s v="DE"/>
    <s v="DE"/>
    <s v="DE"/>
    <n v="0"/>
    <s v="2020-12-16"/>
    <s v="2025-12-16"/>
    <s v="N/A"/>
    <x v="0"/>
    <s v="N"/>
    <s v="5Y"/>
    <s v="Sr Unsecured"/>
    <s v="EUR"/>
    <s v="#N/A N/A"/>
    <s v="AAA"/>
    <s v="FLOATING"/>
    <s v="S/A"/>
    <n v="304220000"/>
    <s v="Consumer Discretionary"/>
    <s v="Apparel &amp; Textile Products"/>
    <s v="Corporate"/>
    <s v="Industrial"/>
    <s v="Consumer Cyclical"/>
    <s v="Retailers"/>
    <s v="ESG-LINKED SCHULDSCHEIN. TWO SETTLEMENT DATES: FIRST SETTLEMENT 12/16/20 FOR 15MM AND SECOND SETTLEMENT 01/12/21 FOR 235MM."/>
    <s v="n/a"/>
    <m/>
    <s v=""/>
    <x v="2"/>
    <s v="Bookrunner BNP Paribas/Frankfurt BNP JLMB Joint Lead Managers-Books 0 4 2021-01-12 Bookrunner HSBC Trinkaus &amp; Burkhardt AG H-TRNK JLMB Joint Lead Managers-Books 0 4 2021-01-12 Bookrunner ING Bank NV Niederlassung ING JLMB Joint Lead Managers-Books 0 4 202"/>
    <s v="#N/A N/A"/>
    <s v="#N/A N/A"/>
    <e v="#N/A"/>
    <x v="0"/>
    <s v="Puma SEAT MATURITYFLOATINGEURSr Unsecured"/>
    <x v="1"/>
  </r>
  <r>
    <n v="205"/>
    <s v="Puma SE"/>
    <s v="#N/A Field Not Applicable"/>
    <s v="BM2549186"/>
    <s v="BBG00Y2G9VM5"/>
    <s v="PUMGR"/>
    <s v="DE"/>
    <s v="DE"/>
    <s v="DE"/>
    <n v="0"/>
    <s v="2020-12-16"/>
    <s v="2023-12-16"/>
    <s v="N/A"/>
    <x v="0"/>
    <s v="N"/>
    <s v="3Y"/>
    <s v="Sr Unsecured"/>
    <s v="EUR"/>
    <s v="#N/A N/A"/>
    <s v="AAA"/>
    <s v="FLOATING"/>
    <s v="S/A"/>
    <n v="304220000"/>
    <s v="Consumer Discretionary"/>
    <s v="Apparel &amp; Textile Products"/>
    <s v="Corporate"/>
    <s v="Industrial"/>
    <s v="Consumer Cyclical"/>
    <s v="Retailers"/>
    <s v="ESG-LINKED SCHULDSCHEIN. TWO SETTLEMENT DATES: FIRST SETTLEMENT 12/16/20 AND SECOND SETTLEMENT 01/12/21."/>
    <s v="n/a"/>
    <m/>
    <s v=""/>
    <x v="2"/>
    <s v="Bookrunner BNP Paribas/Frankfurt BNP JLMB Joint Lead Managers-Books 0 4 2021-01-12 Bookrunner HSBC Trinkaus &amp; Burkhardt AG H-TRNK JLMB Joint Lead Managers-Books 0 4 2021-01-12 Bookrunner ING Bank NV Niederlassung ING JLMB Joint Lead Managers-Books 0 4 202"/>
    <s v="#N/A N/A"/>
    <s v="#N/A N/A"/>
    <e v="#N/A"/>
    <x v="0"/>
    <s v="Puma SEAT MATURITYFLOATINGEURSr Unsecured"/>
    <x v="1"/>
  </r>
  <r>
    <n v="56"/>
    <s v="Duerr AG"/>
    <s v="#N/A Field Not Applicable"/>
    <s v="BM3493996"/>
    <s v="BBG00Y48C8Y5"/>
    <s v="DUEGR"/>
    <s v="DE"/>
    <s v="DE"/>
    <s v="DE"/>
    <n v="0"/>
    <s v="2021-01-14"/>
    <s v="2031-01-14"/>
    <s v="N/A"/>
    <x v="0"/>
    <s v="N"/>
    <s v="10Y"/>
    <s v="Sr Unsecured"/>
    <s v="EUR"/>
    <s v="#N/A N/A"/>
    <s v="N.S."/>
    <s v="FIXED"/>
    <s v="Annual"/>
    <n v="243312000"/>
    <s v="Industrials"/>
    <s v="Machinery Manufacturing"/>
    <s v="Corporate"/>
    <s v="Industrial"/>
    <s v="Other Industrial"/>
    <s v="Other Industrial"/>
    <s v="ESG-LINKED SCHULDSCHEIN. PRICING TIED TO ESG RATING FROM ECOVADIS +5BPS IF ESG RATING &lt;=44; -5BPS IF &gt;=66."/>
    <n v="5"/>
    <n v="5"/>
    <s v="yes"/>
    <x v="0"/>
    <s v="Bookrunner DZ Bank DZBK JLMB Joint Lead Managers-Books 0 1 2021-01-14 Bookrunner Landesbank Baden-Wuerttemberg LBBW JLMB Joint Lead Managers-Books 0 1 2021-01-14 Bookrunner UniCredit Bank AG UNICRD JLMB Joint Lead Managers-Books 0 1 2021-01-14"/>
    <s v="#N/A N/A"/>
    <s v="#N/A N/A"/>
    <e v="#N/A"/>
    <x v="0"/>
    <s v="Duerr AGAT MATURITYFIXEDEURSr Unsecured"/>
    <x v="0"/>
  </r>
  <r>
    <n v="57"/>
    <s v="Duerr AG"/>
    <s v="#N/A Field Not Applicable"/>
    <s v="BM3494424"/>
    <s v="BBG00Y48CQV8"/>
    <s v="DUEGR"/>
    <s v="DE"/>
    <s v="DE"/>
    <s v="DE"/>
    <n v="0"/>
    <s v="2021-01-14"/>
    <s v="2028-01-17"/>
    <s v="N/A"/>
    <x v="0"/>
    <s v="N"/>
    <s v="7Y"/>
    <s v="Sr Unsecured"/>
    <s v="EUR"/>
    <s v="#N/A N/A"/>
    <s v="N.S."/>
    <s v="FLOATING"/>
    <s v="S/A"/>
    <n v="243312000"/>
    <s v="Industrials"/>
    <s v="Machinery Manufacturing"/>
    <s v="Corporate"/>
    <s v="Industrial"/>
    <s v="Other Industrial"/>
    <s v="Other Industrial"/>
    <s v="ESG-LINKED SCHULDSCHEIN. PRICING TIED TO ESG RATING FROM ECOVADIS +5BPS IF ESG RATING &lt;=44; -5BPS IF &gt;=66."/>
    <n v="5"/>
    <n v="5"/>
    <s v="yes"/>
    <x v="0"/>
    <s v="Bookrunner DZ Bank DZBK JLMB Joint Lead Managers-Books 0 1 2021-01-14 Bookrunner Landesbank Baden-Wuerttemberg LBBW JLMB Joint Lead Managers-Books 0 1 2021-01-14 Bookrunner UniCredit Bank AG UNICRD JLMB Joint Lead Managers-Books 0 1 2021-01-14"/>
    <s v="#N/A N/A"/>
    <s v="#N/A N/A"/>
    <e v="#N/A"/>
    <x v="0"/>
    <s v="Duerr AGAT MATURITYFLOATINGEURSr Unsecured"/>
    <x v="0"/>
  </r>
  <r>
    <n v="58"/>
    <s v="Duerr AG"/>
    <s v="#N/A Field Not Applicable"/>
    <s v="BM3494432"/>
    <s v="BBG00Y48CQX6"/>
    <s v="DUEGR"/>
    <s v="DE"/>
    <s v="DE"/>
    <s v="DE"/>
    <n v="0"/>
    <s v="2021-01-14"/>
    <s v="2027-01-14"/>
    <s v="N/A"/>
    <x v="0"/>
    <s v="N"/>
    <s v="6Y"/>
    <s v="Sr Unsecured"/>
    <s v="EUR"/>
    <s v="#N/A N/A"/>
    <s v="N.S."/>
    <s v="FLOATING"/>
    <s v="S/A"/>
    <n v="243312000"/>
    <s v="Industrials"/>
    <s v="Machinery Manufacturing"/>
    <s v="Corporate"/>
    <s v="Industrial"/>
    <s v="Other Industrial"/>
    <s v="Other Industrial"/>
    <s v="ESG-LINKED SCHULDSCHEIN. PRICING TIED TO ESG RATING FROM ECOVADIS +5BPS IF ESG RATING &lt;=44; -5BPS IF &gt;=66."/>
    <n v="5"/>
    <n v="5"/>
    <s v="yes"/>
    <x v="0"/>
    <s v="Bookrunner DZ Bank DZBK JLMB Joint Lead Managers-Books 0 1 2021-01-14 Bookrunner Landesbank Baden-Wuerttemberg LBBW JLMB Joint Lead Managers-Books 0 1 2021-01-14 Bookrunner UniCredit Bank AG UNICRD JLMB Joint Lead Managers-Books 0 1 2021-01-14"/>
    <s v="#N/A N/A"/>
    <s v="#N/A N/A"/>
    <e v="#N/A"/>
    <x v="0"/>
    <s v="Duerr AGAT MATURITYFLOATINGEURSr Unsecured"/>
    <x v="0"/>
  </r>
  <r>
    <n v="59"/>
    <s v="Duerr AG"/>
    <s v="#N/A Field Not Applicable"/>
    <s v="BM3494457"/>
    <s v="BBG00Y48CR37"/>
    <s v="DUEGR"/>
    <s v="DE"/>
    <s v="DE"/>
    <s v="DE"/>
    <n v="0"/>
    <s v="2021-01-14"/>
    <s v="2025-01-14"/>
    <s v="N/A"/>
    <x v="0"/>
    <s v="N"/>
    <s v="4Y"/>
    <s v="Sr Unsecured"/>
    <s v="EUR"/>
    <s v="#N/A N/A"/>
    <s v="N.S."/>
    <s v="FLOATING"/>
    <s v="S/A"/>
    <n v="243312000"/>
    <s v="Industrials"/>
    <s v="Machinery Manufacturing"/>
    <s v="Corporate"/>
    <s v="Industrial"/>
    <s v="Other Industrial"/>
    <s v="Other Industrial"/>
    <s v="ESG-LINKED SCHULDSCHEIN. PRICING TIED TO ESG RATING FROM ECOVADIS +5BPS IF ESG RATING &lt;=44; -5BPS IF &gt;=66."/>
    <n v="5"/>
    <n v="5"/>
    <s v="yes"/>
    <x v="0"/>
    <s v="Bookrunner DZ Bank DZBK JLMB Joint Lead Managers-Books 0 1 2021-01-14 Bookrunner Landesbank Baden-Wuerttemberg LBBW JLMB Joint Lead Managers-Books 0 1 2021-01-14 Bookrunner UniCredit Bank AG UNICRD JLMB Joint Lead Managers-Books 0 1 2021-01-14"/>
    <s v="#N/A N/A"/>
    <s v="#N/A N/A"/>
    <e v="#N/A"/>
    <x v="0"/>
    <s v="Duerr AGAT MATURITYFLOATINGEURSr Unsecured"/>
    <x v="0"/>
  </r>
  <r>
    <n v="60"/>
    <s v="Duerr AG"/>
    <s v="#N/A Field Not Applicable"/>
    <s v="BM3494465"/>
    <s v="BBG00Y48CRC7"/>
    <s v="DUEGR"/>
    <s v="DE"/>
    <s v="DE"/>
    <s v="DE"/>
    <n v="0"/>
    <s v="2021-01-14"/>
    <s v="2024-01-14"/>
    <s v="N/A"/>
    <x v="0"/>
    <s v="N"/>
    <s v="3Y"/>
    <s v="Sr Unsecured"/>
    <s v="EUR"/>
    <s v="#N/A N/A"/>
    <s v="N.S."/>
    <s v="FLOATING"/>
    <s v="S/A"/>
    <n v="243312000"/>
    <s v="Industrials"/>
    <s v="Machinery Manufacturing"/>
    <s v="Corporate"/>
    <s v="Industrial"/>
    <s v="Other Industrial"/>
    <s v="Other Industrial"/>
    <s v="ESG-LINKED SCHULDSCHEIN. PRICING TIED TO ESG RATING FROM ECOVADIS +5BPS IF ESG RATING &lt;=44; -5BPS IF &gt;=66."/>
    <n v="5"/>
    <n v="5"/>
    <s v="yes"/>
    <x v="0"/>
    <s v="Bookrunner DZ Bank DZBK JLMB Joint Lead Managers-Books 0 1 2021-01-14 Bookrunner Landesbank Baden-Wuerttemberg LBBW JLMB Joint Lead Managers-Books 0 1 2021-01-14 Bookrunner UniCredit Bank AG UNICRD JLMB Joint Lead Managers-Books 0 1 2021-01-14"/>
    <s v="#N/A N/A"/>
    <s v="#N/A N/A"/>
    <e v="#N/A"/>
    <x v="0"/>
    <s v="Duerr AGAT MATURITYFLOATINGEURSr Unsecured"/>
    <x v="0"/>
  </r>
  <r>
    <n v="131"/>
    <s v="Holcim Finance Luxembourg SA"/>
    <s v="XS2261215011"/>
    <s v="BM6017461"/>
    <s v="BBG00Y709383"/>
    <s v="HOLNSW"/>
    <s v="LU"/>
    <s v="LU"/>
    <s v="CH"/>
    <n v="0.5"/>
    <s v="2020-11-23"/>
    <s v="2031-04-23"/>
    <n v="0.51559999999999995"/>
    <x v="1"/>
    <s v="Y"/>
    <s v="#N/A Field Not Applicable"/>
    <s v="Sr Unsecured"/>
    <s v="EUR"/>
    <s v="BBB"/>
    <s v="N.S."/>
    <s v="FIXED"/>
    <s v="Annual"/>
    <n v="1006510500"/>
    <s v="Materials"/>
    <s v="Construction Materials Manufacturing"/>
    <s v="Corporate"/>
    <s v="Industrial"/>
    <s v="Capital Goods"/>
    <s v="Building Materials"/>
    <s v="STEP-UP MARGIN: 75BP, STEP-UP EVENT: DEC 2030 CO2 EMISSIONS"/>
    <n v="75"/>
    <m/>
    <s v=""/>
    <x v="1"/>
    <s v="Bookrunner Banco Bilbao Vizcaya Argentari BBVA JLMB Joint Lead Managers-Books 0 1 2020-11-17 Bookrunner Banco Santander SANT JLMB Joint Lead Managers-Books 0 1 2020-11-17 Bookrunner BNP Paribas BNPP JLMB Joint Lead Managers-Books 0 1 2020-11-17 Bookrunner"/>
    <s v="#N/A N/A"/>
    <n v="0.47699999999999998"/>
    <s v=""/>
    <x v="1"/>
    <s v="Holcim Finance Luxembourg SACALLABLEFIXEDEURSr Unsecured"/>
    <x v="1"/>
  </r>
  <r>
    <n v="236"/>
    <s v="Schneider Electric SE"/>
    <s v="FR0014000OG2"/>
    <s v="BM6028963"/>
    <s v="BBG00Y70L1G4"/>
    <s v="SUFP"/>
    <s v="FR"/>
    <s v="FR"/>
    <s v="US"/>
    <n v="0"/>
    <s v="2020-11-24"/>
    <s v="2026-06-15"/>
    <n v="-1.5367999999999999"/>
    <x v="2"/>
    <s v="N"/>
    <s v="#N/A Field Not Applicable"/>
    <s v="Sr Unsecured"/>
    <s v="EUR"/>
    <s v="NR"/>
    <s v="AAA"/>
    <s v="FIXED"/>
    <s v="Annual"/>
    <n v="771725523.36500001"/>
    <s v="Industrials"/>
    <s v="Electrical Equipment Manufacturing"/>
    <s v="Corporate"/>
    <s v="Industrial"/>
    <s v="Capital Goods"/>
    <s v="Diversified Manufacturing"/>
    <s v="15% CLEAN-UP CALL. SUSTAINABILITY PRICING ADJUSTMENT"/>
    <s v="%"/>
    <m/>
    <s v=""/>
    <x v="2"/>
    <s v="Bookrunner Barclays Bank Ireland PLC BARCBK JLMB Joint Lead Managers-Books 0 1 2020-11-17 Bookrunner BNP Paribas BNPP JLMB Joint Lead Managers-Books 0 1 2020-11-17 Bookrunner Citigroup Global Markets Europ CITI JLMB Joint Lead Managers-Books 0 1 2020-11-1"/>
    <s v="#N/A N/A"/>
    <n v="-1.472"/>
    <s v=""/>
    <x v="2"/>
    <s v="Schneider Electric SECONVERTIBLEFIXEDEURSr Unsecured"/>
    <x v="0"/>
  </r>
  <r>
    <n v="265"/>
    <s v="Veneziana Energia Risorse Idriche Territorio Ambiente Servizi SpA"/>
    <s v="XS2254184547"/>
    <s v="BM8015802"/>
    <s v="BBG00YCLMZT2"/>
    <s v="VRITAS"/>
    <s v="IT"/>
    <s v="IT"/>
    <s v="IT"/>
    <n v="3.25"/>
    <s v="2020-12-09"/>
    <s v="2027-12-09"/>
    <n v="3.4586999999999999"/>
    <x v="0"/>
    <s v="N"/>
    <s v="#N/A Field Not Applicable"/>
    <s v="Sr Unsecured"/>
    <s v="EUR"/>
    <s v="#N/A N/A"/>
    <s v="N.S."/>
    <s v="FIXED"/>
    <s v="Annual"/>
    <n v="120724000"/>
    <s v="Utilities"/>
    <s v="Utilities"/>
    <s v="Government-Related"/>
    <s v="Local Authority"/>
    <s v="Local Authority"/>
    <s v="Local Authority"/>
    <s v="STEP-UP MARGIN: 10BP, STEP-UP EVENT: 2024 ESG RATING"/>
    <n v="10"/>
    <m/>
    <s v=""/>
    <x v="0"/>
    <s v="Bookrunner UniCredit UNICRD SOLE Sole Manager 0 1 2020-11-27"/>
    <s v="#N/A N/A"/>
    <s v="#N/A N/A"/>
    <n v="4.8710000000000004"/>
    <x v="0"/>
    <s v="Veneziana Energia Risorse Idriche Territorio Ambiente Servizi SpAAT MATURITYFIXEDEURSr Unsecured"/>
    <x v="0"/>
  </r>
  <r>
    <n v="200"/>
    <s v="Polski Koncern Naftowy ORLEN SA"/>
    <s v="PLPKN0000208"/>
    <s v="BM9487067"/>
    <s v="BBG00YG2BZ58"/>
    <s v="PKNPW"/>
    <s v="PL"/>
    <s v="PL"/>
    <s v="PL"/>
    <n v="3.56"/>
    <s v="2020-12-22"/>
    <s v="2025-12-22"/>
    <n v="1.1267"/>
    <x v="0"/>
    <s v="N"/>
    <s v="C"/>
    <s v="Sr Unsecured"/>
    <s v="PLN"/>
    <s v="NR"/>
    <s v="BBB"/>
    <s v="FLOATING"/>
    <s v="S/A"/>
    <n v="270133000"/>
    <s v="Energy"/>
    <s v="Refining &amp; Marketing"/>
    <s v="Corporate"/>
    <s v="Industrial"/>
    <s v="Energy"/>
    <s v="Refining"/>
    <s v="STEP UP: +5BPS IF ESG RATING(MSCI) FALLS TO BBB, +10BPS IF ESG RATING (MSCI) FALLS TO BB"/>
    <s v="multi"/>
    <m/>
    <s v=""/>
    <x v="0"/>
    <s v="Bookrunner Bank Pekao SA PEKAO JLMB Joint Lead Managers-Books 0 1 2020-12-11 Bookrunner Santander Bank Polska SA SANT JLMB Joint Lead Managers-Books 0 1 2020-12-11 Trustee Bank Pekao SA PEKAO CALC Calculation Agent(s) 0 7 2020-12-11"/>
    <s v="#N/A N/A"/>
    <n v="1.149"/>
    <n v="1.867"/>
    <x v="3"/>
    <s v="Polski Koncern Naftowy ORLEN SAAT MATURITYFLOATINGPLNSr Unsecured"/>
    <x v="0"/>
  </r>
  <r>
    <n v="199"/>
    <s v="Pikolin SL"/>
    <s v="ES0205072020"/>
    <s v="BM9791419"/>
    <s v="BBG00YGB1X09"/>
    <s v="PIKLIN"/>
    <s v="ES"/>
    <s v="ES"/>
    <s v="ES"/>
    <n v="5.15"/>
    <s v="2020-12-04"/>
    <s v="2026-12-14"/>
    <n v="4.8480999999999996"/>
    <x v="0"/>
    <s v="N"/>
    <s v="EMTN"/>
    <s v="Sr Unsecured"/>
    <s v="EUR"/>
    <s v="#N/A N/A"/>
    <s v="N.S."/>
    <s v="FIXED"/>
    <s v="Annual"/>
    <n v="21858480"/>
    <s v="Consumer Discretionary"/>
    <s v="Home &amp; Office Products Manufacturing"/>
    <s v="Corporate"/>
    <s v="Industrial"/>
    <s v="Consumer Non-Cyclical"/>
    <s v="Consumer Products"/>
    <s v="STEP-UP MARGIN: 25BP, STEP-UP EVENT: DEC 2025 PERCENTAGE OF GREEN ENERGY CONSUMED IN OPERATIONS"/>
    <n v="25"/>
    <m/>
    <s v=""/>
    <x v="1"/>
    <s v="Bookrunner PKF (UK) LLP PKFUK SOLE Sole Manager 18000 1 2020-12-04 Trustee Not Available N/A PLAG Placement Agent(s) 0 7 2020-12-04 Trustee Banco de Sabadell SA/Spain BANSAB PAAG Paying Agent(s) 0 7 2020-12-04 Trustee Not Available N/A GLCO Global Coordin"/>
    <s v="#N/A N/A"/>
    <s v="#N/A N/A"/>
    <e v="#N/A"/>
    <x v="0"/>
    <s v="Pikolin SLAT MATURITYFIXEDEURSr Unsecured"/>
    <x v="0"/>
  </r>
  <r>
    <n v="10"/>
    <s v="Albioma SA"/>
    <s v="FR0014000X03"/>
    <s v="BN0249456"/>
    <s v="BBG00YHHWJT1"/>
    <s v="ABIOFP"/>
    <s v="FR"/>
    <s v="FR"/>
    <s v="FR"/>
    <n v="2.85"/>
    <s v="2020-12-07"/>
    <s v="2027-12-07"/>
    <s v="N/A"/>
    <x v="0"/>
    <s v="N"/>
    <s v="#N/A Field Not Applicable"/>
    <s v="Sr Unsecured"/>
    <s v="EUR"/>
    <s v="#N/A N/A"/>
    <s v="N.S."/>
    <s v="FIXED"/>
    <s v="Annual"/>
    <n v="60665500"/>
    <s v="Utilities"/>
    <s v="Power Generation"/>
    <s v="Corporate"/>
    <s v="Utility"/>
    <s v="Electric"/>
    <s v="Electric"/>
    <s v="NO"/>
    <s v="n/a"/>
    <m/>
    <s v=""/>
    <x v="3"/>
    <s v="Bookrunner Natixis NATIX JLMB Joint Lead Managers-Books 0 1 2020-11-30 Bookrunner Societe Generale SG JLMB Joint Lead Managers-Books 0 1 2020-11-30 Trustee Societe Generale Securities Se SGSECS PAAG Paying Agent(s) 0 7 2020-11-30 Trustee Societe Generale "/>
    <s v="#N/A N/A"/>
    <s v="#N/A N/A"/>
    <s v=""/>
    <x v="0"/>
    <s v="Albioma SAAT MATURITYFIXEDEURSr Unsecured"/>
    <x v="0"/>
  </r>
  <r>
    <n v="11"/>
    <s v="Albioma SA"/>
    <s v="FR0014000X11"/>
    <s v="BN0253896"/>
    <s v="BBG00YHJ1FQ2"/>
    <s v="ABIOFP"/>
    <s v="FR"/>
    <s v="FR"/>
    <s v="FR"/>
    <n v="3"/>
    <s v="2020-12-07"/>
    <s v="2028-12-07"/>
    <s v="N/A"/>
    <x v="0"/>
    <s v="N"/>
    <s v="#N/A Field Not Applicable"/>
    <s v="Sr Unsecured"/>
    <s v="EUR"/>
    <s v="#N/A N/A"/>
    <s v="N.S."/>
    <s v="FIXED"/>
    <s v="Annual"/>
    <n v="60665500"/>
    <s v="Utilities"/>
    <s v="Power Generation"/>
    <s v="Corporate"/>
    <s v="Utility"/>
    <s v="Electric"/>
    <s v="Electric"/>
    <s v="NO"/>
    <s v="n/a"/>
    <m/>
    <s v=""/>
    <x v="3"/>
    <s v="Bookrunner Natixis NATIX JLMB Joint Lead Managers-Books 0 1 2020-11-30 Bookrunner Societe Generale SG JLMB Joint Lead Managers-Books 0 1 2020-11-30 Trustee Societe Generale Securities Se SGSECS PAAG Paying Agent(s) 0 7 2020-11-30 Trustee Societe Generale "/>
    <s v="#N/A N/A"/>
    <s v="#N/A N/A"/>
    <e v="#N/A"/>
    <x v="0"/>
    <s v="Albioma SAAT MATURITYFIXEDEURSr Unsecured"/>
    <x v="0"/>
  </r>
  <r>
    <n v="40"/>
    <s v="Chargeurs SA"/>
    <s v="FR0014000SC2"/>
    <s v="BN0834745"/>
    <s v="BBG00YJHNG42"/>
    <s v="CRIFP"/>
    <s v="FR"/>
    <s v="FR"/>
    <s v="FR"/>
    <n v="3.25"/>
    <s v="2020-12-14"/>
    <s v="2028-12-14"/>
    <s v="N/A"/>
    <x v="0"/>
    <s v="N"/>
    <s v="#N/A Field Not Applicable"/>
    <s v="Sr Unsecured"/>
    <s v="EUR"/>
    <s v="#N/A N/A"/>
    <s v="N.S."/>
    <s v="FIXED"/>
    <s v="Annual"/>
    <n v="121575000"/>
    <s v="Consumer Discretionary"/>
    <s v="Apparel &amp; Textile Products"/>
    <s v="Corporate"/>
    <s v="Industrial"/>
    <s v="Consumer Cyclical"/>
    <s v="Retailers"/>
    <s v="PENALTY: ADDITIONAL COUPON TO CHARITABLE ORGANIZATIONS, EVENT: FAILURE TO REDUCE WORK ACCIDENT FREQUENCY, INCREASE SUSTAINABLE PRODUCT REVENUE"/>
    <s v="n/a"/>
    <m/>
    <s v=""/>
    <x v="4"/>
    <s v="Bookrunner Kepler Cheuvreux KEPCAP LMGR Lead Manager(s) 0 1 2020-12-08 Trustee BNP Paribas Securities Service BNPPAR AGNT Agent(s) 0 7 2020-12-08"/>
    <s v="#N/A N/A"/>
    <s v="#N/A N/A"/>
    <e v="#N/A"/>
    <x v="0"/>
    <s v="Chargeurs SAAT MATURITYFIXEDEURSr Unsecured"/>
    <x v="0"/>
  </r>
  <r>
    <n v="157"/>
    <s v="Klabin Austria GmbH"/>
    <s v="US49836AAC80"/>
    <s v="BN3697297"/>
    <s v="BBG00YS3VZM2"/>
    <s v="KLAB"/>
    <s v="AT"/>
    <s v="AT"/>
    <s v="BR"/>
    <n v="3.2"/>
    <s v="2021-01-12"/>
    <s v="2031-01-12"/>
    <n v="3.1999999999999997"/>
    <x v="1"/>
    <s v="Y"/>
    <s v="144A"/>
    <s v="Sr Unsecured"/>
    <s v="USD"/>
    <s v="BB+"/>
    <s v="N.S."/>
    <s v="FIXED"/>
    <s v="S/A"/>
    <n v="500000000"/>
    <s v="Materials"/>
    <s v="Containers &amp; Packaging"/>
    <s v="Corporate"/>
    <s v="Industrial"/>
    <s v="Basic Industry"/>
    <s v="Paper"/>
    <s v="STEP-UP MARGIN: 12.5BP; 6.25BP; 6.25BP, STEP-UP EVENT: DEC 2025 WATER CONSUMPTION INTENSITY; WATER REUSE; BIODIVERSITY PRESERVATION"/>
    <s v="multi"/>
    <m/>
    <s v=""/>
    <x v="1"/>
    <s v="Bookrunner Banco Itau SA ITAU JLMB Joint Lead Managers-Books 83333 1 2021-01-06 Bookrunner BofA Securities BofA JLMB Joint Lead Managers-Books 83334 1 2021-01-06 Bookrunner Bradesco BBI SA BRADSC JLMB Joint Lead Managers-Books 83334 1 2021-01-06 Bookrunne"/>
    <n v="3.1999999999999997"/>
    <n v="3.1509999999999998"/>
    <n v="0.73699999999999999"/>
    <x v="4"/>
    <s v="Klabin Austria GmbHCALLABLEFIXEDUSDSr Unsecured"/>
    <x v="1"/>
  </r>
  <r>
    <n v="158"/>
    <s v="Klabin Austria GmbH"/>
    <s v="USA35155AE99"/>
    <s v="BN3697396"/>
    <s v="BBG00YS3W048"/>
    <s v="KLAB"/>
    <s v="AT"/>
    <s v="AT"/>
    <s v="BR"/>
    <n v="3.2"/>
    <s v="2021-01-12"/>
    <s v="2031-01-12"/>
    <n v="3.1999999999999997"/>
    <x v="1"/>
    <s v="Y"/>
    <s v="REGS"/>
    <s v="Sr Unsecured"/>
    <s v="USD"/>
    <s v="BB+"/>
    <s v="N.S."/>
    <s v="FIXED"/>
    <s v="S/A"/>
    <n v="500000000"/>
    <s v="Materials"/>
    <s v="Containers &amp; Packaging"/>
    <s v="Corporate"/>
    <s v="Industrial"/>
    <s v="Basic Industry"/>
    <s v="Paper"/>
    <s v="STEP-UP MARGIN: 12.5BP; 6.25BP; 6.25BP, STEP-UP EVENT: DEC 2025 WATER CONSUMPTION INTENSITY; WATER REUSE; BIODIVERSITY PRESERVATION"/>
    <s v="multi"/>
    <m/>
    <s v=""/>
    <x v="1"/>
    <s v="Bookrunner Banco Itau SA ITAU JLMB Joint Lead Managers-Books 83334 1 2021-01-06 Bookrunner BofA Securities BofA JLMB Joint Lead Managers-Books 83334 1 2021-01-06 Bookrunner Bradesco BBI SA BRADSC JLMB Joint Lead Managers-Books 83333 1 2021-01-06 Bookrunne"/>
    <n v="3.1999999999999997"/>
    <n v="3.1549999999999998"/>
    <s v=""/>
    <x v="5"/>
    <s v="Klabin Austria GmbHCALLABLEFIXEDUSDSr Unsecured"/>
    <x v="1"/>
  </r>
  <r>
    <n v="250"/>
    <s v="Traton SE"/>
    <s v="#N/A Field Not Applicable"/>
    <s v="BN4942759"/>
    <s v="BBG00YVH5S33"/>
    <s v="TRAGR"/>
    <s v="DE"/>
    <s v="DE"/>
    <s v="DE"/>
    <n v="0"/>
    <s v="2021-03-03"/>
    <s v="2028-03-03"/>
    <s v="N/A"/>
    <x v="0"/>
    <s v="N"/>
    <s v="7YFL"/>
    <s v="Sr Unsecured"/>
    <s v="EUR"/>
    <s v="#N/A N/A"/>
    <s v="N.S."/>
    <s v="FLOATING"/>
    <s v="S/A"/>
    <n v="844921000"/>
    <s v="Industrials"/>
    <s v="Transportation &amp; Logistics"/>
    <s v="Corporate"/>
    <s v="Industrial"/>
    <s v="Transportation"/>
    <s v="Transportation Services"/>
    <s v="SUSTAINABILITY-LINKED SCHULDSCHEIN. TWO SETTLEMENT DATES: EUR 275MM ON 3/3/21 &amp; EUR 425MM ON  6/23/21."/>
    <s v="n/a"/>
    <m/>
    <s v=""/>
    <x v="2"/>
    <s v="Bookrunner Landesbank Baden-Wuerttemberg LBBW JLMB Joint Lead Managers-Books 0 4 2021-06-23 Bookrunner SEB SEB JLMB Joint Lead Managers-Books 0 4 2021-06-23 Bookrunner UniCredit Bank AG UNICRD JLMB Joint Lead Managers-Books 0 4 2021-06-23 Bookrunner Lande"/>
    <s v="#N/A N/A"/>
    <s v="#N/A N/A"/>
    <e v="#N/A"/>
    <x v="0"/>
    <s v="Traton SEAT MATURITYFLOATINGEURSr Unsecured"/>
    <x v="0"/>
  </r>
  <r>
    <n v="251"/>
    <s v="Traton SE"/>
    <s v="#N/A Field Not Applicable"/>
    <s v="BN4943351"/>
    <s v="BBG00YVH6LR1"/>
    <s v="TRAGR"/>
    <s v="DE"/>
    <s v="DE"/>
    <s v="DE"/>
    <n v="0"/>
    <s v="2021-03-03"/>
    <s v="2026-03-03"/>
    <s v="N/A"/>
    <x v="0"/>
    <s v="N"/>
    <s v="5YFL"/>
    <s v="Sr Unsecured"/>
    <s v="EUR"/>
    <s v="#N/A N/A"/>
    <s v="N.S."/>
    <s v="FLOATING"/>
    <s v="S/A"/>
    <n v="844921000"/>
    <s v="Industrials"/>
    <s v="Transportation &amp; Logistics"/>
    <s v="Corporate"/>
    <s v="Industrial"/>
    <s v="Transportation"/>
    <s v="Transportation Services"/>
    <s v="SUSTAINABILITY-LINKED SCHULDSCHEIN. TWO SETTLEMENT DATES: EUR 275MM ON 3/3/21 &amp; EUR 425MM ON 6/23/21."/>
    <s v="n/a"/>
    <m/>
    <s v=""/>
    <x v="2"/>
    <s v="Bookrunner Landesbank Baden-Wuerttemberg LBBW JLMB Joint Lead Managers-Books 0 4 2021-06-23 Bookrunner SEB SEB JLMB Joint Lead Managers-Books 0 4 2021-06-23 Bookrunner UniCredit Bank AG UNICRD JLMB Joint Lead Managers-Books 0 4 2021-06-23 Bookrunner Lande"/>
    <s v="#N/A N/A"/>
    <s v="#N/A N/A"/>
    <e v="#N/A"/>
    <x v="0"/>
    <s v="Traton SEAT MATURITYFLOATINGEURSr Unsecured"/>
    <x v="0"/>
  </r>
  <r>
    <n v="252"/>
    <s v="Traton SE"/>
    <s v="#N/A Field Not Applicable"/>
    <s v="BN4943443"/>
    <s v="BBG00YVH6M44"/>
    <s v="TRAGR"/>
    <s v="DE"/>
    <s v="DE"/>
    <s v="DE"/>
    <n v="0"/>
    <s v="2021-03-03"/>
    <s v="2024-03-03"/>
    <s v="N/A"/>
    <x v="0"/>
    <s v="N"/>
    <s v="3YFL"/>
    <s v="Sr Unsecured"/>
    <s v="EUR"/>
    <s v="#N/A N/A"/>
    <s v="N.S."/>
    <s v="FLOATING"/>
    <s v="S/A"/>
    <n v="844921000"/>
    <s v="Industrials"/>
    <s v="Transportation &amp; Logistics"/>
    <s v="Corporate"/>
    <s v="Industrial"/>
    <s v="Transportation"/>
    <s v="Transportation Services"/>
    <s v="SUSTAINABILITY-LINKED SCHULDSCHEIN. TWO SETTLEMENT DATES: EUR 275MM ON 3/3/21 &amp; EUR 425MM ON 6/23/21."/>
    <s v="n/a"/>
    <m/>
    <s v=""/>
    <x v="2"/>
    <s v="Bookrunner Landesbank Baden-Wuerttemberg LBBW JLMB Joint Lead Managers-Books 0 4 2021-06-23 Bookrunner SEB SEB JLMB Joint Lead Managers-Books 0 4 2021-06-23 Bookrunner UniCredit Bank AG UNICRD JLMB Joint Lead Managers-Books 0 4 2021-06-23 Bookrunner Lande"/>
    <s v="#N/A N/A"/>
    <s v="#N/A N/A"/>
    <e v="#N/A"/>
    <x v="0"/>
    <s v="Traton SEAT MATURITYFLOATINGEURSr Unsecured"/>
    <x v="0"/>
  </r>
  <r>
    <n v="239"/>
    <s v="Simpar Europe SA"/>
    <s v="US82883PAA21"/>
    <s v="BN5372337"/>
    <s v="BBG00YXM2H28"/>
    <s v="SIMHBZ"/>
    <s v="LU"/>
    <s v="LU"/>
    <s v="BR"/>
    <n v="5.2"/>
    <s v="2021-01-20"/>
    <s v="2031-01-26"/>
    <n v="5.2"/>
    <x v="1"/>
    <s v="Y"/>
    <s v="144A"/>
    <s v="Sr Unsecured"/>
    <s v="USD"/>
    <s v="BB-"/>
    <s v="N.S."/>
    <s v="FIXED"/>
    <s v="S/A"/>
    <n v="625000000"/>
    <s v="Industrials"/>
    <s v="Transportation &amp; Logistics"/>
    <s v="Corporate"/>
    <s v="Industrial"/>
    <s v="Transportation"/>
    <s v="Transportation Services"/>
    <s v="STEP-UP MARGIN: 25BP, STEP-UP EVENT: MISSING THE SUSTAINABILITY PERFORMANCE TARGET. QIB/QP ONLY-SEE RESTRICTIONS IN OM. NON-COMPLIANT PURCH"/>
    <n v="25"/>
    <m/>
    <s v=""/>
    <x v="1"/>
    <s v="Bookrunner Banco Santander (US) SANTAN JLMB Joint Lead Managers-Books 0 1 2021-01-14 Bookrunner BTG Pactual US Capital Corp BTGPAC JLMB Joint Lead Managers-Books 0 1 2021-01-14 Bookrunner JP Morgan JPM JLMB Joint Lead Managers-Books 0 1 2021-01-14 Bookrun"/>
    <n v="5.2"/>
    <n v="5.0640000000000001"/>
    <n v="1.1240000000000001"/>
    <x v="6"/>
    <s v="Simpar Europe SACALLABLEFIXEDUSDSr Unsecured"/>
    <x v="0"/>
  </r>
  <r>
    <n v="238"/>
    <s v="Simpar Europe SA"/>
    <s v="USL8449RAA79"/>
    <s v="BN5372345"/>
    <s v="BBG00YXM2HB8"/>
    <s v="SIMHBZ"/>
    <s v="LU"/>
    <s v="LU"/>
    <s v="BR"/>
    <n v="5.2"/>
    <s v="2021-01-20"/>
    <s v="2031-01-26"/>
    <n v="5.2"/>
    <x v="1"/>
    <s v="Y"/>
    <s v="REGS"/>
    <s v="Sr Unsecured"/>
    <s v="USD"/>
    <s v="BB-"/>
    <s v="N.S."/>
    <s v="FIXED"/>
    <s v="S/A"/>
    <n v="625000000"/>
    <s v="Industrials"/>
    <s v="Transportation &amp; Logistics"/>
    <s v="Corporate"/>
    <s v="Industrial"/>
    <s v="Transportation"/>
    <s v="Transportation Services"/>
    <s v="STEP-UP MARGIN: 25BP, STEP-UP EVENT: MISSING THE SUSTAINABILITY PERFORMANCE TARGET.ISS'D UNDER 3C7. QIB/QP ONLY-SEE RESTRICTIONS IN OM. NON-COMPLIANT PURCH"/>
    <n v="25"/>
    <m/>
    <s v=""/>
    <x v="2"/>
    <s v="Bookrunner Banco Santander (US) SANTAN JLMB Joint Lead Managers-Books 0 1 2021-01-14 Bookrunner BTG Pactual US Capital Corp BTGPAC JLMB Joint Lead Managers-Books 0 1 2021-01-14 Bookrunner JP Morgan JPM JLMB Joint Lead Managers-Books 0 1 2021-01-14 Bookrun"/>
    <n v="5.2"/>
    <n v="5.0339999999999998"/>
    <n v="2.3144"/>
    <x v="7"/>
    <s v="Simpar Europe SACALLABLEFIXEDUSDSr Unsecured"/>
    <x v="0"/>
  </r>
  <r>
    <n v="214"/>
    <s v="Regit Eins GmbH"/>
    <s v="#N/A Field Not Applicable"/>
    <s v="BN6486508"/>
    <s v="BBG00YZBXP73"/>
    <s v="TMVGR"/>
    <s v="DE"/>
    <s v="DE"/>
    <s v="DE"/>
    <n v="0"/>
    <s v="2021-03-04"/>
    <s v="2031-03-04"/>
    <s v="N/A"/>
    <x v="0"/>
    <s v="N"/>
    <s v="10Y"/>
    <s v="Sr Unsecured"/>
    <s v="EUR"/>
    <s v="#N/A N/A"/>
    <s v="N.S."/>
    <s v="FIXED"/>
    <s v="Annual"/>
    <n v="359820000"/>
    <s v="Communications"/>
    <s v="Internet Media"/>
    <s v="Corporate"/>
    <s v="Industrial"/>
    <s v="Consumer Cyclical"/>
    <s v="Consumer Cyc Services"/>
    <s v="ESG-LINKED SCHULDSCHEIN. SUSTAINABILITY PRICING ADJUSTMENT: -5BPS IF ESG SCORE &gt;60.3; +5BPS IF ESG SCORE &lt;51.5"/>
    <n v="5"/>
    <n v="5"/>
    <s v="yes"/>
    <x v="0"/>
    <s v="Bookrunner Commerzbank COBA JLMB Joint Lead Managers-Books 0 1 2021-03-04 Bookrunner ING Bank NV Niederlassung ING JLMB Joint Lead Managers-Books 0 1 2021-03-04 Bookrunner Landesbank Baden-Wuerttemberg LBBW JLMB Joint Lead Managers-Books 0 1 2021-03-04 Tr"/>
    <s v="#N/A N/A"/>
    <s v="#N/A N/A"/>
    <e v="#N/A"/>
    <x v="0"/>
    <s v="Regit Eins GmbHAT MATURITYFIXEDEURSr Unsecured"/>
    <x v="0"/>
  </r>
  <r>
    <n v="213"/>
    <s v="Regit Eins GmbH"/>
    <s v="#N/A Field Not Applicable"/>
    <s v="BN6486912"/>
    <s v="BBG00YZBY9K3"/>
    <s v="TMVGR"/>
    <s v="DE"/>
    <s v="DE"/>
    <s v="DE"/>
    <n v="0"/>
    <s v="2021-03-04"/>
    <s v="2028-03-04"/>
    <s v="N/A"/>
    <x v="0"/>
    <s v="N"/>
    <s v="7Y"/>
    <s v="Sr Unsecured"/>
    <s v="EUR"/>
    <s v="#N/A N/A"/>
    <s v="N.S."/>
    <s v="FLOATING"/>
    <s v="S/A"/>
    <n v="359820000"/>
    <s v="Communications"/>
    <s v="Internet Media"/>
    <s v="Corporate"/>
    <s v="Industrial"/>
    <s v="Consumer Cyclical"/>
    <s v="Consumer Cyc Services"/>
    <s v="ESG-LINKED SCHULDSCHEIN. SUSTAINABILITY PRICING ADJUSTMENT: -5BPS IF ESG SCORE &gt;60.3; +5BPS IF ESG SCORE &lt;51.5"/>
    <n v="5"/>
    <n v="5"/>
    <s v="yes"/>
    <x v="0"/>
    <s v="Bookrunner Commerzbank COBA JLMB Joint Lead Managers-Books 0 1 2021-03-04 Bookrunner ING Bank NV Niederlassung ING JLMB Joint Lead Managers-Books 0 1 2021-03-04 Bookrunner Landesbank Baden-Wuerttemberg LBBW JLMB Joint Lead Managers-Books 0 1 2021-03-04"/>
    <s v="#N/A N/A"/>
    <s v="#N/A N/A"/>
    <e v="#N/A"/>
    <x v="0"/>
    <s v="Regit Eins GmbHAT MATURITYFLOATINGEURSr Unsecured"/>
    <x v="0"/>
  </r>
  <r>
    <n v="216"/>
    <s v="Regit Eins GmbH"/>
    <s v="#N/A Field Not Applicable"/>
    <s v="BN6486920"/>
    <s v="BBG00YZBY9M1"/>
    <s v="TMVGR"/>
    <s v="DE"/>
    <s v="DE"/>
    <s v="DE"/>
    <n v="0"/>
    <s v="2021-03-04"/>
    <s v="2026-03-04"/>
    <s v="N/A"/>
    <x v="0"/>
    <s v="N"/>
    <s v="5Y"/>
    <s v="Sr Unsecured"/>
    <s v="EUR"/>
    <s v="#N/A N/A"/>
    <s v="N.S."/>
    <s v="FLOATING"/>
    <s v="S/A"/>
    <n v="359820000"/>
    <s v="Communications"/>
    <s v="Internet Media"/>
    <s v="Corporate"/>
    <s v="Industrial"/>
    <s v="Consumer Cyclical"/>
    <s v="Consumer Cyc Services"/>
    <s v="ESG-LINKED SCHULDSCHEIN. SUSTAINABILITY PRICING ADJUSTMENT: -5BPS IF ESG SCORE &gt;60.3; +5BPS IF ESG SCORE &lt;51.5"/>
    <n v="5"/>
    <n v="5"/>
    <s v="yes"/>
    <x v="0"/>
    <s v="Bookrunner Commerzbank COBA JLMB Joint Lead Managers-Books 0 1 2021-03-04 Bookrunner ING Bank NV Niederlassung ING JLMB Joint Lead Managers-Books 0 1 2021-03-04 Bookrunner Landesbank Baden-Wuerttemberg LBBW JLMB Joint Lead Managers-Books 0 1 2021-03-04"/>
    <s v="#N/A N/A"/>
    <s v="#N/A N/A"/>
    <e v="#N/A"/>
    <x v="0"/>
    <s v="Regit Eins GmbHAT MATURITYFLOATINGEURSr Unsecured"/>
    <x v="0"/>
  </r>
  <r>
    <n v="215"/>
    <s v="Regit Eins GmbH"/>
    <s v="#N/A Field Not Applicable"/>
    <s v="BN6486938"/>
    <s v="BBG00YZBY9S5"/>
    <s v="TMVGR"/>
    <s v="DE"/>
    <s v="DE"/>
    <s v="DE"/>
    <n v="0"/>
    <s v="2021-03-04"/>
    <s v="2024-03-04"/>
    <s v="N/A"/>
    <x v="0"/>
    <s v="N"/>
    <s v="3Y"/>
    <s v="Sr Unsecured"/>
    <s v="EUR"/>
    <s v="#N/A N/A"/>
    <s v="N.S."/>
    <s v="FLOATING"/>
    <s v="S/A"/>
    <n v="359820000"/>
    <s v="Communications"/>
    <s v="Internet Media"/>
    <s v="Corporate"/>
    <s v="Industrial"/>
    <s v="Consumer Cyclical"/>
    <s v="Consumer Cyc Services"/>
    <s v="ESG-LINKED SCHULDSCHEIN. SUSTAINABILITY PRICING ADJUSTMENT: -5BPS IF ESG SCORE &gt;60.3; +5BPS IF ESG SCORE &lt;51.5"/>
    <n v="5"/>
    <n v="5"/>
    <s v="yes"/>
    <x v="0"/>
    <s v="Bookrunner Commerzbank COBA JLMB Joint Lead Managers-Books 0 1 2021-03-04 Bookrunner ING Bank NV Niederlassung ING JLMB Joint Lead Managers-Books 0 1 2021-03-04 Bookrunner Landesbank Baden-Wuerttemberg LBBW JLMB Joint Lead Managers-Books 0 1 2021-03-04"/>
    <s v="#N/A N/A"/>
    <s v="#N/A N/A"/>
    <e v="#N/A"/>
    <x v="0"/>
    <s v="Regit Eins GmbHAT MATURITYFLOATINGEURSr Unsecured"/>
    <x v="0"/>
  </r>
  <r>
    <n v="183"/>
    <s v="Movida Europe SA"/>
    <s v="US62459LAA70"/>
    <s v="BN7992819"/>
    <s v="BBG00Z2XHXL3"/>
    <s v="MOVIBZ"/>
    <s v="LU"/>
    <s v="LU"/>
    <s v="BR"/>
    <n v="5.25"/>
    <s v="2021-02-08"/>
    <s v="2031-02-08"/>
    <n v="5.25"/>
    <x v="1"/>
    <s v="Y"/>
    <s v="144A"/>
    <s v="Sr Unsecured"/>
    <s v="USD"/>
    <s v="BB-"/>
    <s v="N.S."/>
    <s v="FIXED"/>
    <s v="S/A"/>
    <n v="800000000"/>
    <s v="Consumer Discretionary"/>
    <s v="Retail - Consumer Discretionary"/>
    <s v="Corporate"/>
    <s v="Industrial"/>
    <s v="Transportation"/>
    <s v="Transportation Services"/>
    <s v="STEP-UP MARGIN: 25BP, STEP-UP EVENT: DEC 2025 GREENHOUSE GAS EMISSIONS"/>
    <n v="25"/>
    <m/>
    <s v=""/>
    <x v="1"/>
    <s v="Bookrunner Banco BTG Pactual SA/Cayman Is BTG JLMB Joint Lead Managers-Books 0 4 2021-09-08 Bookrunner Citigroup Global Markets Inc CITI JLMB Joint Lead Managers-Books 0 4 2021-09-08 Bookrunner Itau BBA USA Securities Inc ITAU JLMB Joint Lead Managers-Boo"/>
    <n v="5.25"/>
    <n v="5.2119999999999997"/>
    <n v="0.73699999999999999"/>
    <x v="8"/>
    <s v="Movida Europe SACALLABLEFIXEDUSDSr Unsecured"/>
    <x v="0"/>
  </r>
  <r>
    <n v="184"/>
    <s v="Movida Europe SA"/>
    <s v="USL65266AA36"/>
    <s v="BN7992835"/>
    <s v="BBG00Z2XHXQ8"/>
    <s v="MOVIBZ"/>
    <s v="LU"/>
    <s v="LU"/>
    <s v="BR"/>
    <n v="5.25"/>
    <s v="2021-02-08"/>
    <s v="2031-02-08"/>
    <n v="5.25"/>
    <x v="1"/>
    <s v="Y"/>
    <s v="REGS"/>
    <s v="Sr Unsecured"/>
    <s v="USD"/>
    <s v="BB-"/>
    <s v="N.S."/>
    <s v="FIXED"/>
    <s v="S/A"/>
    <n v="800000000"/>
    <s v="Consumer Discretionary"/>
    <s v="Retail - Consumer Discretionary"/>
    <s v="Corporate"/>
    <s v="Industrial"/>
    <s v="Transportation"/>
    <s v="Transportation Services"/>
    <s v="STEP-UP MARGIN: 25BP, STEP-UP EVENT: DEC 2025 GREENHOUSE GAS EMISSIONS"/>
    <n v="25"/>
    <m/>
    <s v=""/>
    <x v="1"/>
    <s v="Bookrunner Banco BTG Pactual SA/Cayman Is BTG JLMB Joint Lead Managers-Books 62500 1 2021-01-28 Bookrunner Citigroup Global Markets Inc CITI JLMB Joint Lead Managers-Books 62500 1 2021-01-28 Bookrunner Itau BBA USA Securities Inc ITAU JLMB Joint Lead Mana"/>
    <n v="5.25"/>
    <n v="5.1870000000000003"/>
    <n v="6.3234000000000004"/>
    <x v="9"/>
    <s v="Movida Europe SACALLABLEFIXEDUSDSr Unsecured"/>
    <x v="0"/>
  </r>
  <r>
    <n v="276"/>
    <s v="Vossloh AG"/>
    <s v="DE000A3H2VA6"/>
    <s v="BN9200765"/>
    <s v="BBG00Z5H8Z12"/>
    <s v="VOSGR"/>
    <s v="DE"/>
    <s v="DE"/>
    <s v="DE"/>
    <n v="4"/>
    <s v="2021-02-23"/>
    <s v="#N/A Field Not Applicable"/>
    <n v="4"/>
    <x v="3"/>
    <s v="Y"/>
    <s v="#N/A Field Not Applicable"/>
    <s v="Subordinated"/>
    <s v="EUR"/>
    <s v="#N/A N/A"/>
    <s v="N.S."/>
    <s v="VARIABLE"/>
    <s v="Annual"/>
    <n v="182193000"/>
    <s v="Industrials"/>
    <s v="Machinery Manufacturing"/>
    <s v="Corporate"/>
    <s v="Industrial"/>
    <s v="Capital Goods"/>
    <s v="Diversified Manufacturing"/>
    <s v="N/A"/>
    <s v="n/a"/>
    <m/>
    <s v=""/>
    <x v="3"/>
    <s v="Bookrunner Jefferies International Ltd JEFF JLMB Joint Lead Managers-Books 0 1 2021-02-15 Bookrunner MM Warburg &amp; CO KGaA MMWARB JLMB Joint Lead Managers-Books 0 1 2021-02-15 Trustee White &amp; Case LLP W&amp;C LAM Legal Adviser(s) to the Manage 0 16 2021-02-15"/>
    <n v="4"/>
    <n v="8.4369999999999994"/>
    <e v="#N/A"/>
    <x v="10"/>
    <s v="Vossloh AGPERP/CALLVARIABLEEURSubordinated"/>
    <x v="0"/>
  </r>
  <r>
    <n v="46"/>
    <s v="Constellium SE"/>
    <s v="US21039CAB00"/>
    <s v="BN9953066"/>
    <s v="BBG00Z6PNZ07"/>
    <s v="CSTM"/>
    <s v="FR"/>
    <s v="FR"/>
    <s v="US"/>
    <n v="3.75"/>
    <s v="2021-02-24"/>
    <s v="2029-04-15"/>
    <n v="3.75"/>
    <x v="1"/>
    <s v="Y"/>
    <s v="144A"/>
    <s v="Sr Unsecured"/>
    <s v="USD"/>
    <s v="B"/>
    <s v="N.S."/>
    <s v="FIXED"/>
    <s v="S/A"/>
    <n v="500000000"/>
    <s v="Materials"/>
    <s v="Metals &amp; Mining"/>
    <s v="Corporate"/>
    <s v="Industrial"/>
    <s v="Basic Industry"/>
    <s v="Metals and Mining"/>
    <s v="STEP-UP MARGIN: 12.5BP(04/2026), 12.5BP(04/2027), STEP-UP EVENT: FAILURE TO MEET 04/2026 AND 04/2027 SUSTAINABILITY PERFORMACE TARGET"/>
    <n v="12.5"/>
    <m/>
    <s v=""/>
    <x v="2"/>
    <s v="Bookrunner Barclays Capital BCLY JLMB Joint Lead Managers-Books 0 1 2021-02-09 Bookrunner BNP Paribas/New York BNPPAR JLMB Joint Lead Managers-Books 0 1 2021-02-09 Bookrunner Citigroup Global Markets Inc CITI JLMB Joint Lead Managers-Books 0 1 2021-02-09 "/>
    <n v="3.75"/>
    <n v="3.6859999999999999"/>
    <s v=""/>
    <x v="11"/>
    <s v="Constellium SECALLABLEFIXEDUSDSr Unsecured"/>
    <x v="1"/>
  </r>
  <r>
    <n v="47"/>
    <s v="Constellium SE"/>
    <s v="USF21107AB74"/>
    <s v="BN9953165"/>
    <s v="BBG00Z6PNZG0"/>
    <s v="CSTM"/>
    <s v="FR"/>
    <s v="FR"/>
    <s v="US"/>
    <n v="3.75"/>
    <s v="2021-02-24"/>
    <s v="2029-04-15"/>
    <n v="3.75"/>
    <x v="1"/>
    <s v="Y"/>
    <s v="REGS"/>
    <s v="Sr Unsecured"/>
    <s v="USD"/>
    <s v="B"/>
    <s v="N.S."/>
    <s v="FIXED"/>
    <s v="S/A"/>
    <n v="500000000"/>
    <s v="Materials"/>
    <s v="Metals &amp; Mining"/>
    <s v="Corporate"/>
    <s v="Industrial"/>
    <s v="Basic Industry"/>
    <s v="Metals and Mining"/>
    <s v="STEP-UP MARGIN: 12.5BP(04/2026), 12.5BP(04/2027), STEP-UP EVENT: FAILURE TO MEET 04/2026 AND 04/2027 SUSTAINABILITY PERFORMACE TARGET"/>
    <n v="12.5"/>
    <m/>
    <s v=""/>
    <x v="2"/>
    <s v="Bookrunner Barclays Capital BCLY JLMB Joint Lead Managers-Books 0 1 2021-02-09 Bookrunner BNP Paribas/New York BNPPAR JLMB Joint Lead Managers-Books 0 1 2021-02-09 Bookrunner Citigroup Global Markets Inc CITI JLMB Joint Lead Managers-Books 0 1 2021-02-09 "/>
    <n v="3.75"/>
    <n v="3.7160000000000002"/>
    <n v="4.8730000000000002"/>
    <x v="12"/>
    <s v="Constellium SECALLABLEFIXEDUSDSr Unsecured"/>
    <x v="1"/>
  </r>
  <r>
    <n v="119"/>
    <s v="Grupo Pikolin SL"/>
    <s v="ES0305072011"/>
    <s v="BO0411690"/>
    <s v="BBG00Z82GV30"/>
    <s v="PIKLIN"/>
    <s v="ES"/>
    <s v="ES"/>
    <s v="ES"/>
    <n v="4"/>
    <s v="2021-02-25"/>
    <s v="2025-02-25"/>
    <n v="1.9300000000000001E-2"/>
    <x v="0"/>
    <s v="N"/>
    <s v="EMTN"/>
    <s v="Sr Unsecured"/>
    <s v="EUR"/>
    <s v="#N/A N/A"/>
    <s v="N.S."/>
    <s v="FIXED"/>
    <s v="Annual"/>
    <n v="23203750"/>
    <s v="Consumer Discretionary"/>
    <s v="Home &amp; Office Products Manufacturing"/>
    <s v="Corporate"/>
    <s v="Industrial"/>
    <s v="Consumer Non-Cyclical"/>
    <s v="Consumer Products"/>
    <s v="N/A"/>
    <s v="n/a"/>
    <m/>
    <s v=""/>
    <x v="3"/>
    <s v="Bookrunner Beka Finance SV SA BEKA JLMB Joint Lead Managers-Books 0 4 2021-11-24 Bookrunner Sociedad de Valores SOCVAL JLMB Joint Lead Managers-Books 0 4 2021-11-24 NonBookrunner PKF Attest Debt Capital Market PKFATT GLCO Global Coordinator(s) 0 4 2021-11"/>
    <s v="#N/A N/A"/>
    <s v="#N/A N/A"/>
    <e v="#N/A"/>
    <x v="0"/>
    <s v="Grupo Pikolin SLAT MATURITYFIXEDEURSr Unsecured"/>
    <x v="0"/>
  </r>
  <r>
    <n v="120"/>
    <s v="H&amp;M Finance BV"/>
    <s v="XS2303070911"/>
    <s v="BO0866331"/>
    <s v="BBG00Z8WZ932"/>
    <s v="HMBSS"/>
    <s v="NL"/>
    <s v="NL"/>
    <s v="SE"/>
    <n v="0.25"/>
    <s v="2021-02-25"/>
    <s v="2029-08-25"/>
    <n v="0.4834"/>
    <x v="1"/>
    <s v="Y"/>
    <s v="EMTN"/>
    <s v="Sr Unsecured"/>
    <s v="EUR"/>
    <s v="NR"/>
    <s v="N.S."/>
    <s v="FIXED"/>
    <s v="Annual"/>
    <n v="610625000"/>
    <s v="Consumer Discretionary"/>
    <s v="Retail - Consumer Discretionary"/>
    <s v="Corporate"/>
    <s v="Industrial"/>
    <s v="Consumer Cyclical"/>
    <s v="Retailers"/>
    <s v="STEP-UP MARGIN: AUG 2026 MAX 25BP, STEP-UP EVENT: REF YEAR 2025 RECYCLED MATERIALS PERCENTAGE"/>
    <n v="25"/>
    <m/>
    <s v=""/>
    <x v="1"/>
    <s v="Bookrunner BNP Paribas BNPP JLMB Joint Lead Managers-Books 0 1 2021-02-18 Bookrunner Commerzbank COBA JLMB Joint Lead Managers-Books 0 1 2021-02-18 Bookrunner Danske Bank DANSKE JLMB Joint Lead Managers-Books 0 1 2021-02-18 Bookrunner SEB SEB JLMB Joint L"/>
    <s v="#N/A N/A"/>
    <n v="0.46899999999999997"/>
    <n v="4.8710000000000004"/>
    <x v="13"/>
    <s v="H&amp;M Finance BVCALLABLEFIXEDEURSr Unsecured"/>
    <x v="0"/>
  </r>
  <r>
    <n v="147"/>
    <s v="Jenoptik AG"/>
    <s v="#N/A Field Not Applicable"/>
    <s v="BO2270474"/>
    <s v="BBG00ZF12DL9"/>
    <s v="JENGR"/>
    <s v="DE"/>
    <s v="DE"/>
    <s v="DE"/>
    <n v="0"/>
    <s v="2021-03-31"/>
    <s v="2031-03-31"/>
    <s v="N/A"/>
    <x v="0"/>
    <s v="N"/>
    <s v="10Y"/>
    <s v="Sr Unsecured"/>
    <s v="EUR"/>
    <s v="#N/A N/A"/>
    <s v="N.S."/>
    <s v="FLOATING"/>
    <s v="S/A"/>
    <n v="470000000"/>
    <s v="Technology"/>
    <s v="Hardware"/>
    <s v="Corporate"/>
    <s v="Industrial"/>
    <s v="Technology"/>
    <s v="Technology"/>
    <s v="ESG-LINKED &amp; MULTI-CURRENCY SCHULDSCHEIN EUR350MM/USD 59MM. DEAL SIZE EQUIV TO EUR 400MM. TWO SETTLEMENT DATES: 03/31/21 FOR EUR 130MM &amp; 09/30/21 FOR EUR270MM."/>
    <s v="n/a"/>
    <m/>
    <s v=""/>
    <x v="2"/>
    <s v="Bookrunner BNP Paribas/Frankfurt BNP JLMB Joint Lead Managers-Books 0 4 2021-09-30 Bookrunner DZ Bank DZBK JLMB Joint Lead Managers-Books 0 4 2021-09-30 Bookrunner Landesbank Hessen-Thuringen Gi HELABA JLMB Joint Lead Managers-Books 0 4 2021-09-30 Bookrun"/>
    <s v="#N/A N/A"/>
    <s v="#N/A N/A"/>
    <e v="#N/A"/>
    <x v="0"/>
    <s v="Jenoptik AGAT MATURITYFLOATINGEURSr Unsecured"/>
    <x v="0"/>
  </r>
  <r>
    <n v="146"/>
    <s v="Jenoptik AG"/>
    <s v="#N/A Field Not Applicable"/>
    <s v="BO2287999"/>
    <s v="BBG00ZF1CX70"/>
    <s v="JENGR"/>
    <s v="DE"/>
    <s v="DE"/>
    <s v="DE"/>
    <n v="0"/>
    <s v="2021-03-31"/>
    <s v="2028-03-31"/>
    <s v="N/A"/>
    <x v="0"/>
    <s v="N"/>
    <s v="7Y"/>
    <s v="Sr Unsecured"/>
    <s v="EUR"/>
    <s v="#N/A N/A"/>
    <s v="N.S."/>
    <s v="FLOATING"/>
    <s v="S/A"/>
    <n v="411250000"/>
    <s v="Technology"/>
    <s v="Hardware"/>
    <s v="Corporate"/>
    <s v="Industrial"/>
    <s v="Technology"/>
    <s v="Technology"/>
    <s v="ESG-LINKED &amp; MULTI-CURRENCY SCHULDSCHEIN EUR350MM/USD 59MM. DEAL SIZE EQUIV TO EUR 400MM. TWO SETTLEMENT DATES: 03/31/21 FOR EUR 130MM &amp; 09/30/21 FOR EUR270MM."/>
    <s v="n/a"/>
    <m/>
    <s v=""/>
    <x v="2"/>
    <s v="Bookrunner BNP Paribas/Frankfurt BNP JLMB Joint Lead Managers-Books 0 4 2021-09-30 Bookrunner DZ Bank DZBK JLMB Joint Lead Managers-Books 0 4 2021-09-30 Bookrunner Landesbank Hessen-Thuringen Gi HELABA JLMB Joint Lead Managers-Books 0 4 2021-09-30 Bookrun"/>
    <s v="#N/A N/A"/>
    <s v="#N/A N/A"/>
    <e v="#N/A"/>
    <x v="0"/>
    <s v="Jenoptik AGAT MATURITYFLOATINGEURSr Unsecured"/>
    <x v="0"/>
  </r>
  <r>
    <n v="150"/>
    <s v="Jenoptik AG"/>
    <s v="#N/A Field Not Applicable"/>
    <s v="BO2288013"/>
    <s v="BBG00ZF1CXH9"/>
    <s v="JENGR"/>
    <s v="DE"/>
    <s v="DE"/>
    <s v="DE"/>
    <n v="0"/>
    <s v="2021-03-31"/>
    <s v="2026-03-31"/>
    <s v="N/A"/>
    <x v="0"/>
    <s v="N"/>
    <s v="5Y"/>
    <s v="Sr Unsecured"/>
    <s v="EUR"/>
    <s v="#N/A N/A"/>
    <s v="N.S."/>
    <s v="FLOATING"/>
    <s v="S/A"/>
    <n v="411250000"/>
    <s v="Technology"/>
    <s v="Hardware"/>
    <s v="Corporate"/>
    <s v="Industrial"/>
    <s v="Technology"/>
    <s v="Technology"/>
    <s v="ESG-LINKED &amp; MULTI-CURRENCY SCHULDSCHEIN EUR350MM/USD59MM. DEAL SIZE EQUIV TO EUR 400MM. TWO SETTLEMENT DATES: 03/31/21 FOR EUR 130MM &amp; 09/30/21 FOR EUR270MM."/>
    <s v="n/a"/>
    <m/>
    <s v=""/>
    <x v="2"/>
    <s v="Bookrunner BNP Paribas/Frankfurt BNP JLMB Joint Lead Managers-Books 0 4 2021-09-30 Bookrunner DZ Bank DZBK JLMB Joint Lead Managers-Books 0 4 2021-09-30 Bookrunner Landesbank Hessen-Thuringen Gi HELABA JLMB Joint Lead Managers-Books 0 4 2021-09-30 Bookrun"/>
    <s v="#N/A N/A"/>
    <s v="#N/A N/A"/>
    <e v="#N/A"/>
    <x v="0"/>
    <s v="Jenoptik AGAT MATURITYFLOATINGEURSr Unsecured"/>
    <x v="0"/>
  </r>
  <r>
    <n v="148"/>
    <s v="Jenoptik AG"/>
    <s v="#N/A Field Not Applicable"/>
    <s v="BO2288021"/>
    <s v="BBG00ZF1CXT6"/>
    <s v="JENGR"/>
    <s v="DE"/>
    <s v="DE"/>
    <s v="DE"/>
    <n v="0"/>
    <s v="2021-03-31"/>
    <s v="2026-03-31"/>
    <s v="N/A"/>
    <x v="0"/>
    <s v="N"/>
    <s v="5YUS"/>
    <s v="Sr Unsecured"/>
    <s v="USD"/>
    <s v="#N/A N/A"/>
    <s v="N.S."/>
    <s v="FLOATING"/>
    <s v="Qtrly"/>
    <n v="59000000"/>
    <s v="Technology"/>
    <s v="Hardware"/>
    <s v="Corporate"/>
    <s v="Industrial"/>
    <s v="Technology"/>
    <s v="Technology"/>
    <s v="ESG-LINKED &amp; MULTI-CURRENCY SCHULDSCHEIN EUR350MM/USD59MM. DEAL SIZE EQUIV TO EUR 400MM. TWO SETTLEMENT DATES: 03/31/21 FOR EUR 130MM &amp; 09/30/21 FOR EUR270MM."/>
    <s v="n/a"/>
    <m/>
    <s v=""/>
    <x v="2"/>
    <s v="Bookrunner BNP Paribas/Frankfurt BNP JLMB Joint Lead Managers-Books 0 1 2021-03-31 Bookrunner DZ Bank DZBK JLMB Joint Lead Managers-Books 0 1 2021-03-31 Bookrunner Landesbank Hessen-Thuringen Gi HELABA JLMB Joint Lead Managers-Books 0 1 2021-03-31"/>
    <s v="#N/A N/A"/>
    <s v="#N/A N/A"/>
    <e v="#N/A"/>
    <x v="0"/>
    <s v="Jenoptik AGAT MATURITYFLOATINGUSDSr Unsecured"/>
    <x v="0"/>
  </r>
  <r>
    <n v="149"/>
    <s v="Jenoptik AG"/>
    <s v="#N/A Field Not Applicable"/>
    <s v="BO2288039"/>
    <s v="BBG00ZF1CY41"/>
    <s v="JENGR"/>
    <s v="DE"/>
    <s v="DE"/>
    <s v="DE"/>
    <n v="0"/>
    <s v="2021-03-31"/>
    <s v="2024-03-31"/>
    <s v="N/A"/>
    <x v="0"/>
    <s v="N"/>
    <s v="3Y"/>
    <s v="Sr Unsecured"/>
    <s v="EUR"/>
    <s v="#N/A N/A"/>
    <s v="N.S."/>
    <s v="FLOATING"/>
    <s v="S/A"/>
    <n v="411250000"/>
    <s v="Technology"/>
    <s v="Hardware"/>
    <s v="Corporate"/>
    <s v="Industrial"/>
    <s v="Technology"/>
    <s v="Technology"/>
    <s v="ESG-LINKED &amp; MULTI-CURRENCY SCHULDSCHEIN EUR350MM/USD59MM. DEAL SIZE EQUIV TO EUR 400MM. TWO SETTLEMENT DATES: 03/31/21 FOR EUR 130MM &amp; 09/30/21 FOR EUR270MM."/>
    <s v="n/a"/>
    <m/>
    <s v=""/>
    <x v="2"/>
    <s v="Bookrunner BNP Paribas/Frankfurt BNP JLMB Joint Lead Managers-Books 0 4 2021-09-30 Bookrunner DZ Bank DZBK JLMB Joint Lead Managers-Books 0 4 2021-09-30 Bookrunner Landesbank Hessen-Thuringen Gi HELABA JLMB Joint Lead Managers-Books 0 4 2021-09-30 Bookrun"/>
    <s v="#N/A N/A"/>
    <s v="#N/A N/A"/>
    <e v="#N/A"/>
    <x v="0"/>
    <s v="Jenoptik AGAT MATURITYFLOATINGEURSr Unsecured"/>
    <x v="0"/>
  </r>
  <r>
    <n v="253"/>
    <s v="Traton SE"/>
    <s v="#N/A Field Not Applicable"/>
    <s v="BO4001745"/>
    <s v="BBG00ZJXLT93"/>
    <s v="TRAGR"/>
    <s v="DE"/>
    <s v="DE"/>
    <s v="DE"/>
    <n v="0"/>
    <s v="2021-03-03"/>
    <s v="2028-03-03"/>
    <s v="N/A"/>
    <x v="0"/>
    <s v="N"/>
    <s v="7YFX"/>
    <s v="Sr Unsecured"/>
    <s v="EUR"/>
    <s v="#N/A N/A"/>
    <s v="N.S."/>
    <s v="FIXED"/>
    <s v="Annual"/>
    <n v="844921000"/>
    <s v="Industrials"/>
    <s v="Transportation &amp; Logistics"/>
    <s v="Corporate"/>
    <s v="Industrial"/>
    <s v="Transportation"/>
    <s v="Transportation Services"/>
    <s v="SUSTAINABILITY-LINKED SCHULDSCHEIN. TWO SETTLEMENT DATES: EUR 275MM ON 3/3/21 &amp; EUR 425MM ON 6/23/21."/>
    <s v="n/a"/>
    <m/>
    <s v=""/>
    <x v="2"/>
    <s v="Bookrunner Landesbank Baden-Wuerttemberg LBBW JLMB Joint Lead Managers-Books 0 4 2021-06-23 Bookrunner SEB SEB JLMB Joint Lead Managers-Books 0 4 2021-06-23 Bookrunner UniCredit Bank AG UNICRD JLMB Joint Lead Managers-Books 0 4 2021-06-23 Bookrunner Lande"/>
    <s v="#N/A N/A"/>
    <s v="#N/A N/A"/>
    <e v="#N/A"/>
    <x v="0"/>
    <s v="Traton SEAT MATURITYFIXEDEURSr Unsecured"/>
    <x v="0"/>
  </r>
  <r>
    <n v="255"/>
    <s v="Traton SE"/>
    <s v="#N/A Field Not Applicable"/>
    <s v="BO4001760"/>
    <s v="BBG00ZJXLTD8"/>
    <s v="TRAGR"/>
    <s v="DE"/>
    <s v="DE"/>
    <s v="DE"/>
    <n v="0"/>
    <s v="2021-03-03"/>
    <s v="2028-03-03"/>
    <s v="N/A"/>
    <x v="0"/>
    <s v="N"/>
    <s v="5YFX"/>
    <s v="Sr Unsecured"/>
    <s v="EUR"/>
    <s v="#N/A N/A"/>
    <s v="N.S."/>
    <s v="FIXED"/>
    <s v="Annual"/>
    <n v="844921000"/>
    <s v="Industrials"/>
    <s v="Transportation &amp; Logistics"/>
    <s v="Corporate"/>
    <s v="Industrial"/>
    <s v="Transportation"/>
    <s v="Transportation Services"/>
    <s v="SUSTAINABILITY-LINKED SCHULDSCHEIN. TWO SETTLEMENT DATES: EUR 275MM ON 3/3/21 &amp; EUR 425MM ON 6/23/21."/>
    <s v="n/a"/>
    <m/>
    <s v=""/>
    <x v="2"/>
    <s v="Bookrunner Landesbank Baden-Wuerttemberg LBBW JLMB Joint Lead Managers-Books 0 4 2021-06-23 Bookrunner SEB SEB JLMB Joint Lead Managers-Books 0 4 2021-06-23 Bookrunner UniCredit Bank AG UNICRD JLMB Joint Lead Managers-Books 0 4 2021-06-23 Bookrunner Lande"/>
    <s v="#N/A N/A"/>
    <s v="#N/A N/A"/>
    <e v="#N/A"/>
    <x v="0"/>
    <s v="Traton SEAT MATURITYFIXEDEURSr Unsecured"/>
    <x v="0"/>
  </r>
  <r>
    <n v="254"/>
    <s v="Traton SE"/>
    <s v="#N/A Field Not Applicable"/>
    <s v="BO4001778"/>
    <s v="BBG00ZJXLTH4"/>
    <s v="TRAGR"/>
    <s v="DE"/>
    <s v="DE"/>
    <s v="DE"/>
    <n v="0"/>
    <s v="2021-03-03"/>
    <s v="2028-03-03"/>
    <s v="N/A"/>
    <x v="0"/>
    <s v="N"/>
    <s v="3YFX"/>
    <s v="Sr Unsecured"/>
    <s v="EUR"/>
    <s v="#N/A N/A"/>
    <s v="N.S."/>
    <s v="FIXED"/>
    <s v="Annual"/>
    <n v="844921000"/>
    <s v="Industrials"/>
    <s v="Transportation &amp; Logistics"/>
    <s v="Corporate"/>
    <s v="Industrial"/>
    <s v="Transportation"/>
    <s v="Transportation Services"/>
    <s v="SUSTAINABILITY-LINKED SCHULDSCHEIN. DEAL SIZE EUR 700MM. TWO SETTLEMENT DATES: EUR 275MM ON 3/3/21 &amp; EUR 425MM ON 06/23/21."/>
    <s v="n/a"/>
    <m/>
    <s v=""/>
    <x v="2"/>
    <s v="Bookrunner Landesbank Baden-Wuerttemberg LBBW JLMB Joint Lead Managers-Books 0 4 2021-06-23 Bookrunner SEB SEB JLMB Joint Lead Managers-Books 0 4 2021-06-23 Bookrunner UniCredit Bank AG UNICRD JLMB Joint Lead Managers-Books 0 4 2021-06-23 Bookrunner Lande"/>
    <s v="#N/A N/A"/>
    <s v="#N/A N/A"/>
    <e v="#N/A"/>
    <x v="0"/>
    <s v="Traton SEAT MATURITYFIXEDEURSr Unsecured"/>
    <x v="0"/>
  </r>
  <r>
    <n v="202"/>
    <s v="Public Power Corp SA"/>
    <s v="XS2314265237"/>
    <s v="BO4570236"/>
    <s v="BBG00ZKVGW85"/>
    <s v="PPCGA"/>
    <s v="GR"/>
    <s v="GR"/>
    <s v="GR"/>
    <n v="3.875"/>
    <s v="2021-03-18"/>
    <s v="2026-03-30"/>
    <n v="3.875"/>
    <x v="1"/>
    <s v="Y"/>
    <s v="#N/A Field Not Applicable"/>
    <s v="Sr Unsecured"/>
    <s v="EUR"/>
    <s v="B+"/>
    <s v="BBB"/>
    <s v="FIXED"/>
    <s v="S/A"/>
    <n v="924520750"/>
    <s v="Utilities"/>
    <s v="Utilities"/>
    <s v="Government-Related"/>
    <s v="Agency"/>
    <s v="Government Owned, No Guarantee"/>
    <s v="Government Owned, No Guarantee"/>
    <s v="STEP-UP MARGIN: 50BP, STEP-UP EVENT: FAILURE TO REDUCE ISSUER'S CO2 EMISSIONS BY 40% BY DEC-22, FROM 2019 BASE YEAR."/>
    <n v="50"/>
    <m/>
    <s v=""/>
    <x v="1"/>
    <s v="Bookrunner Alpha Bank AE ALPHA JLMB Joint Lead Managers-Books 0 4 2021-03-22 Bookrunner Ambrosia Capital Ltd/United Ki AMBCAP JLMB Joint Lead Managers-Books 0 4 2021-03-22 Bookrunner Axia Advisors LLC AXIA JLMB Joint Lead Managers-Books 0 4 2021-03-22 Boo"/>
    <n v="3.875"/>
    <n v="3.4489999999999998"/>
    <n v="4.2309999999999999"/>
    <x v="14"/>
    <s v="Public Power Corp SACALLABLEFIXEDEURSr Unsecured"/>
    <x v="0"/>
  </r>
  <r>
    <n v="159"/>
    <s v="Koninklijke Ahold Delhaize NV"/>
    <s v="XS2317288301"/>
    <s v="BO5182908"/>
    <s v="BBG00ZLG9PY1"/>
    <s v="ADNA"/>
    <s v="NL"/>
    <s v="NL"/>
    <s v="NL"/>
    <n v="0.375"/>
    <s v="2021-03-18"/>
    <s v="2030-03-18"/>
    <n v="0.40460000000000002"/>
    <x v="1"/>
    <s v="Y"/>
    <s v="#N/A Field Not Applicable"/>
    <s v="Sr Unsecured"/>
    <s v="EUR"/>
    <s v="BBB"/>
    <s v="AA"/>
    <s v="FIXED"/>
    <s v="Annual"/>
    <n v="715758000"/>
    <s v="Consumer Staples"/>
    <s v="Supermarkets &amp; Pharmacies"/>
    <s v="Corporate"/>
    <s v="Industrial"/>
    <s v="Consumer Non-Cyclical"/>
    <s v="Supermarkets"/>
    <s v="STEP-UP MARGIN: 25 BP FROM MARCH 2026, STEP-UP EVENT: CARBON EMISSION REDUCTION - CO2 EMISSION REDUCTION - FOOD WASTE REDUCTION"/>
    <n v="25"/>
    <m/>
    <s v=""/>
    <x v="1"/>
    <s v="Bookrunner BNP Paribas BNPP JLMB Joint Lead Managers-Books 0 1 2021-03-11 Bookrunner BofA Securities BofA JLMB Joint Lead Managers-Books 0 1 2021-03-11 Bookrunner Deutsche Bank DB JLMB Joint Lead Managers-Books 0 1 2021-03-11 Bookrunner Goldman Sachs Bank"/>
    <s v="#N/A N/A"/>
    <n v="0.46700000000000003"/>
    <n v="4.2309999999999999"/>
    <x v="15"/>
    <s v="Koninklijke Ahold Delhaize NVCALLABLEFIXEDEURSr Unsecured"/>
    <x v="1"/>
  </r>
  <r>
    <n v="201"/>
    <s v="Polski Koncern Naftowy ORLEN SA"/>
    <s v="PLO037100016"/>
    <s v="BO6681916"/>
    <s v="BBG00ZQYMVS6"/>
    <s v="PKNPW"/>
    <s v="PL"/>
    <s v="PL"/>
    <s v="PL"/>
    <n v="2.875"/>
    <s v="2021-03-25"/>
    <s v="2031-03-25"/>
    <n v="2.9098000000000002"/>
    <x v="0"/>
    <s v="N"/>
    <s v="D"/>
    <s v="Sr Unsecured"/>
    <s v="PLN"/>
    <s v="#N/A N/A"/>
    <s v="BBB"/>
    <s v="FIXED"/>
    <s v="S/A"/>
    <n v="254011000"/>
    <s v="Energy"/>
    <s v="Refining &amp; Marketing"/>
    <s v="Corporate"/>
    <s v="Industrial"/>
    <s v="Energy"/>
    <s v="Refining"/>
    <s v="STEP UP: +10BPS IF ESG RATING(MSCI) FALLS TO BBB, +20BPS IF ESG RATING (MSCI) FALLS TO BB OR LOWER"/>
    <s v="multi"/>
    <m/>
    <s v=""/>
    <x v="0"/>
    <s v="Bookrunner Bank Pekao SA PEKAO LMGR Lead Manager(s) 0 1 2021-03-18 Trustee Bank Pekao SA PEKAO CALC Calculation Agent(s) 0 7 2021-03-18"/>
    <s v="#N/A N/A"/>
    <n v="2.875"/>
    <e v="#N/A"/>
    <x v="16"/>
    <s v="Polski Koncern Naftowy ORLEN SAAT MATURITYFIXEDPLNSr Unsecured"/>
    <x v="0"/>
  </r>
  <r>
    <n v="122"/>
    <s v="Hapag-Lloyd AG"/>
    <s v="XS2326550899"/>
    <s v="BO7346857"/>
    <s v="BBG00ZS90181"/>
    <s v="HPLGR"/>
    <s v="DE"/>
    <s v="DE"/>
    <s v="DE"/>
    <n v="2.5"/>
    <s v="2021-04-06"/>
    <s v="2028-04-15"/>
    <n v="2.5"/>
    <x v="1"/>
    <s v="Y"/>
    <s v="144A"/>
    <s v="Sr Unsecured"/>
    <s v="EUR"/>
    <s v="BB-"/>
    <s v="N.S."/>
    <s v="FIXED"/>
    <s v="S/A"/>
    <n v="355671000"/>
    <s v="Industrials"/>
    <s v="Transportation &amp; Logistics"/>
    <s v="Corporate"/>
    <s v="Industrial"/>
    <s v="Transportation"/>
    <s v="Transportation Services"/>
    <s v="N/A"/>
    <s v="n/a"/>
    <m/>
    <s v=""/>
    <x v="3"/>
    <s v="Bookrunner Credit Agricole CIB CACIB JLMB Joint Lead Managers-Books 0 1 2021-03-25 Bookrunner Deutsche Bank DB JLMB Joint Lead Managers-Books 0 1 2021-03-25 Bookrunner DZ Bank DZBK JLMB Joint Lead Managers-Books 0 1 2021-03-25 Bookrunner Goldman Sachs Int"/>
    <n v="2.5"/>
    <n v="2.4489999999999998"/>
    <n v="1.1240000000000001"/>
    <x v="17"/>
    <s v="Hapag-Lloyd AGCALLABLEFIXEDEURSr Unsecured"/>
    <x v="0"/>
  </r>
  <r>
    <n v="268"/>
    <s v="Verbund AG"/>
    <s v="XS2320746394"/>
    <s v="BO7653054"/>
    <s v="BBG00ZSJDM98"/>
    <s v="VERAV"/>
    <s v="AT"/>
    <s v="AT"/>
    <s v="AT"/>
    <n v="0.9"/>
    <s v="2021-04-01"/>
    <s v="2041-04-01"/>
    <n v="0.90010000000000001"/>
    <x v="1"/>
    <s v="Y"/>
    <s v="#N/A Field Not Applicable"/>
    <s v="Sr Unsecured"/>
    <s v="EUR"/>
    <s v="A-"/>
    <s v="AAA"/>
    <s v="FIXED"/>
    <s v="Annual"/>
    <n v="588655000"/>
    <s v="Utilities"/>
    <s v="Power Generation"/>
    <s v="Government-Related"/>
    <s v="Agency"/>
    <s v="Government Owned, No Guarantee"/>
    <s v="Government Owned, No Guarantee"/>
    <s v="STEP-UP MARGIN: 25BP, STEP-UP EVENT: RENEWABLES INSTALLED CAPACITY"/>
    <n v="25"/>
    <m/>
    <s v=""/>
    <x v="1"/>
    <s v="Bookrunner BofA Securities Europe SA BOFAS JLMB Joint Lead Managers-Books 0 1 2021-03-24 Bookrunner Erste Group Bank ERSTE JLMB Joint Lead Managers-Books 0 1 2021-03-24 Bookrunner JP Morgan Securities PLC JPM JLMB Joint Lead Managers-Books 0 1 2021-03-24 "/>
    <s v="#N/A N/A"/>
    <n v="0.88300000000000001"/>
    <n v="5.1289999999999996"/>
    <x v="18"/>
    <s v="Verbund AGCALLABLEFIXEDEURSr Unsecured"/>
    <x v="0"/>
  </r>
  <r>
    <n v="123"/>
    <s v="Hapag-Lloyd AG"/>
    <s v="XS2326548562"/>
    <s v="BO8025047"/>
    <s v="BBG00ZTHF257"/>
    <s v="HPLGR"/>
    <s v="DE"/>
    <s v="DE"/>
    <s v="DE"/>
    <n v="2.5"/>
    <s v="2021-04-06"/>
    <s v="2028-04-15"/>
    <n v="2.5"/>
    <x v="1"/>
    <s v="Y"/>
    <s v="REGS"/>
    <s v="Sr Unsecured"/>
    <s v="EUR"/>
    <s v="BB-"/>
    <s v="N.S."/>
    <s v="FIXED"/>
    <s v="S/A"/>
    <n v="355671000"/>
    <s v="Industrials"/>
    <s v="Transportation &amp; Logistics"/>
    <s v="Corporate"/>
    <s v="Industrial"/>
    <s v="Transportation"/>
    <s v="Transportation Services"/>
    <s v="N/A"/>
    <s v="n/a"/>
    <m/>
    <s v=""/>
    <x v="3"/>
    <s v="Bookrunner Credit Agricole CIB CACIB JLMB Joint Lead Managers-Books 0 1 2021-03-25 Bookrunner Deutsche Bank DB JLMB Joint Lead Managers-Books 0 1 2021-03-25 Bookrunner DZ Bank DZBK JLMB Joint Lead Managers-Books 0 1 2021-03-25 Bookrunner Goldman Sachs Int"/>
    <n v="2.5"/>
    <n v="2.431"/>
    <n v="4.8710000000000004"/>
    <x v="19"/>
    <s v="Hapag-Lloyd AGCALLABLEFIXEDEURSr Unsecured"/>
    <x v="0"/>
  </r>
  <r>
    <n v="190"/>
    <s v="PCF GmbH"/>
    <s v="XS2333301757"/>
    <s v="BP0490451"/>
    <s v="BBG0100PLMM6"/>
    <s v="PFLEID"/>
    <s v="DE"/>
    <s v="DE"/>
    <s v="DE"/>
    <n v="4.75"/>
    <s v="2021-04-22"/>
    <s v="2026-04-15"/>
    <n v="4.7591000000000001"/>
    <x v="1"/>
    <s v="Y"/>
    <s v="144A"/>
    <s v="Secured"/>
    <s v="EUR"/>
    <s v="B"/>
    <s v="N.S."/>
    <s v="FIXED"/>
    <s v="S/A"/>
    <n v="480348000"/>
    <s v="Materials"/>
    <s v="Construction Materials Manufacturing"/>
    <s v="Corporate"/>
    <s v="Industrial"/>
    <s v="Capital Goods"/>
    <s v="Building Materials"/>
    <s v="STEP-UP MARGIN: 12.5BP, STEP-UP EVENT: DEC 2022 USE RECYCLED WOOD PRODUCTS 44% AND STEP-UP MARGIN: 12.5BP, EVENT: DEC 2022 REDUCTION GAS EMISSION TO 201670 TONS"/>
    <n v="12.5"/>
    <m/>
    <s v=""/>
    <x v="1"/>
    <s v="Bookrunner BofA Securities Europe SA BOFAS JLMB Joint Lead Managers-Books 0 1 2021-04-15 Bookrunner Credit Suisse Securities (Euro CS JLMB Joint Lead Managers-Books 0 1 2021-04-15 Bookrunner Deutsche Bank DB JLMB Joint Lead Managers-Books 0 1 2021-04-15 B"/>
    <s v="#N/A N/A"/>
    <n v="4.5949999999999998"/>
    <n v="5.0011000000000001"/>
    <x v="20"/>
    <s v="PCF GmbHCALLABLEFIXEDEURSecured"/>
    <x v="0"/>
  </r>
  <r>
    <n v="191"/>
    <s v="PCF GmbH"/>
    <s v="XS2333302722"/>
    <s v="BP0490469"/>
    <s v="BBG0100PLMX4"/>
    <s v="PFLEID"/>
    <s v="DE"/>
    <s v="DE"/>
    <s v="DE"/>
    <n v="4.75"/>
    <s v="2021-04-22"/>
    <s v="2026-04-15"/>
    <n v="4.6886000000000001"/>
    <x v="1"/>
    <s v="Y"/>
    <s v="144A"/>
    <s v="Secured"/>
    <s v="EUR"/>
    <s v="B"/>
    <s v="N.S."/>
    <s v="FLOATING"/>
    <s v="Qtrly"/>
    <n v="420304500"/>
    <s v="Materials"/>
    <s v="Construction Materials Manufacturing"/>
    <s v="Corporate"/>
    <s v="Industrial"/>
    <s v="Capital Goods"/>
    <s v="Building Materials"/>
    <s v="STEP-UP MARGIN: 12.5BP, STEP-UP EVENT: DEC 2022 USE RECYCLED WOOD PRODUCTS 44% AND STEP-UP MARGIN: 12.5BP, EVENT: DEC 2022 REDUCTION GAS EMISSION TO 201670 TONS"/>
    <n v="12.5"/>
    <m/>
    <s v=""/>
    <x v="1"/>
    <s v="Bookrunner BofA Securities Europe SA BOFAS JLMB Joint Lead Managers-Books 0 1 2021-04-15 Bookrunner Credit Suisse Securities (Euro CS JLMB Joint Lead Managers-Books 0 1 2021-04-15 Bookrunner Deutsche Bank DB JLMB Joint Lead Managers-Books 0 1 2021-04-15 B"/>
    <s v="#N/A N/A"/>
    <n v="4.57"/>
    <n v="4.8710000000000004"/>
    <x v="21"/>
    <s v="PCF GmbHCALLABLEFLOATINGEURSecured"/>
    <x v="0"/>
  </r>
  <r>
    <n v="192"/>
    <s v="PCF GmbH"/>
    <s v="XS2333301674"/>
    <s v="BP0490477"/>
    <s v="BBG0100PLMZ2"/>
    <s v="PFLEID"/>
    <s v="DE"/>
    <s v="DE"/>
    <s v="DE"/>
    <n v="4.75"/>
    <s v="2021-04-22"/>
    <s v="2026-04-15"/>
    <n v="4.6368999999999998"/>
    <x v="1"/>
    <s v="Y"/>
    <s v="REGS"/>
    <s v="Secured"/>
    <s v="EUR"/>
    <s v="B"/>
    <s v="N.S."/>
    <s v="FIXED"/>
    <s v="S/A"/>
    <n v="480348000"/>
    <s v="Materials"/>
    <s v="Construction Materials Manufacturing"/>
    <s v="Corporate"/>
    <s v="Industrial"/>
    <s v="Capital Goods"/>
    <s v="Building Materials"/>
    <s v="STEP-UP MARGIN: 12.5BP, STEP-UP EVENT: DEC 2022 USE RECYCLED WOOD PRODUCTS 44% AND STEP-UP MARGIN: 12.5BP, EVENT: DEC 2022 REDUCTION GAS EMISSION TO 201670 TONS"/>
    <n v="12.5"/>
    <m/>
    <s v=""/>
    <x v="1"/>
    <s v="Bookrunner BofA Securities Europe SA BOFAS JLMB Joint Lead Managers-Books 0 1 2021-04-15 Bookrunner Credit Suisse Securities (Euro CS JLMB Joint Lead Managers-Books 0 1 2021-04-15 Bookrunner Deutsche Bank DB JLMB Joint Lead Managers-Books 0 1 2021-04-15 B"/>
    <s v="#N/A N/A"/>
    <n v="4.6289999999999996"/>
    <n v="6.3234000000000004"/>
    <x v="22"/>
    <s v="PCF GmbHCALLABLEFIXEDEURSecured"/>
    <x v="0"/>
  </r>
  <r>
    <n v="193"/>
    <s v="PCF GmbH"/>
    <s v="XS2333302052"/>
    <s v="BP0490485"/>
    <s v="BBG0100PLN62"/>
    <s v="PFLEID"/>
    <s v="DE"/>
    <s v="DE"/>
    <s v="DE"/>
    <n v="4.75"/>
    <s v="2021-04-22"/>
    <s v="2026-04-15"/>
    <n v="4.6186999999999996"/>
    <x v="1"/>
    <s v="Y"/>
    <s v="REGS"/>
    <s v="Secured"/>
    <s v="EUR"/>
    <s v="B"/>
    <s v="N.S."/>
    <s v="FLOATING"/>
    <s v="Qtrly"/>
    <n v="420304500"/>
    <s v="Materials"/>
    <s v="Construction Materials Manufacturing"/>
    <s v="Corporate"/>
    <s v="Industrial"/>
    <s v="Capital Goods"/>
    <s v="Building Materials"/>
    <s v="STEP-UP MARGIN: 12.5BP, STEP-UP EVENT: DEC 2022 USE RECYCLED WOOD PRODUCTS 44% AND STEP-UP MARGIN: 12.5BP, EVENT: DEC 2022 REDUCTION GAS EMISSION TO 201670 TONS"/>
    <n v="12.5"/>
    <m/>
    <s v=""/>
    <x v="1"/>
    <s v="Bookrunner BofA Securities Europe SA BOFAS JLMB Joint Lead Managers-Books 0 1 2021-04-15 Bookrunner Credit Suisse Securities (Euro CS JLMB Joint Lead Managers-Books 0 1 2021-04-15 Bookrunner Deutsche Bank DB JLMB Joint Lead Managers-Books 0 1 2021-04-15 B"/>
    <s v="#N/A N/A"/>
    <n v="4.6139999999999999"/>
    <n v="5.1289999999999996"/>
    <x v="23"/>
    <s v="PCF GmbHCALLABLEFLOATINGEURSecured"/>
    <x v="0"/>
  </r>
  <r>
    <n v="153"/>
    <s v="Kelag-Kaerntner Elektrizitaets AG"/>
    <s v="XS2328873463"/>
    <s v="BP0568710"/>
    <s v="BBG0100RC7S9"/>
    <s v="KELAGG"/>
    <s v="AT"/>
    <s v="AT"/>
    <s v="AT"/>
    <n v="1.1499999999999999"/>
    <s v="2021-04-16"/>
    <s v="2041-04-16"/>
    <n v="1.224"/>
    <x v="0"/>
    <s v="N"/>
    <s v="#N/A Field Not Applicable"/>
    <s v="Sr Unsecured"/>
    <s v="EUR"/>
    <s v="#N/A N/A"/>
    <s v="N.S."/>
    <s v="FIXED"/>
    <s v="Annual"/>
    <n v="143767200"/>
    <s v="Utilities"/>
    <s v="Utilities"/>
    <s v="Government-Related"/>
    <s v="Local Authority"/>
    <s v="Local Authority"/>
    <s v="Local Authority"/>
    <s v="STEP-UP MARGIN: 50 BPS, STEP UP EVENT; ESG RATING &lt;68 IN REPORT 2026 &amp;/OR &lt;70 IN REPORT 2031, COUPON INCREASES ONCE IN AND FOR PERIOD ONLY"/>
    <n v="50"/>
    <m/>
    <s v=""/>
    <x v="2"/>
    <s v="Bookrunner UniCredit Bank Austria AG UCBA LMGR Lead Manager(s) 0 1 2021-04-12 Trustee Citibank Europe PLC CITIFS PAAG Paying Agent(s) 0 7 2021-04-12"/>
    <n v="1.224"/>
    <n v="1.296"/>
    <n v="4.8710000000000004"/>
    <x v="24"/>
    <s v="Kelag-Kaerntner Elektrizitaets AGAT MATURITYFIXEDEURSr Unsecured"/>
    <x v="0"/>
  </r>
  <r>
    <n v="30"/>
    <s v="Berlin Hyp AG"/>
    <s v="DE000BHY0SL9"/>
    <s v="BP0671035"/>
    <s v="BBG01015BGG0"/>
    <s v="BHH"/>
    <s v="DE"/>
    <s v="DE"/>
    <s v="DE"/>
    <n v="0.375"/>
    <s v="2021-04-21"/>
    <s v="2031-04-21"/>
    <n v="0.41539999999999999"/>
    <x v="0"/>
    <s v="N"/>
    <s v="EMTN"/>
    <s v="Sr Preferred"/>
    <s v="EUR"/>
    <s v="AA-"/>
    <s v="N.S."/>
    <s v="FIXED"/>
    <s v="Annual"/>
    <n v="601385000"/>
    <s v="Financials"/>
    <s v="Consumer Finance"/>
    <s v="Corporate"/>
    <s v="Financial Institutions"/>
    <s v="Banking"/>
    <s v="Banking"/>
    <s v="SUSTAINABILITY-LINKED BOND, STEP-UP COUPON: 25BP, STEP-UP EVENT: CARBON REDUCTION UNTIL DEC 2030"/>
    <n v="25"/>
    <m/>
    <s v=""/>
    <x v="1"/>
    <s v="Bookrunner Commerzbank COBA JLMB Joint Lead Managers-Books 0 1 2021-04-13 Bookrunner Credit Agricole CIB CACIB JLMB Joint Lead Managers-Books 0 1 2021-04-13 Bookrunner DZ BANK AG Deutsche Zentral-Ge DZBKGE JLMB Joint Lead Managers-Books 0 1 2021-04-13 Boo"/>
    <s v="#N/A N/A"/>
    <n v="0.39200000000000002"/>
    <e v="#N/A"/>
    <x v="25"/>
    <s v="Berlin Hyp AGAT MATURITYFIXEDEURSr Preferred"/>
    <x v="0"/>
  </r>
  <r>
    <n v="9"/>
    <s v="Aeroporti di Roma SpA"/>
    <s v="XS2337326727"/>
    <s v="BP2016262"/>
    <s v="BBG0107S0918"/>
    <s v="ADRIT"/>
    <s v="IT"/>
    <s v="IT"/>
    <s v="IT"/>
    <n v="1.75"/>
    <s v="2021-04-30"/>
    <s v="2031-07-30"/>
    <n v="1.8186"/>
    <x v="1"/>
    <s v="Y"/>
    <s v="EMTN"/>
    <s v="Sr Unsecured"/>
    <s v="EUR"/>
    <s v="BBB-"/>
    <s v="N.S."/>
    <s v="FIXED"/>
    <s v="Annual"/>
    <n v="601335000"/>
    <s v="Industrials"/>
    <s v="Transportation &amp; Logistics"/>
    <s v="Corporate"/>
    <s v="Industrial"/>
    <s v="Transportation"/>
    <s v="Transportation Services"/>
    <s v="STEP-UP MARGIN: 12.5BP (1 SPT NOT MET) OR 19BP (2 SPTs NOT MET) OR 25BP (3 SPTs NOT MET). STEP-UP EVENT: CO2 EMISSIONS, ACA LEVEL 4+ MAINTENANCE"/>
    <s v="multi"/>
    <m/>
    <s v=""/>
    <x v="1"/>
    <s v="Bookrunner Barclays BARCS JLMB Joint Lead Managers-Books 0 1 2021-04-22 Bookrunner BofA Securities BofA JLMB Joint Lead Managers-Books 0 1 2021-04-22 Bookrunner Credit Agricole CIB CACIB JLMB Joint Lead Managers-Books 0 1 2021-04-22 Bookrunner Goldman Sac"/>
    <s v="#N/A N/A"/>
    <n v="1.7629999999999999"/>
    <n v="4.8710000000000004"/>
    <x v="26"/>
    <s v="Aeroporti di Roma SpACALLABLEFIXEDEURSr Unsecured"/>
    <x v="0"/>
  </r>
  <r>
    <n v="224"/>
    <s v="Rexel SA"/>
    <s v="XS2332306344"/>
    <s v="BP2664129"/>
    <s v="BBG010FN1YC2"/>
    <s v="RXLFP"/>
    <s v="FR"/>
    <s v="FR"/>
    <s v="FR"/>
    <n v="2.125"/>
    <s v="2021-05-05"/>
    <s v="2028-06-15"/>
    <n v="2.1088"/>
    <x v="1"/>
    <s v="Y"/>
    <s v="#N/A Field Not Applicable"/>
    <s v="Sr Unsecured"/>
    <s v="EUR"/>
    <s v="BB-"/>
    <s v="N.S."/>
    <s v="FIXED"/>
    <s v="S/A"/>
    <n v="479752000"/>
    <s v="Industrials"/>
    <s v="Industrial Other"/>
    <s v="Corporate"/>
    <s v="Industrial"/>
    <s v="Capital Goods"/>
    <s v="Diversified Manufacturing"/>
    <s v="STEP-UP MARGIN: 25BP. SPT 1: 23% REDUCTION IN SCOPE 3 GHG EMISSIONS; SPT 2: 23.7% REDUCTION IN SCOPE 1 &amp; 2 GHG EMISISONS BY 2023."/>
    <n v="25"/>
    <m/>
    <s v=""/>
    <x v="1"/>
    <s v="Bookrunner Barclays BARCS JLMB Joint Lead Managers-Books 0 4 2021-05-07 Bookrunner Credit Agricole CIB CACIB JLMB Joint Lead Managers-Books 0 4 2021-05-07 Bookrunner HSBC HSBC JLMB Joint Lead Managers-Books 0 4 2021-05-07 Bookrunner Societe Generale SG JL"/>
    <s v="#N/A N/A"/>
    <n v="1.859"/>
    <n v="4.8710000000000004"/>
    <x v="27"/>
    <s v="Rexel SACALLABLEFIXEDEURSr Unsecured"/>
    <x v="0"/>
  </r>
  <r>
    <n v="127"/>
    <s v="Herens Holdco Sarl"/>
    <s v="US427169AA59"/>
    <s v="BP2693730"/>
    <s v="BBG010FNLMS9"/>
    <s v="LNZING"/>
    <s v="LU"/>
    <s v="LU"/>
    <s v="LU"/>
    <n v="4.75"/>
    <s v="2021-05-14"/>
    <s v="2028-05-15"/>
    <n v="4.75"/>
    <x v="1"/>
    <s v="Y"/>
    <s v="144A"/>
    <s v="Secured"/>
    <s v="USD"/>
    <s v="B"/>
    <s v="N.S."/>
    <s v="FIXED"/>
    <s v="S/A"/>
    <n v="350000000"/>
    <s v="Materials"/>
    <s v="Chemicals"/>
    <s v="Corporate"/>
    <s v="Industrial"/>
    <s v="Basic Industry"/>
    <s v="Chemicals"/>
    <s v="STEP-UP MARGIN: 25BP, STEP-UP EVENT: MAY 2025 GREENHOUSE GAS EMISSIONS AND WASTE INTENSITY PERCENTAGE"/>
    <n v="25"/>
    <m/>
    <s v=""/>
    <x v="1"/>
    <s v="Bookrunner Credit Agricole Corporate &amp; In CACIB JLMB Joint Lead Managers-Books 0 1 2021-04-30 Bookrunner Credit Suisse Securities (Euro CS JLMB Joint Lead Managers-Books 0 1 2021-04-30 Bookrunner Deutsche Bank Securities Inc DB JLMB Joint Lead Managers-Bo"/>
    <n v="4.75"/>
    <n v="4.6239999999999997"/>
    <e v="#N/A"/>
    <x v="28"/>
    <s v="Herens Holdco SarlCALLABLEFIXEDUSDSecured"/>
    <x v="0"/>
  </r>
  <r>
    <n v="130"/>
    <s v="Herens Midco Sarl"/>
    <s v="XS2340137426"/>
    <s v="BP2693748"/>
    <s v="BBG010FNLMV5"/>
    <s v="LNZING"/>
    <s v="LU"/>
    <s v="LU"/>
    <s v="LU"/>
    <n v="5.25"/>
    <s v="2021-05-14"/>
    <s v="2029-05-15"/>
    <n v="5.25"/>
    <x v="1"/>
    <s v="Y"/>
    <s v="144A"/>
    <s v="Sr Unsecured"/>
    <s v="EUR"/>
    <s v="CCC"/>
    <s v="N.S."/>
    <s v="FIXED"/>
    <s v="S/A"/>
    <n v="558297400"/>
    <s v="Materials"/>
    <s v="Chemicals"/>
    <s v="Corporate"/>
    <s v="Industrial"/>
    <s v="Basic Industry"/>
    <s v="Chemicals"/>
    <s v="STEP-UP MARGIN: 25BP, STEP-UP EVENT: MAY 2025 GREENHOUSE GAS EMISSIONS AND WASTE INTENSITY PERCENTAGE"/>
    <n v="25"/>
    <m/>
    <s v=""/>
    <x v="1"/>
    <s v="Bookrunner Credit Agricole Securities USA CASECS JLMB Joint Lead Managers-Books 0 1 2021-04-30 Bookrunner Credit Suisse CS JLMB Joint Lead Managers-Books 0 1 2021-04-30 Bookrunner Deutsche Bank Securities Inc DB JLMB Joint Lead Managers-Books 0 1 2021-04-"/>
    <n v="5.25"/>
    <n v="5.4210000000000003"/>
    <n v="5.1289999999999996"/>
    <x v="29"/>
    <s v="Herens Midco SarlCALLABLEFIXEDEURSr Unsecured"/>
    <x v="0"/>
  </r>
  <r>
    <n v="128"/>
    <s v="Herens Holdco Sarl"/>
    <s v="USL47909AA11"/>
    <s v="BP2693755"/>
    <s v="BBG010FNLMW4"/>
    <s v="LNZING"/>
    <s v="LU"/>
    <s v="LU"/>
    <s v="LU"/>
    <n v="4.75"/>
    <s v="2021-05-14"/>
    <s v="2028-05-15"/>
    <n v="4.75"/>
    <x v="1"/>
    <s v="Y"/>
    <s v="REGS"/>
    <s v="Secured"/>
    <s v="USD"/>
    <s v="B"/>
    <s v="N.S."/>
    <s v="FIXED"/>
    <s v="S/A"/>
    <n v="350000000"/>
    <s v="Materials"/>
    <s v="Chemicals"/>
    <s v="Corporate"/>
    <s v="Industrial"/>
    <s v="Basic Industry"/>
    <s v="Chemicals"/>
    <s v="STEP-UP MARGIN: 25BP, STEP-UP EVENT: MAY 2025 GREENHOUSE GAS EMISSIONS AND WASTE INTENSITY PERCENTAGE"/>
    <n v="25"/>
    <m/>
    <s v=""/>
    <x v="1"/>
    <s v="Bookrunner Credit Agricole Corporate &amp; In CACIB JLMB Joint Lead Managers-Books 0 1 2021-04-30 Bookrunner Credit Suisse Securities (Euro CS JLMB Joint Lead Managers-Books 0 1 2021-04-30 Bookrunner Deutsche Bank Securities Inc DB JLMB Joint Lead Managers-Bo"/>
    <n v="4.75"/>
    <n v="4.641"/>
    <n v="4.2306999999999997"/>
    <x v="30"/>
    <s v="Herens Holdco SarlCALLABLEFIXEDUSDSecured"/>
    <x v="0"/>
  </r>
  <r>
    <n v="129"/>
    <s v="Herens Midco Sarl"/>
    <s v="XS2340137343"/>
    <s v="BP2693763"/>
    <s v="BBG010FNLN07"/>
    <s v="LNZING"/>
    <s v="LU"/>
    <s v="LU"/>
    <s v="LU"/>
    <n v="5.25"/>
    <s v="2021-05-14"/>
    <s v="2029-05-15"/>
    <n v="5.25"/>
    <x v="1"/>
    <s v="Y"/>
    <s v="REGS"/>
    <s v="Sr Unsecured"/>
    <s v="EUR"/>
    <s v="CCC"/>
    <s v="N.S."/>
    <s v="FIXED"/>
    <s v="S/A"/>
    <n v="558297400"/>
    <s v="Materials"/>
    <s v="Chemicals"/>
    <s v="Corporate"/>
    <s v="Industrial"/>
    <s v="Basic Industry"/>
    <s v="Chemicals"/>
    <s v="STEP-UP MARGIN: 25BP, STEP-UP EVENT: MAY 2025 GREENHOUSE GAS EMISSIONS AND WASTE INTENSITY PERCENTAGE"/>
    <n v="25"/>
    <m/>
    <s v=""/>
    <x v="1"/>
    <s v="Bookrunner Credit Agricole Securities USA CASECS JLMB Joint Lead Managers-Books 0 1 2021-04-30 Bookrunner Credit Suisse CS JLMB Joint Lead Managers-Books 0 1 2021-04-30 Bookrunner Deutsche Bank Securities Inc DB JLMB Joint Lead Managers-Books 0 1 2021-04-"/>
    <n v="5.25"/>
    <n v="5.44"/>
    <n v="4.2309999999999999"/>
    <x v="31"/>
    <s v="Herens Midco SarlCALLABLEFIXEDEURSr Unsecured"/>
    <x v="0"/>
  </r>
  <r>
    <n v="257"/>
    <s v="UBM Development AG"/>
    <s v="AT0000A2QS11"/>
    <s v="BP3002782"/>
    <s v="BBG010H4YJT1"/>
    <s v="UBSAV"/>
    <s v="AT"/>
    <s v="AT"/>
    <s v="AT"/>
    <n v="3.125"/>
    <s v="2021-05-21"/>
    <s v="2026-05-21"/>
    <n v="9.7329000000000008"/>
    <x v="0"/>
    <s v="N"/>
    <s v="#N/A Field Not Applicable"/>
    <s v="Sr Unsecured"/>
    <s v="EUR"/>
    <s v="#N/A N/A"/>
    <s v="N.S."/>
    <s v="FIXED"/>
    <s v="Annual"/>
    <n v="182463000"/>
    <s v="Consumer Discretionary"/>
    <s v="Travel &amp; Lodging"/>
    <s v="Corporate"/>
    <s v="Industrial"/>
    <s v="Other Industrial"/>
    <s v="Other Industrial"/>
    <s v="STEP-UP MARGIN 15 BP TO REDEMPTION AMT, STEP-UP EVENT: ESG RATING BELOW C+."/>
    <n v="15"/>
    <m/>
    <s v=""/>
    <x v="0"/>
    <s v="Bookrunner MM Warburg &amp; CO KGaA MMWARB JLMB Joint Lead Managers-Books 0 1 2021-05-11 Bookrunner Raiffeisen Bank International RAIINT JLMB Joint Lead Managers-Books 0 1 2021-05-11 NonBookrunner Raiffeisen Bank International RAIINT GLCO Global Coordinator(s"/>
    <s v="#N/A N/A"/>
    <n v="2.6659999999999999"/>
    <e v="#N/A"/>
    <x v="32"/>
    <s v="UBM Development AGAT MATURITYFIXEDEURSr Unsecured"/>
    <x v="1"/>
  </r>
  <r>
    <n v="141"/>
    <s v="Iochpe-Maxion Austria GmbH / Maxion Wheels de Mexico S de RL de CV"/>
    <s v="US46188AAA25"/>
    <s v="BP3021477"/>
    <s v="BBG010HFB1N6"/>
    <s v="IOCMXW"/>
    <s v="AT"/>
    <s v="AT"/>
    <s v="BR"/>
    <n v="5"/>
    <s v="2021-05-07"/>
    <s v="2028-05-07"/>
    <n v="5.25"/>
    <x v="1"/>
    <s v="Y"/>
    <s v="144A"/>
    <s v="Sr Unsecured"/>
    <s v="USD"/>
    <s v="BB-"/>
    <s v="N.S."/>
    <s v="FIXED"/>
    <s v="S/A"/>
    <n v="400000000"/>
    <s v="Consumer Discretionary"/>
    <s v="Auto Parts Manufacturing"/>
    <s v="Corporate"/>
    <s v="Industrial"/>
    <s v="Consumer Cyclical"/>
    <s v="Automotive"/>
    <s v="STEP-UP MARGIN: 25BP, STEP-UP EVENT: DEC 2025"/>
    <n v="25"/>
    <m/>
    <s v=""/>
    <x v="2"/>
    <s v="Bookrunner Banco Itau BBA ITABBA JLMB Joint Lead Managers-Books 57143 1 2021-04-27 Bookrunner Banco Santander SANT JLMB Joint Lead Managers-Books 57143 1 2021-04-27 Bookrunner Bradesco BBI SA BRADSC JLMB Joint Lead Managers-Books 57143 1 2021-04-27 Bookru"/>
    <n v="5.25"/>
    <n v="5.4340000000000002"/>
    <n v="0.91700000000000004"/>
    <x v="33"/>
    <s v="Iochpe-Maxion Austria GmbH / Maxion Wheels de Mexico S de RL de CVCALLABLEFIXEDUSDSr Unsecured"/>
    <x v="0"/>
  </r>
  <r>
    <n v="140"/>
    <s v="Iochpe-Maxion Austria GmbH / Maxion Wheels de Mexico S de RL de CV"/>
    <s v="USA3R74HAA50"/>
    <s v="BP3021485"/>
    <s v="BBG010HFB1Q3"/>
    <s v="IOCMXW"/>
    <s v="AT"/>
    <s v="AT"/>
    <s v="BR"/>
    <n v="5"/>
    <s v="2021-05-07"/>
    <s v="2028-05-07"/>
    <n v="5.25"/>
    <x v="1"/>
    <s v="Y"/>
    <s v="REGS"/>
    <s v="Sr Unsecured"/>
    <s v="USD"/>
    <s v="BB-"/>
    <s v="N.S."/>
    <s v="FIXED"/>
    <s v="S/A"/>
    <n v="400000000"/>
    <s v="Consumer Discretionary"/>
    <s v="Auto Parts Manufacturing"/>
    <s v="Corporate"/>
    <s v="Industrial"/>
    <s v="Consumer Cyclical"/>
    <s v="Automotive"/>
    <s v="STEP-UP MARGIN: 25BP, STEP-UP EVENT: DEC 2025"/>
    <n v="25"/>
    <m/>
    <s v=""/>
    <x v="3"/>
    <s v="Bookrunner Banco Itau BBA ITABBA JLMB Joint Lead Managers-Books 57143 1 2021-04-27 Bookrunner Banco Santander SANT JLMB Joint Lead Managers-Books 57143 1 2021-04-27 Bookrunner Bradesco BBI SA BRADSC JLMB Joint Lead Managers-Books 57143 1 2021-04-27 Bookru"/>
    <n v="5.25"/>
    <n v="5.3920000000000003"/>
    <n v="1.6240000000000001"/>
    <x v="34"/>
    <s v="Iochpe-Maxion Austria GmbH / Maxion Wheels de Mexico S de RL de CVCALLABLEFIXEDUSDSr Unsecured"/>
    <x v="0"/>
  </r>
  <r>
    <n v="256"/>
    <s v="UBM Development AG"/>
    <s v="XS2355161956"/>
    <s v="BP3490789"/>
    <s v="BBG010M9V7V0"/>
    <s v="UBSAV"/>
    <s v="AT"/>
    <s v="AT"/>
    <s v="AT"/>
    <n v="5.5"/>
    <s v="2021-06-18"/>
    <s v="#N/A Field Not Applicable"/>
    <n v="2.4872999999999998"/>
    <x v="3"/>
    <s v="Y"/>
    <s v="."/>
    <s v="Jr Subordinated"/>
    <s v="EUR"/>
    <s v="#N/A N/A"/>
    <s v="N.S."/>
    <s v="VARIABLE"/>
    <s v="Annual"/>
    <n v="118745000"/>
    <s v="Consumer Discretionary"/>
    <s v="Travel &amp; Lodging"/>
    <s v="Corporate"/>
    <s v="Industrial"/>
    <s v="Other Industrial"/>
    <s v="Other Industrial"/>
    <s v="FOR EVERY YEAR THAT THE ISSUER'S ESG RATINGS BY BOTH ISS ESG AND ECOVADIS ARE BELOW CERTAIN THRESHOLDS, 0.10% PREMIUM ON THE REDEMPTION AMOUNT AT MATURITY."/>
    <s v="%"/>
    <m/>
    <s v=""/>
    <x v="0"/>
    <s v="Bookrunner HSBC HSBC JLMB Joint Lead Managers-Books 0 1 2021-06-11 Bookrunner Raiffeisen Bank International RAIINT JLMB Joint Lead Managers-Books 0 1 2021-06-11 Trustee Clifford Chance LLP CHANCE LAM Legal Adviser(s) to the Manage 0 16 2021-06-11"/>
    <s v="#N/A N/A"/>
    <n v="9.7260000000000009"/>
    <n v="5.1289999999999996"/>
    <x v="35"/>
    <s v="UBM Development AGPERP/CALLVARIABLEEURJr Subordinated"/>
    <x v="0"/>
  </r>
  <r>
    <n v="69"/>
    <s v="EQT AB"/>
    <s v="XS2338570331"/>
    <s v="BP3855841"/>
    <s v="BBG010RS38Y9"/>
    <s v="EQTSS"/>
    <s v="SE"/>
    <s v="SE"/>
    <s v="SE"/>
    <n v="0.875"/>
    <s v="2021-05-14"/>
    <s v="2031-05-14"/>
    <n v="1.0294000000000001"/>
    <x v="1"/>
    <s v="Y"/>
    <s v="#N/A Field Not Applicable"/>
    <s v="Sr Unsecured"/>
    <s v="EUR"/>
    <s v="NR"/>
    <s v="AA"/>
    <s v="FIXED"/>
    <s v="Annual"/>
    <n v="606845000"/>
    <s v="Financials"/>
    <s v="Financial Services"/>
    <s v="Corporate"/>
    <s v="Financial Institutions"/>
    <s v="Brokerage Assetmanagers Exchanges"/>
    <s v="Brokerage Assetmanagers Exchanges"/>
    <s v="STEP UP MARGIN: 7.5BPS, 7.5BPS, 10 BPS, STEP UP EVENT: BOARD DIVERSITY, INVESTMENT ADVISORY PROFESSIONALS DIVERSITY, SCIENCE BASED TARGETS EVENT"/>
    <s v="multi"/>
    <m/>
    <s v=""/>
    <x v="4"/>
    <s v="Bookrunner BNP Paribas BNPP JLMB Joint Lead Managers-Books 0 1 2021-05-07 Bookrunner Goldman Sachs Bank Europe SE GS JLMB Joint Lead Managers-Books 0 1 2021-05-07 Bookrunner Morgan Stanley &amp; Co Internatio MS JLMB Joint Lead Managers-Books 0 1 2021-05-07 B"/>
    <s v="#N/A N/A"/>
    <n v="1.016"/>
    <n v="4.2309999999999999"/>
    <x v="36"/>
    <s v="EQT ABCALLABLEFIXEDEURSr Unsecured"/>
    <x v="0"/>
  </r>
  <r>
    <n v="136"/>
    <s v="Imerys SA"/>
    <s v="FR0014003GX7"/>
    <s v="BP3866681"/>
    <s v="BBG010RS9RW3"/>
    <s v="NK"/>
    <s v="FR"/>
    <s v="FR"/>
    <s v="FR"/>
    <n v="1"/>
    <s v="2021-05-14"/>
    <s v="2031-07-15"/>
    <n v="1.0571999999999999"/>
    <x v="1"/>
    <s v="Y"/>
    <s v="#N/A Field Not Applicable"/>
    <s v="Sr Unsecured"/>
    <s v="EUR"/>
    <s v="BBB-"/>
    <s v="N.S."/>
    <s v="FIXED"/>
    <s v="Annual"/>
    <n v="364107000"/>
    <s v="Materials"/>
    <s v="Chemicals"/>
    <s v="Corporate"/>
    <s v="Industrial"/>
    <s v="Capital Goods"/>
    <s v="Building Materials"/>
    <s v="ADJ TRIGGER PREMIUM STEP UP +25BPS IN 2026 IF 2025 TARGET NOT REACHED , +50BPS IN 2031 IF 2030 TARGET NOT REACHED"/>
    <s v="multi"/>
    <m/>
    <s v=""/>
    <x v="2"/>
    <s v="Bookrunner BNP Paribas BNPP JLMB Joint Lead Managers-Books 0 1 2021-05-06 Bookrunner Credit Industriel et Commercia CIC JLMB Joint Lead Managers-Books 0 1 2021-05-06 Bookrunner MUFG Securities EMEA PLC MUFG JLMB Joint Lead Managers-Books 0 1 2021-05-06 Bo"/>
    <s v="#N/A N/A"/>
    <n v="1.149"/>
    <s v=""/>
    <x v="3"/>
    <s v="Imerys SACALLABLEFIXEDEURSr Unsecured"/>
    <x v="0"/>
  </r>
  <r>
    <n v="267"/>
    <s v="Verallia SA"/>
    <s v="FR0014003G27"/>
    <s v="BP4319292"/>
    <s v="BBG010TZBC19"/>
    <s v="VRLAFP"/>
    <s v="FR"/>
    <s v="FR"/>
    <s v="FR"/>
    <n v="1.625"/>
    <s v="2021-05-14"/>
    <s v="2028-05-14"/>
    <n v="1.8557999999999999"/>
    <x v="1"/>
    <s v="Y"/>
    <s v="#N/A Field Not Applicable"/>
    <s v="Sr Unsecured"/>
    <s v="EUR"/>
    <s v="NR"/>
    <s v="N.S."/>
    <s v="FIXED"/>
    <s v="Annual"/>
    <n v="606845000"/>
    <s v="Materials"/>
    <s v="Containers &amp; Packaging"/>
    <s v="Corporate"/>
    <s v="Industrial"/>
    <s v="Capital Goods"/>
    <s v="Packaging"/>
    <s v="STEP UP MARGIN: 10BPS, 20BPS. STEP UP EVENT: CO2 EMISSIONS MORE THAN 2,625KT, EXTERNAL CULLET SHARE LESS THAN 59% IN 2025."/>
    <n v="25"/>
    <m/>
    <s v=""/>
    <x v="1"/>
    <s v="Bookrunner Banco Santander SANT JLMB Joint Lead Managers-Books 0 1 2021-05-06 Bookrunner Bank of America BA JLMB Joint Lead Managers-Books 0 1 2021-05-06 Bookrunner BNP Paribas BNPP JLMB Joint Lead Managers-Books 0 1 2021-05-06 Bookrunner Credit Agricole "/>
    <s v="#N/A N/A"/>
    <n v="1.5329999999999999"/>
    <n v="1.63"/>
    <x v="37"/>
    <s v="Verallia SACALLABLEFIXEDEURSr Unsecured"/>
    <x v="0"/>
  </r>
  <r>
    <n v="44"/>
    <s v="Constellium SE"/>
    <s v="XS2335148701"/>
    <s v="BP5467942"/>
    <s v="BBG01135D1W9"/>
    <s v="CSTM"/>
    <s v="FR"/>
    <s v="FR"/>
    <s v="US"/>
    <n v="3.125"/>
    <s v="2021-06-02"/>
    <s v="2029-07-15"/>
    <n v="3.125"/>
    <x v="1"/>
    <s v="Y"/>
    <s v="144A"/>
    <s v="Sr Unsecured"/>
    <s v="EUR"/>
    <s v="B"/>
    <s v="N.S."/>
    <s v="FIXED"/>
    <s v="S/A"/>
    <n v="366363000"/>
    <s v="Materials"/>
    <s v="Metals &amp; Mining"/>
    <s v="Corporate"/>
    <s v="Industrial"/>
    <s v="Basic Industry"/>
    <s v="Metals and Mining"/>
    <s v="- 12.5BPS STEP-UP IN PRICING STARTING AFTER JULY 15, 2026, IF SPT 1 NOT MET; - 12.5BPS STEP-UP IN PRICING STARTING AFTER JULY 15, 2027, IF SPT 2 NOT MET."/>
    <n v="12.5"/>
    <m/>
    <s v=""/>
    <x v="2"/>
    <s v="Bookrunner Barclays BARCS JLMB Joint Lead Managers-Books 0 1 2021-05-17 Bookrunner BNP Paribas BNPP JLMB Joint Lead Managers-Books 0 1 2021-05-17 Bookrunner Citigroup C JLMB Joint Lead Managers-Books 0 1 2021-05-17 Bookrunner Credit Suisse CS JLMB Joint L"/>
    <n v="3.125"/>
    <n v="3.0640000000000001"/>
    <n v="1.1240000000000001"/>
    <x v="38"/>
    <s v="Constellium SECALLABLEFIXEDEURSr Unsecured"/>
    <x v="0"/>
  </r>
  <r>
    <n v="45"/>
    <s v="Constellium SE"/>
    <s v="XS2335148024"/>
    <s v="BP5467959"/>
    <s v="BBG01135D1X8"/>
    <s v="CSTM"/>
    <s v="FR"/>
    <s v="FR"/>
    <s v="US"/>
    <n v="3.125"/>
    <s v="2021-06-02"/>
    <s v="2029-07-15"/>
    <n v="3.125"/>
    <x v="1"/>
    <s v="Y"/>
    <s v="REGS"/>
    <s v="Sr Unsecured"/>
    <s v="EUR"/>
    <s v="B"/>
    <s v="N.S."/>
    <s v="FIXED"/>
    <s v="S/A"/>
    <n v="366363000"/>
    <s v="Materials"/>
    <s v="Metals &amp; Mining"/>
    <s v="Corporate"/>
    <s v="Industrial"/>
    <s v="Basic Industry"/>
    <s v="Metals and Mining"/>
    <s v="- 12.5BPS STEP-UP IN PRICING STARTING AFTER JULY 15, 2026, IF SPT 1 NOT MET; - 12.5BPS STEP-UP IN PRICING STARTING AFTER JULY 15, 2027, IF SPT 2 NOT MET."/>
    <n v="12.5"/>
    <m/>
    <s v=""/>
    <x v="2"/>
    <s v="Bookrunner Barclays BARCS JLMB Joint Lead Managers-Books 0 1 2021-05-17 Bookrunner BNP Paribas BNPP JLMB Joint Lead Managers-Books 0 1 2021-05-17 Bookrunner Citigroup C JLMB Joint Lead Managers-Books 0 1 2021-05-17 Bookrunner Credit Suisse CS JLMB Joint L"/>
    <n v="3.125"/>
    <n v="3.0640000000000001"/>
    <n v="1.8360000000000001"/>
    <x v="38"/>
    <s v="Constellium SECALLABLEFIXEDEURSr Unsecured"/>
    <x v="0"/>
  </r>
  <r>
    <n v="121"/>
    <s v="Hammerson Ireland Finance DAC"/>
    <s v="XS2344772426"/>
    <s v="BP7949749"/>
    <s v="BBG01173G6X5"/>
    <s v="HMSOLN"/>
    <s v="IE"/>
    <s v="IE"/>
    <s v="GB"/>
    <n v="1.75"/>
    <s v="2021-06-03"/>
    <s v="2027-06-03"/>
    <n v="1.8707"/>
    <x v="1"/>
    <s v="Y"/>
    <s v="#N/A Field Not Applicable"/>
    <s v="Sr Unsecured"/>
    <s v="EUR"/>
    <s v="BBB"/>
    <s v="N.S."/>
    <s v="FIXED"/>
    <s v="Annual"/>
    <n v="848428000"/>
    <s v="Financials"/>
    <s v="Real Estate"/>
    <s v="Corporate"/>
    <s v="Financial Institutions"/>
    <s v="REITs"/>
    <s v="Retail REITs"/>
    <s v="STEP-UP MARGIN : 75 BP IN FINAL PERIOD IF GHG KPI NOT MET"/>
    <n v="75"/>
    <m/>
    <s v=""/>
    <x v="1"/>
    <s v="Bookrunner Bank of China Ltd/London BOCLON JLMB Joint Lead Managers-Books 0 1 2021-05-26 Bookrunner Barclays BARCS JLMB Joint Lead Managers-Books 0 1 2021-05-26 Bookrunner BNP Paribas BNPP JLMB Joint Lead Managers-Books 0 1 2021-05-26 Bookrunner ICBC Stan"/>
    <s v="#N/A N/A"/>
    <n v="1.85"/>
    <n v="4.8710000000000004"/>
    <x v="39"/>
    <s v="Hammerson Ireland Finance DACCALLABLEFIXEDEURSr Unsecured"/>
    <x v="0"/>
  </r>
  <r>
    <n v="164"/>
    <s v="Lakers Group AB"/>
    <s v="NO0011017113"/>
    <s v="BP8607064"/>
    <s v="BBG0118SLG25"/>
    <s v="LAKGRP"/>
    <s v="SE"/>
    <s v="SE"/>
    <s v="NO"/>
    <n v="6.79"/>
    <s v="2021-06-09"/>
    <s v="2025-06-09"/>
    <n v="5.4230999999999998"/>
    <x v="1"/>
    <s v="Y"/>
    <s v="#N/A Field Not Applicable"/>
    <s v="Secured"/>
    <s v="NOK"/>
    <s v="#N/A N/A"/>
    <s v="N.S."/>
    <s v="FLOATING"/>
    <s v="Qtrly"/>
    <n v="114812250"/>
    <s v="Industrials"/>
    <s v="Machinery Manufacturing"/>
    <s v="Corporate"/>
    <s v="Industrial"/>
    <s v="Capital Goods"/>
    <s v="Diversified Manufacturing"/>
    <s v="REDEEMS AT 100.5% AT MATURITY IF SUSTAINABILITY PERFORMANCE TARGETs NOT MET (CO2: REDUCTION/TOP 5 SUPPLIER CONTRIBUTORS/EMPLOYEE EFFICIENCY."/>
    <s v="%"/>
    <m/>
    <s v=""/>
    <x v="5"/>
    <s v="Bookrunner Arctic Securities ARCTIC JLMB Joint Lead Managers-Books 0 4 2021-06-30 Bookrunner Pareto Securities PARETO JLMB Joint Lead Managers-Books 0 4 2021-06-30 Bookrunner Swedbank SWED JLMB Joint Lead Managers-Books 0 4 2021-06-30 Bookrunner Arctic Se"/>
    <s v="#N/A N/A"/>
    <s v="#N/A N/A"/>
    <n v="1.6240000000000001"/>
    <x v="0"/>
    <s v="Lakers Group ABCALLABLEFLOATINGNOKSecured"/>
    <x v="0"/>
  </r>
  <r>
    <n v="99"/>
    <s v="Eni SpA"/>
    <s v="XS2344735811"/>
    <s v="BP8798616"/>
    <s v="BBG0118XV0B8"/>
    <s v="ENIIM"/>
    <s v="IT"/>
    <s v="IT"/>
    <s v="IT"/>
    <n v="0.375"/>
    <s v="2021-06-14"/>
    <s v="2028-06-14"/>
    <n v="0.30499999999999999"/>
    <x v="0"/>
    <s v="N"/>
    <s v="EMTN"/>
    <s v="Sr Unsecured"/>
    <s v="EUR"/>
    <s v="BBB+"/>
    <s v="A"/>
    <s v="FIXED"/>
    <s v="Annual"/>
    <n v="1212220000"/>
    <s v="Energy"/>
    <s v="Integrated Oils"/>
    <s v="Corporate"/>
    <s v="Industrial"/>
    <s v="Energy"/>
    <s v="Integrated"/>
    <s v="STEP-UP MARGIN: 25BP (IF ONE OR BOTH TARGETS MISSED), STEP-UP EVENTS: 2025 RENEWABLES INSTALLED CAPACITY, 2024 CO2 EMISSIONS."/>
    <n v="25"/>
    <m/>
    <s v=""/>
    <x v="1"/>
    <s v="Bookrunner BNP Paribas/London BNPPAR JLMB Joint Lead Managers-Books 0 1 2021-06-07 Bookrunner BofA Securities BofA JLMB Joint Lead Managers-Books 0 1 2021-06-07 Bookrunner Credit Agricole CIB CACIB JLMB Joint Lead Managers-Books 0 1 2021-06-07 Bookrunner "/>
    <s v="#N/A N/A"/>
    <n v="0.29399999999999998"/>
    <n v="4.8710000000000004"/>
    <x v="40"/>
    <s v="Eni SpAAT MATURITYFIXEDEURSr Unsecured"/>
    <x v="1"/>
  </r>
  <r>
    <n v="114"/>
    <s v="Fritz Draexlmaier GmbH &amp; Co KG"/>
    <s v="#N/A Field Not Applicable"/>
    <s v="BP9767255"/>
    <s v="BBG011C1XWN8"/>
    <s v="DRAEXL"/>
    <s v="DE"/>
    <s v="DE"/>
    <s v="DE"/>
    <n v="0"/>
    <s v="2021-07-06"/>
    <s v="2025-07-06"/>
    <s v="N/A"/>
    <x v="0"/>
    <s v="N"/>
    <s v="4Y"/>
    <s v="Sr Unsecured"/>
    <s v="EUR"/>
    <s v="#N/A N/A"/>
    <s v="N.S."/>
    <s v="FLOATING"/>
    <s v="S/A"/>
    <n v="413514500"/>
    <s v="Consumer Discretionary"/>
    <s v="Auto Parts Manufacturing"/>
    <s v="Corporate"/>
    <s v="Industrial"/>
    <s v="Consumer Cyclical"/>
    <s v="Automotive"/>
    <s v="ESG-LINKED. KPI'S: SELF-POWER POTENTIAL, RECYCLING QUOTA, APPRENTICESHIP QUOTA. 0-1 OF 3 KPI MET +5BPS, 2 OF 3 0BPS, 3 OF 3 -5BPS."/>
    <s v="multi"/>
    <m/>
    <s v=""/>
    <x v="1"/>
    <s v="Bookrunner Commerzbank COBA JLMB Joint Lead Managers-Books 0 4 2021-12-01 Bookrunner DZ Bank DZBK JLMB Joint Lead Managers-Books 0 4 2021-12-01 Bookrunner Landesbank Baden-Wuerttemberg LBBW JLMB Joint Lead Managers-Books 0 4 2021-12-01 Bookrunner Commerzb"/>
    <s v="#N/A N/A"/>
    <s v="#N/A N/A"/>
    <e v="#N/A"/>
    <x v="0"/>
    <s v="Fritz Draexlmaier GmbH &amp; Co KGAT MATURITYFLOATINGEURSr Unsecured"/>
    <x v="0"/>
  </r>
  <r>
    <n v="115"/>
    <s v="Fritz Draexlmaier GmbH &amp; Co KG"/>
    <s v="#N/A Field Not Applicable"/>
    <s v="BP9768873"/>
    <s v="BBG011C1YDB2"/>
    <s v="DRAEXL"/>
    <s v="DE"/>
    <s v="DE"/>
    <s v="DE"/>
    <n v="0"/>
    <s v="2021-07-06"/>
    <s v="2026-07-06"/>
    <s v="N/A"/>
    <x v="0"/>
    <s v="N"/>
    <s v="5Y"/>
    <s v="Sr Unsecured"/>
    <s v="EUR"/>
    <s v="#N/A N/A"/>
    <s v="N.S."/>
    <s v="FLOATING"/>
    <s v="S/A"/>
    <n v="413514500"/>
    <s v="Consumer Discretionary"/>
    <s v="Auto Parts Manufacturing"/>
    <s v="Corporate"/>
    <s v="Industrial"/>
    <s v="Consumer Cyclical"/>
    <s v="Automotive"/>
    <s v="ESG-LINKED. KPI'S: SELF-POWER POTENTIAL, RECYCLING QUOTA, APPRENTICESHIP QUOTA. 0-1 OF 3 KPI MET +5BPS, 2 OF 3 0BPS, 3 OF 3 -5BPS."/>
    <s v="multi"/>
    <m/>
    <s v=""/>
    <x v="1"/>
    <s v="Bookrunner Commerzbank COBA JLMB Joint Lead Managers-Books 0 4 2021-12-01 Bookrunner DZ Bank DZBK JLMB Joint Lead Managers-Books 0 4 2021-12-01 Bookrunner Landesbank Baden-Wuerttemberg LBBW JLMB Joint Lead Managers-Books 0 4 2021-12-01 Bookrunner Commerzb"/>
    <s v="#N/A N/A"/>
    <s v="#N/A N/A"/>
    <e v="#N/A"/>
    <x v="0"/>
    <s v="Fritz Draexlmaier GmbH &amp; Co KGAT MATURITYFLOATINGEURSr Unsecured"/>
    <x v="0"/>
  </r>
  <r>
    <n v="112"/>
    <s v="Fritz Draexlmaier GmbH &amp; Co KG"/>
    <s v="#N/A Field Not Applicable"/>
    <s v="BP9785794"/>
    <s v="BBG011C3DB61"/>
    <s v="DRAEXL"/>
    <s v="DE"/>
    <s v="DE"/>
    <s v="DE"/>
    <n v="0"/>
    <s v="2021-07-06"/>
    <s v="2028-07-06"/>
    <s v="N/A"/>
    <x v="0"/>
    <s v="N"/>
    <s v="7Y"/>
    <s v="Sr Unsecured"/>
    <s v="EUR"/>
    <s v="#N/A N/A"/>
    <s v="N.S."/>
    <s v="FLOATING"/>
    <s v="S/A"/>
    <n v="413514500"/>
    <s v="Consumer Discretionary"/>
    <s v="Auto Parts Manufacturing"/>
    <s v="Corporate"/>
    <s v="Industrial"/>
    <s v="Consumer Cyclical"/>
    <s v="Automotive"/>
    <s v="ESG-LINKED. KPI'S: SELF-POWER POTENTIAL, RECYCLING QUOTA, APPRENTICESHIP QUOTA. 0-1 OF 3 KPI MET +5BPS, 2 OF 3 0BPS, 3 OF 3 -5BPS."/>
    <s v="multi"/>
    <m/>
    <s v=""/>
    <x v="1"/>
    <s v="Bookrunner Commerzbank COBA JLMB Joint Lead Managers-Books 0 4 2021-12-01 Bookrunner DZ Bank DZBK JLMB Joint Lead Managers-Books 0 4 2021-12-01 Bookrunner Landesbank Baden-Wuerttemberg LBBW JLMB Joint Lead Managers-Books 0 4 2021-12-01 Bookrunner Commerzb"/>
    <s v="#N/A N/A"/>
    <s v="#N/A N/A"/>
    <e v="#N/A"/>
    <x v="0"/>
    <s v="Fritz Draexlmaier GmbH &amp; Co KGAT MATURITYFLOATINGEURSr Unsecured"/>
    <x v="0"/>
  </r>
  <r>
    <n v="113"/>
    <s v="Fritz Draexlmaier GmbH &amp; Co KG"/>
    <s v="#N/A Field Not Applicable"/>
    <s v="BP9786156"/>
    <s v="BBG011C40W12"/>
    <s v="DRAEXL"/>
    <s v="DE"/>
    <s v="DE"/>
    <s v="DE"/>
    <n v="0"/>
    <s v="2021-07-06"/>
    <s v="2031-07-06"/>
    <s v="N/A"/>
    <x v="0"/>
    <s v="N"/>
    <s v="10Y"/>
    <s v="Sr Unsecured"/>
    <s v="EUR"/>
    <s v="#N/A N/A"/>
    <s v="N.S."/>
    <s v="FIXED"/>
    <s v="Annual"/>
    <n v="413514500"/>
    <s v="Consumer Discretionary"/>
    <s v="Auto Parts Manufacturing"/>
    <s v="Corporate"/>
    <s v="Industrial"/>
    <s v="Consumer Cyclical"/>
    <s v="Automotive"/>
    <s v="ESG-LINKED. KPI'S: SELF-POWER POTENTIAL, RECYCLING QUOTA, APPRENTICESHIP QUOTA. 0-1 OF 3 KPI MET +5BPS, 2 OF 3 0BPS, 3 OF 3 -5BPS."/>
    <s v="multi"/>
    <m/>
    <s v=""/>
    <x v="1"/>
    <s v="Bookrunner Commerzbank COBA JLMB Joint Lead Managers-Books 0 4 2021-12-01 Bookrunner DZ Bank DZBK JLMB Joint Lead Managers-Books 0 4 2021-12-01 Bookrunner Landesbank Baden-Wuerttemberg LBBW JLMB Joint Lead Managers-Books 0 4 2021-12-01 Bookrunner Commerzb"/>
    <s v="#N/A N/A"/>
    <s v="#N/A N/A"/>
    <e v="#N/A"/>
    <x v="0"/>
    <s v="Fritz Draexlmaier GmbH &amp; Co KGAT MATURITYFIXEDEURSr Unsecured"/>
    <x v="0"/>
  </r>
  <r>
    <n v="76"/>
    <s v="Enel Finance International NV"/>
    <s v="XS2353182020"/>
    <s v="BP9829774"/>
    <s v="BBG011C64FX5"/>
    <s v="ENELIM"/>
    <s v="NL"/>
    <s v="NL"/>
    <s v="IT"/>
    <n v="0"/>
    <s v="2021-06-17"/>
    <s v="2027-06-17"/>
    <n v="0.151"/>
    <x v="1"/>
    <s v="Y"/>
    <s v="EMTN"/>
    <s v="Sr Unsecured"/>
    <s v="EUR"/>
    <s v="BBB+"/>
    <s v="N.S."/>
    <s v="FIXED"/>
    <s v="Annual"/>
    <n v="1189610000"/>
    <s v="Utilities"/>
    <s v="Utilities"/>
    <s v="Corporate"/>
    <s v="Utility"/>
    <s v="Electric"/>
    <s v="Electric"/>
    <s v="STEP-UP MARGIN: 25BP, STEP-UP EVENT: 12/31/2023 GREENHOUSE GAS EMISSIONS ABOVE 148G/KWHEQ"/>
    <n v="25"/>
    <m/>
    <s v=""/>
    <x v="1"/>
    <s v="Bookrunner Banca Akros SpA AKROS JLMB Joint Lead Managers-Books 0 1 2021-06-08 Bookrunner Banco Bilbao Vizcaya Argentari BBVA JLMB Joint Lead Managers-Books 0 1 2021-06-08 Bookrunner Banco Santander SANT JLMB Joint Lead Managers-Books 0 1 2021-06-08 Bookr"/>
    <s v="#N/A N/A"/>
    <n v="0.16600000000000001"/>
    <n v="4.8710000000000004"/>
    <x v="41"/>
    <s v="Enel Finance International NVCALLABLEFIXEDEURSr Unsecured"/>
    <x v="0"/>
  </r>
  <r>
    <n v="98"/>
    <s v="Enel Finance International NV"/>
    <s v="XS2353182293"/>
    <s v="BP9829808"/>
    <s v="BBG011C64G81"/>
    <s v="ENELIM"/>
    <s v="NL"/>
    <s v="NL"/>
    <s v="IT"/>
    <n v="0.5"/>
    <s v="2021-06-17"/>
    <s v="2030-06-17"/>
    <n v="0.48780000000000001"/>
    <x v="1"/>
    <s v="Y"/>
    <s v="EMTN"/>
    <s v="Sr Unsecured"/>
    <s v="EUR"/>
    <s v="BBB+"/>
    <s v="N.S."/>
    <s v="FIXED"/>
    <s v="Annual"/>
    <n v="1487012500"/>
    <s v="Utilities"/>
    <s v="Utilities"/>
    <s v="Corporate"/>
    <s v="Utility"/>
    <s v="Electric"/>
    <s v="Electric"/>
    <s v="STEP-UP MARGIN: 25BP, STEP-UP EVENT: 12/31/2023 GREENHOUSE GAS EMISSIONS ABOVE 148G/KWHEQ"/>
    <n v="25"/>
    <m/>
    <s v=""/>
    <x v="1"/>
    <s v="Bookrunner Banca Akros SpA AKROS JLMB Joint Lead Managers-Books 0 1 2021-06-08 Bookrunner Banco Bilbao Vizcaya Argentari BBVA JLMB Joint Lead Managers-Books 0 1 2021-06-08 Bookrunner Banco Santander SANT JLMB Joint Lead Managers-Books 0 1 2021-06-08 Bookr"/>
    <s v="#N/A N/A"/>
    <n v="0.49399999999999999"/>
    <n v="4.8710000000000004"/>
    <x v="42"/>
    <s v="Enel Finance International NVCALLABLEFIXEDEURSr Unsecured"/>
    <x v="0"/>
  </r>
  <r>
    <n v="97"/>
    <s v="Enel Finance International NV"/>
    <s v="XS2353182376"/>
    <s v="BP9829816"/>
    <s v="BBG011C64GK7"/>
    <s v="ENELIM"/>
    <s v="NL"/>
    <s v="NL"/>
    <s v="IT"/>
    <n v="0.875"/>
    <s v="2021-06-17"/>
    <s v="2036-06-17"/>
    <n v="0.92310000000000003"/>
    <x v="1"/>
    <s v="Y"/>
    <s v="EMTN"/>
    <s v="Sr Unsecured"/>
    <s v="EUR"/>
    <s v="BBB+"/>
    <s v="N.S."/>
    <s v="FIXED"/>
    <s v="Annual"/>
    <n v="1189610000"/>
    <s v="Utilities"/>
    <s v="Utilities"/>
    <s v="Corporate"/>
    <s v="Utility"/>
    <s v="Electric"/>
    <s v="Electric"/>
    <s v="STEP-UP MARGIN: 25BP, STEP-UP EVENT: 12/31/2031 GREENHOUSE GAS EMISSIONS ABOVE 82G/KWHEQ"/>
    <n v="25"/>
    <m/>
    <s v=""/>
    <x v="1"/>
    <s v="Bookrunner Banca Akros SpA AKROS JLMB Joint Lead Managers-Books 0 1 2021-06-08 Bookrunner Banco Bilbao Vizcaya Argentari BBVA JLMB Joint Lead Managers-Books 0 1 2021-06-08 Bookrunner Banco Santander SANT JLMB Joint Lead Managers-Books 0 1 2021-06-08 Bookr"/>
    <s v="#N/A N/A"/>
    <n v="0.92100000000000004"/>
    <n v="4.8710000000000004"/>
    <x v="43"/>
    <s v="Enel Finance International NVCALLABLEFIXEDEURSr Unsecured"/>
    <x v="0"/>
  </r>
  <r>
    <n v="145"/>
    <s v="JBS Finance Luxembourg Sarl"/>
    <s v="US46592QAA76"/>
    <s v="BP9865349"/>
    <s v="BBG011C76BK4"/>
    <s v="JBSSBZ"/>
    <s v="LU"/>
    <s v="LU"/>
    <s v="US"/>
    <n v="3.625"/>
    <s v="2021-06-15"/>
    <s v="2032-01-15"/>
    <n v="3.75"/>
    <x v="1"/>
    <s v="Y"/>
    <s v="144A"/>
    <s v="Sr Unsecured"/>
    <s v="USD"/>
    <s v="BBB-"/>
    <s v="N.S."/>
    <s v="FIXED"/>
    <s v="S/A"/>
    <n v="1000000000"/>
    <s v="Consumer Staples"/>
    <s v="Food &amp; Beverage"/>
    <s v="Corporate"/>
    <s v="Industrial"/>
    <s v="Consumer Non-Cyclical"/>
    <s v="Food and Beverage"/>
    <s v="FROM 01/15/2027 CPN STEP UP BY 25BPS UNLESS SUSTAINABILITY PERFORMANCE TARGET MET"/>
    <n v="25"/>
    <m/>
    <s v=""/>
    <x v="2"/>
    <s v="Bookrunner Banco Santander (US) SANTAN JLMB Joint Lead Managers-Books 0 1 2021-06-08 Bookrunner Barclays Capital BCLY JLMB Joint Lead Managers-Books 0 1 2021-06-08 Bookrunner Bradesco BBI SA BRADSC JLMB Joint Lead Managers-Books 0 1 2021-06-08 Bookrunner "/>
    <n v="3.75"/>
    <n v="3.6890000000000001"/>
    <s v=""/>
    <x v="44"/>
    <s v="JBS Finance Luxembourg SarlCALLABLEFIXEDUSDSr Unsecured"/>
    <x v="0"/>
  </r>
  <r>
    <n v="144"/>
    <s v="JBS Finance Luxembourg Sarl"/>
    <s v="USL5S59NAA30"/>
    <s v="BP9865356"/>
    <s v="BBG011C76BN1"/>
    <s v="JBSSBZ"/>
    <s v="LU"/>
    <s v="LU"/>
    <s v="US"/>
    <n v="3.625"/>
    <s v="2021-06-15"/>
    <s v="2032-01-15"/>
    <n v="3.75"/>
    <x v="1"/>
    <s v="Y"/>
    <s v="REGS"/>
    <s v="Sr Unsecured"/>
    <s v="USD"/>
    <s v="BBB-"/>
    <s v="N.S."/>
    <s v="FIXED"/>
    <s v="S/A"/>
    <n v="1000000000"/>
    <s v="Consumer Staples"/>
    <s v="Food &amp; Beverage"/>
    <s v="Corporate"/>
    <s v="Industrial"/>
    <s v="Consumer Non-Cyclical"/>
    <s v="Food and Beverage"/>
    <s v="FROM 01/15/2027 CPN STEP UP BY 25BPS UNLESS SUSTAINABILITY PERFORMANCE TARGET MET"/>
    <n v="25"/>
    <m/>
    <s v=""/>
    <x v="2"/>
    <s v="Bookrunner Banco Santander (US) SANTAN JLMB Joint Lead Managers-Books 0 1 2021-06-08 Bookrunner Barclays Capital BCLY JLMB Joint Lead Managers-Books 0 1 2021-06-08 Bookrunner Bradesco BBI SA BRADSC JLMB Joint Lead Managers-Books 0 1 2021-06-08 Bookrunner "/>
    <n v="3.75"/>
    <n v="3.7109999999999999"/>
    <n v="5.1292999999999997"/>
    <x v="45"/>
    <s v="JBS Finance Luxembourg SarlCALLABLEFIXEDUSDSr Unsecured"/>
    <x v="0"/>
  </r>
  <r>
    <n v="71"/>
    <s v="Edenred"/>
    <s v="FR0014003YP6"/>
    <s v="BP9946271"/>
    <s v="BBG011CBFPK4"/>
    <s v="EDENFP"/>
    <s v="FR"/>
    <s v="FR"/>
    <s v="FR"/>
    <n v="0"/>
    <s v="2021-06-14"/>
    <s v="2028-06-14"/>
    <n v="-0.12"/>
    <x v="2"/>
    <s v="N"/>
    <s v="EDEN"/>
    <s v="Sr Unsecured"/>
    <s v="EUR"/>
    <s v="#N/A N/A"/>
    <s v="AA"/>
    <s v="ZERO COUPON"/>
    <s v="#N/A Field Not Applicable"/>
    <n v="484887980.21700001"/>
    <s v="Consumer Discretionary"/>
    <s v="Consumer Services"/>
    <s v="Corporate"/>
    <s v="Industrial"/>
    <s v="Consumer Cyclical"/>
    <s v="Consumer Cyc Services"/>
    <s v="90 DAYS LOCK-UP. STEP UP MARGIN: 50BP, STEP UP EVENTS: KPI 1 AT LEAST 34 % WOMEN EXECUTIVE POSITIONS, KPI 2: 15% LESS GREENHOUSE EMISSIONS, KPI 3: AT LEAST 64%"/>
    <n v="50"/>
    <m/>
    <s v=""/>
    <x v="5"/>
    <s v="Bookrunner Barclays BARCS JLMB Joint Lead Managers-Books 0 1 2021-06-09 Bookrunner BNP Paribas BNPP JLMB Joint Lead Managers-Books 0 1 2021-06-09 Bookrunner Citigroup Global Markets Ltd CITI JLMB Joint Lead Managers-Books 0 1 2021-06-09 Bookrunner Credit "/>
    <n v="-0.12"/>
    <n v="-0.318"/>
    <s v=""/>
    <x v="46"/>
    <s v="EdenredCONVERTIBLEZERO COUPONEURSr Unsecured"/>
    <x v="0"/>
  </r>
  <r>
    <n v="230"/>
    <s v="SSAB AB"/>
    <s v="XS2353270239"/>
    <s v="BQ0031691"/>
    <s v="BBG011CHC5T9"/>
    <s v="SSABAS"/>
    <s v="SE"/>
    <s v="SE"/>
    <s v="SE"/>
    <n v="1.8960000000000001"/>
    <s v="2021-06-16"/>
    <s v="2026-06-16"/>
    <n v="1.6949000000000001"/>
    <x v="0"/>
    <s v="N"/>
    <s v="DMTN"/>
    <s v="Sr Unsecured"/>
    <s v="SEK"/>
    <s v="#N/A N/A"/>
    <s v="N.S."/>
    <s v="FLOATING"/>
    <s v="Qtrly"/>
    <n v="239118000"/>
    <s v="Materials"/>
    <s v="Metals &amp; Mining"/>
    <s v="Corporate"/>
    <s v="Industrial"/>
    <s v="Basic Industry"/>
    <s v="Metals and Mining"/>
    <s v="REDEEMED AT 101% IF CO2 EMISSIONS NOT REDUCED BY 10%"/>
    <s v="%"/>
    <m/>
    <s v=""/>
    <x v="1"/>
    <s v="Bookrunner DNB Markets DNB JLMB Joint Lead Managers-Books 0 1 2021-06-09 Bookrunner SEB SEB JLMB Joint Lead Managers-Books 0 1 2021-06-09 Trustee White &amp; Case LLP W&amp;C LAI Legal Adviser to the Issuer(s) 0 16 2021-06-09"/>
    <s v="#N/A N/A"/>
    <n v="1.66"/>
    <n v="4.2309999999999999"/>
    <x v="47"/>
    <s v="SSAB ABAT MATURITYFLOATINGSEKSr Unsecured"/>
    <x v="1"/>
  </r>
  <r>
    <n v="42"/>
    <s v="Constantia Flexibles GmbH"/>
    <s v="#N/A Field Not Applicable"/>
    <s v="BQ1161117"/>
    <s v="BBG011FRHKS7"/>
    <s v="COFAV"/>
    <s v="AT"/>
    <s v="AT"/>
    <s v="AT"/>
    <n v="0"/>
    <s v="2021-08-04"/>
    <s v="2028-08-04"/>
    <s v="N/A"/>
    <x v="0"/>
    <s v="N"/>
    <s v="7Y"/>
    <s v="Sr Unsecured"/>
    <s v="EUR"/>
    <s v="#N/A N/A"/>
    <s v="N.S."/>
    <s v="FLOATING"/>
    <s v="S/A"/>
    <n v="473520000"/>
    <s v="Materials"/>
    <s v="Containers &amp; Packaging"/>
    <s v="Corporate"/>
    <s v="Industrial"/>
    <s v="Capital Goods"/>
    <s v="Packaging"/>
    <s v="ESG-LINKED SCHULDSCHEIN. SUSTAINABILITY PRICING ADJUSTMENT: +2.5BPS IF ESG SCORE &lt;=65;   -2.5BPS IF &gt;=75."/>
    <n v="2.5"/>
    <n v="2.5"/>
    <s v="yes"/>
    <x v="0"/>
    <s v="Bookrunner Erste Group Bank ERSTE JLMB Joint Lead Managers-Books 0 1 2021-08-04 Bookrunner Landesbank Baden-Wuerttemberg LBBW JLMB Joint Lead Managers-Books 0 1 2021-08-04 Bookrunner UniCredit Bank Austria AG UCBA JLMB Joint Lead Managers-Books 0 1 2021-0"/>
    <s v="#N/A N/A"/>
    <s v="#N/A N/A"/>
    <e v="#N/A"/>
    <x v="0"/>
    <s v="Constantia Flexibles GmbHAT MATURITYFLOATINGEURSr Unsecured"/>
    <x v="0"/>
  </r>
  <r>
    <n v="41"/>
    <s v="Constantia Flexibles GmbH"/>
    <s v="#N/A Field Not Applicable"/>
    <s v="BQ1161786"/>
    <s v="BBG011FRJ928"/>
    <s v="COFAV"/>
    <s v="AT"/>
    <s v="AT"/>
    <s v="AT"/>
    <n v="0"/>
    <s v="2021-08-04"/>
    <s v="2026-08-04"/>
    <s v="N/A"/>
    <x v="0"/>
    <s v="N"/>
    <s v="5Y"/>
    <s v="Sr Unsecured"/>
    <s v="EUR"/>
    <s v="#N/A N/A"/>
    <s v="N.S."/>
    <s v="FLOATING"/>
    <s v="S/A"/>
    <n v="473520000"/>
    <s v="Materials"/>
    <s v="Containers &amp; Packaging"/>
    <s v="Corporate"/>
    <s v="Industrial"/>
    <s v="Capital Goods"/>
    <s v="Packaging"/>
    <s v="ESG-LINKED SCHULDSCHEIN. SUSTAINABILITY PRICING ADJUSTMENT: +2.5BPS IF ESG SCORE &lt;=65;   -2.5BPS IF &gt;=75."/>
    <n v="2.5"/>
    <n v="2.5"/>
    <s v="yes"/>
    <x v="0"/>
    <s v="Bookrunner Erste Group Bank ERSTE JLMB Joint Lead Managers-Books 0 1 2021-08-04 Bookrunner Landesbank Baden-Wuerttemberg LBBW JLMB Joint Lead Managers-Books 0 1 2021-08-04 Bookrunner UniCredit Bank Austria AG UCBA JLMB Joint Lead Managers-Books 0 1 2021-0"/>
    <s v="#N/A N/A"/>
    <s v="#N/A N/A"/>
    <e v="#N/A"/>
    <x v="0"/>
    <s v="Constantia Flexibles GmbHAT MATURITYFLOATINGEURSr Unsecured"/>
    <x v="0"/>
  </r>
  <r>
    <n v="43"/>
    <s v="Constantia Flexibles GmbH"/>
    <s v="#N/A Field Not Applicable"/>
    <s v="BQ1161794"/>
    <s v="BBG011FRJ937"/>
    <s v="COFAV"/>
    <s v="AT"/>
    <s v="AT"/>
    <s v="AT"/>
    <n v="0"/>
    <s v="2021-08-04"/>
    <s v="2024-08-04"/>
    <s v="N/A"/>
    <x v="0"/>
    <s v="N"/>
    <s v="3Y"/>
    <s v="Sr Unsecured"/>
    <s v="EUR"/>
    <s v="#N/A N/A"/>
    <s v="N.S."/>
    <s v="FLOATING"/>
    <s v="S/A"/>
    <n v="473520000"/>
    <s v="Materials"/>
    <s v="Containers &amp; Packaging"/>
    <s v="Corporate"/>
    <s v="Industrial"/>
    <s v="Capital Goods"/>
    <s v="Packaging"/>
    <s v="ESG-LINKED SCHULDSCHEIN. SUSTAINABILITY PRICING ADJUSTMENT: +2.5BPS IF ESG SCORE &lt;=65;   -2.5BPS IF &gt;=75."/>
    <n v="2.5"/>
    <n v="2.5"/>
    <s v="yes"/>
    <x v="0"/>
    <s v="Bookrunner Erste Group Bank ERSTE JLMB Joint Lead Managers-Books 0 1 2021-08-04 Bookrunner Landesbank Baden-Wuerttemberg LBBW JLMB Joint Lead Managers-Books 0 1 2021-08-04 Bookrunner UniCredit Bank Austria AG UCBA JLMB Joint Lead Managers-Books 0 1 2021-0"/>
    <s v="#N/A N/A"/>
    <s v="#N/A N/A"/>
    <e v="#N/A"/>
    <x v="0"/>
    <s v="Constantia Flexibles GmbHAT MATURITYFLOATINGEURSr Unsecured"/>
    <x v="0"/>
  </r>
  <r>
    <n v="187"/>
    <s v="Nobian Finance BV"/>
    <s v="XS2358383896"/>
    <s v="BQ1586537"/>
    <s v="BBG011JF2HL9"/>
    <s v="NOHOLB"/>
    <s v="NL"/>
    <s v="NL"/>
    <s v="NL"/>
    <n v="3.625"/>
    <s v="2021-07-01"/>
    <s v="2026-07-15"/>
    <n v="3.625"/>
    <x v="1"/>
    <s v="Y"/>
    <s v="144A"/>
    <s v="Secured"/>
    <s v="EUR"/>
    <s v="B"/>
    <s v="N.S."/>
    <s v="FIXED"/>
    <s v="S/A"/>
    <n v="622088250"/>
    <s v="Materials"/>
    <s v="Chemicals"/>
    <s v="Corporate"/>
    <s v="Industrial"/>
    <s v="Basic Industry"/>
    <s v="Chemicals"/>
    <s v="STEP-UP MARGIN: 12.5, STEP-UP EVENT: INCREASE RENEWABLE ENERGY USE BY 29% BY 12/22 AND REDUCTION CO2 EMISSIONS BY 4%"/>
    <n v="12.5"/>
    <m/>
    <s v=""/>
    <x v="1"/>
    <s v="Bookrunner Barclays Bank PLC BARCBK JLMB Joint Lead Managers-Books 0 1 2021-06-24 Bookrunner Credit Suisse AG/London CS JLMB Joint Lead Managers-Books 0 1 2021-06-24 Bookrunner Deutsche Bank AG London DB JLMB Joint Lead Managers-Books 0 1 2021-06-24 Bookr"/>
    <n v="3.625"/>
    <n v="3.601"/>
    <n v="5.1289999999999996"/>
    <x v="48"/>
    <s v="Nobian Finance BVCALLABLEFIXEDEURSecured"/>
    <x v="0"/>
  </r>
  <r>
    <n v="186"/>
    <s v="Nobian Finance BV"/>
    <s v="XS2358383466"/>
    <s v="BQ1586552"/>
    <s v="BBG011JF2HN7"/>
    <s v="NOHOLB"/>
    <s v="NL"/>
    <s v="NL"/>
    <s v="NL"/>
    <n v="3.625"/>
    <s v="2021-07-01"/>
    <s v="2026-07-15"/>
    <n v="3.625"/>
    <x v="1"/>
    <s v="Y"/>
    <s v="REGS"/>
    <s v="Secured"/>
    <s v="EUR"/>
    <s v="B"/>
    <s v="N.S."/>
    <s v="FIXED"/>
    <s v="S/A"/>
    <n v="622088250"/>
    <s v="Materials"/>
    <s v="Chemicals"/>
    <s v="Corporate"/>
    <s v="Industrial"/>
    <s v="Basic Industry"/>
    <s v="Chemicals"/>
    <s v="STEP-UP MARGIN: 12.5, STEP-UP EVENT: INCREASE RENEWABLE ENERGY USE BY 29% BY 12/22 AND REDUCTION CO2 EMISSIONS BY 4%"/>
    <n v="12.5"/>
    <m/>
    <s v=""/>
    <x v="1"/>
    <s v="Bookrunner Barclays Bank PLC BARCBK JLMB Joint Lead Managers-Books 0 1 2021-06-24 Bookrunner Credit Suisse AG/London CS JLMB Joint Lead Managers-Books 0 1 2021-06-24 Bookrunner Deutsche Bank AG London DB JLMB Joint Lead Managers-Books 0 1 2021-06-24 Bookr"/>
    <n v="3.625"/>
    <n v="3.5960000000000001"/>
    <n v="4.2309999999999999"/>
    <x v="49"/>
    <s v="Nobian Finance BVCALLABLEFIXEDEURSecured"/>
    <x v="0"/>
  </r>
  <r>
    <n v="280"/>
    <s v="Zeppelin GmbH"/>
    <s v="#N/A Field Not Applicable"/>
    <s v="BQ2320183"/>
    <s v="BBG011KPDX29"/>
    <s v="ZEPPEL"/>
    <s v="DE"/>
    <s v="DE"/>
    <s v="DE"/>
    <n v="0"/>
    <s v="2021-08-06"/>
    <s v="2031-08-06"/>
    <s v="N/A"/>
    <x v="0"/>
    <s v="N"/>
    <s v="10Y"/>
    <s v="Sr Unsecured"/>
    <s v="EUR"/>
    <s v="#N/A N/A"/>
    <s v="N.S."/>
    <s v="FIXED"/>
    <s v="Annual"/>
    <n v="58780500"/>
    <s v="Industrials"/>
    <s v="Industrial Other"/>
    <s v="Corporate"/>
    <s v="Industrial"/>
    <s v="Capital Goods"/>
    <s v="Construction Machinery"/>
    <s v="SUSTAINABILITY-LINKED SCHULDSCHEIN. SUSTAINABILITY PRICING ADJUSTMENT: +/- 2.5BPS DEPENDING ON FINAL KPIS MET."/>
    <n v="2.5"/>
    <n v="2.5"/>
    <s v="yes"/>
    <x v="2"/>
    <s v="Bookrunner Landesbank Baden-Wuerttemberg LBBW JLMB Joint Lead Managers-Books 0 1 2021-08-06 Bookrunner UniCredit Bank AG UNICRD JLMB Joint Lead Managers-Books 0 1 2021-08-06"/>
    <s v="#N/A N/A"/>
    <s v="#N/A N/A"/>
    <e v="#N/A"/>
    <x v="0"/>
    <s v="Zeppelin GmbHAT MATURITYFIXEDEURSr Unsecured"/>
    <x v="0"/>
  </r>
  <r>
    <n v="279"/>
    <s v="Zeppelin GmbH"/>
    <s v="#N/A Field Not Applicable"/>
    <s v="BQ2321892"/>
    <s v="BBG011KPH6F0"/>
    <s v="ZEPPEL"/>
    <s v="DE"/>
    <s v="DE"/>
    <s v="DE"/>
    <n v="0"/>
    <s v="2021-08-06"/>
    <s v="2028-08-06"/>
    <s v="N/A"/>
    <x v="0"/>
    <s v="N"/>
    <s v="7Y"/>
    <s v="Sr Unsecured"/>
    <s v="EUR"/>
    <s v="#N/A N/A"/>
    <s v="N.S."/>
    <s v="FIXED"/>
    <s v="Annual"/>
    <n v="58780500"/>
    <s v="Industrials"/>
    <s v="Industrial Other"/>
    <s v="Corporate"/>
    <s v="Industrial"/>
    <s v="Capital Goods"/>
    <s v="Construction Machinery"/>
    <s v="SUSTAINABILITY-LINKED SCHULDSCHEIN. SUSTAINABILITY PRICING ADJUSTMENT: +/- 2.5BPS DEPENDING ON FINAL KPIS MET."/>
    <n v="2.5"/>
    <n v="2.5"/>
    <s v="yes"/>
    <x v="2"/>
    <s v="Bookrunner Landesbank Baden-Wuerttemberg LBBW JLMB Joint Lead Managers-Books 0 1 2021-08-06 Bookrunner UniCredit Bank AG UNICRD JLMB Joint Lead Managers-Books 0 1 2021-08-06"/>
    <s v="#N/A N/A"/>
    <s v="#N/A N/A"/>
    <e v="#N/A"/>
    <x v="0"/>
    <s v="Zeppelin GmbHAT MATURITYFIXEDEURSr Unsecured"/>
    <x v="0"/>
  </r>
  <r>
    <n v="198"/>
    <s v="Picard Groupe SAS"/>
    <s v="XS2361343267"/>
    <s v="BQ2953850"/>
    <s v="BBG011MCTKM5"/>
    <s v="PICSUR"/>
    <s v="FR"/>
    <s v="FR"/>
    <s v="FR"/>
    <n v="3.875"/>
    <s v="2021-07-07"/>
    <s v="2026-07-01"/>
    <n v="3.7443"/>
    <x v="1"/>
    <s v="Y"/>
    <s v="144A"/>
    <s v="Secured"/>
    <s v="EUR"/>
    <s v="B"/>
    <s v="N.S."/>
    <s v="FIXED"/>
    <s v="S/A"/>
    <n v="885022500"/>
    <s v="Consumer Staples"/>
    <s v="Supermarkets &amp; Pharmacies"/>
    <s v="Corporate"/>
    <s v="Industrial"/>
    <s v="Consumer Non-Cyclical"/>
    <s v="Food and Beverage"/>
    <s v="STEP-UP MARGIN: 12.5 BPS PER KPI, STEP-UP EVENTS: CO2 EMISSIONS, ENERGY CONSUMPTION"/>
    <s v="multi"/>
    <m/>
    <s v=""/>
    <x v="1"/>
    <s v="Bookrunner Credit Suisse Bank Europe SA CS JLMB Joint Lead Managers-Books 0 1 2021-06-30 Bookrunner Deutsche Bank AG/New York NY DB JLMB Joint Lead Managers-Books 0 1 2021-06-30 Bookrunner Goldman Sachs Bank Europe SE GS JLMB Joint Lead Managers-Books 0 1"/>
    <s v="#N/A N/A"/>
    <n v="3.706"/>
    <n v="0.41199999999999998"/>
    <x v="50"/>
    <s v="Picard Groupe SASCALLABLEFIXEDEURSecured"/>
    <x v="0"/>
  </r>
  <r>
    <n v="172"/>
    <s v="Lion/Polaris Lux 4 SA"/>
    <s v="XS2361343770"/>
    <s v="BQ2953868"/>
    <s v="BBG011MCTKR0"/>
    <s v="PICSUR"/>
    <s v="LU"/>
    <s v="LU"/>
    <s v="FR"/>
    <n v="4"/>
    <s v="2021-07-07"/>
    <s v="2026-07-01"/>
    <n v="3.7774999999999999"/>
    <x v="1"/>
    <s v="Y"/>
    <s v="144A"/>
    <s v="Secured"/>
    <s v="EUR"/>
    <s v="B"/>
    <s v="N.S."/>
    <s v="FLOATING"/>
    <s v="Qtrly"/>
    <n v="767019500"/>
    <s v="Consumer Discretionary"/>
    <s v="Restaurants"/>
    <s v="Corporate"/>
    <s v="Industrial"/>
    <s v="Consumer Cyclical"/>
    <s v="Restaurants"/>
    <s v="STEP-UP MARGIN: 12.5 BP PER KPI, STEP-UP EVENTS: CO2 EMISSIONS, ENERGY CONSUMPTION"/>
    <n v="12.5"/>
    <m/>
    <s v=""/>
    <x v="1"/>
    <s v="Bookrunner Credit Suisse Bank Europe SA CS JLMB Joint Lead Managers-Books 0 1 2021-06-30 Bookrunner Deutsche Bank AG/New York NY DB JLMB Joint Lead Managers-Books 0 1 2021-06-30 Bookrunner Goldman Sachs Bank Europe SE GS JLMB Joint Lead Managers-Books 0 1"/>
    <s v="#N/A N/A"/>
    <n v="3.7559999999999998"/>
    <n v="5.1289999999999996"/>
    <x v="51"/>
    <s v="Lion/Polaris Lux 4 SACALLABLEFLOATINGEURSecured"/>
    <x v="0"/>
  </r>
  <r>
    <n v="195"/>
    <s v="Picard Bondco SA"/>
    <s v="XS2361345478"/>
    <s v="BQ2953876"/>
    <s v="BBG011MCTL07"/>
    <s v="PICSUR"/>
    <s v="LU"/>
    <s v="LU"/>
    <s v="FR"/>
    <n v="5.375"/>
    <s v="2021-07-07"/>
    <s v="2027-07-01"/>
    <n v="5.3266999999999998"/>
    <x v="1"/>
    <s v="Y"/>
    <s v="144A"/>
    <s v="Sr Unsecured"/>
    <s v="EUR"/>
    <s v="CCC+"/>
    <s v="N.S."/>
    <s v="FIXED"/>
    <s v="S/A"/>
    <n v="365809300"/>
    <s v="Consumer Staples"/>
    <s v="Supermarkets &amp; Pharmacies"/>
    <s v="Corporate"/>
    <s v="Industrial"/>
    <s v="Consumer Non-Cyclical"/>
    <s v="Food and Beverage"/>
    <s v="STEP-UP MARGIN: 12.5 BP PER KPI, STEP-UP EVENTS: CO2 EMISSIONS, ENERGY CONSUMPTION"/>
    <s v="multi"/>
    <m/>
    <s v=""/>
    <x v="1"/>
    <s v="Bookrunner Credit Suisse Bank Europe SA CS JLMB Joint Lead Managers-Books 0 1 2021-06-30 Bookrunner Deutsche Bank AG/New York NY DB JLMB Joint Lead Managers-Books 0 1 2021-06-30 Bookrunner Goldman Sachs Bank Europe SE GS JLMB Joint Lead Managers-Books 0 1"/>
    <s v="#N/A N/A"/>
    <n v="5.31"/>
    <n v="4.8710000000000004"/>
    <x v="52"/>
    <s v="Picard Bondco SACALLABLEFIXEDEURSr Unsecured"/>
    <x v="0"/>
  </r>
  <r>
    <n v="197"/>
    <s v="Picard Groupe SAS"/>
    <s v="XS2361342889"/>
    <s v="BQ2953892"/>
    <s v="BBG011MCTL43"/>
    <s v="PICSUR"/>
    <s v="FR"/>
    <s v="FR"/>
    <s v="FR"/>
    <n v="3.875"/>
    <s v="2021-07-07"/>
    <s v="2026-07-01"/>
    <n v="3.7553999999999998"/>
    <x v="1"/>
    <s v="Y"/>
    <s v="REGS"/>
    <s v="Secured"/>
    <s v="EUR"/>
    <s v="B"/>
    <s v="N.S."/>
    <s v="FIXED"/>
    <s v="S/A"/>
    <n v="885022500"/>
    <s v="Consumer Staples"/>
    <s v="Supermarkets &amp; Pharmacies"/>
    <s v="Corporate"/>
    <s v="Industrial"/>
    <s v="Consumer Non-Cyclical"/>
    <s v="Supermarkets"/>
    <s v="STEP-UP MARGIN: 12.5 BP PER KPI, STEP-UP EVENTS: CO2 EMISSIONS, ENERGY CONSUMPTION"/>
    <s v="multi"/>
    <m/>
    <s v=""/>
    <x v="1"/>
    <s v="Bookrunner Credit Suisse Bank Europe SA CS JLMB Joint Lead Managers-Books 0 1 2021-06-30 Bookrunner Deutsche Bank AG/New York NY DB JLMB Joint Lead Managers-Books 0 1 2021-06-30 Bookrunner Goldman Sachs Bank Europe SE GS JLMB Joint Lead Managers-Books 0 1"/>
    <s v="#N/A N/A"/>
    <n v="3.7"/>
    <n v="0.41199999999999998"/>
    <x v="53"/>
    <s v="Picard Groupe SASCALLABLEFIXEDEURSecured"/>
    <x v="0"/>
  </r>
  <r>
    <n v="171"/>
    <s v="Lion/Polaris Lux 4 SA"/>
    <s v="XS2361343697"/>
    <s v="BQ2954189"/>
    <s v="BBG011MCTM50"/>
    <s v="PICSUR"/>
    <s v="LU"/>
    <s v="LU"/>
    <s v="FR"/>
    <n v="4"/>
    <s v="2021-07-07"/>
    <s v="2026-07-01"/>
    <n v="3.81"/>
    <x v="1"/>
    <s v="Y"/>
    <s v="REGS"/>
    <s v="Secured"/>
    <s v="EUR"/>
    <s v="B"/>
    <s v="N.S."/>
    <s v="FLOATING"/>
    <s v="Qtrly"/>
    <n v="767019500"/>
    <s v="Consumer Discretionary"/>
    <s v="Restaurants"/>
    <s v="Corporate"/>
    <s v="Industrial"/>
    <s v="Consumer Cyclical"/>
    <s v="Restaurants"/>
    <s v="STEP-UP MARGIN: 12.5 BP PER KPI, STEP-UP EVENTS: CO2 EMISSIONS, ENERGY CONSUMPTION"/>
    <n v="12.5"/>
    <m/>
    <s v=""/>
    <x v="1"/>
    <s v="Bookrunner Credit Suisse Bank Europe SA CS JLMB Joint Lead Managers-Books 0 1 2021-06-30 Bookrunner Deutsche Bank AG/New York NY DB JLMB Joint Lead Managers-Books 0 1 2021-06-30 Bookrunner Goldman Sachs Bank Europe SE GS JLMB Joint Lead Managers-Books 0 1"/>
    <s v="#N/A N/A"/>
    <n v="3.7450000000000001"/>
    <n v="4.8710000000000004"/>
    <x v="54"/>
    <s v="Lion/Polaris Lux 4 SACALLABLEFLOATINGEURSecured"/>
    <x v="0"/>
  </r>
  <r>
    <n v="196"/>
    <s v="Picard Bondco SA"/>
    <s v="XS2361344315"/>
    <s v="BQ2954205"/>
    <s v="BBG011MCTMK3"/>
    <s v="PICSUR"/>
    <s v="LU"/>
    <s v="LU"/>
    <s v="FR"/>
    <n v="5.375"/>
    <s v="2021-07-07"/>
    <s v="2027-07-01"/>
    <n v="5.3220999999999998"/>
    <x v="1"/>
    <s v="Y"/>
    <s v="REGS"/>
    <s v="Sr Unsecured"/>
    <s v="EUR"/>
    <s v="CCC+"/>
    <s v="N.S."/>
    <s v="FIXED"/>
    <s v="S/A"/>
    <n v="365809300"/>
    <s v="Consumer Staples"/>
    <s v="Supermarkets &amp; Pharmacies"/>
    <s v="Corporate"/>
    <s v="Industrial"/>
    <s v="Consumer Non-Cyclical"/>
    <s v="Food and Beverage"/>
    <s v="STEP-UP MARGIN: 12.5 BP PER KPI, STEP-UP EVENTS: CO2 EMISSIONS, ENERGY CONSUMPTION"/>
    <s v="multi"/>
    <m/>
    <s v=""/>
    <x v="1"/>
    <s v="Bookrunner Credit Suisse Bank Europe SA CS JLMB Joint Lead Managers-Books 0 1 2021-06-30 Bookrunner Deutsche Bank AG/New York NY DB JLMB Joint Lead Managers-Books 0 1 2021-06-30 Bookrunner Goldman Sachs Bank Europe SE GS JLMB Joint Lead Managers-Books 0 1"/>
    <s v="#N/A N/A"/>
    <n v="5.3289999999999997"/>
    <n v="1.1240000000000001"/>
    <x v="55"/>
    <s v="Picard Bondco SACALLABLEFIXEDEURSr Unsecured"/>
    <x v="0"/>
  </r>
  <r>
    <n v="243"/>
    <s v="Suzano Austria GmbH"/>
    <s v="US86964WAK80"/>
    <s v="BQ2995893"/>
    <s v="BBG011MF43T6"/>
    <s v="SUZANO"/>
    <s v="AT"/>
    <s v="AT"/>
    <s v="BR"/>
    <n v="3.125"/>
    <s v="2021-07-01"/>
    <s v="2032-01-15"/>
    <n v="3.28"/>
    <x v="1"/>
    <s v="Y"/>
    <s v="DM3N"/>
    <s v="Sr Unsecured"/>
    <s v="USD"/>
    <s v="BBB-"/>
    <s v="N.S."/>
    <s v="FIXED"/>
    <s v="S/A"/>
    <n v="1000000000"/>
    <s v="Materials"/>
    <s v="Forest &amp; Paper Products Manufacturing"/>
    <s v="Corporate"/>
    <s v="Industrial"/>
    <s v="Basic Industry"/>
    <s v="Paper"/>
    <s v="STEP-UP MARGIN: 12.5 BPS IF INDUSTRIAL WATER TARGET OR WOMEN IN LEADERSHIP TARGET NOT MET OR 25 BPS IF NEITHER IS MET."/>
    <n v="12.5"/>
    <m/>
    <s v=""/>
    <x v="5"/>
    <s v="Bookrunner BNP Paribas Securities Corp BNPPAR JLMB Joint Lead Managers-Books 100000 1 2021-06-28 Bookrunner BofA Securities BofA JLMB Joint Lead Managers-Books 100000 1 2021-06-28 Bookrunner Credit Agricole Securities USA CASECS JLMB Joint Lead Managers-B"/>
    <n v="3.28"/>
    <n v="3.2330000000000001"/>
    <n v="3.2290000000000001"/>
    <x v="56"/>
    <s v="Suzano Austria GmbHCALLABLEFIXEDUSDSr Unsecured"/>
    <x v="1"/>
  </r>
  <r>
    <n v="223"/>
    <s v="Repsol Europe Finance Sarl"/>
    <s v="XS2361358299"/>
    <s v="BQ3131753"/>
    <s v="BBG011MLK4J4"/>
    <s v="REPSM"/>
    <s v="LU"/>
    <s v="LU"/>
    <s v="ES"/>
    <n v="0.375"/>
    <s v="2021-07-06"/>
    <s v="2029-07-06"/>
    <n v="0.37930000000000003"/>
    <x v="1"/>
    <s v="Y"/>
    <s v="EMTN"/>
    <s v="Sr Unsecured"/>
    <s v="EUR"/>
    <s v="BBB"/>
    <s v="N.S."/>
    <s v="FIXED"/>
    <s v="Annual"/>
    <n v="767955500"/>
    <s v="Energy"/>
    <s v="Integrated Oils"/>
    <s v="Corporate"/>
    <s v="Industrial"/>
    <s v="Energy"/>
    <s v="Integrated"/>
    <s v="25bps/annum step up in 2027-2029 if the group fails to reduce its Carbon Intensity Indicator (CII) by 12% by 2025"/>
    <n v="25"/>
    <m/>
    <s v=""/>
    <x v="1"/>
    <s v="Bookrunner Bank of America Securities Ltd BASL JLMB Joint Lead Managers-Books 0 1 2021-06-29 Bookrunner Barclays BARCS JLMB Joint Lead Managers-Books 0 1 2021-06-29 Bookrunner BBVA Securities Ltd BBVA JLMB Joint Lead Managers-Books 0 1 2021-06-29 Bookrunn"/>
    <s v="#N/A N/A"/>
    <n v="0.35299999999999998"/>
    <n v="4.8710000000000004"/>
    <x v="57"/>
    <s v="Repsol Europe Finance SarlCALLABLEFIXEDEURSr Unsecured"/>
    <x v="0"/>
  </r>
  <r>
    <n v="222"/>
    <s v="Repsol Europe Finance Sarl"/>
    <s v="XS2361358539"/>
    <s v="BQ3131761"/>
    <s v="BBG011MLK4P7"/>
    <s v="REPSM"/>
    <s v="LU"/>
    <s v="LU"/>
    <s v="ES"/>
    <n v="0.875"/>
    <s v="2021-07-06"/>
    <s v="2033-07-06"/>
    <n v="0.8014"/>
    <x v="1"/>
    <s v="Y"/>
    <s v="EMTN"/>
    <s v="Sr Unsecured"/>
    <s v="EUR"/>
    <s v="BBB"/>
    <s v="N.S."/>
    <s v="FIXED"/>
    <s v="Annual"/>
    <n v="708882000"/>
    <s v="Energy"/>
    <s v="Integrated Oils"/>
    <s v="Corporate"/>
    <s v="Industrial"/>
    <s v="Energy"/>
    <s v="Integrated"/>
    <s v="37.5bps/annum step up in 2032-2033 if the group fails to reduce its Carbon Intensity Indicator (CII) by 25% by 2030"/>
    <n v="37.5"/>
    <m/>
    <s v=""/>
    <x v="1"/>
    <s v="Bookrunner Banco Bilbao Vizcaya Argentari BBVA JLMB Joint Lead Managers-Books 0 1 2021-06-29 Bookrunner Barclays BARCS JLMB Joint Lead Managers-Books 0 1 2021-06-29 Bookrunner BNP Paribas BNPP JLMB Joint Lead Managers-Books 0 1 2021-06-29 Bookrunner BofA "/>
    <s v="#N/A N/A"/>
    <n v="0.78700000000000003"/>
    <n v="4.8710000000000004"/>
    <x v="58"/>
    <s v="Repsol Europe Finance SarlCALLABLEFIXEDEURSr Unsecured"/>
    <x v="0"/>
  </r>
  <r>
    <n v="1"/>
    <s v="A2A SpA"/>
    <s v="XS2364001078"/>
    <s v="BQ3956720"/>
    <s v="BBG011PLBMH3"/>
    <s v="AEMSPA"/>
    <s v="IT"/>
    <s v="IT"/>
    <s v="IT"/>
    <n v="0.625"/>
    <s v="2021-07-15"/>
    <s v="2031-07-15"/>
    <n v="0.621"/>
    <x v="1"/>
    <s v="Y"/>
    <s v="EMTN"/>
    <s v="Sr Unsecured"/>
    <s v="EUR"/>
    <s v="BBB"/>
    <s v="N.S."/>
    <s v="FIXED"/>
    <s v="Annual"/>
    <n v="590145000"/>
    <s v="Utilities"/>
    <s v="Power Generation"/>
    <s v="Government-Related"/>
    <s v="Local Authority"/>
    <s v="Local Authority"/>
    <s v="Local Authority"/>
    <s v="STEP-UP MARGIN: 25BP, STEP-UP EVENT: EMISSION INTENSITY ABOVE 296 gCO2/kWh (REFERENCE DATE 31 Dec 2025)"/>
    <n v="25"/>
    <m/>
    <s v=""/>
    <x v="1"/>
    <s v="Bookrunner Banco Bilbao Vizcaya London Br BBV JLMB Joint Lead Managers-Books 0 1 2021-07-07 Bookrunner Banco Santander SA/London SANTAN JLMB Joint Lead Managers-Books 0 1 2021-07-07 Bookrunner BNP Paribas/London BNPPAR JLMB Joint Lead Managers-Books 0 1 2"/>
    <s v="#N/A N/A"/>
    <n v="0.55300000000000005"/>
    <n v="4.8710000000000004"/>
    <x v="59"/>
    <s v="A2A SpACALLABLEFIXEDEURSr Unsecured"/>
    <x v="1"/>
  </r>
  <r>
    <n v="80"/>
    <s v="Enel Finance International NV"/>
    <s v="US29278GAM06"/>
    <s v="BQ4396710"/>
    <s v="BBG011Q3W835"/>
    <s v="ENELIM"/>
    <s v="NL"/>
    <s v="NL"/>
    <s v="IT"/>
    <n v="1.375"/>
    <s v="2021-07-12"/>
    <s v="2026-07-12"/>
    <n v="1.4769999999999999"/>
    <x v="1"/>
    <s v="Y"/>
    <s v="144A"/>
    <s v="Sr Unsecured"/>
    <s v="USD"/>
    <s v="BBB+"/>
    <s v="N.S."/>
    <s v="FIXED"/>
    <s v="S/A"/>
    <n v="1250000000"/>
    <s v="Utilities"/>
    <s v="Utilities"/>
    <s v="Corporate"/>
    <s v="Utility"/>
    <s v="Electric"/>
    <s v="Electric"/>
    <s v="STEP-UP MARGIN: 25BP, STEP-UP EVENT: 12/31/23 DIRECT GHG EMISSIONS BEING ABOVE 148G/KWHEQ"/>
    <n v="25"/>
    <m/>
    <s v=""/>
    <x v="1"/>
    <s v="Bookrunner Barclays Capital BCLY JLMB Joint Lead Managers-Books 0 1 2021-07-07 Bookrunner BNP Paribas/New York BNPPAR JLMB Joint Lead Managers-Books 0 1 2021-07-07 Bookrunner BofA Securities BofA JLMB Joint Lead Managers-Books 0 1 2021-07-07 Bookrunner Ci"/>
    <n v="1.4769999999999999"/>
    <n v="1.4059999999999999"/>
    <n v="1.008"/>
    <x v="60"/>
    <s v="Enel Finance International NVCALLABLEFIXEDUSDSr Unsecured"/>
    <x v="0"/>
  </r>
  <r>
    <n v="82"/>
    <s v="Enel Finance International NV"/>
    <s v="US29278GAN88"/>
    <s v="BQ4396728"/>
    <s v="BBG011Q3W871"/>
    <s v="ENELIM"/>
    <s v="NL"/>
    <s v="NL"/>
    <s v="IT"/>
    <n v="1.875"/>
    <s v="2021-07-12"/>
    <s v="2028-07-12"/>
    <n v="1.9370000000000001"/>
    <x v="1"/>
    <s v="Y"/>
    <s v="144A"/>
    <s v="Sr Unsecured"/>
    <s v="USD"/>
    <s v="BBB+"/>
    <s v="N.S."/>
    <s v="FIXED"/>
    <s v="S/A"/>
    <n v="1000000000"/>
    <s v="Utilities"/>
    <s v="Utilities"/>
    <s v="Corporate"/>
    <s v="Utility"/>
    <s v="Electric"/>
    <s v="Electric"/>
    <s v="STEP-UP MARGIN: 25BP, STEP-UP EVENTS: DEC 2023, GHG EMISSIONS &gt;148G/KWHEQ"/>
    <n v="25"/>
    <m/>
    <s v=""/>
    <x v="1"/>
    <s v="Bookrunner Barclays Capital BCLY JLMB Joint Lead Managers-Books 0 1 2021-07-07 Bookrunner BNP Paribas/New York BNPPAR JLMB Joint Lead Managers-Books 0 1 2021-07-07 Bookrunner BofA Securities BofA JLMB Joint Lead Managers-Books 0 1 2021-07-07 Bookrunner Ci"/>
    <n v="1.9370000000000001"/>
    <n v="1.8919999999999999"/>
    <n v="6.3234000000000004"/>
    <x v="61"/>
    <s v="Enel Finance International NVCALLABLEFIXEDUSDSr Unsecured"/>
    <x v="0"/>
  </r>
  <r>
    <n v="86"/>
    <s v="Enel Finance International NV"/>
    <s v="US29278GAP37"/>
    <s v="BQ4396736"/>
    <s v="BBG011Q3W8Z0"/>
    <s v="ENELIM"/>
    <s v="NL"/>
    <s v="NL"/>
    <s v="IT"/>
    <n v="2.25"/>
    <s v="2021-07-12"/>
    <s v="2031-07-12"/>
    <n v="2.3199999999999998"/>
    <x v="1"/>
    <s v="Y"/>
    <s v="144A"/>
    <s v="Sr Unsecured"/>
    <s v="USD"/>
    <s v="BBB+"/>
    <s v="N.S."/>
    <s v="FIXED"/>
    <s v="S/A"/>
    <n v="1000000000"/>
    <s v="Utilities"/>
    <s v="Utilities"/>
    <s v="Corporate"/>
    <s v="Utility"/>
    <s v="Electric"/>
    <s v="Electric"/>
    <s v="STEP-UP MARGIN: 25BP, STEP-UP EVENTS: DEC 2023, GHG EMISSIONS &gt;148G/KWHEQ"/>
    <n v="25"/>
    <m/>
    <s v=""/>
    <x v="1"/>
    <s v="Bookrunner Barclays Capital BCLY JLMB Joint Lead Managers-Books 0 1 2021-07-07 Bookrunner BNP Paribas/New York BNPPAR JLMB Joint Lead Managers-Books 0 1 2021-07-07 Bookrunner BofA Securities BofA JLMB Joint Lead Managers-Books 0 1 2021-07-07 Bookrunner Ci"/>
    <n v="2.3199999999999998"/>
    <n v="2.2949999999999999"/>
    <e v="#N/A"/>
    <x v="62"/>
    <s v="Enel Finance International NVCALLABLEFIXEDUSDSr Unsecured"/>
    <x v="0"/>
  </r>
  <r>
    <n v="81"/>
    <s v="Enel Finance International NV"/>
    <s v="US29278GAQ10"/>
    <s v="BQ4396744"/>
    <s v="BBG011Q3W942"/>
    <s v="ENELIM"/>
    <s v="NL"/>
    <s v="NL"/>
    <s v="IT"/>
    <n v="2.875"/>
    <s v="2021-07-12"/>
    <s v="2041-07-12"/>
    <n v="2.9569999999999999"/>
    <x v="1"/>
    <s v="Y"/>
    <s v="144A"/>
    <s v="Sr Unsecured"/>
    <s v="USD"/>
    <s v="BBB+"/>
    <s v="N.S."/>
    <s v="FIXED"/>
    <s v="S/A"/>
    <n v="750000000"/>
    <s v="Utilities"/>
    <s v="Utilities"/>
    <s v="Corporate"/>
    <s v="Utility"/>
    <s v="Electric"/>
    <s v="Electric"/>
    <s v="STEP-UP MARGIN: 25BP, STEP-UP EVENTS: DEC 2030, GHG EMISSIONS &gt;82G/KWHEQ"/>
    <n v="25"/>
    <m/>
    <s v=""/>
    <x v="1"/>
    <s v="Bookrunner Barclays Capital BCLY JLMB Joint Lead Managers-Books 0 1 2021-07-07 Bookrunner BNP Paribas/New York BNPPAR JLMB Joint Lead Managers-Books 0 1 2021-07-07 Bookrunner BofA Securities BofA JLMB Joint Lead Managers-Books 0 1 2021-07-07 Bookrunner Ci"/>
    <n v="2.9569999999999999"/>
    <n v="3.0030000000000001"/>
    <e v="#N/A"/>
    <x v="63"/>
    <s v="Enel Finance International NVCALLABLEFIXEDUSDSr Unsecured"/>
    <x v="0"/>
  </r>
  <r>
    <n v="87"/>
    <s v="Enel Finance International NV"/>
    <s v="USN30706VC11"/>
    <s v="BQ4396769"/>
    <s v="BBG011Q3W9H8"/>
    <s v="ENELIM"/>
    <s v="NL"/>
    <s v="NL"/>
    <s v="IT"/>
    <n v="1.375"/>
    <s v="2021-07-12"/>
    <s v="2026-07-12"/>
    <n v="1.4769999999999999"/>
    <x v="1"/>
    <s v="Y"/>
    <s v="REGS"/>
    <s v="Sr Unsecured"/>
    <s v="USD"/>
    <s v="BBB+"/>
    <s v="N.S."/>
    <s v="FIXED"/>
    <s v="S/A"/>
    <n v="1250000000"/>
    <s v="Utilities"/>
    <s v="Utilities"/>
    <s v="Corporate"/>
    <s v="Utility"/>
    <s v="Electric"/>
    <s v="Electric"/>
    <s v="STEP-UP MARGIN: 25BP, STEP-UP EVENTS: DEC 2023, GHG EMISSIONS &gt;148G/KWHEQ"/>
    <n v="25"/>
    <m/>
    <s v=""/>
    <x v="1"/>
    <s v="Bookrunner Barclays Capital BCLY JLMB Joint Lead Managers-Books 0 1 2021-07-07 Bookrunner BNP Paribas/New York BNPPAR JLMB Joint Lead Managers-Books 0 1 2021-07-07 Bookrunner BofA Securities BofA JLMB Joint Lead Managers-Books 0 1 2021-07-07 Bookrunner Ci"/>
    <n v="1.4769999999999999"/>
    <n v="1.387"/>
    <n v="4.2309999999999999"/>
    <x v="64"/>
    <s v="Enel Finance International NVCALLABLEFIXEDUSDSr Unsecured"/>
    <x v="0"/>
  </r>
  <r>
    <n v="83"/>
    <s v="Enel Finance International NV"/>
    <s v="USN30706VD93"/>
    <s v="BQ4396777"/>
    <s v="BBG011Q3WB56"/>
    <s v="ENELIM"/>
    <s v="NL"/>
    <s v="NL"/>
    <s v="IT"/>
    <n v="1.875"/>
    <s v="2021-07-12"/>
    <s v="2028-07-12"/>
    <n v="1.9370000000000001"/>
    <x v="1"/>
    <s v="Y"/>
    <s v="REGS"/>
    <s v="Sr Unsecured"/>
    <s v="USD"/>
    <s v="BBB+"/>
    <s v="N.S."/>
    <s v="FIXED"/>
    <s v="S/A"/>
    <n v="1000000000"/>
    <s v="Utilities"/>
    <s v="Utilities"/>
    <s v="Corporate"/>
    <s v="Utility"/>
    <s v="Electric"/>
    <s v="Electric"/>
    <s v="STEP-UP MARGIN: 25BP, STEP-UP EVENTS: DEC 2023, GHG EMISSIONS &gt;148G/KWHEQ"/>
    <n v="25"/>
    <m/>
    <s v=""/>
    <x v="1"/>
    <s v="Bookrunner Barclays Capital BCLY JLMB Joint Lead Managers-Books 0 1 2021-07-07 Bookrunner BNP Paribas/New York BNPPAR JLMB Joint Lead Managers-Books 0 1 2021-07-07 Bookrunner BofA Securities BofA JLMB Joint Lead Managers-Books 0 1 2021-07-07 Bookrunner Ci"/>
    <n v="1.9370000000000001"/>
    <n v="1.889"/>
    <n v="5.1292999999999997"/>
    <x v="65"/>
    <s v="Enel Finance International NVCALLABLEFIXEDUSDSr Unsecured"/>
    <x v="0"/>
  </r>
  <r>
    <n v="84"/>
    <s v="Enel Finance International NV"/>
    <s v="USN30706VE76"/>
    <s v="BQ4396785"/>
    <s v="BBG011Q3WB83"/>
    <s v="ENELIM"/>
    <s v="NL"/>
    <s v="NL"/>
    <s v="IT"/>
    <n v="2.25"/>
    <s v="2021-07-12"/>
    <s v="2031-07-12"/>
    <n v="2.3199999999999998"/>
    <x v="1"/>
    <s v="Y"/>
    <s v="REGS"/>
    <s v="Sr Unsecured"/>
    <s v="USD"/>
    <s v="BBB+"/>
    <s v="N.S."/>
    <s v="FIXED"/>
    <s v="S/A"/>
    <n v="1000000000"/>
    <s v="Utilities"/>
    <s v="Utilities"/>
    <s v="Corporate"/>
    <s v="Utility"/>
    <s v="Electric"/>
    <s v="Electric"/>
    <s v="STEP-UP MARGIN: 25BP, STEP-UP EVENTS: DEC 2023, GHG EMISSIONS &gt;148G/KWHEQ"/>
    <n v="25"/>
    <m/>
    <s v=""/>
    <x v="1"/>
    <s v="Bookrunner Barclays Capital BCLY JLMB Joint Lead Managers-Books 0 1 2021-07-07 Bookrunner BNP Paribas/New York BNPPAR JLMB Joint Lead Managers-Books 0 1 2021-07-07 Bookrunner BofA Securities BofA JLMB Joint Lead Managers-Books 0 1 2021-07-07 Bookrunner Ci"/>
    <n v="2.3199999999999998"/>
    <n v="2.2989999999999999"/>
    <n v="1.008"/>
    <x v="66"/>
    <s v="Enel Finance International NVCALLABLEFIXEDUSDSr Unsecured"/>
    <x v="0"/>
  </r>
  <r>
    <n v="85"/>
    <s v="Enel Finance International NV"/>
    <s v="USN30706VF42"/>
    <s v="BQ4396793"/>
    <s v="BBG011Q3WBF5"/>
    <s v="ENELIM"/>
    <s v="NL"/>
    <s v="NL"/>
    <s v="IT"/>
    <n v="2.875"/>
    <s v="2021-07-12"/>
    <s v="2041-07-12"/>
    <n v="2.9569999999999999"/>
    <x v="1"/>
    <s v="Y"/>
    <s v="REGS"/>
    <s v="Sr Unsecured"/>
    <s v="USD"/>
    <s v="BBB+"/>
    <s v="N.S."/>
    <s v="FIXED"/>
    <s v="S/A"/>
    <n v="750000000"/>
    <s v="Utilities"/>
    <s v="Utilities"/>
    <s v="Corporate"/>
    <s v="Utility"/>
    <s v="Electric"/>
    <s v="Electric"/>
    <s v="STEP-UP MARGIN: 25BP, STEP-UP EVENTS: DEC 2030, GHG EMISSIONS &gt;82G/KWHEQ"/>
    <n v="25"/>
    <m/>
    <s v=""/>
    <x v="1"/>
    <s v="Bookrunner Barclays Capital BCLY JLMB Joint Lead Managers-Books 0 1 2021-07-07 Bookrunner BNP Paribas/New York BNPPAR JLMB Joint Lead Managers-Books 0 1 2021-07-07 Bookrunner BofA Securities BofA JLMB Joint Lead Managers-Books 0 1 2021-07-07 Bookrunner Ci"/>
    <n v="2.9569999999999999"/>
    <n v="2.988"/>
    <n v="0.39400000000000002"/>
    <x v="67"/>
    <s v="Enel Finance International NVCALLABLEFIXEDUSDSr Unsecured"/>
    <x v="0"/>
  </r>
  <r>
    <n v="203"/>
    <s v="Public Power Corp SA"/>
    <s v="XS2359929812"/>
    <s v="BQ5041802"/>
    <s v="BBG011RFPD70"/>
    <s v="PPCGA"/>
    <s v="GR"/>
    <s v="GR"/>
    <s v="GR"/>
    <n v="3.375"/>
    <s v="2021-07-21"/>
    <s v="2028-07-31"/>
    <n v="3.375"/>
    <x v="1"/>
    <s v="Y"/>
    <s v="#N/A Field Not Applicable"/>
    <s v="Sr Unsecured"/>
    <s v="EUR"/>
    <s v="B+"/>
    <s v="BBB"/>
    <s v="FIXED"/>
    <s v="S/A"/>
    <n v="589660000"/>
    <s v="Utilities"/>
    <s v="Utilities"/>
    <s v="Government-Related"/>
    <s v="Agency"/>
    <s v="Government Owned, No Guarantee"/>
    <s v="Government Owned, No Guarantee"/>
    <s v="STEP-UP MARGIN: 50BP, STEP-UP EVENT: 57% REDUCTION IN C02 EMISSIONS BY 12/2023, 2019 BASE YEAR"/>
    <n v="50"/>
    <m/>
    <s v=""/>
    <x v="1"/>
    <s v="Bookrunner Alpha Bank AE ALPHA JLMB Joint Lead Managers-Books 0 1 2021-07-14 Bookrunner Ambrosia Capital Ltd/United Ki AMBCAP JLMB Joint Lead Managers-Books 0 1 2021-07-14 Bookrunner Axia Ventures Group Ltd AxiaVe JLMB Joint Lead Managers-Books 0 1 2021-0"/>
    <n v="3.375"/>
    <n v="3.1560000000000001"/>
    <n v="5.1289999999999996"/>
    <x v="68"/>
    <s v="Public Power Corp SACALLABLEFIXEDEURSr Unsecured"/>
    <x v="0"/>
  </r>
  <r>
    <n v="262"/>
    <s v="Valeo"/>
    <s v="FR0014004UE6"/>
    <s v="BQ6920418"/>
    <s v="BBG011XTZZP3"/>
    <s v="FRFP"/>
    <s v="FR"/>
    <s v="FR"/>
    <s v="FR"/>
    <n v="1"/>
    <s v="2021-08-03"/>
    <s v="2028-08-03"/>
    <n v="1.0090000000000001"/>
    <x v="1"/>
    <s v="Y"/>
    <s v="EMTN"/>
    <s v="Sr Unsecured"/>
    <s v="EUR"/>
    <s v="BB+"/>
    <s v="AAA"/>
    <s v="FIXED"/>
    <s v="Annual"/>
    <n v="830781000"/>
    <s v="Consumer Discretionary"/>
    <s v="Auto Parts Manufacturing"/>
    <s v="Corporate"/>
    <s v="Industrial"/>
    <s v="Consumer Cyclical"/>
    <s v="Automotive"/>
    <s v="STEP-UP MARGIN: 37.5 BP, STEP-UP EVENT: CO2 EMISSIONS"/>
    <n v="37.5"/>
    <m/>
    <s v=""/>
    <x v="1"/>
    <s v="Bookrunner BNP Paribas BNPP JLMB Joint Lead Managers-Books 0 1 2021-07-27 Bookrunner Credit Agricole CIB CACIB JLMB Joint Lead Managers-Books 0 1 2021-07-27 Bookrunner Credit Mutuel-CIC CM-CIC JLMB Joint Lead Managers-Books 0 1 2021-07-27 Bookrunner Mizuh"/>
    <n v="1.0090000000000001"/>
    <n v="0.92100000000000004"/>
    <e v="#N/A"/>
    <x v="43"/>
    <s v="ValeoCALLABLEFIXEDEURSr Unsecured"/>
    <x v="0"/>
  </r>
  <r>
    <n v="291"/>
    <s v="ista International GmbH"/>
    <s v="#N/A Field Not Applicable"/>
    <s v="BR0363092"/>
    <s v="BBG01252KSY3"/>
    <s v="ISTAGR"/>
    <s v="DE"/>
    <s v="DE"/>
    <s v="DE"/>
    <n v="0"/>
    <s v="2021-09-23"/>
    <s v="2026-09-23"/>
    <s v="N/A"/>
    <x v="0"/>
    <s v="N"/>
    <s v="5Y"/>
    <s v="Sr Unsecured"/>
    <s v="EUR"/>
    <s v="#N/A N/A"/>
    <s v="N.S."/>
    <s v="FLOATING"/>
    <s v="S/A"/>
    <n v="528484500"/>
    <s v="Industrials"/>
    <s v="Electrical Equipment Manufacturing"/>
    <s v="Corporate"/>
    <s v="Industrial"/>
    <s v="Capital Goods"/>
    <s v="Diversified Manufacturing"/>
    <s v="ESG-LINKED SCHULDSCHEIN:+/- UP TO 5BPS DEPENDING ON KPIS ACHIEVED OUT OF 5. ADDITIONAL ISSUER: TRIONISTA TOPCO, TRIONISTA HOLDCO &amp; ISTA DEUTSCHLAND."/>
    <n v="5"/>
    <n v="5"/>
    <s v="yes"/>
    <x v="2"/>
    <s v="Bookrunner Landesbank Baden-Wuerttemberg LBBW JLMB Joint Lead Managers-Books 0 1 2021-09-23 Bookrunner Raiffeisen Bank International RAIINT JLMB Joint Lead Managers-Books 0 1 2021-09-23 Bookrunner UniCredit Bank AG UNICRD JLMB Joint Lead Managers-Books 0 "/>
    <s v="#N/A N/A"/>
    <s v="#N/A N/A"/>
    <e v="#N/A"/>
    <x v="0"/>
    <s v="ista International GmbHAT MATURITYFLOATINGEURSr Unsecured"/>
    <x v="0"/>
  </r>
  <r>
    <n v="292"/>
    <s v="ista International GmbH"/>
    <s v="#N/A Field Not Applicable"/>
    <s v="BR0363373"/>
    <s v="BBG01252LV66"/>
    <s v="ISTAGR"/>
    <s v="DE"/>
    <s v="DE"/>
    <s v="DE"/>
    <n v="0"/>
    <s v="2021-09-23"/>
    <s v="2024-09-23"/>
    <s v="N/A"/>
    <x v="0"/>
    <s v="N"/>
    <s v="3Y"/>
    <s v="Sr Unsecured"/>
    <s v="EUR"/>
    <s v="#N/A N/A"/>
    <s v="N.S."/>
    <s v="FLOATING"/>
    <s v="S/A"/>
    <n v="528484500"/>
    <s v="Industrials"/>
    <s v="Electrical Equipment Manufacturing"/>
    <s v="Corporate"/>
    <s v="Industrial"/>
    <s v="Capital Goods"/>
    <s v="Diversified Manufacturing"/>
    <s v="ESG-LINKED SCHULDSCHEIN:+/- UP TO 5BPS DEPENDING ON KPIS ACHIEVED OUT OF 5. ADDITIONAL ISSUER: TRIONISTA TOPCO, TRIONISTA HOLDCO &amp; ISTA DEUTSCHLAND."/>
    <n v="5"/>
    <n v="5"/>
    <s v="yes"/>
    <x v="2"/>
    <s v="Bookrunner Landesbank Baden-Wuerttemberg LBBW JLMB Joint Lead Managers-Books 0 1 2021-09-23 Bookrunner Raiffeisen Bank International RAIINT JLMB Joint Lead Managers-Books 0 1 2021-09-23 Bookrunner UniCredit Bank AG UNICRD JLMB Joint Lead Managers-Books 0 "/>
    <s v="#N/A N/A"/>
    <s v="#N/A N/A"/>
    <e v="#N/A"/>
    <x v="0"/>
    <s v="ista International GmbHAT MATURITYFLOATINGEURSr Unsecured"/>
    <x v="0"/>
  </r>
  <r>
    <n v="133"/>
    <s v="Holcim US Finance Sarl &amp; Cie SCS"/>
    <s v="XS2382209125"/>
    <s v="BR1756716"/>
    <s v="BBG0129MLJ01"/>
    <s v="HOLNSW"/>
    <s v="LU"/>
    <s v="LU"/>
    <s v="CH"/>
    <n v="2.2400000000000002"/>
    <s v="2021-09-02"/>
    <s v="2031-10-15"/>
    <n v="2.3795000000000002"/>
    <x v="0"/>
    <s v="N"/>
    <s v="EMTN"/>
    <s v="Sr Unsecured"/>
    <s v="USD"/>
    <s v="BBB"/>
    <s v="N.S."/>
    <s v="FIXED"/>
    <s v="S/A"/>
    <n v="100000000"/>
    <s v="Materials"/>
    <s v="Construction Materials Manufacturing"/>
    <s v="Corporate"/>
    <s v="Industrial"/>
    <s v="Capital Goods"/>
    <s v="Building Materials"/>
    <s v="STEP-UP MARGIN: 1.50%, STEP-UP EVENT: DEC 2030 CO2 EMISSIONS"/>
    <s v="%"/>
    <m/>
    <s v=""/>
    <x v="1"/>
    <s v="Bookrunner Morgan Stanley MS JLMB Joint Lead Managers-Books 0 1 2021-08-25 Bookrunner NatWest Markets NWM JLMB Joint Lead Managers-Books 0 1 2021-08-25 Trustee Citibank NA/London CITI PAAG Paying Agent(s) 0 7 2021-08-25 Trustee Citibank NA/London CITI FIS"/>
    <s v="#N/A N/A"/>
    <n v="2.4249999999999998"/>
    <s v=""/>
    <x v="69"/>
    <s v="Holcim US Finance Sarl &amp; Cie SCSAT MATURITYFIXEDUSDSr Unsecured"/>
    <x v="0"/>
  </r>
  <r>
    <n v="135"/>
    <s v="Holding d'Infrastructures des Metiers de l'Environnement"/>
    <s v="XS2385389551"/>
    <s v="BR3184446"/>
    <s v="BBG012F0DHN0"/>
    <s v="SAUR"/>
    <s v="FR"/>
    <s v="FR"/>
    <s v="FR"/>
    <n v="0.125"/>
    <s v="2021-09-16"/>
    <s v="2025-09-16"/>
    <n v="9.3899999999999997E-2"/>
    <x v="1"/>
    <s v="Y"/>
    <s v="#N/A Field Not Applicable"/>
    <s v="Sr Unsecured"/>
    <s v="EUR"/>
    <s v="BBB-"/>
    <s v="N.S."/>
    <s v="FIXED"/>
    <s v="Annual"/>
    <n v="529182000"/>
    <s v="Utilities"/>
    <s v="Utilities"/>
    <s v="Corporate"/>
    <s v="Utility"/>
    <s v="Other Utility"/>
    <s v="Other Utility"/>
    <s v="STEP-UP MARGIN: 12.5 BP PER KPI, STEP-UP EVENT: WATER WITHDRAWALS, CARBON INTENSITY 3-YR ROLLING AVERAGE"/>
    <s v="multi"/>
    <m/>
    <s v=""/>
    <x v="1"/>
    <s v="Bookrunner BNP Paribas/London BNPPAR JLMB Joint Lead Managers-Books 0 1 2021-09-09 Bookrunner HSBC HSBC JLMB Joint Lead Managers-Books 0 1 2021-09-09 Bookrunner Morgan Stanley &amp; Co Internatio MS JLMB Joint Lead Managers-Books 0 1 2021-09-09 Bookrunner Nat"/>
    <s v="#N/A N/A"/>
    <n v="7.4999999999999997E-2"/>
    <n v="5.1289999999999996"/>
    <x v="70"/>
    <s v="Holding d'Infrastructures des Metiers de l'EnvironnementCALLABLEFIXEDEURSr Unsecured"/>
    <x v="0"/>
  </r>
  <r>
    <n v="134"/>
    <s v="Holding d'Infrastructures des Metiers de l'Environnement"/>
    <s v="XS2385390724"/>
    <s v="BR3193496"/>
    <s v="BBG012F0KZS7"/>
    <s v="SAUR"/>
    <s v="FR"/>
    <s v="FR"/>
    <s v="FR"/>
    <n v="0.625"/>
    <s v="2021-09-16"/>
    <s v="2028-09-16"/>
    <n v="0.65900000000000003"/>
    <x v="1"/>
    <s v="Y"/>
    <s v="."/>
    <s v="Sr Unsecured"/>
    <s v="EUR"/>
    <s v="BBB-"/>
    <s v="N.S."/>
    <s v="FIXED"/>
    <s v="Annual"/>
    <n v="587980000"/>
    <s v="Utilities"/>
    <s v="Utilities"/>
    <s v="Corporate"/>
    <s v="Utility"/>
    <s v="Other Utility"/>
    <s v="Other Utility"/>
    <s v="STEP-UP MARGIN: 12.5 BP PER KPI, STEP-UP EVENT: WATER WITHDRAWALS, CARBON INTENSITY 3-YR ROLLING AVERAGE"/>
    <s v="multi"/>
    <m/>
    <s v=""/>
    <x v="1"/>
    <s v="Bookrunner BNP Paribas BNPP JLMB Joint Lead Managers-Books 0 1 2021-09-09 Bookrunner BofA Securities Europe SA BOFAS JLMB Joint Lead Managers-Books 0 1 2021-09-09 Bookrunner CaixaBank CAIXA JLMB Joint Lead Managers-Books 0 1 2021-09-09 Bookrunner Credit A"/>
    <n v="0.65900000000000003"/>
    <n v="0.54600000000000004"/>
    <n v="4.8710000000000004"/>
    <x v="71"/>
    <s v="Holding d'Infrastructures des Metiers de l'EnvironnementCALLABLEFIXEDEURSr Unsecured"/>
    <x v="0"/>
  </r>
  <r>
    <n v="242"/>
    <s v="Suzano Austria GmbH"/>
    <s v="US86964WAL63"/>
    <s v="BR3636874"/>
    <s v="BBG012FD1XF9"/>
    <s v="SUZANO"/>
    <s v="AT"/>
    <s v="AT"/>
    <s v="BR"/>
    <n v="2.5"/>
    <s v="2021-09-13"/>
    <s v="2028-09-15"/>
    <n v="2.6999999999999997"/>
    <x v="1"/>
    <s v="Y"/>
    <s v="#N/A Field Not Applicable"/>
    <s v="Sr Unsecured"/>
    <s v="USD"/>
    <s v="BBB-"/>
    <s v="N.S."/>
    <s v="FIXED"/>
    <s v="S/A"/>
    <n v="500000000"/>
    <s v="Materials"/>
    <s v="Forest &amp; Paper Products Manufacturing"/>
    <s v="Corporate"/>
    <s v="Industrial"/>
    <s v="Basic Industry"/>
    <s v="Paper"/>
    <s v="STEP-UP MARGIN: 25BP, STEP-UP EVENT: GREENHOUSE GAS EMISSIONS"/>
    <n v="25"/>
    <m/>
    <s v=""/>
    <x v="1"/>
    <s v="Bookrunner BNP Paribas/New York BNPPAR JLMB Joint Lead Managers-Books 54054 1 2021-09-08 Bookrunner BofA Securities BofA JLMB Joint Lead Managers-Books 54054 1 2021-09-08 Bookrunner Bradesco BBI SA BRADSC JLMB Joint Lead Managers-Books 13514 1 2021-09-08 "/>
    <n v="2.6999999999999997"/>
    <n v="2.5529999999999999"/>
    <n v="0.39400000000000002"/>
    <x v="72"/>
    <s v="Suzano Austria GmbHCALLABLEFIXEDUSDSr Unsecured"/>
    <x v="1"/>
  </r>
  <r>
    <n v="270"/>
    <s v="Verde Bidco SpA"/>
    <s v="XS2389120325"/>
    <s v="BR4160098"/>
    <s v="BBG012HPF995"/>
    <s v="ITLYUM"/>
    <s v="IT"/>
    <s v="IT"/>
    <s v="IT"/>
    <n v="4.625"/>
    <s v="2021-10-01"/>
    <s v="2026-10-01"/>
    <n v="4.625"/>
    <x v="1"/>
    <s v="Y"/>
    <s v="144A"/>
    <s v="Secured"/>
    <s v="EUR"/>
    <s v="B"/>
    <s v="N.S."/>
    <s v="FIXED"/>
    <s v="S/A"/>
    <n v="591447000"/>
    <s v="Industrials"/>
    <s v="Waste &amp; Environment Services &amp; Equipment"/>
    <s v="Corporate"/>
    <s v="Industrial"/>
    <s v="Capital Goods"/>
    <s v="Environmental"/>
    <s v="N/A"/>
    <s v="n/a"/>
    <m/>
    <s v=""/>
    <x v="3"/>
    <s v="Bookrunner BofA Securities Europe SA BOFAS SOLE Sole Manager 0 4 2021-11-26 Bookrunner Bank of America BA JLMB Joint Lead Managers-Books 0 4 2021-10-29 Bookrunner Credit Suisse CS JLMB Joint Lead Managers-Books 0 4 2021-10-29 #N/A N/A Latham &amp; Watkins LLP"/>
    <n v="4.625"/>
    <n v="4.1390000000000002"/>
    <n v="4.8710000000000004"/>
    <x v="73"/>
    <s v="Verde Bidco SpACALLABLEFIXEDEURSecured"/>
    <x v="0"/>
  </r>
  <r>
    <n v="269"/>
    <s v="Verde Bidco SpA"/>
    <s v="XS2389112736"/>
    <s v="BR4193255"/>
    <s v="BBG012HQDNP6"/>
    <s v="ITLYUM"/>
    <s v="IT"/>
    <s v="IT"/>
    <s v="IT"/>
    <n v="4.625"/>
    <s v="2021-10-01"/>
    <s v="2026-10-01"/>
    <n v="4.625"/>
    <x v="1"/>
    <s v="Y"/>
    <s v="REGS"/>
    <s v="Secured"/>
    <s v="EUR"/>
    <s v="B"/>
    <s v="N.S."/>
    <s v="FIXED"/>
    <s v="S/A"/>
    <n v="591447000"/>
    <s v="Industrials"/>
    <s v="Waste &amp; Environment Services &amp; Equipment"/>
    <s v="Corporate"/>
    <s v="Industrial"/>
    <s v="Capital Goods"/>
    <s v="Environmental"/>
    <s v="STEP-UP PREMIUM: REDEMPTION 0.3% (A) + 0.3% (B) OF PRINCIPAL AMOUNT OF THE NOTES UNLESS ACHIEVED (A) CO2 AVOIDED EMISSIONS TARGET AND (B) QUANT. OF WASTE TARGET"/>
    <s v="%"/>
    <s v="%"/>
    <s v="yes"/>
    <x v="1"/>
    <s v="Bookrunner BofA Securities Europe SA BOFAS SOLE Sole Manager 0 4 2021-11-26 Bookrunner Bank of America BA JLMB Joint Lead Managers-Books 0 4 2021-10-29 Bookrunner Credit Suisse CS JLMB Joint Lead Managers-Books 0 4 2021-10-29 #N/A N/A Latham &amp; Watkins LLP"/>
    <n v="4.625"/>
    <n v="4.141"/>
    <n v="4.8710000000000004"/>
    <x v="74"/>
    <s v="Verde Bidco SpACALLABLEFIXEDEURSecured"/>
    <x v="0"/>
  </r>
  <r>
    <n v="151"/>
    <s v="Johnson Controls International plc / Tyco Fire &amp; Security Finance SCA"/>
    <s v="US47837RAD26"/>
    <s v="BR4231683"/>
    <s v="BBG012HR2FX4"/>
    <s v="JCI"/>
    <s v="IE"/>
    <s v="IE"/>
    <s v="US"/>
    <n v="2"/>
    <s v="2021-09-16"/>
    <s v="2031-09-16"/>
    <n v="2.0909999999999997"/>
    <x v="1"/>
    <s v="Y"/>
    <s v="#N/A Field Not Applicable"/>
    <s v="Sr Unsecured"/>
    <s v="USD"/>
    <s v="BBB"/>
    <s v="N.S."/>
    <s v="FIXED"/>
    <s v="S/A"/>
    <n v="500000000"/>
    <s v="Industrials"/>
    <s v="Electrical Equipment Manufacturing"/>
    <s v="Corporate"/>
    <s v="Industrial"/>
    <s v="Capital Goods"/>
    <s v="Diversified Manufacturing"/>
    <s v="STEP UP MARGIN: 12.5BPS IF THE ISSUER DOES NOT SATISFY SCOPE 1 AND SCOPE 2 SPTS, ADDITIONAL 12.5BPS STEP-UP IF ISSUER DOES NOT SATISFY SCOPE 3 SPT"/>
    <s v="multi"/>
    <m/>
    <s v=""/>
    <x v="2"/>
    <s v="Bookrunner Barclays Capital BCLY JLMB Joint Lead Managers-Books 116666 1 2021-09-13 Bookrunner Citigroup Global Markets Inc CITI JLMB Joint Lead Managers-Books 116666 1 2021-09-13 Bookrunner Credit Agricole Securities USA CASECS JLMB Joint Lead Managers-B"/>
    <n v="2.0909999999999997"/>
    <s v="#N/A N/A"/>
    <n v="3.6533000000000002"/>
    <x v="75"/>
    <s v="Johnson Controls International plc / Tyco Fire &amp; Security Finance SCACALLABLEFIXEDUSDSr Unsecured"/>
    <x v="0"/>
  </r>
  <r>
    <n v="228"/>
    <s v="Rumo Luxembourg Sarl"/>
    <s v="US781467AE54"/>
    <s v="BR4709829"/>
    <s v="BBG012JJ8R40"/>
    <s v="RAILBZ"/>
    <s v="LU"/>
    <s v="LU"/>
    <s v="BR"/>
    <n v="4.2"/>
    <s v="2021-09-22"/>
    <s v="2032-01-18"/>
    <n v="4.25"/>
    <x v="1"/>
    <s v="Y"/>
    <s v="144A"/>
    <s v="Sr Unsecured"/>
    <s v="USD"/>
    <s v="BB"/>
    <s v="N.S."/>
    <s v="FIXED"/>
    <s v="S/A"/>
    <n v="500000000"/>
    <s v="Industrials"/>
    <s v="Railroad"/>
    <s v="Corporate"/>
    <s v="Industrial"/>
    <s v="Transportation"/>
    <s v="Railroads"/>
    <s v="STEP-UP MARGIN: 25BP, STEP-UP EVENTS: DECEMBER 2026 17.6% REDUCTION OF GHG EMISSIONS."/>
    <n v="25"/>
    <m/>
    <s v=""/>
    <x v="1"/>
    <s v="Bookrunner Banco Bradesco BBI SA BBBBI JLMB Joint Lead Managers-Books 50000 1 2021-09-15 Bookrunner Banco BTG Pactual SA/Cayman Is BTG JLMB Joint Lead Managers-Books 50000 1 2021-09-15 Bookrunner Citigroup Global Markets Inc CITI JLMB Joint Lead Managers-"/>
    <n v="4.25"/>
    <n v="4.306"/>
    <n v="1.762"/>
    <x v="76"/>
    <s v="Rumo Luxembourg SarlCALLABLEFIXEDUSDSr Unsecured"/>
    <x v="0"/>
  </r>
  <r>
    <n v="229"/>
    <s v="Rumo Luxembourg Sarl"/>
    <s v="USL79090AD51"/>
    <s v="BR4709845"/>
    <s v="BBG012JJ8RD0"/>
    <s v="RAILBZ"/>
    <s v="LU"/>
    <s v="LU"/>
    <s v="BR"/>
    <n v="4.2"/>
    <s v="2021-09-22"/>
    <s v="2032-01-18"/>
    <n v="4.25"/>
    <x v="1"/>
    <s v="Y"/>
    <s v="REGS"/>
    <s v="Sr Unsecured"/>
    <s v="USD"/>
    <s v="BB"/>
    <s v="N.S."/>
    <s v="FIXED"/>
    <s v="S/A"/>
    <n v="500000000"/>
    <s v="Industrials"/>
    <s v="Railroad"/>
    <s v="Corporate"/>
    <s v="Industrial"/>
    <s v="Transportation"/>
    <s v="Railroads"/>
    <s v="STEP-UP MARGIN: 25BP, STEP-UP EVENTS: DECEMBER 2026 REDUCTION OF GHG EMISSIONS."/>
    <n v="25"/>
    <m/>
    <s v=""/>
    <x v="1"/>
    <s v="Bookrunner Banco Bradesco BBI SA BBBBI JLMB Joint Lead Managers-Books 50000 1 2021-09-15 Bookrunner Banco BTG Pactual SA/Cayman Is BTG JLMB Joint Lead Managers-Books 50000 1 2021-09-15 Bookrunner Citigroup Global Markets Inc CITI JLMB Joint Lead Managers-"/>
    <n v="4.25"/>
    <n v="4.2839999999999998"/>
    <n v="4.2309999999999999"/>
    <x v="77"/>
    <s v="Rumo Luxembourg SarlCALLABLEFIXEDUSDSr Unsecured"/>
    <x v="0"/>
  </r>
  <r>
    <n v="117"/>
    <s v="Granges AB"/>
    <s v="SE0013360476"/>
    <s v="BR5281596"/>
    <s v="BBG012MYMBX0"/>
    <s v="GRNGSS"/>
    <s v="SE"/>
    <s v="SE"/>
    <s v="SE"/>
    <n v="1.266"/>
    <s v="2021-09-29"/>
    <s v="2026-09-29"/>
    <n v="1.081"/>
    <x v="0"/>
    <s v="N"/>
    <s v="DMTN"/>
    <s v="Sr Unsecured"/>
    <s v="SEK"/>
    <s v="#N/A N/A"/>
    <s v="N.S."/>
    <s v="FLOATING"/>
    <s v="Qtrly"/>
    <n v="68178000"/>
    <s v="Materials"/>
    <s v="Metals &amp; Mining"/>
    <s v="Corporate"/>
    <s v="Industrial"/>
    <s v="Basic Industry"/>
    <s v="Metals and Mining"/>
    <s v="BOND REDEEMED AT 101.20% IF SPTs NOT MET (40 BPS PER SPT). SPTs 1,2 = CARBON EMISSIONS INTENSITY, SPT 3 = SHARE OF RECYCLED ALUMINIUM"/>
    <s v="%"/>
    <m/>
    <s v=""/>
    <x v="1"/>
    <s v="Bookrunner Danske Bank DANSKE JLMB Joint Lead Managers-Books 0 1 2021-09-22 Bookrunner Nordea NORDEA JLMB Joint Lead Managers-Books 0 1 2021-09-22"/>
    <s v="#N/A N/A"/>
    <n v="0.98699999999999999"/>
    <n v="1.1240000000000001"/>
    <x v="78"/>
    <s v="Granges ABAT MATURITYFLOATINGSEKSr Unsecured"/>
    <x v="0"/>
  </r>
  <r>
    <n v="89"/>
    <s v="Enel Finance International NV"/>
    <s v="XS2390400633"/>
    <s v="BR5522767"/>
    <s v="BBG012NHN0K3"/>
    <s v="ENELIM"/>
    <s v="NL"/>
    <s v="NL"/>
    <s v="IT"/>
    <n v="0"/>
    <s v="2021-09-28"/>
    <s v="2026-05-28"/>
    <n v="6.4000000000000015E-2"/>
    <x v="1"/>
    <s v="Y"/>
    <s v="EMTN"/>
    <s v="Sr Unsecured"/>
    <s v="EUR"/>
    <s v="BBB+"/>
    <s v="N.S."/>
    <s v="FIXED"/>
    <s v="Annual"/>
    <n v="1460250000"/>
    <s v="Utilities"/>
    <s v="Utilities"/>
    <s v="Corporate"/>
    <s v="Utility"/>
    <s v="Electric"/>
    <s v="Electric"/>
    <s v="STEP-UP MARGIN: 25BP, STEP-UP EVENT: 12/31/23 DIRECT GHG EMISSIONS BEING ABOVE 148G/KWHEQ"/>
    <n v="25"/>
    <m/>
    <s v=""/>
    <x v="1"/>
    <s v="Bookrunner Banco Bilbao Vizcaya Argentari BBVA JLMB Joint Lead Managers-Books 0 1 2021-09-21 Bookrunner Banco Santander SANT JLMB Joint Lead Managers-Books 0 1 2021-09-21 Bookrunner BNP Paribas BNPP JLMB Joint Lead Managers-Books 0 1 2021-09-21 Bookrunner"/>
    <n v="6.4000000000000015E-2"/>
    <n v="8.6999999999999994E-2"/>
    <n v="4.8710000000000004"/>
    <x v="79"/>
    <s v="Enel Finance International NVCALLABLEFIXEDEURSr Unsecured"/>
    <x v="0"/>
  </r>
  <r>
    <n v="90"/>
    <s v="Enel Finance International NV"/>
    <s v="XS2390400716"/>
    <s v="BR5522783"/>
    <s v="BBG012NHN0Q7"/>
    <s v="ENELIM"/>
    <s v="NL"/>
    <s v="NL"/>
    <s v="IT"/>
    <n v="0.375"/>
    <s v="2021-09-28"/>
    <s v="2029-05-28"/>
    <n v="0.38800000000000001"/>
    <x v="1"/>
    <s v="Y"/>
    <s v="EMTN"/>
    <s v="Sr Unsecured"/>
    <s v="EUR"/>
    <s v="BBB+"/>
    <s v="N.S."/>
    <s v="FIXED"/>
    <s v="Annual"/>
    <n v="1168200000"/>
    <s v="Utilities"/>
    <s v="Utilities"/>
    <s v="Corporate"/>
    <s v="Utility"/>
    <s v="Electric"/>
    <s v="Electric"/>
    <s v="STEP-UP MARGIN: 25BP, STEP-UP EVENT: 12/31/23 DIRECT GHG EMISSIONS BEING ABOVE 148G/KWHEQ"/>
    <n v="25"/>
    <m/>
    <s v=""/>
    <x v="1"/>
    <s v="Bookrunner Banca IMI B.IMI JLMB Joint Lead Managers-Books 0 1 2021-09-21 Bookrunner Banco Bilbao Vizcaya Argentari BBVA JLMB Joint Lead Managers-Books 0 1 2021-09-21 Bookrunner Banco Santander SANT JLMB Joint Lead Managers-Books 0 1 2021-09-21 Bookrunner "/>
    <n v="0.38800000000000001"/>
    <n v="0.46"/>
    <n v="4.8710000000000004"/>
    <x v="80"/>
    <s v="Enel Finance International NVCALLABLEFIXEDEURSr Unsecured"/>
    <x v="0"/>
  </r>
  <r>
    <n v="88"/>
    <s v="Enel Finance International NV"/>
    <s v="XS2390400807"/>
    <s v="BR5522809"/>
    <s v="BBG012NHN0W0"/>
    <s v="ENELIM"/>
    <s v="NL"/>
    <s v="NL"/>
    <s v="IT"/>
    <n v="0.875"/>
    <s v="2021-09-28"/>
    <s v="2034-09-28"/>
    <n v="0.93789999999999996"/>
    <x v="1"/>
    <s v="Y"/>
    <s v="EMTN"/>
    <s v="Sr Unsecured"/>
    <s v="EUR"/>
    <s v="BBB+"/>
    <s v="N.S."/>
    <s v="FIXED"/>
    <s v="Annual"/>
    <n v="1460250000"/>
    <s v="Utilities"/>
    <s v="Utilities"/>
    <s v="Corporate"/>
    <s v="Utility"/>
    <s v="Electric"/>
    <s v="Electric"/>
    <s v="STEP-UP MARGIN: 25BP, STEP-UP EVENT: 12/31/30 DIRECT GHG EMISSIONS BEING ABOVE 82G/KWHEQ"/>
    <n v="25"/>
    <m/>
    <s v=""/>
    <x v="1"/>
    <s v="Bookrunner Banca IMI B.IMI JLMB Joint Lead Managers-Books 0 1 2021-09-21 Bookrunner Banco Bilbao Vizcaya Argentari BBVA JLMB Joint Lead Managers-Books 0 1 2021-09-21 Bookrunner Banco Santander SA/London SANTAN JLMB Joint Lead Managers-Books 0 1 2021-09-21"/>
    <s v="#N/A N/A"/>
    <n v="0.95499999999999996"/>
    <n v="4.8710000000000004"/>
    <x v="81"/>
    <s v="Enel Finance International NVCALLABLEFIXEDEURSr Unsecured"/>
    <x v="0"/>
  </r>
  <r>
    <n v="165"/>
    <s v="Legrand SA"/>
    <s v="FR0014005OK3"/>
    <s v="BR6431919"/>
    <s v="BBG012Q9B4H7"/>
    <s v="LRFP"/>
    <s v="FR"/>
    <s v="FR"/>
    <s v="FR"/>
    <n v="0.375"/>
    <s v="2021-10-06"/>
    <s v="2031-10-06"/>
    <n v="0.39500000000000002"/>
    <x v="1"/>
    <s v="Y"/>
    <s v="#N/A Field Not Applicable"/>
    <s v="Sr Unsecured"/>
    <s v="EUR"/>
    <s v="NR"/>
    <s v="AA"/>
    <s v="FIXED"/>
    <s v="Annual"/>
    <n v="692586000"/>
    <s v="Industrials"/>
    <s v="Electrical Equipment Manufacturing"/>
    <s v="Corporate"/>
    <s v="Industrial"/>
    <s v="Capital Goods"/>
    <s v="Building Materials"/>
    <s v="STEP-UP MARGIN: 25BPS PER SPT; SPT1, SPT2 GHG EMISSIONS REDUCTION"/>
    <n v="25"/>
    <m/>
    <s v=""/>
    <x v="1"/>
    <s v="Bookrunner BNP Paribas BNPP JLMB Joint Lead Managers-Books 0 1 2021-09-29 Bookrunner CM-CIC Securities SA CMCIC JLMB Joint Lead Managers-Books 0 1 2021-09-29 Bookrunner Credit Agricole CIB CACIB JLMB Joint Lead Managers-Books 0 1 2021-09-29 Bookrunner Gol"/>
    <n v="0.39500000000000002"/>
    <n v="0.41799999999999998"/>
    <n v="0.41199999999999998"/>
    <x v="82"/>
    <s v="Legrand SACALLABLEFIXEDEURSr Unsecured"/>
    <x v="1"/>
  </r>
  <r>
    <n v="72"/>
    <s v="Elecnor SA"/>
    <s v="ES0229743002"/>
    <s v="BR6478951"/>
    <s v="BBG012QBV2N7"/>
    <s v="ENOSM"/>
    <s v="ES"/>
    <s v="ES"/>
    <s v="ES"/>
    <n v="3.0249999999999999"/>
    <s v="2021-09-30"/>
    <s v="2035-09-30"/>
    <s v="N/A"/>
    <x v="0"/>
    <s v="N"/>
    <s v="#N/A Field Not Applicable"/>
    <s v="Sr Unsecured"/>
    <s v="EUR"/>
    <s v="#N/A N/A"/>
    <s v="N.S."/>
    <s v="FIXED"/>
    <s v="S/A"/>
    <n v="34712100"/>
    <s v="Industrials"/>
    <s v="Industrial Other"/>
    <s v="Corporate"/>
    <s v="Industrial"/>
    <s v="Other Industrial"/>
    <s v="Other Industrial"/>
    <s v="COUPON STEP-UP: 2.5BPS PER KPI1: GREEN HOUSE GAS EMISSION KPI2: LABOR"/>
    <s v="multi"/>
    <m/>
    <s v=""/>
    <x v="1"/>
    <s v="Bookrunner Banco Sabadell SABADL LMGR Lead Manager(s) 0 1 2021-09-27 Trustee Banco Sabadell SABADL PLAG Placement Agent(s) 0 7 2021-09-27 Trustee Banco de Sabadell SA/Spain BANSAB CALC Calculation Agent(s) 0 7 2021-09-27 Trustee Cuatrecasas CCP TRST Trust"/>
    <s v="#N/A N/A"/>
    <s v="#N/A N/A"/>
    <n v="0.39400000000000002"/>
    <x v="0"/>
    <s v="Elecnor SAAT MATURITYFIXEDEURSr Unsecured"/>
    <x v="0"/>
  </r>
  <r>
    <n v="33"/>
    <s v="Biesterfeld AG"/>
    <s v="#N/A Field Not Applicable"/>
    <s v="BR6744469"/>
    <s v="BBG012QT8QL3"/>
    <s v="BIFELD"/>
    <s v="DE"/>
    <s v="DE"/>
    <s v="DE"/>
    <n v="0"/>
    <s v="2021-11-10"/>
    <s v="2031-11-10"/>
    <s v="N/A"/>
    <x v="0"/>
    <s v="N"/>
    <s v="10Y"/>
    <s v="Sr Unsecured"/>
    <s v="EUR"/>
    <s v="#N/A N/A"/>
    <s v="N.S."/>
    <s v="FIXED"/>
    <s v="Annual"/>
    <n v="115123000"/>
    <s v="Materials"/>
    <s v="Chemicals"/>
    <s v="Corporate"/>
    <s v="Industrial"/>
    <s v="Basic Industry"/>
    <s v="Chemicals"/>
    <s v="SUSTAINABILITY PRICING ADJUSTMENT: +/- 5BPS IF ESG SCORE &lt;=53 / &gt;=63 UP TO 2025; +/- 5BPS IF &lt;=58 / &gt;=68 FROM 2026."/>
    <s v="multi"/>
    <m/>
    <s v=""/>
    <x v="0"/>
    <s v="Bookrunner Landesbank Baden-Wuerttemberg LBBW SOLE Sole Manager 0 1 2021-11-10"/>
    <s v="#N/A N/A"/>
    <s v="#N/A N/A"/>
    <e v="#N/A"/>
    <x v="0"/>
    <s v="Biesterfeld AGAT MATURITYFIXEDEURSr Unsecured"/>
    <x v="0"/>
  </r>
  <r>
    <n v="31"/>
    <s v="Biesterfeld AG"/>
    <s v="#N/A Field Not Applicable"/>
    <s v="BR6752157"/>
    <s v="BBG012QTFC18"/>
    <s v="BIFELD"/>
    <s v="DE"/>
    <s v="DE"/>
    <s v="DE"/>
    <n v="0"/>
    <s v="2021-11-10"/>
    <s v="2028-11-10"/>
    <s v="N/A"/>
    <x v="0"/>
    <s v="N"/>
    <s v="7Y"/>
    <s v="Sr Unsecured"/>
    <s v="EUR"/>
    <s v="#N/A N/A"/>
    <s v="N.S."/>
    <s v="FLOATING"/>
    <s v="S/A"/>
    <n v="115123000"/>
    <s v="Materials"/>
    <s v="Chemicals"/>
    <s v="Corporate"/>
    <s v="Industrial"/>
    <s v="Basic Industry"/>
    <s v="Chemicals"/>
    <s v="SUSTAINABILITY PRICING ADJUSTMENT: +/- 5BPS IF ESG SCORE &lt;=53 / &gt;=63 UP TO 2025; +/- 5BPS IF &lt;=58 / &gt;=68 FROM 2026."/>
    <s v="multi"/>
    <m/>
    <s v=""/>
    <x v="0"/>
    <s v="Bookrunner Landesbank Baden-Wuerttemberg LBBW SOLE Sole Manager 0 1 2021-11-10"/>
    <s v="#N/A N/A"/>
    <s v="#N/A N/A"/>
    <e v="#N/A"/>
    <x v="0"/>
    <s v="Biesterfeld AGAT MATURITYFLOATINGEURSr Unsecured"/>
    <x v="0"/>
  </r>
  <r>
    <n v="32"/>
    <s v="Biesterfeld AG"/>
    <s v="#N/A Field Not Applicable"/>
    <s v="BR6756869"/>
    <s v="BBG012QTJF26"/>
    <s v="BIFELD"/>
    <s v="DE"/>
    <s v="DE"/>
    <s v="DE"/>
    <n v="0"/>
    <s v="2021-11-10"/>
    <s v="2026-11-10"/>
    <s v="N/A"/>
    <x v="0"/>
    <s v="N"/>
    <s v="5Y"/>
    <s v="Sr Unsecured"/>
    <s v="EUR"/>
    <s v="#N/A N/A"/>
    <s v="N.S."/>
    <s v="FLOATING"/>
    <s v="S/A"/>
    <n v="115123000"/>
    <s v="Materials"/>
    <s v="Chemicals"/>
    <s v="Corporate"/>
    <s v="Industrial"/>
    <s v="Basic Industry"/>
    <s v="Chemicals"/>
    <s v="SUSTAINABILITY PRICING ADJUSTMENT: +/- 5BPS IF ESG SCORE &lt;=53 / &gt;=63 UP TO 2025; +/- 5BPS IF &lt;=58 / &gt;=68 FROM 2026."/>
    <s v="multi"/>
    <m/>
    <s v=""/>
    <x v="0"/>
    <s v="Bookrunner Landesbank Baden-Wuerttemberg LBBW SOLE Sole Manager 0 1 2021-11-10"/>
    <s v="#N/A N/A"/>
    <s v="#N/A N/A"/>
    <e v="#N/A"/>
    <x v="0"/>
    <s v="Biesterfeld AGAT MATURITYFLOATINGEURSr Unsecured"/>
    <x v="1"/>
  </r>
  <r>
    <n v="185"/>
    <s v="Nederlandse Gasunie NV"/>
    <s v="XS2393539593"/>
    <s v="BR7204091"/>
    <s v="BBG012RXZWC0"/>
    <s v="NEGANV"/>
    <s v="NL"/>
    <s v="NL"/>
    <s v="NL"/>
    <n v="0.75"/>
    <s v="2021-10-13"/>
    <s v="2036-10-13"/>
    <n v="0.76300000000000001"/>
    <x v="1"/>
    <s v="Y"/>
    <s v="EMTN"/>
    <s v="Sr Unsecured"/>
    <s v="EUR"/>
    <s v="NR"/>
    <s v="N.S."/>
    <s v="FIXED"/>
    <s v="Annual"/>
    <n v="347337000"/>
    <s v="Utilities"/>
    <s v="Utilities"/>
    <s v="Government-Related"/>
    <s v="Agency"/>
    <s v="Government Owned, No Guarantee"/>
    <s v="Government Owned, No Guarantee"/>
    <s v="STEP-UP MARGIN: 10BPS PER KPI. STEP-UP EVENTS: REDUCTION OF METHANE EMISSIONS, GREENHOUSE GAS EMISSIONS"/>
    <s v="multi"/>
    <m/>
    <s v=""/>
    <x v="1"/>
    <s v="Bookrunner ABN Amro Bank NV ABN JLMB Joint Lead Managers-Books 0 1 2021-10-01 Bookrunner Credit Agricole CIB CACIB JLMB Joint Lead Managers-Books 0 1 2021-10-01 Bookrunner ING Groep ING JLMB Joint Lead Managers-Books 0 1 2021-10-01 NonBookrunner NatWest M"/>
    <n v="0.76300000000000001"/>
    <n v="0.78"/>
    <n v="5.1289999999999996"/>
    <x v="83"/>
    <s v="Nederlandse Gasunie NVCALLABLEFIXEDEURSr Unsecured"/>
    <x v="0"/>
  </r>
  <r>
    <n v="48"/>
    <s v="Cullinan Holdco Scsp"/>
    <s v="XS2397355095"/>
    <s v="BR7695454"/>
    <s v="BBG012T90WR3"/>
    <s v="GRAANU"/>
    <s v="LU"/>
    <s v="LU"/>
    <s v="LU"/>
    <n v="4.625"/>
    <s v="2021-10-12"/>
    <s v="2026-10-15"/>
    <n v="4.6976000000000004"/>
    <x v="1"/>
    <s v="Y"/>
    <s v="144A"/>
    <s v="Secured"/>
    <s v="EUR"/>
    <s v="BB-"/>
    <s v="N.S."/>
    <s v="FIXED"/>
    <s v="S/A"/>
    <n v="438075400"/>
    <s v="Energy"/>
    <s v="Renewable Energy"/>
    <s v="Corporate"/>
    <s v="Industrial"/>
    <s v="Energy"/>
    <s v="Refining"/>
    <s v="STEP-UP MARGIN: 75BPS, STEP-UP EVENT: FAILURE TO TO REDUCE GRAMS OF CO2 EQUIVALENTS PER MEGAJOULE OF ENERGY CONTAINED IN PELLETS (GCO2-EQ/MJ) BY 5% BY DEC-2024"/>
    <n v="75"/>
    <m/>
    <s v=""/>
    <x v="1"/>
    <s v="Bookrunner Barclays BARCS JLMB Joint Lead Managers-Books 0 1 2021-10-07 Bookrunner Goldman Sachs International GSI JLMB Joint Lead Managers-Books 0 1 2021-10-07 Bookrunner RBC Capital Markets RBCCM JLMB Joint Lead Managers-Books 0 1 2021-10-07 NonBookrunn"/>
    <s v="#N/A N/A"/>
    <n v="4.6440000000000001"/>
    <n v="4.2309999999999999"/>
    <x v="84"/>
    <s v="Cullinan Holdco ScspCALLABLEFIXEDEURSecured"/>
    <x v="0"/>
  </r>
  <r>
    <n v="49"/>
    <s v="Cullinan Holdco Scsp"/>
    <s v="XS2397354288"/>
    <s v="BR7695462"/>
    <s v="BBG012T90X73"/>
    <s v="GRAANU"/>
    <s v="LU"/>
    <s v="LU"/>
    <s v="LU"/>
    <n v="4.75"/>
    <s v="2021-10-12"/>
    <s v="2026-10-15"/>
    <n v="4.7389999999999999"/>
    <x v="1"/>
    <s v="Y"/>
    <s v="144A"/>
    <s v="Secured"/>
    <s v="EUR"/>
    <s v="BB-"/>
    <s v="N.S."/>
    <s v="FLOATING"/>
    <s v="Qtrly"/>
    <n v="288207500"/>
    <s v="Energy"/>
    <s v="Renewable Energy"/>
    <s v="Corporate"/>
    <s v="Industrial"/>
    <s v="Energy"/>
    <s v="Refining"/>
    <s v="STEP-UP MARGIN: 75BPS, STEP-UP EVENT: FAILURE TO TO REDUCE GRAMS OF CO2 EQUIVALENTS PER MEGAJOULE OF ENERGY CONTAINED IN PELLETS (GCO2-EQ/MJ) BY 5% BY DEC-2024"/>
    <n v="75"/>
    <m/>
    <s v=""/>
    <x v="1"/>
    <s v="Bookrunner Barclays BARCS JLMB Joint Lead Managers-Books 0 1 2021-10-07 Bookrunner Goldman Sachs International GSI JLMB Joint Lead Managers-Books 0 1 2021-10-07 Bookrunner RBC Capital Markets RBCCM JLMB Joint Lead Managers-Books 0 1 2021-10-07 NonBookrunn"/>
    <s v="#N/A N/A"/>
    <s v="#N/A N/A"/>
    <n v="0.76100000000000001"/>
    <x v="0"/>
    <s v="Cullinan Holdco ScspCALLABLEFLOATINGEURSecured"/>
    <x v="0"/>
  </r>
  <r>
    <n v="51"/>
    <s v="Cullinan Holdco Scsp"/>
    <s v="XS2397354528"/>
    <s v="BR7695512"/>
    <s v="BBG012T91029"/>
    <s v="GRAANU"/>
    <s v="LU"/>
    <s v="LU"/>
    <s v="LU"/>
    <n v="4.625"/>
    <s v="2021-10-12"/>
    <s v="2026-10-15"/>
    <n v="4.6477000000000004"/>
    <x v="1"/>
    <s v="Y"/>
    <s v="REGS"/>
    <s v="Secured"/>
    <s v="EUR"/>
    <s v="BB-"/>
    <s v="N.S."/>
    <s v="FIXED"/>
    <s v="S/A"/>
    <n v="438075400"/>
    <s v="Energy"/>
    <s v="Renewable Energy"/>
    <s v="Corporate"/>
    <s v="Industrial"/>
    <s v="Energy"/>
    <s v="Refining"/>
    <s v="STEP-UP MARGIN: 75BPS, STEP-UP EVENT: FAILURE TO TO REDUCE GRAMS OF CO2 EQUIVALENTS PER MEGAJOULE OF ENERGY CONTAINED IN PELLETS (GCO2-EQ/MJ) BY 5% BY DEC-2024"/>
    <n v="75"/>
    <m/>
    <s v=""/>
    <x v="1"/>
    <s v="Bookrunner Barclays BARCS JLMB Joint Lead Managers-Books 0 1 2021-10-07 Bookrunner Goldman Sachs International GSI JLMB Joint Lead Managers-Books 0 1 2021-10-07 Bookrunner RBC Capital Markets RBCCM JLMB Joint Lead Managers-Books 0 1 2021-10-07 NonBookrunn"/>
    <s v="#N/A N/A"/>
    <n v="4.6020000000000003"/>
    <n v="5.1289999999999996"/>
    <x v="85"/>
    <s v="Cullinan Holdco ScspCALLABLEFIXEDEURSecured"/>
    <x v="0"/>
  </r>
  <r>
    <n v="50"/>
    <s v="Cullinan Holdco Scsp"/>
    <s v="XS2397354015"/>
    <s v="BR7695538"/>
    <s v="BBG012T910Q3"/>
    <s v="GRAANU"/>
    <s v="LU"/>
    <s v="LU"/>
    <s v="LU"/>
    <n v="4.75"/>
    <s v="2021-10-12"/>
    <s v="2026-10-15"/>
    <n v="4.8159000000000001"/>
    <x v="1"/>
    <s v="Y"/>
    <s v="REGS"/>
    <s v="Secured"/>
    <s v="EUR"/>
    <s v="BB-"/>
    <s v="N.S."/>
    <s v="FLOATING"/>
    <s v="Qtrly"/>
    <n v="288207500"/>
    <s v="Energy"/>
    <s v="Renewable Energy"/>
    <s v="Corporate"/>
    <s v="Industrial"/>
    <s v="Energy"/>
    <s v="Refining"/>
    <s v="STEP-UP MARGIN: 75BPS, STEP-UP EVENT: FAILURE TO TO REDUCE GRAMS OF CO2 EQUIVALENTS PER MEGAJOULE OF ENERGY CONTAINED IN PELLETS (GCO2-EQ/MJ) BY 5% BY DEC-2024"/>
    <n v="75"/>
    <m/>
    <s v=""/>
    <x v="1"/>
    <s v="Bookrunner Barclays BARCS JLMB Joint Lead Managers-Books 0 1 2021-10-07 Bookrunner Goldman Sachs International GSI JLMB Joint Lead Managers-Books 0 1 2021-10-07 Bookrunner RBC Capital Markets RBCCM JLMB Joint Lead Managers-Books 0 1 2021-10-07 NonBookrunn"/>
    <s v="#N/A N/A"/>
    <n v="4.7640000000000002"/>
    <n v="1.762"/>
    <x v="86"/>
    <s v="Cullinan Holdco ScspCALLABLEFLOATINGEURSecured"/>
    <x v="0"/>
  </r>
  <r>
    <n v="174"/>
    <s v="Louis Dreyfus Co BV"/>
    <s v="XS2395419844"/>
    <s v="BR8722620"/>
    <s v="BBG012WWV5T1"/>
    <s v="LOUDRE"/>
    <s v="NL"/>
    <s v="NL"/>
    <s v="NL"/>
    <n v="0.89"/>
    <s v="2021-10-13"/>
    <s v="2026-10-13"/>
    <n v="0.85840000000000005"/>
    <x v="0"/>
    <s v="N"/>
    <s v="#N/A Field Not Applicable"/>
    <s v="Sr Unsecured"/>
    <s v="JPY"/>
    <s v="#N/A N/A"/>
    <s v="N.S."/>
    <s v="FIXED"/>
    <s v="S/A"/>
    <n v="88143800"/>
    <s v="Consumer Staples"/>
    <s v="Retail - Consumer Staples"/>
    <s v="Corporate"/>
    <s v="Industrial"/>
    <s v="Consumer Cyclical"/>
    <s v="Retailers"/>
    <s v="STEP-UP/STEP-DOWN MARGIN: 1BP PER KPI; KPIs: GHG EMISSIONS, ELECTRICITY CONSUMPTION, WATER CONSUMPTION, SOLID WASTE REDUCTION"/>
    <s v="multi"/>
    <s v="multi"/>
    <s v="yes"/>
    <x v="1"/>
    <s v="Bookrunner DBS Bank Ltd/London DBS LMGR Lead Manager(s) 0 1 2021-10-08 Trustee BNP Paribas Securities Service BNPPAR PAAG Paying Agent(s) 0 7 2021-10-08 Trustee BNP Paribas Securities Service BNPPAR FISC Fiscal Agent(s) 0 7 2021-10-08"/>
    <s v="#N/A N/A"/>
    <n v="0.86099999999999999"/>
    <e v="#N/A"/>
    <x v="87"/>
    <s v="Louis Dreyfus Co BVAT MATURITYFIXEDJPYSr Unsecured"/>
    <x v="0"/>
  </r>
  <r>
    <n v="126"/>
    <s v="Hera SpA"/>
    <s v="XS2399933386"/>
    <s v="BR8975129"/>
    <s v="BBG012XGD551"/>
    <s v="HERIM"/>
    <s v="IT"/>
    <s v="IT"/>
    <s v="IT"/>
    <n v="1"/>
    <s v="2021-10-25"/>
    <s v="2034-04-25"/>
    <n v="1.077"/>
    <x v="1"/>
    <s v="Y"/>
    <s v="EMTN"/>
    <s v="Sr Unsecured"/>
    <s v="EUR"/>
    <s v="BBB"/>
    <s v="N.S."/>
    <s v="FIXED"/>
    <s v="Annual"/>
    <n v="580285000"/>
    <s v="Utilities"/>
    <s v="Utilities"/>
    <s v="Government-Related"/>
    <s v="Agency"/>
    <s v="Government Sponsored"/>
    <s v="Government Sponsored"/>
    <s v="STEP-UP MARGIN: 20, 15BPS. STEP-UP DEVENTS: REDUCTION GREENHOUSE GAS EMISSIONS, INCREASE IN PLASTIC RECYCLING"/>
    <s v="multi"/>
    <m/>
    <s v=""/>
    <x v="1"/>
    <s v="Bookrunner Banco Santander SANT JLMB Joint Lead Managers-Books 0 1 2021-10-13 Bookrunner BNP Paribas/London BNPPAR JLMB Joint Lead Managers-Books 0 1 2021-10-13 Bookrunner Credit Agricole CIB CACIB JLMB Joint Lead Managers-Books 0 1 2021-10-13 Bookrunner "/>
    <n v="1.077"/>
    <n v="0.998"/>
    <e v="#N/A"/>
    <x v="88"/>
    <s v="Hera SpACALLABLEFIXEDEURSr Unsecured"/>
    <x v="0"/>
  </r>
  <r>
    <n v="189"/>
    <s v="OVS SpA"/>
    <s v="XS2393520734"/>
    <s v="BS0195161"/>
    <s v="BBG0132T5YC3"/>
    <s v="GCNIM"/>
    <s v="IT"/>
    <s v="IT"/>
    <s v="IT"/>
    <n v="2.25"/>
    <s v="2021-11-10"/>
    <s v="2027-11-10"/>
    <n v="2.2768999999999999"/>
    <x v="1"/>
    <s v="Y"/>
    <s v="EMTN"/>
    <s v="Sr Unsecured"/>
    <s v="EUR"/>
    <s v="n/a"/>
    <s v="N.S."/>
    <s v="FIXED"/>
    <s v="Annual"/>
    <n v="184196800"/>
    <s v="Consumer Discretionary"/>
    <s v="Retail - Consumer Discretionary"/>
    <s v="Corporate"/>
    <s v="Industrial"/>
    <s v="Consumer Cyclical"/>
    <s v="Retailers"/>
    <s v="SUSTAINABILITY PRICING ADJUSTMENT: MARGIN STEP-UP UP TO 25BPS IF KPI ARE NOT MET.  SCOPE 1, 2 AND 3 GHG EMISSIONS."/>
    <n v="25"/>
    <m/>
    <s v=""/>
    <x v="1"/>
    <s v="Bookrunner Not Available N/A LMGR Lead Manager(s) 0 1 2021-10-25 Trustee Equita SIM SpA EQUSIM PLAG Placement Agent(s) 0 7 2021-10-25 Trustee Bank of New York Mellon/London BNY PAAG Paying Agent(s) 0 7 2021-10-25 Trustee Bank of New York Mellon BNYM FISC "/>
    <s v="#N/A N/A"/>
    <n v="2.2719999999999998"/>
    <n v="4.2309999999999999"/>
    <x v="89"/>
    <s v="OVS SpACALLABLEFIXEDEURSr Unsecured"/>
    <x v="0"/>
  </r>
  <r>
    <n v="217"/>
    <s v="Renolit SE"/>
    <s v="#N/A Field Not Applicable"/>
    <s v="BS0343308"/>
    <s v="BBG013347KZ0"/>
    <s v="RENODE"/>
    <s v="DE"/>
    <s v="DE"/>
    <s v="DE"/>
    <n v="0"/>
    <s v="2021-12-13"/>
    <s v="2028-12-13"/>
    <s v="N/A"/>
    <x v="0"/>
    <s v="N"/>
    <s v="7Y"/>
    <s v="Sr Unsecured"/>
    <s v="EUR"/>
    <s v="#N/A N/A"/>
    <s v="N.S."/>
    <s v="FLOATING"/>
    <s v="S/A"/>
    <n v="225864000"/>
    <s v="Materials"/>
    <s v="Chemicals"/>
    <s v="Corporate"/>
    <s v="Industrial"/>
    <s v="Basic Industry"/>
    <s v="Chemicals"/>
    <s v="ESG-LINKED SCHULDSCHEIN. SUSTAINABILITY PRICING ADJUSTMENT: +/- 2BPS PER KPI. KPIS: ENERGY EFFICIENCY; RECYCLING; DIVERSITY."/>
    <s v="multi"/>
    <s v="multi"/>
    <s v="yes"/>
    <x v="5"/>
    <s v="Bookrunner BNP Paribas/Frankfurt BNP JLMB Joint Lead Managers-Books 0 1 2021-12-13 Bookrunner Landesbank Hessen-Thuringen Gi HELABA JLMB Joint Lead Managers-Books 0 1 2021-12-13 Bookrunner Landesbank Baden-Wuerttemberg LBBW JLMB Joint Lead Managers-Books "/>
    <s v="#N/A N/A"/>
    <s v="#N/A N/A"/>
    <e v="#N/A"/>
    <x v="0"/>
    <s v="Renolit SEAT MATURITYFLOATINGEURSr Unsecured"/>
    <x v="0"/>
  </r>
  <r>
    <n v="219"/>
    <s v="Renolit SE"/>
    <s v="#N/A Field Not Applicable"/>
    <s v="BS0344702"/>
    <s v="BBG01334G0G5"/>
    <s v="RENODE"/>
    <s v="DE"/>
    <s v="DE"/>
    <s v="DE"/>
    <n v="0"/>
    <s v="2021-12-13"/>
    <s v="2024-12-13"/>
    <s v="N/A"/>
    <x v="0"/>
    <s v="N"/>
    <s v="3Y"/>
    <s v="Sr Unsecured"/>
    <s v="EUR"/>
    <s v="#N/A N/A"/>
    <s v="N.S."/>
    <s v="FLOATING"/>
    <s v="S/A"/>
    <n v="225864000"/>
    <s v="Materials"/>
    <s v="Chemicals"/>
    <s v="Corporate"/>
    <s v="Industrial"/>
    <s v="Basic Industry"/>
    <s v="Chemicals"/>
    <s v="ESG-LINKED SCHULDSCHEIN. SUSTAINABILITY PRICING ADJUSTMENT: +/- 2BPS PER KPI. KPIS: ENERGY EFFICIENCY; RECYCLING; DIVERSITY."/>
    <s v="multi"/>
    <s v="multi"/>
    <s v="yes"/>
    <x v="5"/>
    <s v="Bookrunner BNP Paribas BNPP JLMB Joint Lead Managers-Books 0 1 2021-12-13 Bookrunner Landesbank Hessen-Thuringen Gi HELABA JLMB Joint Lead Managers-Books 0 1 2021-12-13 Bookrunner Landesbank Baden-Wuerttemberg LBBW JLMB Joint Lead Managers-Books 0 1 2021-"/>
    <s v="#N/A N/A"/>
    <s v="#N/A N/A"/>
    <e v="#N/A"/>
    <x v="0"/>
    <s v="Renolit SEAT MATURITYFLOATINGEURSr Unsecured"/>
    <x v="0"/>
  </r>
  <r>
    <n v="220"/>
    <s v="Renolit SE"/>
    <s v="#N/A Field Not Applicable"/>
    <s v="BS0345642"/>
    <s v="BBG01334KXV1"/>
    <s v="RENODE"/>
    <s v="DE"/>
    <s v="DE"/>
    <s v="DE"/>
    <n v="0"/>
    <s v="2021-12-13"/>
    <s v="2026-12-13"/>
    <s v="N/A"/>
    <x v="0"/>
    <s v="N"/>
    <s v="5Y"/>
    <s v="Sr Unsecured"/>
    <s v="EUR"/>
    <s v="#N/A N/A"/>
    <s v="N.S."/>
    <s v="FLOATING"/>
    <s v="S/A"/>
    <n v="225864000"/>
    <s v="Materials"/>
    <s v="Chemicals"/>
    <s v="Corporate"/>
    <s v="Industrial"/>
    <s v="Basic Industry"/>
    <s v="Chemicals"/>
    <s v="ESG-LINKED SCHULDSCHEIN. SUSTAINABILITY PRICING ADJUSTMENT: +/- 2BPS PER KPI. KPIS: ENERGY EFFICIENCY; RECYCLING; DIVERSITY."/>
    <s v="multi"/>
    <s v="multi"/>
    <s v="yes"/>
    <x v="5"/>
    <s v="Bookrunner BNP Paribas/Frankfurt BNP JLMB Joint Lead Managers-Books 0 1 2021-12-13 Bookrunner Landesbank Hessen-Thuringen Gi HELABA JLMB Joint Lead Managers-Books 0 1 2021-12-13 Bookrunner Landesbank Baden-Wuerttemberg LBBW JLMB Joint Lead Managers-Books "/>
    <s v="#N/A N/A"/>
    <s v="#N/A N/A"/>
    <e v="#N/A"/>
    <x v="0"/>
    <s v="Renolit SEAT MATURITYFLOATINGEURSr Unsecured"/>
    <x v="0"/>
  </r>
  <r>
    <n v="237"/>
    <s v="Seche Environnement SA"/>
    <s v="XS2399981435"/>
    <s v="BS1023271"/>
    <s v="BBG0135GHFL6"/>
    <s v="SCHPFP"/>
    <s v="FR"/>
    <s v="FR"/>
    <s v="FR"/>
    <n v="2.25"/>
    <s v="2021-11-04"/>
    <s v="2028-11-15"/>
    <n v="2.1871999999999998"/>
    <x v="1"/>
    <s v="Y"/>
    <s v="#N/A Field Not Applicable"/>
    <s v="Sr Unsecured"/>
    <s v="EUR"/>
    <s v="BB"/>
    <s v="N.S."/>
    <s v="FIXED"/>
    <s v="S/A"/>
    <n v="346422000"/>
    <s v="Industrials"/>
    <s v="Waste &amp; Environment Services &amp; Equipment"/>
    <s v="Corporate"/>
    <s v="Industrial"/>
    <s v="Capital Goods"/>
    <s v="Environmental"/>
    <s v="SUSTBLTY PRFM TGTS: REDUCE GHG EMIS BY 10% BY 2025 WITH 2020 BASE YEAR; GHG EMISSIONS BY 40% BY 2025. ZERO SPT MET: +25 BPS / ONE SPT MET: +12.5 BPS"/>
    <s v="multi"/>
    <m/>
    <s v=""/>
    <x v="1"/>
    <s v="Bookrunner BNP Paribas BNPP JLMB Joint Lead Managers-Books 0 1 2021-10-28 NonBookrunner Credit Agricole CIB CACIB JLM Joint Lead Managers-No Books 0 1 2021-10-28 NonBookrunner Natixis NATIX JLM Joint Lead Managers-No Books 0 1 2021-10-28 Bookrunner BNP Pa"/>
    <s v="#N/A N/A"/>
    <n v="2.1139999999999999"/>
    <e v="#N/A"/>
    <x v="90"/>
    <s v="Seche Environnement SACALLABLEFIXEDEURSr Unsecured"/>
    <x v="0"/>
  </r>
  <r>
    <n v="118"/>
    <s v="Greenfood AB"/>
    <s v="SE0017072457"/>
    <s v="BS1439477"/>
    <s v="BBG013686HY7"/>
    <s v="GREFOD"/>
    <s v="SE"/>
    <s v="SE"/>
    <s v="SE"/>
    <n v="7"/>
    <s v="2021-11-04"/>
    <s v="2025-11-04"/>
    <n v="6.8083999999999998"/>
    <x v="1"/>
    <s v="Y"/>
    <s v="#N/A Field Not Applicable"/>
    <s v="Secured"/>
    <s v="SEK"/>
    <s v="#N/A N/A"/>
    <s v="N.S."/>
    <s v="FLOATING"/>
    <s v="Qtrly"/>
    <n v="122136000"/>
    <s v="Consumer Staples"/>
    <s v="Food &amp; Beverage"/>
    <s v="Corporate"/>
    <s v="Industrial"/>
    <s v="Consumer Non-Cyclical"/>
    <s v="Food and Beverage"/>
    <s v="N/A"/>
    <s v="n/a"/>
    <m/>
    <s v=""/>
    <x v="3"/>
    <s v="Bookrunner Pareto Securities PARETO JLMB Joint Lead Managers-Books 0 1 2021-10-28 Bookrunner Swedbank SWED JLMB Joint Lead Managers-Books 0 1 2021-10-28 Trustee Nordic Trustee AB NRDTRS TRST Trustee(s) 0 7 2021-10-28 Trustee White &amp; Case LLP W&amp;C LAI Legal"/>
    <s v="#N/A N/A"/>
    <n v="6.7110000000000003"/>
    <e v="#N/A"/>
    <x v="91"/>
    <s v="Greenfood ABCALLABLEFLOATINGSEKSecured"/>
    <x v="0"/>
  </r>
  <r>
    <n v="207"/>
    <s v="RHI Magnesita GmbH"/>
    <s v="#N/A Field Not Applicable"/>
    <s v="BS1742383"/>
    <s v="BBG0136SDTT5"/>
    <s v="RHIMLN"/>
    <s v="AT"/>
    <s v="AT"/>
    <s v="US"/>
    <n v="0.56299999999999983"/>
    <s v="2021-12-07"/>
    <s v="2031-12-07"/>
    <s v="N/A"/>
    <x v="0"/>
    <s v="N"/>
    <s v="10Y"/>
    <s v="Sr Unsecured"/>
    <s v="EUR"/>
    <s v="#N/A N/A"/>
    <s v="N.S."/>
    <s v="FLOATING"/>
    <s v="S/A"/>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s v="#N/A N/A"/>
    <e v="#N/A"/>
    <x v="0"/>
    <s v="RHI Magnesita GmbHAT MATURITYFLOATINGEURSr Unsecured"/>
    <x v="0"/>
  </r>
  <r>
    <n v="208"/>
    <s v="RHI Magnesita GmbH"/>
    <s v="#N/A Field Not Applicable"/>
    <s v="BS1742524"/>
    <s v="BBG0136SGRY0"/>
    <s v="RHIMLN"/>
    <s v="AT"/>
    <s v="AT"/>
    <s v="US"/>
    <n v="0.36299999999999999"/>
    <s v="2021-12-07"/>
    <s v="2029-12-07"/>
    <s v="N/A"/>
    <x v="0"/>
    <s v="N"/>
    <s v="8Y"/>
    <s v="Sr Unsecured"/>
    <s v="EUR"/>
    <s v="#N/A N/A"/>
    <s v="N.S."/>
    <s v="FLOATING"/>
    <s v="S/A"/>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s v="#N/A N/A"/>
    <e v="#N/A"/>
    <x v="0"/>
    <s v="RHI Magnesita GmbHAT MATURITYFLOATINGEURSr Unsecured"/>
    <x v="0"/>
  </r>
  <r>
    <n v="209"/>
    <s v="RHI Magnesita GmbH"/>
    <s v="#N/A Field Not Applicable"/>
    <s v="BS1742532"/>
    <s v="BBG0136SGSG8"/>
    <s v="RHIMLN"/>
    <s v="AT"/>
    <s v="AT"/>
    <s v="US"/>
    <n v="0.313"/>
    <s v="2021-12-07"/>
    <s v="2028-12-07"/>
    <s v="N/A"/>
    <x v="0"/>
    <s v="N"/>
    <s v="7Y"/>
    <s v="Sr Unsecured"/>
    <s v="EUR"/>
    <s v="#N/A N/A"/>
    <s v="N.S."/>
    <s v="FLOATING"/>
    <s v="S/A"/>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s v="#N/A N/A"/>
    <e v="#N/A"/>
    <x v="0"/>
    <s v="RHI Magnesita GmbHAT MATURITYFLOATINGEURSr Unsecured"/>
    <x v="0"/>
  </r>
  <r>
    <n v="210"/>
    <s v="RHI Magnesita GmbH"/>
    <s v="#N/A Field Not Applicable"/>
    <s v="BS1742540"/>
    <s v="BBG0136SGTV9"/>
    <s v="RHIMLN"/>
    <s v="AT"/>
    <s v="AT"/>
    <s v="US"/>
    <n v="0.75"/>
    <s v="2021-12-07"/>
    <s v="2026-06-07"/>
    <n v="3.9800000000000002E-2"/>
    <x v="0"/>
    <s v="N"/>
    <s v="5.5Y"/>
    <s v="Sr Unsecured"/>
    <s v="EUR"/>
    <s v="#N/A N/A"/>
    <s v="N.S."/>
    <s v="FIXED"/>
    <s v="Annual"/>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s v="#N/A N/A"/>
    <e v="#N/A"/>
    <x v="0"/>
    <s v="RHI Magnesita GmbHAT MATURITYFIXEDEURSr Unsecured"/>
    <x v="0"/>
  </r>
  <r>
    <n v="246"/>
    <s v="Teva Pharmaceutical Finance Netherlands II BV"/>
    <s v="XS2406607098"/>
    <s v="BS1759346"/>
    <s v="BBG0136TNNQ8"/>
    <s v="TEVA"/>
    <s v="NL"/>
    <s v="NL"/>
    <s v="IL"/>
    <n v="3.75"/>
    <s v="2021-11-09"/>
    <s v="2027-05-09"/>
    <n v="3.75"/>
    <x v="1"/>
    <s v="Y"/>
    <s v="#N/A Field Not Applicable"/>
    <s v="Sr Unsecured"/>
    <s v="EUR"/>
    <s v="BB-"/>
    <s v="N.S."/>
    <s v="FIXED"/>
    <s v="S/A"/>
    <n v="1275076000"/>
    <s v="Health Care"/>
    <s v="Pharmaceuticals"/>
    <s v="Corporate"/>
    <s v="Industrial"/>
    <s v="Consumer Non-Cyclical"/>
    <s v="Pharmaceuticals"/>
    <s v="CPN STEP-UP 0.125% IF SUSTAINABILITY PERF TARGET NOT ACHIEVED BY 12/31/2025"/>
    <m/>
    <m/>
    <s v="yes"/>
    <x v="2"/>
    <s v="Bookrunner BNP Paribas/New York BNPPAR JLMB Joint Lead Managers-Books 154000 1 2021-11-02 Bookrunner BofA Securities BofA JLMB Joint Lead Managers-Books 154000 1 2021-11-02 Bookrunner Citigroup Global Markets Europ CITI JLMB Joint Lead Managers-Books 1540"/>
    <n v="3.75"/>
    <n v="3.6909999999999998"/>
    <e v="#N/A"/>
    <x v="92"/>
    <s v="Teva Pharmaceutical Finance Netherlands II BVCALLABLEFIXEDEURSr Unsecured"/>
    <x v="1"/>
  </r>
  <r>
    <n v="247"/>
    <s v="Teva Pharmaceutical Finance Netherlands II BV"/>
    <s v="XS2406607171"/>
    <s v="BS1759429"/>
    <s v="BBG0136TNQ18"/>
    <s v="TEVA"/>
    <s v="NL"/>
    <s v="NL"/>
    <s v="IL"/>
    <n v="4.375"/>
    <s v="2021-11-09"/>
    <s v="2030-05-09"/>
    <n v="4.375"/>
    <x v="1"/>
    <s v="Y"/>
    <s v="#N/A Field Not Applicable"/>
    <s v="Sr Unsecured"/>
    <s v="EUR"/>
    <s v="BB-"/>
    <s v="N.S."/>
    <s v="FIXED"/>
    <s v="S/A"/>
    <n v="1738740000"/>
    <s v="Health Care"/>
    <s v="Pharmaceuticals"/>
    <s v="Corporate"/>
    <s v="Industrial"/>
    <s v="Consumer Non-Cyclical"/>
    <s v="Pharmaceuticals"/>
    <s v="STEP-UP MARGIN: 15 BPS. STEP-UP DEVENTS: REGULATORY SUBMISSIONS TARGET, PRODUCT VOLUME TARGET, REDUCTION GREENHOUSE GAS EMISSIONS"/>
    <n v="15"/>
    <m/>
    <s v=""/>
    <x v="5"/>
    <s v="Bookrunner BNP Paribas/New York BNPPAR JLMB Joint Lead Managers-Books 210000 1 2021-11-02 Bookrunner BofA Securities BofA JLMB Joint Lead Managers-Books 210000 1 2021-11-02 Bookrunner Citigroup Global Markets Inc CITI JLMB Joint Lead Managers-Books 210000"/>
    <n v="4.375"/>
    <n v="4.375"/>
    <e v="#N/A"/>
    <x v="93"/>
    <s v="Teva Pharmaceutical Finance Netherlands II BVCALLABLEFIXEDEURSr Unsecured"/>
    <x v="0"/>
  </r>
  <r>
    <n v="248"/>
    <s v="Teva Pharmaceutical Finance Netherlands III BV"/>
    <s v="US88167AAQ40"/>
    <s v="BS1759452"/>
    <s v="BBG0136TNRY0"/>
    <s v="TEVA"/>
    <s v="NL"/>
    <s v="NL"/>
    <s v="IL"/>
    <n v="5.125"/>
    <s v="2021-11-09"/>
    <s v="2029-05-09"/>
    <n v="5.125"/>
    <x v="1"/>
    <s v="Y"/>
    <s v="#N/A Field Not Applicable"/>
    <s v="Sr Unsecured"/>
    <s v="USD"/>
    <s v="BB-"/>
    <s v="N.S."/>
    <s v="FIXED"/>
    <s v="S/A"/>
    <n v="1000000000"/>
    <s v="Health Care"/>
    <s v="Pharmaceuticals"/>
    <s v="Corporate"/>
    <s v="Industrial"/>
    <s v="Consumer Non-Cyclical"/>
    <s v="Pharmaceuticals"/>
    <s v="SUSTAINABILITY-LINKED-STEP-UP 12.5 bps IF 2025 REGULATORY SUBMISSIONS TARGET NOT MET AND ANOTHER 12.5 BPS IF PRODUCT VOLUME TARGET AS OF TESTING DATE NOT MET."/>
    <s v="multi"/>
    <m/>
    <s v=""/>
    <x v="5"/>
    <s v="Bookrunner BNP Paribas/New York BNPPAR JLMB Joint Lead Managers-Books 140000 1 2021-11-02 Bookrunner BofA Securities BofA JLMB Joint Lead Managers-Books 140000 1 2021-11-02 Bookrunner Citigroup Global Markets Inc CITI JLMB Joint Lead Managers-Books 140000"/>
    <n v="5.125"/>
    <n v="5.0679999999999996"/>
    <n v="3.0232000000000001"/>
    <x v="94"/>
    <s v="Teva Pharmaceutical Finance Netherlands III BVCALLABLEFIXEDUSDSr Unsecured"/>
    <x v="1"/>
  </r>
  <r>
    <n v="249"/>
    <s v="Teva Pharmaceutical Finance Netherlands III BV"/>
    <s v="US88167AAP66"/>
    <s v="BS1775391"/>
    <s v="BBG0136VL8H8"/>
    <s v="TEVA"/>
    <s v="NL"/>
    <s v="NL"/>
    <s v="IL"/>
    <n v="4.75"/>
    <s v="2021-11-09"/>
    <s v="2027-05-09"/>
    <n v="4.75"/>
    <x v="1"/>
    <s v="Y"/>
    <s v="#N/A Field Not Applicable"/>
    <s v="Sr Unsecured"/>
    <s v="USD"/>
    <s v="BB-"/>
    <s v="N.S."/>
    <s v="FIXED"/>
    <s v="S/A"/>
    <n v="1000000000"/>
    <s v="Health Care"/>
    <s v="Pharmaceuticals"/>
    <s v="Corporate"/>
    <s v="Industrial"/>
    <s v="Consumer Non-Cyclical"/>
    <s v="Pharmaceuticals"/>
    <s v="N/A"/>
    <s v="n/a"/>
    <m/>
    <s v=""/>
    <x v="3"/>
    <s v="Bookrunner BNP Paribas/New York BNPPAR JLMB Joint Lead Managers-Books 140000 1 2021-11-02 Bookrunner BofA Securities BofA JLMB Joint Lead Managers-Books 140000 1 2021-11-02 Bookrunner Citigroup Global Markets Inc CITI JLMB Joint Lead Managers-Books 140000"/>
    <n v="4.75"/>
    <s v="#N/A N/A"/>
    <e v="#N/A"/>
    <x v="95"/>
    <s v="Teva Pharmaceutical Finance Netherlands III BVCALLABLEFIXEDUSDSr Unsecured"/>
    <x v="1"/>
  </r>
  <r>
    <n v="17"/>
    <s v="Atos SE"/>
    <s v="FR0014006G24"/>
    <s v="BS1954855"/>
    <s v="BBG0137X2DH3"/>
    <s v="ATOFP"/>
    <s v="FR"/>
    <s v="FR"/>
    <s v="FR"/>
    <n v="1"/>
    <s v="2021-11-12"/>
    <s v="2029-11-12"/>
    <n v="1.109"/>
    <x v="1"/>
    <s v="Y"/>
    <s v="#N/A Field Not Applicable"/>
    <s v="Sr Unsecured"/>
    <s v="EUR"/>
    <s v="NR"/>
    <s v="N.S."/>
    <s v="FIXED"/>
    <s v="Annual"/>
    <n v="915936000"/>
    <s v="Technology"/>
    <s v="Software &amp; Services"/>
    <s v="Corporate"/>
    <s v="Industrial"/>
    <s v="Technology"/>
    <s v="Technology"/>
    <s v="STEP-UP MARGIN: 0.175%. STEP UP DEPEND ON THE ACHIEVEMENT BY ATOS SE OF THE SUSTAINABILITY PERFORMANCE TARGET (SPT) BASED ON THE ATOS SE KPI ON 12/31/25."/>
    <s v="%"/>
    <m/>
    <s v=""/>
    <x v="2"/>
    <s v="Bookrunner Banco Bilbao Vizcaya Argentari BBVA JLMB Joint Lead Managers-Books 0 1 2021-11-04 Bookrunner Banco Santander SANT JLMB Joint Lead Managers-Books 0 1 2021-11-04 Bookrunner Bank of America BA JLMB Joint Lead Managers-Books 0 1 2021-11-04 Bookrunn"/>
    <n v="1.109"/>
    <n v="1.01"/>
    <e v="#N/A"/>
    <x v="96"/>
    <s v="Atos SECALLABLEFIXEDEURSr Unsecured"/>
    <x v="1"/>
  </r>
  <r>
    <n v="110"/>
    <s v="Faurecia SE"/>
    <s v="#N/A Field Not Applicable"/>
    <s v="BS2203120"/>
    <s v="BBG0138Z47N1"/>
    <s v="EOFP"/>
    <s v="FR"/>
    <s v="FR"/>
    <s v="FR"/>
    <n v="0"/>
    <s v="2021-12-22"/>
    <s v="2024-07-12"/>
    <s v="N/A"/>
    <x v="0"/>
    <s v="N"/>
    <s v="2.5Y"/>
    <s v="Sr Unsecured"/>
    <s v="EUR"/>
    <s v="#N/A N/A"/>
    <s v="BB"/>
    <s v="FLOATING"/>
    <s v="S/A"/>
    <n v="759049700"/>
    <s v="Consumer Discretionary"/>
    <s v="Auto Parts Manufacturing"/>
    <s v="Corporate"/>
    <s v="Industrial"/>
    <s v="Consumer Cyclical"/>
    <s v="Automotive"/>
    <s v="MULTICURRENCY DEAL EQUIV TO EUR 700MM. SETTLE DATES: 12/22/21 AND 1/12/22. ADJ +10BPS. GHG EMISSIONS INTENSITY -20% IN 2023 ABSOLUTE GHG EMISSION 80% IN 2025."/>
    <n v="10"/>
    <m/>
    <s v=""/>
    <x v="1"/>
    <s v="Bookrunner Commerzbank COBA JLMB Joint Lead Managers-Books 0 4 2022-01-12 Bookrunner Landesbank Hessen-Thuringen Gi HELABA JLMB Joint Lead Managers-Books 0 4 2022-01-12 NonBookrunner Australia &amp; New Zealand Bankin ANZ COAR Co-Arranger(s) 0 4 2022-01-12 No"/>
    <s v="#N/A N/A"/>
    <s v="#N/A N/A"/>
    <e v="#N/A"/>
    <x v="0"/>
    <s v="Faurecia SEAT MATURITYFLOATINGEURSr Unsecured"/>
    <x v="1"/>
  </r>
  <r>
    <n v="106"/>
    <s v="Faurecia SE"/>
    <s v="#N/A Field Not Applicable"/>
    <s v="BS2205612"/>
    <s v="BBG0138ZCGC4"/>
    <s v="EOFP"/>
    <s v="FR"/>
    <s v="FR"/>
    <s v="FR"/>
    <n v="0"/>
    <s v="2021-12-22"/>
    <s v="2026-01-12"/>
    <s v="N/A"/>
    <x v="0"/>
    <s v="N"/>
    <s v="4YFL"/>
    <s v="Sr Unsecured"/>
    <s v="EUR"/>
    <s v="#N/A N/A"/>
    <s v="BB"/>
    <s v="FLOATING"/>
    <s v="S/A"/>
    <n v="759049700"/>
    <s v="Consumer Discretionary"/>
    <s v="Auto Parts Manufacturing"/>
    <s v="Corporate"/>
    <s v="Industrial"/>
    <s v="Consumer Cyclical"/>
    <s v="Automotive"/>
    <s v="MULTICURRENCY DEAL EQUIV TO EUR 700MM. SETTLE DATES: 12/22/21 AND 1/12/22. ADJ +10BPS. GHG EMISSIONS INTENSITY -20% IN 2023 ABSOLUTE GHG EMISSION 80% IN 2025."/>
    <n v="10"/>
    <m/>
    <s v=""/>
    <x v="1"/>
    <s v="Bookrunner Commerzbank COBA JLMB Joint Lead Managers-Books 0 4 2022-01-12 Bookrunner Landesbank Hessen-Thuringen Gi HELABA JLMB Joint Lead Managers-Books 0 4 2022-01-12 NonBookrunner Australia &amp; New Zealand Bankin ANZ COAR Co-Arranger(s) 0 4 2022-01-12 No"/>
    <s v="#N/A N/A"/>
    <s v="#N/A N/A"/>
    <e v="#N/A"/>
    <x v="0"/>
    <s v="Faurecia SEAT MATURITYFLOATINGEURSr Unsecured"/>
    <x v="1"/>
  </r>
  <r>
    <n v="105"/>
    <s v="Faurecia SE"/>
    <s v="#N/A Field Not Applicable"/>
    <s v="BS2206420"/>
    <s v="BBG0138ZHWX1"/>
    <s v="EOFP"/>
    <s v="FR"/>
    <s v="FR"/>
    <s v="FR"/>
    <n v="0"/>
    <s v="2021-12-22"/>
    <s v="2027-01-12"/>
    <s v="N/A"/>
    <x v="0"/>
    <s v="N"/>
    <s v="5Y"/>
    <s v="Sr Unsecured"/>
    <s v="USD"/>
    <s v="#N/A N/A"/>
    <s v="BB"/>
    <s v="FLOATING"/>
    <s v="Qtrly"/>
    <n v="33500000"/>
    <s v="Consumer Discretionary"/>
    <s v="Auto Parts Manufacturing"/>
    <s v="Corporate"/>
    <s v="Industrial"/>
    <s v="Consumer Cyclical"/>
    <s v="Automotive"/>
    <s v="MULTICURRENCY DEAL EQUIV TO EUR 700MM. USD SPLIT: $33.5MM. ADJ +10BPS. GHG EMISSIONS INTENSITY -20% IN 2023 ABSOLUTE GHG EMISSION 80% IN 2025."/>
    <n v="10"/>
    <m/>
    <s v=""/>
    <x v="1"/>
    <s v="Bookrunner Commerzbank COBA JLMB Joint Lead Managers-Books 0 1 2021-12-22 Bookrunner Landesbank Hessen-Thuringen Gi HELABA JLMB Joint Lead Managers-Books 0 1 2021-12-22 NonBookrunner Australia &amp; New Zealand Bankin ANZ COAR Co-Arranger(s) 0 1 2021-12-22 No"/>
    <s v="#N/A N/A"/>
    <s v="#N/A N/A"/>
    <e v="#N/A"/>
    <x v="0"/>
    <s v="Faurecia SEAT MATURITYFLOATINGUSDSr Unsecured"/>
    <x v="0"/>
  </r>
  <r>
    <n v="107"/>
    <s v="Faurecia SE"/>
    <s v="#N/A Field Not Applicable"/>
    <s v="BS2209622"/>
    <s v="BBG0138ZPQG4"/>
    <s v="EOFP"/>
    <s v="FR"/>
    <s v="FR"/>
    <s v="FR"/>
    <n v="0"/>
    <s v="2021-12-22"/>
    <s v="2028-01-12"/>
    <s v="N/A"/>
    <x v="0"/>
    <s v="N"/>
    <s v="6YFL"/>
    <s v="Sr Unsecured"/>
    <s v="EUR"/>
    <s v="#N/A N/A"/>
    <s v="BB"/>
    <s v="FLOATING"/>
    <s v="S/A"/>
    <n v="793037000"/>
    <s v="Consumer Discretionary"/>
    <s v="Auto Parts Manufacturing"/>
    <s v="Corporate"/>
    <s v="Industrial"/>
    <s v="Consumer Cyclical"/>
    <s v="Automotive"/>
    <s v="MULTICURRENCY DEAL EQUIV TO EUR 700MM. SETTLE DATES: 12/22/21 AND 1/12/22. ADJ +10BPS. GHG EMISSIONS INTENSITY -20% IN 2023 ABSOLUTE GHG EMISSION 80% IN 2025."/>
    <n v="10"/>
    <m/>
    <s v=""/>
    <x v="1"/>
    <s v="Bookrunner Commerzbank COBA JLMB Joint Lead Managers-Books 0 4 2022-01-12 Bookrunner Landesbank Hessen-Thuringen Gi HELABA JLMB Joint Lead Managers-Books 0 4 2022-01-12 NonBookrunner Australia &amp; New Zealand Bankin ANZ COAR Co-Arranger(s) 0 4 2022-01-12 No"/>
    <s v="#N/A N/A"/>
    <s v="#N/A N/A"/>
    <e v="#N/A"/>
    <x v="0"/>
    <s v="Faurecia SEAT MATURITYFLOATINGEURSr Unsecured"/>
    <x v="0"/>
  </r>
  <r>
    <n v="175"/>
    <s v="Lune Holdings Sarl"/>
    <s v="XS2406727409"/>
    <s v="BS2397401"/>
    <s v="BBG0139H02R1"/>
    <s v="KEMONE"/>
    <s v="LU"/>
    <s v="LU"/>
    <s v="FR"/>
    <n v="5.625"/>
    <s v="2021-11-18"/>
    <s v="2028-11-15"/>
    <n v="5.6561000000000003"/>
    <x v="1"/>
    <s v="Y"/>
    <s v="144A"/>
    <s v="Secured"/>
    <s v="EUR"/>
    <s v="B"/>
    <s v="N.S."/>
    <s v="FIXED"/>
    <s v="S/A"/>
    <n v="511641000"/>
    <s v="Materials"/>
    <s v="Chemicals"/>
    <s v="Corporate"/>
    <s v="Industrial"/>
    <s v="Basic Industry"/>
    <s v="Chemicals"/>
    <s v="STEP-UP MARGIN: 25 BPS; STEP-UP EVENT: FAILING TO MEET CO2 EMISSIONS TARGET"/>
    <s v="multi"/>
    <m/>
    <s v=""/>
    <x v="1"/>
    <s v="Bookrunner Barclays BARCS JLMB Joint Lead Managers-Books 0 1 2021-11-04 Bookrunner HSBC HSBC JLMB Joint Lead Managers-Books 0 1 2021-11-04 Bookrunner JP Morgan JPM JLMB Joint Lead Managers-Books 0 1 2021-11-04 Bookrunner RBC Capital Markets RBCCM JLMB Joi"/>
    <n v="5.625"/>
    <n v="5.5609999999999999"/>
    <e v="#N/A"/>
    <x v="97"/>
    <s v="Lune Holdings SarlCALLABLEFIXEDEURSecured"/>
    <x v="0"/>
  </r>
  <r>
    <n v="176"/>
    <s v="Lune Holdings Sarl"/>
    <s v="XS2406727151"/>
    <s v="BS2397476"/>
    <s v="BBG0139H03V4"/>
    <s v="KEMONE"/>
    <s v="LU"/>
    <s v="LU"/>
    <s v="FR"/>
    <n v="5.625"/>
    <s v="2021-11-18"/>
    <s v="2028-11-15"/>
    <n v="5.6367000000000003"/>
    <x v="1"/>
    <s v="Y"/>
    <s v="REGS"/>
    <s v="Secured"/>
    <s v="EUR"/>
    <s v="B"/>
    <s v="N.S."/>
    <s v="FIXED"/>
    <s v="S/A"/>
    <n v="511641000"/>
    <s v="Materials"/>
    <s v="Chemicals"/>
    <s v="Corporate"/>
    <s v="Industrial"/>
    <s v="Basic Industry"/>
    <s v="Chemicals"/>
    <s v="STEP-UP MARGIN: 25 BPS; STEP-UP EVENT: FAILING TO MEET CO2 EMISSIONS TARGET"/>
    <n v="25"/>
    <m/>
    <s v=""/>
    <x v="1"/>
    <s v="Bookrunner Barclays BARCS JLMB Joint Lead Managers-Books 0 1 2021-11-04 Bookrunner HSBC HSBC JLMB Joint Lead Managers-Books 0 1 2021-11-04 Bookrunner JP Morgan JPM JLMB Joint Lead Managers-Books 0 1 2021-11-04 Bookrunner RBC Capital Markets RBCCM JLMB Joi"/>
    <n v="5.625"/>
    <n v="5.569"/>
    <e v="#N/A"/>
    <x v="98"/>
    <s v="Lune Holdings SarlCALLABLEFIXEDEURSecured"/>
    <x v="0"/>
  </r>
  <r>
    <n v="225"/>
    <s v="Rexel SA"/>
    <s v="XS2403428472"/>
    <s v="BS2667019"/>
    <s v="BBG0139YKRB4"/>
    <s v="RXLFP"/>
    <s v="FR"/>
    <s v="FR"/>
    <s v="FR"/>
    <n v="2.125"/>
    <s v="2021-11-10"/>
    <s v="2028-12-15"/>
    <n v="2.125"/>
    <x v="1"/>
    <s v="Y"/>
    <s v="#N/A Field Not Applicable"/>
    <s v="Sr Unsecured"/>
    <s v="EUR"/>
    <s v="BB-"/>
    <s v="N.S."/>
    <s v="FIXED"/>
    <s v="S/A"/>
    <n v="690738000"/>
    <s v="Industrials"/>
    <s v="Industrial Other"/>
    <s v="Corporate"/>
    <s v="Industrial"/>
    <s v="Capital Goods"/>
    <s v="Diversified Manufacturing"/>
    <s v="STEP-UP MARGIN: 25BP, STEP-UP EVENT: GREENHOUSE GAS EMISSIONS"/>
    <n v="25"/>
    <m/>
    <s v=""/>
    <x v="1"/>
    <s v="Bookrunner Banco Bilbao Vizcaya Argentari BBVA JLMB Joint Lead Managers-Books 0 1 2021-11-03 Bookrunner Bayerische Landesbank (US) BAYER JLMB Joint Lead Managers-Books 0 1 2021-11-03 Bookrunner BNP Paribas BNPP JLMB Joint Lead Managers-Books 0 1 2021-11-0"/>
    <n v="2.125"/>
    <n v="2.105"/>
    <e v="#N/A"/>
    <x v="99"/>
    <s v="Rexel SACALLABLEFIXEDEURSr Unsecured"/>
    <x v="0"/>
  </r>
  <r>
    <n v="104"/>
    <s v="Faurecia SE"/>
    <s v="XS2405483301"/>
    <s v="BS2687603"/>
    <s v="BBG0139ZT3Q9"/>
    <s v="EOFP"/>
    <s v="FR"/>
    <s v="FR"/>
    <s v="FR"/>
    <n v="2.75"/>
    <s v="2021-11-10"/>
    <s v="2027-02-15"/>
    <n v="2.75"/>
    <x v="1"/>
    <s v="Y"/>
    <s v="#N/A Field Not Applicable"/>
    <s v="Sr Unsecured"/>
    <s v="EUR"/>
    <s v="BB"/>
    <s v="BB"/>
    <s v="FIXED"/>
    <s v="S/A"/>
    <n v="1381476000"/>
    <s v="Consumer Discretionary"/>
    <s v="Auto Parts Manufacturing"/>
    <s v="Corporate"/>
    <s v="Industrial"/>
    <s v="Consumer Cyclical"/>
    <s v="Automotive"/>
    <s v="+25BPS IF SBT NOT MET TO REDUCE SCOPE 1 AND 2 GHG EMISSIONS INTENSITY BY 20% BY 2023 &amp; REDUCE ABSOLUTE SCOPE 1 AND 2 GHG EMISSIONS BY 80% BY 2025"/>
    <n v="25"/>
    <m/>
    <s v=""/>
    <x v="1"/>
    <s v="Bookrunner Banca IMI B.IMI JLMB Joint Lead Managers-Books 0 1 2021-11-03 Bookrunner Commerzbank COBA JLMB Joint Lead Managers-Books 0 1 2021-11-03 Bookrunner Credit Agricole CIB CACIB JLMB Joint Lead Managers-Books 0 1 2021-11-03 Bookrunner Deutsche Bank "/>
    <n v="2.75"/>
    <n v="2.3980000000000001"/>
    <e v="#N/A"/>
    <x v="100"/>
    <s v="Faurecia SECALLABLEFIXEDEURSr Unsecured"/>
    <x v="1"/>
  </r>
  <r>
    <n v="266"/>
    <s v="Verallia SA"/>
    <s v="FR0014006EG0"/>
    <s v="BS2913736"/>
    <s v="BBG013BM8ZQ7"/>
    <s v="VRLAFP"/>
    <s v="FR"/>
    <s v="FR"/>
    <s v="FR"/>
    <n v="1.875"/>
    <s v="2021-11-10"/>
    <s v="2031-11-10"/>
    <n v="2"/>
    <x v="1"/>
    <s v="Y"/>
    <s v="#N/A Field Not Applicable"/>
    <s v="Sr Unsecured"/>
    <s v="EUR"/>
    <s v="NR"/>
    <s v="N.S."/>
    <s v="FIXED"/>
    <s v="Annual"/>
    <n v="575615000"/>
    <s v="Materials"/>
    <s v="Containers &amp; Packaging"/>
    <s v="Corporate"/>
    <s v="Industrial"/>
    <s v="Capital Goods"/>
    <s v="Packaging"/>
    <s v="STEP-UP MARGIN: 25BP (ZERO SPT MET)/12.5BP (ONE SPT MET), STEP UP EVENTS: CO2 EMISSIONS (2025), EXTERNAL CULLET SHARE IS LESS THAN 59% (2025)"/>
    <s v="multi"/>
    <m/>
    <s v=""/>
    <x v="1"/>
    <s v="Bookrunner Banco Santander SANT JLMB Joint Lead Managers-Books 0 1 2021-11-03 Bookrunner BNP Paribas BNPP JLMB Joint Lead Managers-Books 0 1 2021-11-03 Bookrunner Credit Agricole CIB CACIB JLMB Joint Lead Managers-Books 0 1 2021-11-03 Bookrunner Deutsche "/>
    <n v="2"/>
    <n v="1.8"/>
    <e v="#N/A"/>
    <x v="101"/>
    <s v="Verallia SACALLABLEFIXEDEURSr Unsecured"/>
    <x v="0"/>
  </r>
  <r>
    <n v="160"/>
    <s v="Koninklijke KPN NV"/>
    <s v="XS2406890066"/>
    <s v="BS3080196"/>
    <s v="BBG013CM0VJ1"/>
    <s v="KPN"/>
    <s v="NL"/>
    <s v="NL"/>
    <s v="NL"/>
    <n v="0.875"/>
    <s v="2021-11-15"/>
    <s v="2033-11-15"/>
    <n v="0.98399999999999999"/>
    <x v="1"/>
    <s v="Y"/>
    <s v="GMTN"/>
    <s v="Sr Unsecured"/>
    <s v="EUR"/>
    <s v="BBB-"/>
    <s v="AAA"/>
    <s v="FIXED"/>
    <s v="Annual"/>
    <n v="796999000"/>
    <s v="Communications"/>
    <s v="Wireless Telecommunications Services"/>
    <s v="Corporate"/>
    <s v="Industrial"/>
    <s v="Communications"/>
    <s v="Wirelines"/>
    <s v="STEP-UP MARGIN: 37.5 BP FROM 11/15/31; SPT: REDUCE ABSOLUTE VALUE CHAIN CO2 EMISSIONS (SCOPE 3) BY 30% BY 2030 AGAINST THE 2014 BASELINE"/>
    <n v="37.5"/>
    <m/>
    <s v=""/>
    <x v="1"/>
    <s v="Bookrunner Barclays BARCS JLMB Joint Lead Managers-Books 0 1 2021-11-08 Bookrunner BNP Paribas BNPP JLMB Joint Lead Managers-Books 0 1 2021-11-08 Bookrunner Deutsche Bank DB JLMB Joint Lead Managers-Books 0 1 2021-11-08 Bookrunner ING Groep ING JLMB Joint"/>
    <n v="0.98399999999999999"/>
    <n v="1.0209999999999999"/>
    <e v="#N/A"/>
    <x v="102"/>
    <s v="Koninklijke KPN NVCALLABLEFIXEDEURSr Unsecured"/>
    <x v="1"/>
  </r>
  <r>
    <n v="124"/>
    <s v="Henkel AG &amp; Co KGaA"/>
    <s v="XS2407955827"/>
    <s v="BS3838106"/>
    <s v="BBG013FWQB84"/>
    <s v="HENKEL"/>
    <s v="DE"/>
    <s v="DE"/>
    <s v="DE"/>
    <n v="0.5"/>
    <s v="2021-11-17"/>
    <s v="2032-11-17"/>
    <n v="0.56440000000000001"/>
    <x v="1"/>
    <s v="Y"/>
    <s v="EMTN"/>
    <s v="Sr Unsecured"/>
    <s v="EUR"/>
    <s v="A"/>
    <s v="AA"/>
    <s v="FIXED"/>
    <s v="Annual"/>
    <n v="565950000"/>
    <s v="Consumer Staples"/>
    <s v="Consumer Products"/>
    <s v="Corporate"/>
    <s v="Industrial"/>
    <s v="Consumer Non-Cyclical"/>
    <s v="Consumer Products"/>
    <s v="STEP-UP BY 37.5BP PER KPI (MAX. 75BP CUMULATIVE) IF HENKEL FAILS TO ACHIEVE SPT 1 2030 AND SPT 2. TEST DATES SPT1 2030 / SPT2 31/12/2030."/>
    <s v="multi"/>
    <m/>
    <s v=""/>
    <x v="2"/>
    <s v="Bookrunner Deutsche Bank DB JLMB Joint Lead Managers-Books 0 1 2021-11-10 Bookrunner HSBC HSBC JLMB Joint Lead Managers-Books 0 1 2021-11-10 Bookrunner ING Groep ING JLMB Joint Lead Managers-Books 0 1 2021-11-10 Bookrunner Societe Generale SG JLMB Joint L"/>
    <s v="#N/A N/A"/>
    <n v="0.55000000000000004"/>
    <e v="#N/A"/>
    <x v="103"/>
    <s v="Henkel AG &amp; Co KGaACALLABLEFIXEDEURSr Unsecured"/>
    <x v="0"/>
  </r>
  <r>
    <n v="125"/>
    <s v="Henkel AG &amp; Co KGaA"/>
    <s v="XS2407954002"/>
    <s v="BS3838114"/>
    <s v="BBG013FWQBQ4"/>
    <s v="HENKEL"/>
    <s v="DE"/>
    <s v="DE"/>
    <s v="DE"/>
    <n v="1.75"/>
    <s v="2021-11-17"/>
    <s v="2026-11-17"/>
    <n v="1.8149999999999999"/>
    <x v="1"/>
    <s v="Y"/>
    <s v="EMTN"/>
    <s v="Sr Unsecured"/>
    <s v="USD"/>
    <s v="A"/>
    <s v="AA"/>
    <s v="FIXED"/>
    <s v="Annual"/>
    <n v="250000000"/>
    <s v="Consumer Staples"/>
    <s v="Consumer Products"/>
    <s v="Corporate"/>
    <s v="Industrial"/>
    <s v="Consumer Non-Cyclical"/>
    <s v="Consumer Products"/>
    <s v="PRINCIPAL PREMIUM AT MATURITY OF 25BP PER KPI (MAX. 50BP CUMULATIVE) IF HENKEL FAILS TO ACHIEVE SPT 1 2025 AND SPT 3. TEST DATES SPT1 2025 / SPT3 31/12/2025."/>
    <n v="25"/>
    <m/>
    <s v=""/>
    <x v="2"/>
    <s v="Bookrunner Deutsche Bank DB JLMB Joint Lead Managers-Books 0 1 2021-11-10 Bookrunner ING Groep ING JLMB Joint Lead Managers-Books 0 1 2021-11-10 Bookrunner Societe Generale SG JLMB Joint Lead Managers-Books 0 1 2021-11-10 Trustee Deutsche Bank AG DB PAAG "/>
    <n v="1.8149999999999999"/>
    <s v="#N/A N/A"/>
    <e v="#N/A"/>
    <x v="104"/>
    <s v="Henkel AG &amp; Co KGaACALLABLEFIXEDUSDSr Unsecured"/>
    <x v="0"/>
  </r>
  <r>
    <n v="155"/>
    <s v="Kinnevik AB"/>
    <s v="SE0013360534"/>
    <s v="BS4766942"/>
    <s v="BBG013JMFLL7"/>
    <s v="KINVB"/>
    <s v="SE"/>
    <s v="SE"/>
    <s v="SE"/>
    <n v="0.627"/>
    <s v="2021-11-23"/>
    <s v="2026-11-23"/>
    <n v="0.78510000000000002"/>
    <x v="0"/>
    <s v="N"/>
    <s v="DMTN"/>
    <s v="Sr Unsecured"/>
    <s v="SEK"/>
    <s v="#N/A N/A"/>
    <s v="AA"/>
    <s v="FLOATING"/>
    <s v="Qtrly"/>
    <n v="165837000"/>
    <s v="Financials"/>
    <s v="Financial Services"/>
    <s v="Corporate"/>
    <s v="Financial Institutions"/>
    <s v="Other Financial"/>
    <s v="Other Financial"/>
    <s v="SLB CPN STEP-UP: 7.5BPTS/SPT ANNUALLY STARTING 2022; SPT1: GHG; SPT2: GENDER EQUALITY; SPT3: ESG SCORE"/>
    <n v="7.5"/>
    <m/>
    <s v=""/>
    <x v="5"/>
    <s v="Bookrunner Nordea NORDEA JLMB Joint Lead Managers-Books 0 1 2021-11-15 Bookrunner SEB SEB JLMB Joint Lead Managers-Books 0 1 2021-11-15"/>
    <s v="#N/A N/A"/>
    <n v="0.53600000000000003"/>
    <e v="#N/A"/>
    <x v="105"/>
    <s v="Kinnevik ABAT MATURITYFLOATINGSEKSr Unsecured"/>
    <x v="1"/>
  </r>
  <r>
    <n v="156"/>
    <s v="Kinnevik AB"/>
    <s v="SE0013360542"/>
    <s v="BS4766959"/>
    <s v="BBG013JMFMF2"/>
    <s v="KINVB"/>
    <s v="SE"/>
    <s v="SE"/>
    <s v="SE"/>
    <n v="0.82700000000000007"/>
    <s v="2021-11-23"/>
    <s v="2028-11-23"/>
    <n v="0.58579999999999999"/>
    <x v="0"/>
    <s v="N"/>
    <s v="DMTN"/>
    <s v="Sr Unsecured"/>
    <s v="SEK"/>
    <s v="#N/A N/A"/>
    <s v="AA"/>
    <s v="FLOATING"/>
    <s v="Qtrly"/>
    <n v="55279000"/>
    <s v="Financials"/>
    <s v="Financial Services"/>
    <s v="Corporate"/>
    <s v="Financial Institutions"/>
    <s v="Other Financial"/>
    <s v="Other Financial"/>
    <s v="SLB CPN STEP-UP: 7.5BPTS/SPT ANNUALLY STARTING 2022; SPT1: GHG; SPT2: GENDER EQUALITY; SPT3: ESG SCORE"/>
    <n v="7.5"/>
    <m/>
    <s v=""/>
    <x v="5"/>
    <s v="Bookrunner Nordea NORDEA JLMB Joint Lead Managers-Books 0 1 2021-11-15 Bookrunner SEB SEB JLMB Joint Lead Managers-Books 0 1 2021-11-15"/>
    <s v="#N/A N/A"/>
    <n v="0.72799999999999998"/>
    <e v="#N/A"/>
    <x v="106"/>
    <s v="Kinnevik ABAT MATURITYFLOATINGSEKSr Unsecured"/>
    <x v="0"/>
  </r>
  <r>
    <n v="6"/>
    <s v="Accor SA"/>
    <s v="FR0014006ND8"/>
    <s v="BS4767460"/>
    <s v="BBG013JMPMT6"/>
    <s v="ACFP"/>
    <s v="FR"/>
    <s v="FR"/>
    <s v="FR"/>
    <n v="2.375"/>
    <s v="2021-11-29"/>
    <s v="2028-11-29"/>
    <n v="2.5"/>
    <x v="1"/>
    <s v="Y"/>
    <s v="#N/A Field Not Applicable"/>
    <s v="Sr Unsecured"/>
    <s v="EUR"/>
    <s v="BB+"/>
    <s v="A"/>
    <s v="FIXED"/>
    <s v="Annual"/>
    <n v="788774000"/>
    <s v="Consumer Discretionary"/>
    <s v="Travel &amp; Lodging"/>
    <s v="Corporate"/>
    <s v="Industrial"/>
    <s v="Consumer Cyclical"/>
    <s v="Lodging"/>
    <s v="STEP-UP MARGIN: 12.5BPS PER KPI; KPI1: SCOPE 1,2 GHG EMISSIONS REDUCTION BY 25.2% BY 2025, KPI2: SCOPE 3 GHG EMISSIONS REDUCTION BY 15% BY 2025"/>
    <n v="12.5"/>
    <m/>
    <s v=""/>
    <x v="1"/>
    <s v="Bookrunner Banco Santander SANT JLMB Joint Lead Managers-Books 0 1 2021-11-18 Bookrunner Commerzbank COBA JLMB Joint Lead Managers-Books 0 1 2021-11-18 Bookrunner Credit Agricole CIB CACIB JLMB Joint Lead Managers-Books 0 1 2021-11-18 Bookrunner HSBC HSBC"/>
    <n v="2.5"/>
    <n v="2.4079999999999999"/>
    <e v="#N/A"/>
    <x v="107"/>
    <s v="Accor SACALLABLEFIXEDEURSr Unsecured"/>
    <x v="1"/>
  </r>
  <r>
    <n v="3"/>
    <s v="ASTM SpA"/>
    <s v="XS2412267358"/>
    <s v="BS4792864"/>
    <s v="BBG013JP2L70"/>
    <s v="ATIM"/>
    <s v="IT"/>
    <s v="IT"/>
    <s v="IT"/>
    <n v="1"/>
    <s v="2021-11-25"/>
    <s v="2026-11-25"/>
    <n v="1.054"/>
    <x v="1"/>
    <s v="Y"/>
    <s v="EMTN"/>
    <s v="Sr Unsecured"/>
    <s v="EUR"/>
    <s v="BBB-"/>
    <s v="N.S."/>
    <s v="FIXED"/>
    <s v="Annual"/>
    <n v="840712500"/>
    <s v="Industrials"/>
    <s v="Industrial Other"/>
    <s v="Corporate"/>
    <s v="Industrial"/>
    <s v="Transportation"/>
    <s v="Transportation Services"/>
    <s v="SLB STP-UP: 50BPTS/ANNUM; STP DATE: 07/2025; KPI1: GHG (20BPTS)"/>
    <n v="50"/>
    <m/>
    <s v=""/>
    <x v="1"/>
    <s v="Bookrunner Banca Akros SpA AKROS JLMB Joint Lead Managers-Books 0 1 2021-11-18 Bookrunner Banco Santander SANT JLMB Joint Lead Managers-Books 0 1 2021-11-18 Bookrunner BNP Paribas BNPP JLMB Joint Lead Managers-Books 0 1 2021-11-18 Bookrunner CaixaBank CAI"/>
    <n v="1.054"/>
    <n v="0.92700000000000005"/>
    <e v="#N/A"/>
    <x v="108"/>
    <s v="ASTM SpACALLABLEFIXEDEURSr Unsecured"/>
    <x v="0"/>
  </r>
  <r>
    <n v="4"/>
    <s v="ASTM SpA"/>
    <s v="XS2412267515"/>
    <s v="BS4792872"/>
    <s v="BBG013JP2M23"/>
    <s v="ATIM"/>
    <s v="IT"/>
    <s v="IT"/>
    <s v="IT"/>
    <n v="1.5"/>
    <s v="2021-11-25"/>
    <s v="2030-01-25"/>
    <n v="1.675"/>
    <x v="1"/>
    <s v="Y"/>
    <s v="EMTN"/>
    <s v="Sr Unsecured"/>
    <s v="EUR"/>
    <s v="BBB-"/>
    <s v="N.S."/>
    <s v="FIXED"/>
    <s v="Annual"/>
    <n v="1401187500"/>
    <s v="Industrials"/>
    <s v="Industrial Other"/>
    <s v="Corporate"/>
    <s v="Industrial"/>
    <s v="Transportation"/>
    <s v="Transportation Services"/>
    <s v="SLB STP-UP: 50BPTS/ANNUM; STP DATE: 07/2028; KPI1: GHG (28BPTS) ; KPI2: GHG (42BPTS)"/>
    <n v="50"/>
    <m/>
    <s v=""/>
    <x v="1"/>
    <s v="Bookrunner Banca Akros SpA AKROS JLMB Joint Lead Managers-Books 0 1 2021-11-18 Bookrunner Banco Santander SANT JLMB Joint Lead Managers-Books 0 1 2021-11-18 Bookrunner BNP Paribas BNPP JLMB Joint Lead Managers-Books 0 1 2021-11-18 Bookrunner CaixaBank CAI"/>
    <n v="1.675"/>
    <n v="1.65"/>
    <e v="#N/A"/>
    <x v="109"/>
    <s v="ASTM SpACALLABLEFIXEDEURSr Unsecured"/>
    <x v="0"/>
  </r>
  <r>
    <n v="5"/>
    <s v="ASTM SpA"/>
    <s v="XS2412267788"/>
    <s v="BS4792906"/>
    <s v="BBG013JP2PY1"/>
    <s v="ATIM"/>
    <s v="IT"/>
    <s v="IT"/>
    <s v="IT"/>
    <n v="2.375"/>
    <d v="2021-11-25T00:00:00"/>
    <s v="2033-11-25"/>
    <n v="2.3946000000000001"/>
    <x v="1"/>
    <s v="Y"/>
    <s v="EMTN"/>
    <s v="Sr Unsecured"/>
    <s v="EUR"/>
    <s v="BBB-"/>
    <s v="N.S."/>
    <s v="FIXED"/>
    <s v="Annual"/>
    <n v="1120950000"/>
    <s v="Industrials"/>
    <s v="Industrial Other"/>
    <s v="Corporate"/>
    <s v="Industrial"/>
    <s v="Transportation"/>
    <s v="Transportation Services"/>
    <s v="SLB STP-UP: 50BPTS/ANNUM; STP DATE: 07/2031; KPI1: GHG (20BPTS) ; KPI2: GHG (30BPTS)"/>
    <n v="50"/>
    <m/>
    <s v=""/>
    <x v="1"/>
    <s v="Bookrunner Banca Akros SpA AKROS JLMB Joint Lead Managers-Books 0 1 2021-11-18 Bookrunner Banco Santander SANT JLMB Joint Lead Managers-Books 0 1 2021-11-18 Bookrunner BNP Paribas BNPP JLMB Joint Lead Managers-Books 0 1 2021-11-18 Bookrunner CaixaBank CAI"/>
    <s v="#N/A N/A"/>
    <n v="2.3759999999999999"/>
    <e v="#N/A"/>
    <x v="110"/>
    <s v="ASTM SpACALLABLEFIXEDEURSr Unsecured"/>
    <x v="0"/>
  </r>
  <r>
    <n v="178"/>
    <s v="M FINANCE SASU"/>
    <s v="FR0014004UD8"/>
    <s v="BS4845456"/>
    <s v="BBG013JRK0H1"/>
    <s v="MONNOY"/>
    <s v="FR"/>
    <s v="FR"/>
    <s v="FR"/>
    <n v="2.6"/>
    <s v="2021-10-04"/>
    <s v="2029-10-04"/>
    <n v="0.56840000000000002"/>
    <x v="0"/>
    <s v="N"/>
    <s v="#N/A Field Not Applicable"/>
    <s v="Sr Unsecured"/>
    <s v="EUR"/>
    <s v="n/a"/>
    <s v="N.S."/>
    <s v="FIXED"/>
    <s v="Annual"/>
    <n v="54609300"/>
    <s v="Financials"/>
    <s v="Financial Services"/>
    <s v="Corporate"/>
    <s v="Financial Institutions"/>
    <s v="Other Financial"/>
    <s v="Other Financial"/>
    <s v="SLB STEP-UP/DOWN: 50bpts MAX; SPT DATE: 2023, 2025, 2027; KPI1: GREEN HOUSE GASES; KPI2: GENDER EQUALITY"/>
    <n v="50"/>
    <n v="50"/>
    <s v="yes"/>
    <x v="5"/>
    <s v="Bookrunner Credit Agricole Corporate &amp; In CACIB JLMB Joint Lead Managers-Books 0 1 2021-09-27 Bookrunner Natixis NATIX JLMB Joint Lead Managers-Books 0 1 2021-09-27 Trustee BNP Paribas Securities Service BNPPAR PAAG Paying Agent(s) 0 7 2021-09-27 Trustee "/>
    <s v="#N/A N/A"/>
    <s v="#N/A N/A"/>
    <e v="#N/A"/>
    <x v="0"/>
    <s v="M FINANCE SASUAT MATURITYFIXEDEURSr Unsecured"/>
    <x v="0"/>
  </r>
  <r>
    <n v="177"/>
    <s v="M FINANCE SASU"/>
    <s v="FR0014004UB2"/>
    <s v="BS4847320"/>
    <s v="BBG013JRMJP9"/>
    <s v="MONNOY"/>
    <s v="FR"/>
    <s v="FR"/>
    <s v="FR"/>
    <n v="2.4750000000000001"/>
    <s v="2021-10-04"/>
    <s v="2028-10-04"/>
    <n v="0.45250000000000001"/>
    <x v="0"/>
    <s v="N"/>
    <s v="#N/A Field Not Applicable"/>
    <s v="Sr Unsecured"/>
    <s v="EUR"/>
    <s v="n/a"/>
    <s v="N.S."/>
    <s v="FIXED"/>
    <s v="Annual"/>
    <n v="110380500"/>
    <s v="Financials"/>
    <s v="Financial Services"/>
    <s v="Corporate"/>
    <s v="Financial Institutions"/>
    <s v="Other Financial"/>
    <s v="Other Financial"/>
    <s v="SLB STEP-UP/DOWN: 50bpts MAX; SPT DATE: 2023, 2025, 2027; KPI1: GREEN HOUSE GASES; KPI2: GENDER EQUALITY"/>
    <n v="50"/>
    <n v="50"/>
    <s v="yes"/>
    <x v="5"/>
    <s v="Bookrunner Credit Agricole CIB CACIB JLMB Joint Lead Managers-Books 0 1 2021-09-27 Bookrunner Natixis NATIX JLMB Joint Lead Managers-Books 0 1 2021-09-27 Trustee BNP Paribas Securities Service BNPPAR PAAG Paying Agent(s) 0 7 2021-09-27 Trustee BNP Paribas"/>
    <s v="#N/A N/A"/>
    <s v="#N/A N/A"/>
    <e v="#N/A"/>
    <x v="0"/>
    <s v="M FINANCE SASUAT MATURITYFIXEDEURSr Unsecured"/>
    <x v="0"/>
  </r>
  <r>
    <n v="179"/>
    <s v="M FINANCE SASU"/>
    <s v="FR0014004UC0"/>
    <s v="BS4848583"/>
    <s v="BBG013JRSQR5"/>
    <s v="MONNOY"/>
    <s v="FR"/>
    <s v="FR"/>
    <s v="FR"/>
    <n v="2.95"/>
    <s v="2021-10-04"/>
    <s v="2031-10-04"/>
    <n v="0.80320000000000003"/>
    <x v="0"/>
    <s v="N"/>
    <s v="."/>
    <s v="Sr Unsecured"/>
    <s v="EUR"/>
    <s v="n/a"/>
    <s v="N.S."/>
    <s v="FIXED"/>
    <s v="Annual"/>
    <n v="9295200"/>
    <s v="Financials"/>
    <s v="Financial Services"/>
    <s v="Corporate"/>
    <s v="Financial Institutions"/>
    <s v="Other Financial"/>
    <s v="Other Financial"/>
    <s v="SLB STEP-UP/DOWN: 50bpts MAX; SPT DATE: 2023, 2025, 2027; KPI1: GREEN HOUSE GASES; KPI2: GENDER EQUALITY"/>
    <n v="50"/>
    <n v="50"/>
    <s v="yes"/>
    <x v="5"/>
    <s v="Bookrunner Credit Agricole CIB CACIB JLMB Joint Lead Managers-Books 0 1 2021-09-27 Bookrunner Natixis NATIX JLMB Joint Lead Managers-Books 0 1 2021-09-27 Trustee BNP Paribas Securities Service BNPPAR PAAG Paying Agent(s) 0 7 2021-09-27 Trustee BNP Paribas"/>
    <s v="#N/A N/A"/>
    <s v="#N/A N/A"/>
    <e v="#N/A"/>
    <x v="0"/>
    <s v="M FINANCE SASUAT MATURITYFIXEDEURSr Unsecured"/>
    <x v="0"/>
  </r>
  <r>
    <n v="182"/>
    <s v="Mota-Engil SGPS SA"/>
    <s v="PTMENYOM0005"/>
    <s v="BS5188310"/>
    <s v="BBG013KN1016"/>
    <s v="EGLPL"/>
    <s v="PT"/>
    <s v="PT"/>
    <s v="PT"/>
    <n v="4.25"/>
    <s v="2021-12-02"/>
    <s v="2026-12-02"/>
    <n v="4.1913999999999998"/>
    <x v="4"/>
    <s v="N"/>
    <s v="#N/A Field Not Applicable"/>
    <s v="Sr Unsecured"/>
    <s v="EUR"/>
    <s v="n/a"/>
    <s v="N.S."/>
    <s v="FIXED"/>
    <s v="S/A"/>
    <n v="149192434.875"/>
    <s v="Industrials"/>
    <s v="Industrial Other"/>
    <s v="Corporate"/>
    <s v="Industrial"/>
    <s v="Other Industrial"/>
    <s v="Other Industrial"/>
    <s v="ISSD IN EXCH FOR PTMENWOM0007,PTMENUOM0009. STEP-UP MARGIN: EUR 1.25 REDEMP INC PER BOND. STEP-UP EVENT: LTIFR (SEE SPO) &gt; 3.3 BY 12/31/2025."/>
    <s v="%"/>
    <m/>
    <s v=""/>
    <x v="2"/>
    <s v="Bookrunner Banco Finantia BANFIN JLMB Joint Lead Managers-Books 0 4 2021-12-15 Bookrunner Caixa Banco de Investimento SA CXBI JLMB Joint Lead Managers-Books 0 4 2021-12-15 Bookrunner Haitong Bank SA HAITIB JLMB Joint Lead Managers-Books 0 4 2021-12-15 Boo"/>
    <s v="#N/A N/A"/>
    <s v="#N/A N/A"/>
    <e v="#N/A"/>
    <x v="0"/>
    <s v="Mota-Engil SGPS SASINKABLEFIXEDEURSr Unsecured"/>
    <x v="1"/>
  </r>
  <r>
    <n v="173"/>
    <s v="Loomis AB"/>
    <s v="SE0013360559"/>
    <s v="BS5495509"/>
    <s v="BBG013MYTH22"/>
    <s v="LOOMBS"/>
    <s v="SE"/>
    <s v="SE"/>
    <s v="SE"/>
    <n v="1.29"/>
    <s v="2021-11-30"/>
    <s v="2026-11-30"/>
    <n v="1.29"/>
    <x v="0"/>
    <s v="N"/>
    <s v="DMTN"/>
    <s v="Sr Unsecured"/>
    <s v="SEK"/>
    <s v="n/a"/>
    <s v="N.S."/>
    <s v="FLOATING"/>
    <s v="Qtrly"/>
    <n v="165808500"/>
    <s v="Consumer Discretionary"/>
    <s v="Consumer Services"/>
    <s v="Corporate"/>
    <s v="Industrial"/>
    <s v="Consumer Cyclical"/>
    <s v="Consumer Cyc Services"/>
    <s v="REDEMPTION PRICE TO INCREASE TO 101% IF THE ISSUER DOES NOT REDUCE CO2 EMISSIONS BY 20% BY END OF 2025 VS 2019 BASELINE"/>
    <s v="%"/>
    <m/>
    <s v=""/>
    <x v="1"/>
    <s v="Bookrunner Danske Bank DANSKE JLMB Joint Lead Managers-Books 0 4 2022-04-11 Bookrunner Nordea NORDEA JLMB Joint Lead Managers-Books 0 4 2022-04-11 Bookrunner Danske Bank DANSKE JLMB Joint Lead Managers-Books 0 1 2021-11-23 Bookrunner Nordea NORDEA JLMB Jo"/>
    <s v="#N/A N/A"/>
    <s v="#N/A N/A"/>
    <e v="#N/A"/>
    <x v="0"/>
    <s v="Loomis ABAT MATURITYFLOATINGSEKSr Unsecured"/>
    <x v="0"/>
  </r>
  <r>
    <n v="163"/>
    <s v="LANXESS AG"/>
    <s v="XS2415386726"/>
    <s v="BS5948655"/>
    <s v="BBG013PNCKN1"/>
    <s v="LXSGR"/>
    <s v="DE"/>
    <s v="DE"/>
    <s v="DE"/>
    <n v="0.625"/>
    <s v="2021-12-01"/>
    <s v="2029-12-01"/>
    <n v="0.73799999999999999"/>
    <x v="1"/>
    <s v="Y"/>
    <s v="EMTN"/>
    <s v="Sr Unsecured"/>
    <s v="EUR"/>
    <s v="BBB"/>
    <s v="AA"/>
    <s v="FIXED"/>
    <s v="Annual"/>
    <n v="679416000"/>
    <s v="Materials"/>
    <s v="Chemicals"/>
    <s v="Corporate"/>
    <s v="Industrial"/>
    <s v="Basic Industry"/>
    <s v="Chemicals"/>
    <s v="STEP-UP MARGIN BY 0.25% IF SPT NOT ACHIEVED ON 12/31/25. REDUCTION OF GHG EMISSIONS (SCOPE 1+2) BY 600KT TO 2,600KT (81.250% OF THE 2018 BASELINE) BY 2025."/>
    <s v="%"/>
    <m/>
    <s v=""/>
    <x v="1"/>
    <s v="Bookrunner Banco Bilbao Vizcaya London Br BBV JLMB Joint Lead Managers-Books 0 1 2021-11-23 Bookrunner Citigroup Global Markets Ltd CITI JLMB Joint Lead Managers-Books 0 1 2021-11-23 Bookrunner Deutsche Bank DB JLMB Joint Lead Managers-Books 0 1 2021-11-2"/>
    <n v="0.73799999999999999"/>
    <n v="0.58099999999999996"/>
    <e v="#N/A"/>
    <x v="111"/>
    <s v="LANXESS AGCALLABLEFIXEDEURSr Unsecured"/>
    <x v="1"/>
  </r>
  <r>
    <n v="154"/>
    <s v="Kerry Group Financial Services Unltd Co"/>
    <s v="XS2414830963"/>
    <s v="BS5958647"/>
    <s v="BBG013PPDGW4"/>
    <s v="KYGID"/>
    <s v="IE"/>
    <s v="IE"/>
    <s v="IE"/>
    <n v="0.875"/>
    <s v="2021-12-01"/>
    <s v="2031-12-01"/>
    <n v="0.93100000000000005"/>
    <x v="1"/>
    <s v="Y"/>
    <s v="#N/A Field Not Applicable"/>
    <s v="Sr Unsecured"/>
    <s v="EUR"/>
    <s v="BBB"/>
    <s v="N.S."/>
    <s v="FIXED"/>
    <s v="Annual"/>
    <n v="849270000"/>
    <s v="Consumer Staples"/>
    <s v="Food &amp; Beverage"/>
    <s v="Corporate"/>
    <s v="Industrial"/>
    <s v="Consumer Non-Cyclical"/>
    <s v="Food and Beverage"/>
    <s v="SLB COUPON STEP-UP: 50BPTs/KPI; SPT DATE: 2030; KPI1: GHG; KPI2: FOOD WASTE"/>
    <n v="50"/>
    <m/>
    <s v=""/>
    <x v="1"/>
    <s v="Bookrunner Allied Irish Banks AIB JLMB Joint Lead Managers-Books 0 1 2021-11-24 Bookrunner Bank of Ireland BKIREL JLMB Joint Lead Managers-Books 0 1 2021-11-24 Bookrunner Barclays BARCS JLMB Joint Lead Managers-Books 0 1 2021-11-24 Bookrunner BNP Paribas/"/>
    <n v="0.93100000000000005"/>
    <n v="0.81799999999999995"/>
    <e v="#N/A"/>
    <x v="112"/>
    <s v="Kerry Group Financial Services Unltd CoCALLABLEFIXEDEURSr Unsecured"/>
    <x v="1"/>
  </r>
  <r>
    <n v="152"/>
    <s v="Kahrs BondCo AB"/>
    <s v="SE0017085285"/>
    <s v="BS6174186"/>
    <s v="BBG013Q9QBL8"/>
    <s v="KAHRSB"/>
    <s v="SE"/>
    <s v="SE"/>
    <s v="SE"/>
    <n v="6"/>
    <s v="2021-12-07"/>
    <s v="2026-12-07"/>
    <n v="5.8059000000000003"/>
    <x v="1"/>
    <s v="Y"/>
    <s v="DMTN"/>
    <s v="Secured"/>
    <s v="SEK"/>
    <s v="#N/A N/A"/>
    <s v="N.S."/>
    <s v="FLOATING"/>
    <s v="Qtrly"/>
    <n v="158862000"/>
    <s v="Consumer Discretionary"/>
    <s v="Home Improvement"/>
    <s v="Corporate"/>
    <s v="Industrial"/>
    <s v="Capital Goods"/>
    <s v="Building Materials"/>
    <s v="STEP-UP MARGIN: 50BPS ADDED TO NOTIONAL AMOUNT UPON MATURITY OR CALL OPTION PRICE; STEP-UP EVENT: MISSING ALL SPTs"/>
    <n v="50"/>
    <m/>
    <s v=""/>
    <x v="2"/>
    <s v="Bookrunner DNB Markets DNB JLMB Joint Lead Managers-Books 483333.33 1 2021-11-23 Bookrunner Nordea Bank Abp NDASS JLMB Joint Lead Managers-Books 483333.33 1 2021-11-23 Bookrunner Pareto Securities PARETO JLMB Joint Lead Managers-Books 483333.33 1 2021-11-"/>
    <s v="#N/A N/A"/>
    <n v="5.7210000000000001"/>
    <e v="#N/A"/>
    <x v="113"/>
    <s v="Kahrs BondCo ABCALLABLEFLOATINGSEKSecured"/>
    <x v="0"/>
  </r>
  <r>
    <n v="226"/>
    <s v="Rimini Bidco SpA"/>
    <s v="XS2417499832"/>
    <s v="BS6180258"/>
    <s v="BBG013QBJTC2"/>
    <s v="SAFFA"/>
    <s v="IT"/>
    <s v="IT"/>
    <s v="IT"/>
    <n v="5.25"/>
    <s v="2021-12-14"/>
    <s v="2026-12-14"/>
    <n v="5.4771000000000001"/>
    <x v="1"/>
    <s v="Y"/>
    <s v="144A"/>
    <s v="Secured"/>
    <s v="EUR"/>
    <s v="B"/>
    <s v="N.S."/>
    <s v="FLOATING"/>
    <s v="Qtrly"/>
    <n v="501595100"/>
    <s v="Materials"/>
    <s v="Containers &amp; Packaging"/>
    <s v="Corporate"/>
    <s v="Industrial"/>
    <s v="Basic Industry"/>
    <s v="Paper"/>
    <s v="STEP-UP MARGIN: 25BP PER SPT; SPTs: REDUCTION OF GHG BY 15%, WATER SENT TO RECOVERY TO 81.5%, WATER DISCHARGE PER TON BY 10% BY 12/31/25, ALL VS 2020 BASELINE"/>
    <s v="multi"/>
    <m/>
    <s v=""/>
    <x v="1"/>
    <s v="Bookrunner Banca di Intermediazione Mobil INTMOB JLMB Joint Lead Managers-Books 0 1 2021-11-30 Bookrunner Barclays BARCS JLMB Joint Lead Managers-Books 0 1 2021-11-30 Bookrunner BNP Paribas BNPP JLMB Joint Lead Managers-Books 0 1 2021-11-30 Bookrunner Cre"/>
    <s v="#N/A N/A"/>
    <n v="5.5110000000000001"/>
    <e v="#N/A"/>
    <x v="114"/>
    <s v="Rimini Bidco SpACALLABLEFLOATINGEURSecured"/>
    <x v="0"/>
  </r>
  <r>
    <n v="227"/>
    <s v="Rimini Bidco SpA"/>
    <s v="XS2417486771"/>
    <s v="BS6180290"/>
    <s v="BBG013QBJTQ7"/>
    <s v="SAFFA"/>
    <s v="IT"/>
    <s v="IT"/>
    <s v="IT"/>
    <n v="5.25"/>
    <s v="2021-12-14"/>
    <s v="2026-12-14"/>
    <n v="5.1708999999999996"/>
    <x v="1"/>
    <s v="Y"/>
    <s v="REGS"/>
    <s v="Secured"/>
    <s v="EUR"/>
    <s v="B"/>
    <s v="N.S."/>
    <s v="FLOATING"/>
    <s v="Qtrly"/>
    <n v="501595100"/>
    <s v="Materials"/>
    <s v="Containers &amp; Packaging"/>
    <s v="Corporate"/>
    <s v="Industrial"/>
    <s v="Basic Industry"/>
    <s v="Paper"/>
    <s v="STEP-UP MARGIN: 25BP PER SPT; SPTs: REDUCTION OF GHG BY 15%, WATER SENT TO RECOVERY TO 81.5%, WATER DISCHARGE PER TON BY 10% BY 12/31/25, ALL VS 2020 BASELINE"/>
    <s v="multi"/>
    <m/>
    <s v=""/>
    <x v="1"/>
    <s v="Bookrunner Barclays BARCS JLMB Joint Lead Managers-Books 0 1 2021-11-30 Bookrunner BNP Paribas BNPP JLMB Joint Lead Managers-Books 0 1 2021-11-30 Bookrunner Credit Suisse CS JLMB Joint Lead Managers-Books 0 1 2021-11-30 Bookrunner Intesa Sanpaolo INTES JL"/>
    <s v="#N/A N/A"/>
    <n v="5.5"/>
    <e v="#N/A"/>
    <x v="115"/>
    <s v="Rimini Bidco SpACALLABLEFLOATINGEURSecured"/>
    <x v="0"/>
  </r>
  <r>
    <n v="73"/>
    <s v="Elekta AB"/>
    <s v="SE0016274260"/>
    <s v="BS8106574"/>
    <s v="BBG013WMFZX8"/>
    <s v="EKTAB"/>
    <s v="SE"/>
    <s v="SE"/>
    <s v="SE"/>
    <n v="0.92099999999999993"/>
    <s v="2021-12-14"/>
    <s v="2026-12-14"/>
    <n v="0.74580000000000002"/>
    <x v="0"/>
    <s v="N"/>
    <s v="DMTN"/>
    <s v="Sr Unsecured"/>
    <s v="SEK"/>
    <s v="#N/A N/A"/>
    <s v="N.S."/>
    <s v="FLOATING"/>
    <s v="Qtrly"/>
    <n v="125879000"/>
    <s v="Health Care"/>
    <s v="Medical Equipment &amp; Devices Manufacturing"/>
    <s v="Corporate"/>
    <s v="Industrial"/>
    <s v="Consumer Non-Cyclical"/>
    <s v="Healthcare"/>
    <s v="STEP-UP REDEMPTION: 101%, SPT: 825 UNIT INCREASE OF LINAC INSTALLED BASE BY 04/30/2025 VS 04/30/2020 (BASELINE)"/>
    <s v="%"/>
    <m/>
    <s v=""/>
    <x v="1"/>
    <s v="Bookrunner Danske Bank DANBNK JLMB Joint Lead Managers-Books 575000 1 2021-12-02 Bookrunner Skandinaviska Enskilda Banken SEB JLMB Joint Lead Managers-Books 575000 1 2021-12-02"/>
    <s v="#N/A N/A"/>
    <n v="0.69399999999999995"/>
    <e v="#N/A"/>
    <x v="116"/>
    <s v="Elekta ABAT MATURITYFLOATINGSEKSr Unsecured"/>
    <x v="1"/>
  </r>
  <r>
    <n v="74"/>
    <s v="Elekta AB"/>
    <s v="SE0016274278"/>
    <s v="BS8106590"/>
    <s v="BBG013WMG064"/>
    <s v="EKTAB"/>
    <s v="SE"/>
    <s v="SE"/>
    <s v="SE"/>
    <n v="1.925"/>
    <s v="2021-12-14"/>
    <s v="2028-12-14"/>
    <n v="1.8956"/>
    <x v="0"/>
    <s v="N"/>
    <s v="DMTN"/>
    <s v="Sr Unsecured"/>
    <s v="SEK"/>
    <s v="#N/A N/A"/>
    <s v="N.S."/>
    <s v="FIXED"/>
    <s v="Annual"/>
    <n v="38311000"/>
    <s v="Health Care"/>
    <s v="Medical Equipment &amp; Devices Manufacturing"/>
    <s v="Corporate"/>
    <s v="Industrial"/>
    <s v="Consumer Non-Cyclical"/>
    <s v="Healthcare"/>
    <s v="STEP-UP CPN: 35BPS, SPT: 825 UNIT INCREASE OF LINAC INSTALLED BASE BY 04/30/2025 VS 04/30/2020 (BASELINE)"/>
    <n v="35"/>
    <m/>
    <s v=""/>
    <x v="1"/>
    <s v="Bookrunner Danske Bank DANSKE JLMB Joint Lead Managers-Books 0 1 2021-12-02 Bookrunner SEB SEB JLMB Joint Lead Managers-Books 0 1 2021-12-02"/>
    <s v="#N/A N/A"/>
    <n v="1.843"/>
    <e v="#N/A"/>
    <x v="117"/>
    <s v="Elekta ABAT MATURITYFIXEDSEKSr Unsecured"/>
    <x v="0"/>
  </r>
  <r>
    <n v="116"/>
    <s v="GEK Terna Holding Real Estate Construction SA"/>
    <s v="GRC145121CD2"/>
    <s v="BS8796234"/>
    <s v="BBG013XYWMK5"/>
    <s v="GEKTER"/>
    <s v="GR"/>
    <s v="GR"/>
    <s v="GR"/>
    <n v="2.2999999999999998"/>
    <s v="2021-12-14"/>
    <s v="2028-12-14"/>
    <n v="2.3151000000000002"/>
    <x v="1"/>
    <s v="Y"/>
    <s v="#N/A Field Not Applicable"/>
    <s v="Unsecured"/>
    <s v="EUR"/>
    <s v="#N/A N/A"/>
    <s v="N.S."/>
    <s v="FIXED"/>
    <s v="S/A"/>
    <n v="338154000"/>
    <s v="Industrials"/>
    <s v="Industrial Other"/>
    <s v="Corporate"/>
    <s v="Industrial"/>
    <s v="Transportation"/>
    <s v="Transportation Services"/>
    <s v="SLB CPN STEP-UP: 20BPTS/ANNUM; SPT DATE: ANNUALLY ON 06/30; KPI: GHG"/>
    <n v="20"/>
    <m/>
    <s v=""/>
    <x v="1"/>
    <s v="Bookrunner Alpha Bank AE ALPHA JLMB Joint Lead Managers-Books 0 1 2021-12-07 Bookrunner Eurobank SA EUROB JLMB Joint Lead Managers-Books 0 1 2021-12-07 Bookrunner Euroxx Securities SA EUROXX JLMB Joint Lead Managers-Books 0 1 2021-12-07 Bookrunner Nationa"/>
    <s v="#N/A N/A"/>
    <n v="2.2999999999999998"/>
    <e v="#N/A"/>
    <x v="118"/>
    <s v="GEK Terna Holding Real Estate Construction SACALLABLEFIXEDEURUnsecured"/>
    <x v="0"/>
  </r>
  <r>
    <n v="212"/>
    <s v="RHI Magnesita GmbH"/>
    <s v="#N/A Field Not Applicable"/>
    <s v="BS8814508"/>
    <s v="BBG013Y0QG55"/>
    <s v="RHIMLN"/>
    <s v="AT"/>
    <s v="AT"/>
    <s v="US"/>
    <n v="1.2769999999999999"/>
    <s v="2021-12-07"/>
    <s v="2031-12-07"/>
    <n v="1.2445999999999999"/>
    <x v="0"/>
    <s v="N"/>
    <s v="10YF"/>
    <s v="Sr Unsecured"/>
    <s v="EUR"/>
    <s v="#N/A N/A"/>
    <s v="N.S."/>
    <s v="FIXED"/>
    <s v="Annual"/>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s v="#N/A N/A"/>
    <e v="#N/A"/>
    <x v="0"/>
    <s v="RHI Magnesita GmbHAT MATURITYFIXEDEURSr Unsecured"/>
    <x v="0"/>
  </r>
  <r>
    <n v="206"/>
    <s v="RHI Magnesita GmbH"/>
    <s v="#N/A Field Not Applicable"/>
    <s v="BS8816255"/>
    <s v="BBG013Y0W6J5"/>
    <s v="RHIMLN"/>
    <s v="AT"/>
    <s v="AT"/>
    <s v="US"/>
    <n v="0.21299999999999999"/>
    <s v="2021-12-07"/>
    <s v="2026-06-07"/>
    <s v="N/A"/>
    <x v="0"/>
    <s v="N"/>
    <s v="5.5"/>
    <s v="Sr Unsecured"/>
    <s v="EUR"/>
    <s v="#N/A N/A"/>
    <s v="N.S."/>
    <s v="FLOATING"/>
    <s v="S/A"/>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s v="#N/A N/A"/>
    <e v="#N/A"/>
    <x v="0"/>
    <s v="RHI Magnesita GmbHAT MATURITYFLOATINGEURSr Unsecured"/>
    <x v="0"/>
  </r>
  <r>
    <n v="211"/>
    <s v="RHI Magnesita GmbH"/>
    <s v="#N/A Field Not Applicable"/>
    <s v="BS8816669"/>
    <s v="BBG013Y0WJV3"/>
    <s v="RHIMLN"/>
    <s v="AT"/>
    <s v="AT"/>
    <s v="US"/>
    <n v="0.85"/>
    <s v="2021-12-07"/>
    <s v="2028-12-07"/>
    <n v="0.19570000000000001"/>
    <x v="0"/>
    <s v="N"/>
    <s v="7YFX"/>
    <s v="Sr Unsecured"/>
    <s v="EUR"/>
    <s v="#N/A N/A"/>
    <s v="N.S."/>
    <s v="FIXED"/>
    <s v="Annual"/>
    <n v="281097500"/>
    <s v="Industrials"/>
    <s v="Machinery Manufacturing"/>
    <s v="Corporate"/>
    <s v="Industrial"/>
    <s v="Capital Goods"/>
    <s v="Diversified Manufacturing"/>
    <s v="SUSTAINABILITY PRICING ADJUSTMENT:-3BPS IF ESG SCORE +4 POINTS; +3BPS IF ESG SCORE -6 POINTS."/>
    <n v="3"/>
    <n v="3"/>
    <s v="yes"/>
    <x v="0"/>
    <s v="Bookrunner Landesbank Hessen-Thuringen Gi HELABA JLMB Joint Lead Managers-Books 0 1 2021-12-07 Bookrunner Raiffeisen Bank International RAIINT JLMB Joint Lead Managers-Books 0 1 2021-12-07 Trustee Clifford Chance LLP CHANCE LAI Legal Adviser to the Issuer"/>
    <s v="#N/A N/A"/>
    <n v="0.157"/>
    <e v="#N/A"/>
    <x v="119"/>
    <s v="RHI Magnesita GmbHAT MATURITYFIXEDEURSr Unsecured"/>
    <x v="0"/>
  </r>
  <r>
    <n v="278"/>
    <s v="YA Holding AB"/>
    <s v="SE0016831150"/>
    <s v="BS9540193"/>
    <s v="BBG01404GG62"/>
    <s v="YDHDG"/>
    <s v="SE"/>
    <s v="SE"/>
    <s v="SE"/>
    <n v="8.8010000000000002"/>
    <s v="2021-12-17"/>
    <s v="2024-12-17"/>
    <n v="7.6839000000000004"/>
    <x v="1"/>
    <s v="Y"/>
    <s v="DMTN"/>
    <s v="Secured"/>
    <s v="SEK"/>
    <s v="#N/A N/A"/>
    <s v="N.S."/>
    <s v="FLOATING"/>
    <s v="Qtrly"/>
    <n v="52704000"/>
    <s v="Consumer Discretionary"/>
    <s v="Educational Services"/>
    <s v="Corporate"/>
    <s v="Industrial"/>
    <s v="Other Industrial"/>
    <s v="Other Industrial"/>
    <s v="BOND REDEEMED AT 100.75 IF THE ISSUER FAILS TO ACHIEVE SPT"/>
    <s v="%"/>
    <m/>
    <s v=""/>
    <x v="2"/>
    <s v="Bookrunner Carnegie CARNEG SOLE Sole Manager 0 1 2021-12-09 Trustee Nordic Trustee AB NRDTRS AGNT Agent(s) 0 7 2021-12-09 Trustee Carnegie Investment Bank AB CARNGI ISAG Issuing Agent(s) 0 7 2021-12-09"/>
    <s v="#N/A N/A"/>
    <s v="#N/A N/A"/>
    <e v="#N/A"/>
    <x v="0"/>
    <s v="YA Holding ABCALLABLEFLOATINGSEKSecured"/>
    <x v="0"/>
  </r>
  <r>
    <n v="221"/>
    <s v="Renolit SE"/>
    <s v="#N/A Field Not Applicable"/>
    <s v="BS9926319"/>
    <s v="BBG01412D5S8"/>
    <s v="RENODE"/>
    <s v="DE"/>
    <s v="DE"/>
    <s v="DE"/>
    <n v="0"/>
    <s v="2021-12-13"/>
    <s v="2027-12-13"/>
    <s v="N/A"/>
    <x v="0"/>
    <s v="N"/>
    <s v="6Y"/>
    <s v="Sr Unsecured"/>
    <s v="EUR"/>
    <s v="#N/A N/A"/>
    <s v="N.S."/>
    <s v="FLOATING"/>
    <s v="S/A"/>
    <n v="225864000"/>
    <s v="Materials"/>
    <s v="Chemicals"/>
    <s v="Corporate"/>
    <s v="Industrial"/>
    <s v="Basic Industry"/>
    <s v="Chemicals"/>
    <s v="ESG-LINKED SCHULDSCHEIN. SUSTAINABILITY PRICING ADJUSTMENT: +/- 2BPS PER KPI. KPIS: ENERGY EFFICIENCY; RECYCLING; DIVERSITY."/>
    <s v="multi"/>
    <s v="multi"/>
    <s v="yes"/>
    <x v="5"/>
    <s v="Bookrunner BNP Paribas/Frankfurt BNP JLMB Joint Lead Managers-Books 0 1 2021-12-13 Bookrunner Landesbank Hessen-Thuringen Gi HELABA JLMB Joint Lead Managers-Books 0 1 2021-12-13 Bookrunner Landesbank Baden-Wuerttemberg LBBW JLMB Joint Lead Managers-Books "/>
    <s v="#N/A N/A"/>
    <s v="#N/A N/A"/>
    <e v="#N/A"/>
    <x v="0"/>
    <s v="Renolit SEAT MATURITYFLOATINGEURSr Unsecured"/>
    <x v="0"/>
  </r>
  <r>
    <n v="218"/>
    <s v="Renolit SE"/>
    <s v="#N/A Field Not Applicable"/>
    <s v="BS9926327"/>
    <s v="BBG01412D5V4"/>
    <s v="RENODE"/>
    <s v="DE"/>
    <s v="DE"/>
    <s v="DE"/>
    <n v="0"/>
    <s v="2021-12-13"/>
    <s v="2025-12-13"/>
    <s v="N/A"/>
    <x v="0"/>
    <s v="N"/>
    <s v="4Y"/>
    <s v="Sr Unsecured"/>
    <s v="EUR"/>
    <s v="#N/A N/A"/>
    <s v="N.S."/>
    <s v="FLOATING"/>
    <s v="S/A"/>
    <n v="225864000"/>
    <s v="Materials"/>
    <s v="Chemicals"/>
    <s v="Corporate"/>
    <s v="Industrial"/>
    <s v="Basic Industry"/>
    <s v="Chemicals"/>
    <s v="ESG-LINKED SCHULDSCHEIN. SUSTAINABILITY PRICING ADJUSTMENT: +/- 2BPS PER KPI. KPIS: ENERGY EFFICIENCY; RECYCLING; DIVERSITY."/>
    <s v="multi"/>
    <s v="multi"/>
    <s v="yes"/>
    <x v="5"/>
    <s v="Bookrunner BNP Paribas/Frankfurt BNP JLMB Joint Lead Managers-Books 0 1 2021-12-13 Bookrunner Landesbank Hessen-Thuringen Gi HELABA JLMB Joint Lead Managers-Books 0 1 2021-12-13 Bookrunner Landesbank Baden-Wuerttemberg LBBW JLMB Joint Lead Managers-Books "/>
    <s v="#N/A N/A"/>
    <s v="#N/A N/A"/>
    <e v="#N/A"/>
    <x v="0"/>
    <s v="Renolit SEAT MATURITYFLOATINGEURSr Unsecured"/>
    <x v="0"/>
  </r>
  <r>
    <n v="27"/>
    <s v="BayWa AG"/>
    <s v="#N/A Field Not Applicable"/>
    <s v="BT2413768"/>
    <s v="BBG0149BVYS7"/>
    <s v="BYWGR"/>
    <s v="DE"/>
    <s v="DE"/>
    <s v="DE"/>
    <n v="0"/>
    <s v="2021-12-21"/>
    <s v="2031-12-22"/>
    <s v="N/A"/>
    <x v="0"/>
    <s v="N"/>
    <s v="10Y"/>
    <s v="Sr Unsecured"/>
    <s v="EUR"/>
    <s v="#N/A N/A"/>
    <s v="N.S."/>
    <s v="FIXED"/>
    <s v="Annual"/>
    <n v="394352000"/>
    <s v="Consumer Staples"/>
    <s v="Retail - Consumer Staples"/>
    <s v="Corporate"/>
    <s v="Industrial"/>
    <s v="Consumer Non-Cyclical"/>
    <s v="Food and Beverage"/>
    <s v="SUSTAINABILITY-LINKED SCHULDSCHEIN TIED TO ESG RATING BY MSCI."/>
    <s v="n/a"/>
    <m/>
    <s v=""/>
    <x v="0"/>
    <s v="Bookrunner Commerzbank COBA JLMB Joint Lead Managers-Books 0 1 2021-12-21 Bookrunner DZ Bank DZBK JLMB Joint Lead Managers-Books 0 1 2021-12-21 Bookrunner Landesbank Baden-Wuerttemberg LBBW JLMB Joint Lead Managers-Books 0 1 2021-12-21 Trustee Landesbank "/>
    <s v="#N/A N/A"/>
    <s v="#N/A N/A"/>
    <e v="#N/A"/>
    <x v="0"/>
    <s v="BayWa AGAT MATURITYFIXEDEURSr Unsecured"/>
    <x v="0"/>
  </r>
  <r>
    <n v="28"/>
    <s v="BayWa AG"/>
    <s v="#N/A Field Not Applicable"/>
    <s v="BT2413925"/>
    <s v="BBG0149BW6B5"/>
    <s v="BYWGR"/>
    <s v="DE"/>
    <s v="DE"/>
    <s v="DE"/>
    <n v="0"/>
    <s v="2021-12-21"/>
    <s v="2028-12-21"/>
    <s v="N/A"/>
    <x v="0"/>
    <s v="N"/>
    <s v="7YFX"/>
    <s v="Sr Unsecured"/>
    <s v="EUR"/>
    <s v="#N/A N/A"/>
    <s v="N.S."/>
    <s v="FIXED"/>
    <s v="Annual"/>
    <n v="394352000"/>
    <s v="Consumer Staples"/>
    <s v="Retail - Consumer Staples"/>
    <s v="Corporate"/>
    <s v="Industrial"/>
    <s v="Consumer Non-Cyclical"/>
    <s v="Food and Beverage"/>
    <s v="SUSTAINABILITY-LINKED SCHULDSCHEIN TIED TO ESG RATING BY MSCI."/>
    <s v="n/a"/>
    <m/>
    <s v=""/>
    <x v="0"/>
    <s v="Bookrunner Commerzbank COBA JLMB Joint Lead Managers-Books 0 1 2021-12-21 Bookrunner DZ Bank DZBK JLMB Joint Lead Managers-Books 0 1 2021-12-21 Bookrunner Landesbank Baden-Wuerttemberg LBBW JLMB Joint Lead Managers-Books 0 1 2021-12-21 Trustee Landesbank "/>
    <s v="#N/A N/A"/>
    <s v="#N/A N/A"/>
    <e v="#N/A"/>
    <x v="0"/>
    <s v="BayWa AGAT MATURITYFIXEDEURSr Unsecured"/>
    <x v="0"/>
  </r>
  <r>
    <n v="25"/>
    <s v="BayWa AG"/>
    <s v="#N/A Field Not Applicable"/>
    <s v="BT2413933"/>
    <s v="BBG0149BW6F1"/>
    <s v="BYWGR"/>
    <s v="DE"/>
    <s v="DE"/>
    <s v="DE"/>
    <n v="0"/>
    <s v="2021-12-21"/>
    <s v="2028-12-21"/>
    <s v="N/A"/>
    <x v="0"/>
    <s v="N"/>
    <s v="7YFL"/>
    <s v="Sr Unsecured"/>
    <s v="EUR"/>
    <s v="#N/A N/A"/>
    <s v="N.S."/>
    <s v="FLOATING"/>
    <s v="S/A"/>
    <n v="394352000"/>
    <s v="Consumer Staples"/>
    <s v="Retail - Consumer Staples"/>
    <s v="Corporate"/>
    <s v="Industrial"/>
    <s v="Consumer Non-Cyclical"/>
    <s v="Food and Beverage"/>
    <s v="SUSTAINABILITY-LINKED SCHULDSCHEIN TIED TO ESG RATING BY MSCI."/>
    <s v="n/a"/>
    <m/>
    <s v=""/>
    <x v="0"/>
    <s v="Bookrunner Commerzbank COBA JLMB Joint Lead Managers-Books 0 1 2021-12-21 Bookrunner DZ Bank DZBK JLMB Joint Lead Managers-Books 0 1 2021-12-21 Bookrunner Landesbank Baden-Wuerttemberg LBBW JLMB Joint Lead Managers-Books 0 1 2021-12-21 Trustee Landesbank "/>
    <s v="#N/A N/A"/>
    <s v="#N/A N/A"/>
    <e v="#N/A"/>
    <x v="0"/>
    <s v="BayWa AGAT MATURITYFLOATINGEURSr Unsecured"/>
    <x v="0"/>
  </r>
  <r>
    <n v="29"/>
    <s v="BayWa AG"/>
    <s v="#N/A Field Not Applicable"/>
    <s v="BT2413941"/>
    <s v="BBG0149BW6J7"/>
    <s v="BYWGR"/>
    <s v="DE"/>
    <s v="DE"/>
    <s v="DE"/>
    <n v="0"/>
    <s v="2021-12-21"/>
    <s v="2026-12-21"/>
    <s v="N/A"/>
    <x v="0"/>
    <s v="N"/>
    <s v="5YFX"/>
    <s v="Sr Unsecured"/>
    <s v="EUR"/>
    <s v="#N/A N/A"/>
    <s v="N.S."/>
    <s v="FIXED"/>
    <s v="Annual"/>
    <n v="394352000"/>
    <s v="Consumer Staples"/>
    <s v="Retail - Consumer Staples"/>
    <s v="Corporate"/>
    <s v="Industrial"/>
    <s v="Consumer Non-Cyclical"/>
    <s v="Food and Beverage"/>
    <s v="SUSTAINABILITY-LINKED SCHULDSCHEIN TIED TO ESG RATING BY MSCI."/>
    <s v="n/a"/>
    <m/>
    <s v=""/>
    <x v="0"/>
    <s v="Bookrunner Commerzbank COBA JLMB Joint Lead Managers-Books 0 1 2021-12-21 Bookrunner DZ Bank DZBK JLMB Joint Lead Managers-Books 0 1 2021-12-21 Bookrunner Landesbank Baden-Wuerttemberg LBBW JLMB Joint Lead Managers-Books 0 1 2021-12-21 Trustee Landesbank "/>
    <s v="#N/A N/A"/>
    <s v="#N/A N/A"/>
    <e v="#N/A"/>
    <x v="0"/>
    <s v="BayWa AGAT MATURITYFIXEDEURSr Unsecured"/>
    <x v="0"/>
  </r>
  <r>
    <n v="26"/>
    <s v="BayWa AG"/>
    <s v="#N/A Field Not Applicable"/>
    <s v="BT2413966"/>
    <s v="BBG0149BW6P0"/>
    <s v="BYWGR"/>
    <s v="DE"/>
    <s v="DE"/>
    <s v="DE"/>
    <n v="0"/>
    <s v="2021-12-21"/>
    <s v="2026-12-21"/>
    <s v="N/A"/>
    <x v="0"/>
    <s v="N"/>
    <s v="5YFL"/>
    <s v="Sr Unsecured"/>
    <s v="EUR"/>
    <s v="#N/A N/A"/>
    <s v="N.S."/>
    <s v="FIXED"/>
    <s v="Annual"/>
    <n v="394352000"/>
    <s v="Consumer Staples"/>
    <s v="Retail - Consumer Staples"/>
    <s v="Corporate"/>
    <s v="Industrial"/>
    <s v="Consumer Non-Cyclical"/>
    <s v="Food and Beverage"/>
    <s v="SUSTAINABILITY-LINKED SCHULDSCHEIN TIED TO ESG RATING BY MSCI."/>
    <s v="n/a"/>
    <m/>
    <s v=""/>
    <x v="0"/>
    <s v="Bookrunner Commerzbank COBA JLMB Joint Lead Managers-Books 0 1 2021-12-21 Bookrunner DZ Bank DZBK JLMB Joint Lead Managers-Books 0 1 2021-12-21 Bookrunner Landesbank Baden-Wuerttemberg LBBW JLMB Joint Lead Managers-Books 0 1 2021-12-21 Trustee Landesbank "/>
    <s v="#N/A N/A"/>
    <s v="#N/A N/A"/>
    <e v="#N/A"/>
    <x v="0"/>
    <s v="BayWa AGAT MATURITYFIXEDEURSr Unsecured"/>
    <x v="0"/>
  </r>
  <r>
    <n v="108"/>
    <s v="Faurecia SE"/>
    <s v="#N/A Field Not Applicable"/>
    <s v="BT2751928"/>
    <s v="BBG014BFCLJ4"/>
    <s v="EOFP"/>
    <s v="FR"/>
    <s v="FR"/>
    <s v="FR"/>
    <n v="0"/>
    <s v="2021-12-22"/>
    <s v="2028-01-12"/>
    <s v="N/A"/>
    <x v="0"/>
    <s v="N"/>
    <s v="6YFX"/>
    <s v="Sr Unsecured"/>
    <s v="EUR"/>
    <s v="#N/A N/A"/>
    <s v="BB"/>
    <s v="FIXED"/>
    <s v="Annual"/>
    <n v="458828550"/>
    <s v="Consumer Discretionary"/>
    <s v="Auto Parts Manufacturing"/>
    <s v="Corporate"/>
    <s v="Industrial"/>
    <s v="Consumer Cyclical"/>
    <s v="Automotive"/>
    <s v="MULTICURRENCY DEAL EQUIV TO EUR 700MM. SETTLE DATES: 12/22/21 AND 1/12/22. ADJ +10BPS. GHG EMISSIONS INTENSITY -20% IN 2023 ABSOLUTE GHG EMISSION 80% IN 2025."/>
    <n v="10"/>
    <m/>
    <s v=""/>
    <x v="1"/>
    <s v="Bookrunner Commerzbank COBA JLMB Joint Lead Managers-Books 0 1 2021-12-22 Bookrunner Landesbank Hessen-Thuringen Gi HELABA JLMB Joint Lead Managers-Books 0 1 2021-12-22 NonBookrunner Australia &amp; New Zealand Bankin ANZ COAR Co-Arranger(s) 0 1 2021-12-22 No"/>
    <s v="#N/A N/A"/>
    <s v="#N/A N/A"/>
    <e v="#N/A"/>
    <x v="0"/>
    <s v="Faurecia SEAT MATURITYFIXEDEURSr Unsecured"/>
    <x v="0"/>
  </r>
  <r>
    <n v="109"/>
    <s v="Faurecia SE"/>
    <s v="#N/A Field Not Applicable"/>
    <s v="BT2751951"/>
    <s v="BBG014BFCLP7"/>
    <s v="EOFP"/>
    <s v="FR"/>
    <s v="FR"/>
    <s v="FR"/>
    <n v="0"/>
    <s v="2021-12-22"/>
    <s v="2026-01-12"/>
    <s v="N/A"/>
    <x v="0"/>
    <s v="N"/>
    <s v="4YFX"/>
    <s v="Sr Unsecured"/>
    <s v="EUR"/>
    <s v="#N/A N/A"/>
    <s v="BB"/>
    <s v="FIXED"/>
    <s v="Annual"/>
    <n v="793037000"/>
    <s v="Consumer Discretionary"/>
    <s v="Auto Parts Manufacturing"/>
    <s v="Corporate"/>
    <s v="Industrial"/>
    <s v="Consumer Cyclical"/>
    <s v="Automotive"/>
    <s v="MULTICURRENCY DEAL EQUIV TO EUR 700MM. SETTLE DATES: 12/22/21 AND 1/12/22. ADJ +10BPS. GHG EMISSIONS INTENSITY -20% IN 2023 ABSOLUTE GHG EMISSION 80% IN 2025."/>
    <n v="10"/>
    <m/>
    <s v=""/>
    <x v="1"/>
    <s v="Bookrunner Commerzbank COBA JLMB Joint Lead Managers-Books 0 1 2021-12-22 Bookrunner Landesbank Hessen-Thuringen Gi HELABA JLMB Joint Lead Managers-Books 0 1 2021-12-22 NonBookrunner Australia &amp; New Zealand Bankin ANZ COAR Co-Arranger(s) 0 1 2021-12-22 No"/>
    <s v="#N/A N/A"/>
    <s v="#N/A N/A"/>
    <e v="#N/A"/>
    <x v="0"/>
    <s v="Faurecia SEAT MATURITYFIXEDEURSr Unsecured"/>
    <x v="0"/>
  </r>
  <r>
    <n v="261"/>
    <s v="VZ Secured Financing BV"/>
    <s v="XS2431016034"/>
    <s v="BT3367682"/>
    <s v="BBG014D43343"/>
    <s v="ZIGGO"/>
    <s v="NL"/>
    <s v="NL"/>
    <s v="NL"/>
    <n v="3.5"/>
    <s v="2022-01-20"/>
    <s v="2032-01-15"/>
    <n v="3.5"/>
    <x v="1"/>
    <s v="Y"/>
    <s v="144A"/>
    <s v="Secured"/>
    <s v="EUR"/>
    <s v="B+"/>
    <s v="N.S."/>
    <s v="FIXED"/>
    <s v="S/A"/>
    <n v="849540000"/>
    <s v="Communications"/>
    <s v="Cable &amp; Satellite"/>
    <s v="Corporate"/>
    <s v="Industrial"/>
    <s v="Communications"/>
    <s v="Cable Satellite"/>
    <s v="STEP MARGIN: 12.5BPS, STEP EVENT: CPN INC IF SPT A OR B MISS BY 12/31/2025, REDEMP INC/DEC IF SPT A &amp; B MISS/ACHIEVED, NO LESS THAN 100%"/>
    <n v="12.5"/>
    <m/>
    <s v=""/>
    <x v="2"/>
    <s v="Bookrunner BNP Paribas BNPP JLMB Joint Lead Managers-Books 0 1 2022-01-06 Bookrunner BofA Securities BofA JLMB Joint Lead Managers-Books 0 1 2022-01-06 Bookrunner Credit Suisse CS JLMB Joint Lead Managers-Books 0 1 2022-01-06 Bookrunner Deutsche Bank DB J"/>
    <n v="3.5"/>
    <n v="3.6840000000000002"/>
    <e v="#N/A"/>
    <x v="120"/>
    <s v="VZ Secured Financing BVCALLABLEFIXEDEURSecured"/>
    <x v="0"/>
  </r>
  <r>
    <n v="259"/>
    <s v="VZ Secured Financing BV"/>
    <s v="XS2431015655"/>
    <s v="BT3367799"/>
    <s v="BBG014D438Q8"/>
    <s v="ZIGGO"/>
    <s v="NL"/>
    <s v="NL"/>
    <s v="NL"/>
    <n v="3.5"/>
    <s v="2022-01-20"/>
    <s v="2032-01-15"/>
    <n v="3.5"/>
    <x v="1"/>
    <s v="Y"/>
    <s v="REGS"/>
    <s v="Secured"/>
    <s v="EUR"/>
    <s v="B+"/>
    <s v="N.S."/>
    <s v="FIXED"/>
    <s v="S/A"/>
    <n v="849540000"/>
    <s v="Communications"/>
    <s v="Cable &amp; Satellite"/>
    <s v="Corporate"/>
    <s v="Industrial"/>
    <s v="Communications"/>
    <s v="Cable Satellite"/>
    <s v="STEP MARGIN: 12.5BPS, STEP EVENT: CPN INC IF SPT A OR B MISS BY 12/31/2025, REDEMP INC/DEC IF SPT A &amp; B MISS/ACHIEVED, NO LESS THAN 100%"/>
    <n v="12.5"/>
    <m/>
    <s v=""/>
    <x v="2"/>
    <s v="Bookrunner BNP Paribas BNPP JLMB Joint Lead Managers-Books 0 1 2022-01-06 Bookrunner BofA Securities BofA JLMB Joint Lead Managers-Books 0 1 2022-01-06 Bookrunner Credit Suisse CS JLMB Joint Lead Managers-Books 0 1 2022-01-06 Bookrunner Deutsche Bank DB J"/>
    <n v="3.5"/>
    <n v="3.6779999999999999"/>
    <e v="#N/A"/>
    <x v="121"/>
    <s v="VZ Secured Financing BVCALLABLEFIXEDEURSecured"/>
    <x v="0"/>
  </r>
  <r>
    <n v="260"/>
    <s v="VZ Secured Financing BV"/>
    <s v="USN9T19KAA74"/>
    <s v="BT3408114"/>
    <s v="BBG014D6F318"/>
    <s v="ZIGGO"/>
    <s v="NL"/>
    <s v="NL"/>
    <s v="NL"/>
    <n v="5"/>
    <s v="2022-01-20"/>
    <s v="2032-01-15"/>
    <n v="5.125"/>
    <x v="1"/>
    <s v="Y"/>
    <s v="RegS"/>
    <s v="Secured"/>
    <s v="USD"/>
    <s v="B+"/>
    <s v="N.S."/>
    <s v="FIXED"/>
    <s v="S/A"/>
    <n v="1525000000"/>
    <s v="Communications"/>
    <s v="Cable &amp; Satellite"/>
    <s v="Corporate"/>
    <s v="Industrial"/>
    <s v="Communications"/>
    <s v="Cable Satellite"/>
    <s v="STEP MARGIN: 12.5BPS, STEP EVENT: CPN INC IF SPT A OR B MISS BY 12/31/2025, REDEMP INC/DEC IF SPT A &amp; B MISS/ACHIEVED, NO LESS THAN 100%"/>
    <n v="12.5"/>
    <m/>
    <s v=""/>
    <x v="2"/>
    <s v="Bookrunner BNP Paribas BNPP JLMB Joint Lead Managers-Books 0 1 2022-01-06 Bookrunner BofA Securities BofA JLMB Joint Lead Managers-Books 0 1 2022-01-06 Bookrunner Credit Suisse CS JLMB Joint Lead Managers-Books 0 1 2022-01-06 Bookrunner Deutsche Bank DB J"/>
    <n v="5.125"/>
    <n v="5.1070000000000002"/>
    <e v="#N/A"/>
    <x v="122"/>
    <s v="VZ Secured Financing BVCALLABLEFIXEDUSDSecured"/>
    <x v="0"/>
  </r>
  <r>
    <n v="258"/>
    <s v="VZ Secured Financing BV"/>
    <s v="US91845AAA34"/>
    <s v="BT3408833"/>
    <s v="BBG014D6JTZ0"/>
    <s v="ZIGGO"/>
    <s v="NL"/>
    <s v="NL"/>
    <s v="NL"/>
    <n v="5"/>
    <s v="2022-01-20"/>
    <s v="2032-01-15"/>
    <n v="5.125"/>
    <x v="1"/>
    <s v="Y"/>
    <s v="144a"/>
    <s v="Secured"/>
    <s v="USD"/>
    <s v="B+"/>
    <s v="N.S."/>
    <s v="FIXED"/>
    <s v="S/A"/>
    <n v="1525000000"/>
    <s v="Communications"/>
    <s v="Cable &amp; Satellite"/>
    <s v="Corporate"/>
    <s v="Industrial"/>
    <s v="Communications"/>
    <s v="Cable Satellite"/>
    <s v="STEP MARGIN: 12.5BPS, STEP EVENT: CPN INC IF SPT A OR B MISS BY 12/31/2025, REDEMP INC/DEC IF SPT A &amp; B MISS/ACHIEVED, NO LESS THAN 100%"/>
    <n v="12.5"/>
    <m/>
    <s v=""/>
    <x v="2"/>
    <s v="Bookrunner BNP Paribas BNPP JLMB Joint Lead Managers-Books 0 1 2022-01-06 Bookrunner BofA Securities BofA JLMB Joint Lead Managers-Books 0 1 2022-01-06 Bookrunner Credit Suisse CS JLMB Joint Lead Managers-Books 0 1 2022-01-06 Bookrunner Deutsche Bank DB J"/>
    <n v="5.125"/>
    <n v="5.1379999999999999"/>
    <e v="#N/A"/>
    <x v="123"/>
    <s v="VZ Secured Financing BVCALLABLEFIXEDUSDSecured"/>
    <x v="0"/>
  </r>
  <r>
    <n v="35"/>
    <s v="CPI Property Group SA"/>
    <s v="XS2432162654"/>
    <s v="BT3966533"/>
    <s v="BBG014G3F2J5"/>
    <s v="CPIPGR"/>
    <s v="LU"/>
    <s v="LU"/>
    <s v="CZ"/>
    <n v="1.75"/>
    <s v="2022-01-14"/>
    <s v="2030-01-14"/>
    <n v="2.0169999999999999"/>
    <x v="1"/>
    <s v="Y"/>
    <s v="EMTN"/>
    <s v="Sr Unsecured"/>
    <s v="EUR"/>
    <s v="BBB"/>
    <s v="N.S."/>
    <s v="FIXED"/>
    <s v="Annual"/>
    <n v="798147000"/>
    <s v="Financials"/>
    <s v="Real Estate"/>
    <s v="Corporate"/>
    <s v="Financial Institutions"/>
    <s v="Other Financial"/>
    <s v="Other Financial"/>
    <s v="STEP-UP MARGIN: 25BPS, STEP-UP EVENT: GHG EMISSION INTENSITY &gt; 0.095T CO2EQ/M2 OF CPIPG PROPERTY PORTFOLIO FOR FY 2027."/>
    <n v="25"/>
    <m/>
    <s v=""/>
    <x v="1"/>
    <s v="Bookrunner Bank of China International (U BCHINA JLMB Joint Lead Managers-Books 0 1 2022-01-10 Bookrunner Barclays BARCS JLMB Joint Lead Managers-Books 0 1 2022-01-10 Bookrunner Goldman Sachs International GSI JLMB Joint Lead Managers-Books 0 1 2022-01-10"/>
    <n v="2.0169999999999999"/>
    <n v="2.0209999999999999"/>
    <e v="#N/A"/>
    <x v="124"/>
    <s v="CPI Property Group SACALLABLEFIXEDEURSr Unsecured"/>
    <x v="1"/>
  </r>
  <r>
    <n v="79"/>
    <s v="Enel Finance International NV"/>
    <s v="XS2432293673"/>
    <s v="BT4292533"/>
    <s v="BBG014GTTYY6"/>
    <s v="ENELIM"/>
    <s v="NL"/>
    <s v="NL"/>
    <s v="IT"/>
    <n v="0.25"/>
    <s v="2022-01-17"/>
    <s v="2025-11-17"/>
    <n v="0.27729999999999999"/>
    <x v="1"/>
    <s v="Y"/>
    <s v="#N/A Field Not Applicable"/>
    <s v="Sr Unsecured"/>
    <s v="EUR"/>
    <s v="BBB+"/>
    <s v="N.S."/>
    <s v="FIXED"/>
    <s v="Annual"/>
    <n v="1426475000"/>
    <s v="Utilities"/>
    <s v="Utilities"/>
    <s v="Corporate"/>
    <s v="Utility"/>
    <s v="Electric"/>
    <s v="Electric"/>
    <s v="STEP-UP MARGIN: 25BP, STEP-UP EVENT: 12/31/23 DIRECT GHG EMISSIONS BEING ABOVE 148G/KWHEQ"/>
    <n v="25"/>
    <m/>
    <s v=""/>
    <x v="1"/>
    <s v="Bookrunner Banca Akros SpA AKROS JLMB Joint Lead Managers-Books 0 1 2022-01-10 Bookrunner Banco Bilbao Vizcaya Argentari BBVA JLMB Joint Lead Managers-Books 0 1 2022-01-10 Bookrunner Banco Santander SANT JLMB Joint Lead Managers-Books 0 1 2022-01-10 Bookr"/>
    <s v="#N/A N/A"/>
    <n v="0.30199999999999999"/>
    <e v="#N/A"/>
    <x v="125"/>
    <s v="Enel Finance International NVCALLABLEFIXEDEURSr Unsecured"/>
    <x v="0"/>
  </r>
  <r>
    <n v="77"/>
    <s v="Enel Finance International NV"/>
    <s v="XS2432293756"/>
    <s v="BT4292558"/>
    <s v="BBG014GTV031"/>
    <s v="ENELIM"/>
    <s v="NL"/>
    <s v="NL"/>
    <s v="IT"/>
    <n v="0.875"/>
    <s v="2022-01-17"/>
    <s v="2031-01-17"/>
    <n v="1.0269999999999999"/>
    <x v="1"/>
    <s v="Y"/>
    <s v="emtn"/>
    <s v="Sr Unsecured"/>
    <s v="EUR"/>
    <s v="BBB+"/>
    <s v="N.S."/>
    <s v="FIXED"/>
    <s v="Annual"/>
    <n v="855885000"/>
    <s v="Utilities"/>
    <s v="Utilities"/>
    <s v="Corporate"/>
    <s v="Utility"/>
    <s v="Electric"/>
    <s v="Electric"/>
    <s v="STEP-UP MARGIN: 25BP, STEP-UP EVENT: 12/31/24 DIRECT GHG EMISSIONS BEING ABOVE 140G/KWHEQ"/>
    <n v="25"/>
    <m/>
    <s v=""/>
    <x v="1"/>
    <s v="Bookrunner Banca Akros SpA AKROS JLMB Joint Lead Managers-Books 0 1 2022-01-10 Bookrunner Banco Bilbao Vizcaya Argentari BBVA JLMB Joint Lead Managers-Books 0 1 2022-01-10 Bookrunner Banco Santander SANT JLMB Joint Lead Managers-Books 0 1 2022-01-10 Bookr"/>
    <n v="1.0269999999999999"/>
    <n v="1.032"/>
    <e v="#N/A"/>
    <x v="126"/>
    <s v="Enel Finance International NVCALLABLEFIXEDEURSr Unsecured"/>
    <x v="0"/>
  </r>
  <r>
    <n v="78"/>
    <s v="Enel Finance International NV"/>
    <s v="XS2432293913"/>
    <s v="BT4292566"/>
    <s v="BBG014GTV0J4"/>
    <s v="ENELIM"/>
    <s v="NL"/>
    <s v="NL"/>
    <s v="IT"/>
    <n v="1.25"/>
    <s v="2022-01-17"/>
    <s v="2035-01-17"/>
    <n v="1.306"/>
    <x v="1"/>
    <s v="Y"/>
    <s v="emtn"/>
    <s v="Sr Unsecured"/>
    <s v="EUR"/>
    <s v="BBB+"/>
    <s v="N.S."/>
    <s v="FIXED"/>
    <s v="Annual"/>
    <n v="855885000"/>
    <s v="Utilities"/>
    <s v="Utilities"/>
    <s v="Corporate"/>
    <s v="Utility"/>
    <s v="Electric"/>
    <s v="Electric"/>
    <s v="STEP-UP MARGIN: 25BP, STEP-UP EVENT: 12/31/30 DIRECT GHG EMISSIONS BEING ABOVE 82G/KWHEQ"/>
    <n v="25"/>
    <m/>
    <s v=""/>
    <x v="1"/>
    <s v="Bookrunner Banca Akros SpA AKROS JLMB Joint Lead Managers-Books 50000 1 2022-01-10 Bookrunner Banco Bilbao Vizcaya Argentari BBVA JLMB Joint Lead Managers-Books 50000 1 2022-01-10 Bookrunner Banco Santander SANT JLMB Joint Lead Managers-Books 50000 1 2022"/>
    <n v="1.306"/>
    <n v="1.3460000000000001"/>
    <e v="#N/A"/>
    <x v="127"/>
    <s v="Enel Finance International NVCALLABLEFIXEDEURSr Unsecured"/>
    <x v="0"/>
  </r>
  <r>
    <n v="240"/>
    <s v="Snam SpA"/>
    <s v="XS2433211310"/>
    <s v="BT4343112"/>
    <s v="BBG014GXZ207"/>
    <s v="SRGIM"/>
    <s v="IT"/>
    <s v="IT"/>
    <s v="IT"/>
    <n v="0.75"/>
    <s v="2022-01-20"/>
    <s v="2029-06-20"/>
    <n v="1.2725"/>
    <x v="1"/>
    <s v="Y"/>
    <s v="EMTN"/>
    <s v="Sr Unsecured"/>
    <s v="EUR"/>
    <s v="BBB"/>
    <s v="A"/>
    <s v="FIXED"/>
    <s v="Annual"/>
    <n v="962812000"/>
    <s v="Utilities"/>
    <s v="Utilities"/>
    <s v="Corporate"/>
    <s v="Utility"/>
    <s v="Natural Gas"/>
    <s v="Natural Gas"/>
    <s v="STEP-UP MARGIN: 25bpts, STEP-UP EVENT: FAIL TO REDUCE SCOPE 1/2 GHG EMISSIONS BY 50% BY DEC 2030."/>
    <n v="25"/>
    <m/>
    <s v=""/>
    <x v="1"/>
    <s v="Bookrunner Barclays BARCS JLMB Joint Lead Managers-Books 0 1 2022-01-12 Bookrunner BNP Paribas BNPP JLMB Joint Lead Managers-Books 0 1 2022-01-12 Bookrunner Goldman Sachs International GSI JLMB Joint Lead Managers-Books 0 1 2022-01-12 Bookrunner IMI - Int"/>
    <s v="#N/A N/A"/>
    <n v="0.84499999999999997"/>
    <e v="#N/A"/>
    <x v="128"/>
    <s v="Snam SpACALLABLEFIXEDEURSr Unsecured"/>
    <x v="1"/>
  </r>
  <r>
    <n v="241"/>
    <s v="Snam SpA"/>
    <s v="XS2433226854"/>
    <s v="BT4343138"/>
    <s v="BBG014GXZ4M9"/>
    <s v="SRGIM"/>
    <s v="IT"/>
    <s v="IT"/>
    <s v="IT"/>
    <n v="1.25"/>
    <s v="2022-01-20"/>
    <s v="2034-06-20"/>
    <n v="1.2710000000000001"/>
    <x v="1"/>
    <s v="Y"/>
    <s v="EMTN"/>
    <s v="Sr Unsecured"/>
    <s v="EUR"/>
    <s v="BBB"/>
    <s v="A"/>
    <s v="FIXED"/>
    <s v="Annual"/>
    <n v="736268000"/>
    <s v="Utilities"/>
    <s v="Utilities"/>
    <s v="Corporate"/>
    <s v="Utility"/>
    <s v="Natural Gas"/>
    <s v="Natural Gas"/>
    <s v="CLEAN-UP CALL 80%. STEP-UP MARGIN: 25bpts, STEP-UP EVENT: FAIL TO REDUCE NATURAL GAS/SCOPE 1/2 GHG EMISSIONS BY 55%/40% BY DEC 2025/2027."/>
    <n v="25"/>
    <m/>
    <s v=""/>
    <x v="1"/>
    <s v="Bookrunner Barclays Bank Ireland PLC BARCBK JLMB Joint Lead Managers-Books 0 1 2022-01-12 Bookrunner BNP Paribas BNPP JLMB Joint Lead Managers-Books 0 1 2022-01-12 Bookrunner BofA Securities Europe SA BOFAS JLMB Joint Lead Managers-Books 0 1 2022-01-12 Bo"/>
    <n v="1.2710000000000001"/>
    <n v="1.2769999999999999"/>
    <e v="#N/A"/>
    <x v="129"/>
    <s v="Snam SpACALLABLEFIXEDEURSr Unsecured"/>
    <x v="1"/>
  </r>
  <r>
    <n v="289"/>
    <s v="degewo AG"/>
    <s v="#N/A Field Not Applicable"/>
    <s v="BT5670141"/>
    <s v="BBG014LKY8R8"/>
    <s v="DEGEWO"/>
    <s v="DE"/>
    <s v="DE"/>
    <s v="DE"/>
    <n v="0"/>
    <s v="2022-02-24"/>
    <s v="2062-02-24"/>
    <s v="N/A"/>
    <x v="0"/>
    <s v="N"/>
    <s v="40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1"/>
    <s v="degewo AG"/>
    <s v="#N/A Field Not Applicable"/>
    <s v="BT5673616"/>
    <s v="BBG014LL3NG9"/>
    <s v="DEGEWO"/>
    <s v="DE"/>
    <s v="DE"/>
    <s v="DE"/>
    <n v="0"/>
    <s v="2022-02-24"/>
    <s v="2057-02-24"/>
    <s v="N/A"/>
    <x v="0"/>
    <s v="N"/>
    <s v="35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2"/>
    <s v="degewo AG"/>
    <s v="#N/A Field Not Applicable"/>
    <s v="BT5673632"/>
    <s v="BBG014LL3NX0"/>
    <s v="DEGEWO"/>
    <s v="DE"/>
    <s v="DE"/>
    <s v="DE"/>
    <n v="0"/>
    <s v="2022-02-24"/>
    <s v="2052-02-24"/>
    <s v="N/A"/>
    <x v="0"/>
    <s v="N"/>
    <s v="30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3"/>
    <s v="degewo AG"/>
    <s v="#N/A Field Not Applicable"/>
    <s v="BT5673640"/>
    <s v="BBG014LL3PM7"/>
    <s v="DEGEWO"/>
    <s v="DE"/>
    <s v="DE"/>
    <s v="DE"/>
    <n v="0"/>
    <s v="2022-02-24"/>
    <s v="2047-02-24"/>
    <s v="N/A"/>
    <x v="0"/>
    <s v="N"/>
    <s v="25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90"/>
    <s v="degewo AG"/>
    <s v="#N/A Field Not Applicable"/>
    <s v="BT5673665"/>
    <s v="BBG014LL3Q36"/>
    <s v="DEGEWO"/>
    <s v="DE"/>
    <s v="DE"/>
    <s v="DE"/>
    <n v="0"/>
    <s v="2022-02-24"/>
    <s v="2042-02-24"/>
    <s v="N/A"/>
    <x v="0"/>
    <s v="N"/>
    <s v="20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4"/>
    <s v="degewo AG"/>
    <s v="#N/A Field Not Applicable"/>
    <s v="BT5673673"/>
    <s v="BBG014LL3QG2"/>
    <s v="DEGEWO"/>
    <s v="DE"/>
    <s v="DE"/>
    <s v="DE"/>
    <n v="0"/>
    <s v="2022-02-24"/>
    <s v="2037-02-24"/>
    <s v="N/A"/>
    <x v="0"/>
    <s v="N"/>
    <s v="15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5"/>
    <s v="degewo AG"/>
    <s v="#N/A Field Not Applicable"/>
    <s v="BT5673681"/>
    <s v="BBG014LL3QX3"/>
    <s v="DEGEWO"/>
    <s v="DE"/>
    <s v="DE"/>
    <s v="DE"/>
    <n v="0"/>
    <s v="2022-02-24"/>
    <s v="2032-02-24"/>
    <s v="N/A"/>
    <x v="0"/>
    <s v="N"/>
    <s v="10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6"/>
    <s v="degewo AG"/>
    <s v="#N/A Field Not Applicable"/>
    <s v="BT5673699"/>
    <s v="BBG014LL3R52"/>
    <s v="DEGEWO"/>
    <s v="DE"/>
    <s v="DE"/>
    <s v="DE"/>
    <n v="0"/>
    <s v="2022-02-24"/>
    <s v="2029-02-24"/>
    <s v="N/A"/>
    <x v="0"/>
    <s v="N"/>
    <s v="7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7"/>
    <s v="degewo AG"/>
    <s v="#N/A Field Not Applicable"/>
    <s v="BT5673707"/>
    <s v="BBG014LL3RM3"/>
    <s v="DEGEWO"/>
    <s v="DE"/>
    <s v="DE"/>
    <s v="DE"/>
    <n v="0"/>
    <s v="2022-02-24"/>
    <s v="2027-02-24"/>
    <s v="N/A"/>
    <x v="0"/>
    <s v="N"/>
    <s v="5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88"/>
    <s v="degewo AG"/>
    <s v="#N/A Field Not Applicable"/>
    <s v="BT5673772"/>
    <s v="BBG014LL45K2"/>
    <s v="DEGEWO"/>
    <s v="DE"/>
    <s v="DE"/>
    <s v="DE"/>
    <n v="0"/>
    <s v="2022-02-24"/>
    <s v="2025-02-24"/>
    <s v="N/A"/>
    <x v="0"/>
    <s v="N"/>
    <s v="3Y"/>
    <s v="Sr Unsecured"/>
    <s v="EUR"/>
    <s v="#N/A N/A"/>
    <s v="N.S."/>
    <s v="FLOATING"/>
    <s v="S/A"/>
    <n v="558330000"/>
    <s v="Financials"/>
    <s v="Real Estate"/>
    <s v="Government-Related"/>
    <s v="Local Authority"/>
    <s v="Local Authority"/>
    <s v="Local Authority"/>
    <s v="PRICING ADJ: +1.5BPS IF KPIS NOT ACHIEVED. KPIS: NEW RENTALS TO HOUSEHOLDS UNDER RESIDENTIAL ENTITLEMENT CERTIFICATE PROGRAM; CO2 EMISSIONS FOR ENTIRE PORTFOLIO"/>
    <n v="1.5"/>
    <n v="1.5"/>
    <s v="yes"/>
    <x v="5"/>
    <s v="Bookrunner BayernLB BAYLB JLMB Joint Lead Managers-Books 0 1 2022-02-24 Bookrunner UniCredit Bank AG UNICRD JLMB Joint Lead Managers-Books 0 1 2022-02-24"/>
    <s v="#N/A N/A"/>
    <s v="#N/A N/A"/>
    <e v="#N/A"/>
    <x v="0"/>
    <s v="degewo AGAT MATURITYFLOATINGEURSr Unsecured"/>
    <x v="0"/>
  </r>
  <r>
    <n v="277"/>
    <s v="Webuild SpA"/>
    <s v="XS2437324333"/>
    <s v="BT5681023"/>
    <s v="BBG014LLWV97"/>
    <s v="IPGIM"/>
    <s v="IT"/>
    <s v="IT"/>
    <s v="IT"/>
    <n v="3.875"/>
    <s v="2022-01-28"/>
    <s v="2026-07-28"/>
    <n v="3.879"/>
    <x v="1"/>
    <s v="Y"/>
    <s v="#N/A Field Not Applicable"/>
    <s v="Sr Unsecured"/>
    <s v="EUR"/>
    <s v="BB-"/>
    <s v="N.S."/>
    <s v="FIXED"/>
    <s v="Annual"/>
    <n v="446048000"/>
    <s v="Industrials"/>
    <s v="Industrial Other"/>
    <s v="Corporate"/>
    <s v="Industrial"/>
    <s v="Other Industrial"/>
    <s v="Other Industrial"/>
    <s v="STEP-UP MARGIN: 75BPS AT REDEMPTION, STEP-UP EVENT: FAILURE TO REDUCE SUM OF SCOPE 1 &amp; 2 GHG EMISSIONS BY 50% BY 12/31/2025 OR AT REDEMPTION."/>
    <n v="75"/>
    <m/>
    <s v=""/>
    <x v="1"/>
    <s v="Bookrunner BofA Securities BofA JLMB Joint Lead Managers-Books 0 1 2022-01-19 Bookrunner Goldman Sachs International GSI JLMB Joint Lead Managers-Books 0 1 2022-01-19 Bookrunner IMI - Intesa Sanpaolo IMI JLMB Joint Lead Managers-Books 0 1 2022-01-19 Bookr"/>
    <n v="3.879"/>
    <n v="4.0060000000000002"/>
    <e v="#N/A"/>
    <x v="130"/>
    <s v="Webuild SpACALLABLEFIXEDEURSr Unsecured"/>
    <x v="1"/>
  </r>
  <r>
    <n v="101"/>
    <s v="FIS Fabbrica Italiana Sintetici SpA"/>
    <s v="XS2436585355"/>
    <s v="BT9871315"/>
    <s v="BBG014ZYYJ44"/>
    <s v="FISITA"/>
    <s v="IT"/>
    <s v="IT"/>
    <s v="IT"/>
    <n v="5.625"/>
    <s v="2022-02-10"/>
    <s v="2027-08-01"/>
    <n v="5.8300999999999998"/>
    <x v="1"/>
    <s v="Y"/>
    <s v="REGS"/>
    <s v="Secured"/>
    <s v="EUR"/>
    <s v="B"/>
    <s v="N.S."/>
    <s v="FIXED"/>
    <s v="S/A"/>
    <n v="401278500"/>
    <s v="Materials"/>
    <s v="Chemicals"/>
    <s v="Corporate"/>
    <s v="Industrial"/>
    <s v="Basic Industry"/>
    <s v="Chemicals"/>
    <s v="STEP-UP MARGIN: 0.2% REDEMPTION PRICE PER SPT. STEP-UP EVENT: FAILURE TO MEET YEARLY SPT 1/2/3 BY YEAR-END 2021-2026."/>
    <s v="%"/>
    <m/>
    <s v=""/>
    <x v="2"/>
    <s v="Bookrunner Banca Akros SpA AKROS JLMB Joint Lead Managers-Books 0 1 2022-02-03 Bookrunner BNP Paribas BNPP JLMB Joint Lead Managers-Books 0 1 2022-02-03 Bookrunner Credit Suisse CS JLMB Joint Lead Managers-Books 0 1 2022-02-03 Bookrunner IMI - Intesa Sanp"/>
    <s v="#N/A N/A"/>
    <n v="5.7370000000000001"/>
    <e v="#N/A"/>
    <x v="131"/>
    <s v="FIS Fabbrica Italiana Sintetici SpACALLABLEFIXEDEURSecured"/>
    <x v="0"/>
  </r>
  <r>
    <n v="100"/>
    <s v="FIS Fabbrica Italiana Sintetici SpA"/>
    <s v="XS2436586247"/>
    <s v="BT9871331"/>
    <s v="BBG014ZYYKB3"/>
    <s v="FISITA"/>
    <s v="IT"/>
    <s v="IT"/>
    <s v="IT"/>
    <n v="5.625"/>
    <s v="2022-02-10"/>
    <s v="2027-08-01"/>
    <n v="5.8429000000000002"/>
    <x v="1"/>
    <s v="Y"/>
    <s v="144A"/>
    <s v="Secured"/>
    <s v="EUR"/>
    <s v="B"/>
    <s v="N.S."/>
    <s v="FIXED"/>
    <s v="S/A"/>
    <n v="401278500"/>
    <s v="Materials"/>
    <s v="Chemicals"/>
    <s v="Corporate"/>
    <s v="Industrial"/>
    <s v="Basic Industry"/>
    <s v="Chemicals"/>
    <s v="STEP-UP MARGIN: 0.2% REDEMPTION PRICE PER SPT. STEP-UP EVENT: FAILURE TO MEET YEARLY SPT 1/2/3 BY YEAR-END 2021-2026."/>
    <s v="%"/>
    <m/>
    <s v=""/>
    <x v="2"/>
    <s v="Bookrunner Banca Akros SpA AKROS JLMB Joint Lead Managers-Books 0 1 2022-02-03 Bookrunner BNP Paribas BNPP JLMB Joint Lead Managers-Books 0 1 2022-02-03 Bookrunner Credit Suisse CS JLMB Joint Lead Managers-Books 0 1 2022-02-03 Bookrunner IMI - Intesa Sanp"/>
    <s v="#N/A N/A"/>
    <n v="5.79"/>
    <e v="#N/A"/>
    <x v="132"/>
    <s v="FIS Fabbrica Italiana Sintetici SpACALLABLEFIXEDEURSecured"/>
    <x v="0"/>
  </r>
  <r>
    <n v="18"/>
    <s v="Atrium Ljungberg AB"/>
    <s v="SE0013883428"/>
    <s v="BU3126846"/>
    <s v="BBG01561W2S8"/>
    <s v="ATRLJB"/>
    <s v="SE"/>
    <s v="SE"/>
    <s v="SE"/>
    <n v="1.3320000000000001"/>
    <s v="2022-02-22"/>
    <s v="2027-02-22"/>
    <n v="1.4698"/>
    <x v="0"/>
    <s v="N"/>
    <s v="#N/A Field Not Applicable"/>
    <s v="Sr Unsecured"/>
    <s v="SEK"/>
    <s v="#N/A N/A"/>
    <s v="N.S."/>
    <s v="FLOATING"/>
    <s v="Qtrly"/>
    <n v="107087000"/>
    <s v="Financials"/>
    <s v="Real Estate"/>
    <s v="Corporate"/>
    <s v="Industrial"/>
    <s v="Consumer Cyclical"/>
    <s v="Consumer Cyc Services"/>
    <s v="SUSTAIN. LINKD. KPI 1-4 &amp; SPT 1-4 AS PER SUSTAIN. FRAMEWRK. REDMPT PX INCREASE BY 0.25% PER SPT IF NOT FULFLLD BY 12/31/25. MAX REDMPT 101"/>
    <s v="%"/>
    <m/>
    <s v=""/>
    <x v="2"/>
    <s v="Bookrunner Handelsbanken Capital Markets HCM SOLE Sole Manager 1000000 1 2022-02-15 Trustee Handelsbanken Capital Markets HCM PAAG Paying Agent(s) 0 7 2022-02-15"/>
    <s v="#N/A N/A"/>
    <n v="1.417"/>
    <e v="#N/A"/>
    <x v="133"/>
    <s v="Atrium Ljungberg ABAT MATURITYFLOATINGSEKSr Unsecured"/>
    <x v="0"/>
  </r>
  <r>
    <n v="271"/>
    <s v="Vestas Wind Systems Finance BV"/>
    <s v="XS2449928543"/>
    <s v="BU6749503"/>
    <s v="BBG015JQWQ42"/>
    <s v="VWSDC"/>
    <s v="NL"/>
    <s v="NL"/>
    <s v="NL"/>
    <n v="1.5"/>
    <s v="2022-03-15"/>
    <s v="2029-06-15"/>
    <n v="1.524"/>
    <x v="1"/>
    <s v="Y"/>
    <s v="EMTN"/>
    <s v="Sr Unsecured"/>
    <s v="EUR"/>
    <s v="NR"/>
    <s v="N.S."/>
    <s v="FIXED"/>
    <s v="Annual"/>
    <n v="546920000"/>
    <s v="Energy"/>
    <s v="Renewable Energy"/>
    <s v="Corporate"/>
    <s v="Industrial"/>
    <s v="Capital Goods"/>
    <s v="Diversified Manufacturing"/>
    <s v="STEP-UP MARGIN: UP TO 25BP; STEP-UP EVENT: SCOPE 1, 2 AND 3 CO2 EMISSIONS"/>
    <n v="25"/>
    <m/>
    <s v=""/>
    <x v="1"/>
    <s v="Bookrunner Citi CITI JLMB Joint Lead Managers-Books 100000 1 2022-03-08 Bookrunner DNB Markets DNB JLMB Joint Lead Managers-Books 100000 1 2022-03-08 Bookrunner SEB SEB JLMB Joint Lead Managers-Books 100000 1 2022-03-08 Bookrunner Societe Generale SG JLMB"/>
    <n v="1.524"/>
    <n v="1.516"/>
    <e v="#N/A"/>
    <x v="134"/>
    <s v="Vestas Wind Systems Finance BVCALLABLEFIXEDEURSr Unsecured"/>
    <x v="0"/>
  </r>
  <r>
    <n v="272"/>
    <s v="Vestas Wind Systems Finance BV"/>
    <s v="XS2449929517"/>
    <s v="BU6749586"/>
    <s v="BBG015JQWRH6"/>
    <s v="VWSDC"/>
    <s v="NL"/>
    <s v="NL"/>
    <s v="NL"/>
    <n v="2"/>
    <s v="2022-03-15"/>
    <s v="2034-06-15"/>
    <n v="2.1190000000000002"/>
    <x v="1"/>
    <s v="Y"/>
    <s v="EMTN"/>
    <s v="Sr Unsecured"/>
    <s v="EUR"/>
    <s v="NR"/>
    <s v="N.S."/>
    <s v="FIXED"/>
    <s v="Annual"/>
    <n v="546920000"/>
    <s v="Energy"/>
    <s v="Renewable Energy"/>
    <s v="Corporate"/>
    <s v="Industrial"/>
    <s v="Capital Goods"/>
    <s v="Diversified Manufacturing"/>
    <s v="STEP-UP MARGIN: UP TO 25BP; STEP-UP EVENT: SCOPE 1, 2 AND 3 CO2 EMISSIONS"/>
    <n v="25"/>
    <m/>
    <s v=""/>
    <x v="1"/>
    <s v="Bookrunner Citi CITI JLMB Joint Lead Managers-Books 100000 1 2022-03-08 Bookrunner DNB Markets DNB JLMB Joint Lead Managers-Books 100000 1 2022-03-08 Bookrunner SEB SEB JLMB Joint Lead Managers-Books 100000 1 2022-03-08 Bookrunner Societe Generale SG JLMB"/>
    <n v="2.1190000000000002"/>
    <n v="2.1259999999999999"/>
    <e v="#N/A"/>
    <x v="135"/>
    <s v="Vestas Wind Systems Finance BVCALLABLEFIXEDEURSr Unsecured"/>
    <x v="0"/>
  </r>
  <r>
    <n v="264"/>
    <s v="Varta AG"/>
    <s v="#N/A Field Not Applicable"/>
    <s v="BU9302615"/>
    <s v="BBG015R5V118"/>
    <s v="VARGR"/>
    <s v="DE"/>
    <s v="DE"/>
    <s v="DE"/>
    <n v="0"/>
    <s v="2022-03-30"/>
    <s v="2029-03-30"/>
    <s v="N/A"/>
    <x v="0"/>
    <s v="N"/>
    <s v="7Y"/>
    <s v="Sr Unsecured"/>
    <s v="EUR"/>
    <s v="#N/A N/A"/>
    <s v="N.S."/>
    <s v="FLOATING"/>
    <s v="S/A"/>
    <n v="278932500"/>
    <s v="Consumer Staples"/>
    <s v="Consumer Products"/>
    <s v="Corporate"/>
    <s v="Industrial"/>
    <s v="Capital Goods"/>
    <s v="Diversified Manufacturing"/>
    <s v="ESG LINKED +/-2.5 BPS BASED ON SUSTAINALYTICS ESG RATING."/>
    <n v="2.5"/>
    <n v="2.5"/>
    <s v="yes"/>
    <x v="0"/>
    <s v="Bookrunner BayernLB BAYLB JLMB Joint Lead Managers-Books 0 1 2022-03-30 Bookrunner HSBC HSBC JLMB Joint Lead Managers-Books 0 1 2022-03-30 Bookrunner UniCredit UNICRD JLMB Joint Lead Managers-Books 0 1 2022-03-30"/>
    <s v="#N/A N/A"/>
    <s v="#N/A N/A"/>
    <e v="#N/A"/>
    <x v="0"/>
    <s v="Varta AGAT MATURITYFLOATINGEURSr Unsecured"/>
    <x v="0"/>
  </r>
  <r>
    <n v="263"/>
    <s v="Varta AG"/>
    <s v="#N/A Field Not Applicable"/>
    <s v="BU9303993"/>
    <s v="BBG015R60762"/>
    <s v="VARGR"/>
    <s v="DE"/>
    <s v="DE"/>
    <s v="DE"/>
    <n v="0"/>
    <s v="2022-03-30"/>
    <s v="2027-03-30"/>
    <s v="N/A"/>
    <x v="0"/>
    <s v="N"/>
    <s v="5Y"/>
    <s v="Sr Unsecured"/>
    <s v="EUR"/>
    <s v="#N/A N/A"/>
    <s v="N.S."/>
    <s v="FLOATING"/>
    <s v="S/A"/>
    <n v="278932500"/>
    <s v="Consumer Staples"/>
    <s v="Consumer Products"/>
    <s v="Corporate"/>
    <s v="Industrial"/>
    <s v="Capital Goods"/>
    <s v="Diversified Manufacturing"/>
    <s v="ESG LINKED +/-2.5 BPS BASED ON SUSTAINALYTICS ESG RATING."/>
    <n v="2.5"/>
    <n v="2.5"/>
    <s v="yes"/>
    <x v="0"/>
    <s v="Bookrunner BayernLB BAYLB JLMB Joint Lead Managers-Books 0 1 2022-03-30 Bookrunner HSBC HSBC JLMB Joint Lead Managers-Books 0 1 2022-03-30 Bookrunner UniCredit UNICRD JLMB Joint Lead Managers-Books 0 1 2022-03-30"/>
    <s v="#N/A N/A"/>
    <s v="#N/A N/A"/>
    <e v="#N/A"/>
    <x v="0"/>
    <s v="Varta AGAT MATURITYFLOATINGEURSr Unsecured"/>
    <x v="0"/>
  </r>
  <r>
    <n v="2"/>
    <s v="A2A SpA"/>
    <s v="XS2457496359"/>
    <s v="BV1138858"/>
    <s v="BBG015XJG305"/>
    <s v="AEMSPA"/>
    <s v="IT"/>
    <s v="IT"/>
    <s v="IT"/>
    <n v="1.5"/>
    <s v="2022-03-16"/>
    <s v="2028-03-16"/>
    <n v="1.6220000000000001"/>
    <x v="1"/>
    <s v="Y"/>
    <s v="EMTN"/>
    <s v="Sr Unsecured"/>
    <s v="EUR"/>
    <s v="BBB"/>
    <s v="N.S."/>
    <s v="FIXED"/>
    <s v="Annual"/>
    <n v="549215000"/>
    <s v="Utilities"/>
    <s v="Power Generation"/>
    <s v="Government-Related"/>
    <s v="Local Authority"/>
    <s v="Local Authority"/>
    <s v="Local Authority"/>
    <s v="RENEWABLE ENERGY SLB. SPT: INSTALLATION &lt; 3,000MW on 12/31/2024. STEP-UP: 25bpts"/>
    <n v="25"/>
    <m/>
    <s v=""/>
    <x v="1"/>
    <s v="Bookrunner Banco Bilbao Vizcaya Argentari BBVA JLMB Joint Lead Managers-Books 0 1 2022-03-09 Bookrunner Banco Santander SA/London SANTAN JLMB Joint Lead Managers-Books 0 1 2022-03-09 Bookrunner BNP Paribas BNPP JLMB Joint Lead Managers-Books 0 1 2022-03-0"/>
    <n v="1.6220000000000001"/>
    <n v="1.7070000000000001"/>
    <e v="#N/A"/>
    <x v="136"/>
    <s v="A2A SpACALLABLEFIXEDEURSr Unsecured"/>
    <x v="1"/>
  </r>
  <r>
    <n v="162"/>
    <s v="LANXESS AG"/>
    <s v="XS2459163619"/>
    <s v="BV2249076"/>
    <s v="BBG0160XMH28"/>
    <s v="LXSGR"/>
    <s v="DE"/>
    <s v="DE"/>
    <s v="DE"/>
    <n v="1.75"/>
    <s v="2022-03-22"/>
    <s v="2028-03-22"/>
    <n v="1.8129999999999999"/>
    <x v="1"/>
    <s v="Y"/>
    <s v="EMTN"/>
    <s v="Sr Unsecured"/>
    <s v="EUR"/>
    <s v="BBB"/>
    <s v="AA"/>
    <s v="FIXED"/>
    <s v="Annual"/>
    <n v="661404000"/>
    <s v="Materials"/>
    <s v="Chemicals"/>
    <s v="Corporate"/>
    <s v="Industrial"/>
    <s v="Basic Industry"/>
    <s v="Chemicals"/>
    <s v="STEP-UP MARGIN: 25BPS, STEP-UP EVENT: REDUCTION OF GHG EMISSIONS (SCOPE 1+2) BY 600KT TO 2,600KT (81.25% OF THE 2018 BASELINE) BY 2025"/>
    <n v="25"/>
    <m/>
    <s v=""/>
    <x v="1"/>
    <s v="Bookrunner Bank of America Securities Ltd BASL JLMB Joint Lead Managers-Books 0 1 2022-03-14 Bookrunner Barclays BARCS JLMB Joint Lead Managers-Books 0 1 2022-03-14 Bookrunner Commerzbank COBA JLMB Joint Lead Managers-Books 0 1 2022-03-14 Bookrunner JP Mo"/>
    <n v="1.8129999999999999"/>
    <n v="1.8520000000000001"/>
    <e v="#N/A"/>
    <x v="137"/>
    <s v="LANXESS AGCALLABLEFIXEDEURSr Unsecured"/>
    <x v="1"/>
  </r>
  <r>
    <n v="161"/>
    <s v="L'Oreal SA"/>
    <s v="FR0014009EJ8"/>
    <s v="BV4081634"/>
    <s v="BBG0167XVGD1"/>
    <s v="ORFP"/>
    <s v="FR"/>
    <s v="FR"/>
    <s v="FR"/>
    <n v="0.875"/>
    <s v="2022-03-29"/>
    <s v="2026-06-29"/>
    <n v="0.90100000000000002"/>
    <x v="1"/>
    <s v="Y"/>
    <s v="#N/A Field Not Applicable"/>
    <s v="Sr Unsecured"/>
    <s v="EUR"/>
    <s v="AA"/>
    <s v="AAA"/>
    <s v="FIXED"/>
    <s v="Annual"/>
    <n v="1385037500"/>
    <s v="Consumer Staples"/>
    <s v="Consumer Products"/>
    <s v="Corporate"/>
    <s v="Industrial"/>
    <s v="Consumer Non-Cyclical"/>
    <s v="Consumer Products"/>
    <s v="STEP-UP MARGIN: 12.5BP PER SPT (2025); SPT1: 0 ABSOLUTE SCOPES 1,2 GHG, SPT2: 14% REDUCTION OF SCOPES 1,2,3; SPT3: USE 50% OF RECYCLED PLASTICS IN PACKAGING"/>
    <n v="12.5"/>
    <m/>
    <s v=""/>
    <x v="1"/>
    <s v="Bookrunner Banco Santander SANTAN JLMB Joint Lead Managers-Books 0 1 2022-03-22 Bookrunner BNP Paribas BNPP JLMB Joint Lead Managers-Books 0 1 2022-03-22 Bookrunner BofA Securities Europe SA BOFAS JLMB Joint Lead Managers-Books 0 1 2022-03-22 Bookrunner C"/>
    <n v="0.90100000000000002"/>
    <n v="0.85699999999999998"/>
    <e v="#N/A"/>
    <x v="138"/>
    <s v="L'Oreal SACALLABLEFIXEDEURSr Unsecured"/>
    <x v="1"/>
  </r>
  <r>
    <n v="111"/>
    <s v="Faurecia SE"/>
    <s v="#N/A Field Not Applicable"/>
    <s v="BV4095907"/>
    <s v="BBG0167Z1CR3"/>
    <s v="EOFP"/>
    <s v="FR"/>
    <s v="FR"/>
    <s v="FR"/>
    <n v="0"/>
    <s v="2022-02-25"/>
    <s v="2030-02-25"/>
    <s v="N/A"/>
    <x v="0"/>
    <s v="N"/>
    <s v="8Y"/>
    <s v="Sr Unsecured"/>
    <s v="EUR"/>
    <s v="#N/A N/A"/>
    <s v="BB"/>
    <s v="FLOATING"/>
    <s v="S/A"/>
    <n v="56203500"/>
    <s v="Consumer Discretionary"/>
    <s v="Auto Parts Manufacturing"/>
    <s v="Corporate"/>
    <s v="Industrial"/>
    <s v="Consumer Cyclical"/>
    <s v="Automotive"/>
    <s v="N/A"/>
    <s v="n/a"/>
    <m/>
    <s v=""/>
    <x v="3"/>
    <s v="Bookrunner Commerzbank COBA JLMB Joint Lead Managers-Books 0 1 2022-02-25 Bookrunner Landesbank Hessen-Thuringen Gi HELABA JLMB Joint Lead Managers-Books 0 1 2022-02-25"/>
    <s v="#N/A N/A"/>
    <s v="#N/A N/A"/>
    <e v="#N/A"/>
    <x v="0"/>
    <s v="Faurecia SEAT MATURITYFLOATINGEURSr Unsecured"/>
    <x v="0"/>
  </r>
  <r>
    <n v="38"/>
    <s v="Carrefour SA"/>
    <s v="FR0014009DZ6"/>
    <s v="BV4439030"/>
    <s v="BBG0168SHTJ3"/>
    <s v="CAFP"/>
    <s v="FR"/>
    <s v="FR"/>
    <s v="FR"/>
    <n v="1.875"/>
    <s v="2022-03-30"/>
    <s v="2026-10-30"/>
    <n v="1.8644000000000001"/>
    <x v="1"/>
    <s v="Y"/>
    <s v="EMTN"/>
    <s v="Sr Unsecured"/>
    <s v="EUR"/>
    <s v="NR"/>
    <s v="A"/>
    <s v="FIXED"/>
    <s v="Annual"/>
    <n v="836797500"/>
    <s v="Consumer Staples"/>
    <s v="Supermarkets &amp; Pharmacies"/>
    <s v="Corporate"/>
    <s v="Industrial"/>
    <s v="Consumer Non-Cyclical"/>
    <s v="Supermarkets"/>
    <s v="SLB. SPT1/SPT2: SUSTAINABLE FARMING AND FOOD. STEP-UP: 25BPTS IF BOTH SPT NOT SATISFIED ON 10/2026"/>
    <n v="25"/>
    <m/>
    <s v=""/>
    <x v="1"/>
    <s v="Bookrunner Banco Bilbao Vizcaya Argentari BBVA JLMB Joint Lead Managers-Books 0 1 2022-03-23 Bookrunner BNP Paribas BNPP JLMB Joint Lead Managers-Books 0 1 2022-03-23 Bookrunner BofA Securities Europe SA BOFAS JLMB Joint Lead Managers-Books 0 1 2022-03-23"/>
    <s v="#N/A N/A"/>
    <n v="1.8440000000000001"/>
    <e v="#N/A"/>
    <x v="139"/>
    <s v="Carrefour SACALLABLEFIXEDEURSr Unsecured"/>
    <x v="1"/>
  </r>
  <r>
    <n v="39"/>
    <s v="Carrefour SA"/>
    <s v="FR0014009E07"/>
    <s v="BV4439048"/>
    <s v="BBG0168SHW06"/>
    <s v="CAFP"/>
    <s v="FR"/>
    <s v="FR"/>
    <s v="FR"/>
    <n v="2.375"/>
    <s v="2022-03-30"/>
    <s v="2029-10-30"/>
    <n v="2.4710000000000001"/>
    <x v="1"/>
    <s v="Y"/>
    <s v="EMTN"/>
    <s v="Sr Unsecured"/>
    <s v="EUR"/>
    <s v="NR"/>
    <s v="A"/>
    <s v="FIXED"/>
    <s v="Annual"/>
    <n v="836797500"/>
    <s v="Consumer Staples"/>
    <s v="Supermarkets &amp; Pharmacies"/>
    <s v="Corporate"/>
    <s v="Industrial"/>
    <s v="Consumer Non-Cyclical"/>
    <s v="Supermarkets"/>
    <s v="SLB. SPT1/SPT2: SUSTAINABLE FARMING AND FOOD. STEP-UP: 25BPTS EACH YEAR IF BOTH SPT NOT SATISFIED ON 10/2026, 2027, 2028 AND 2029"/>
    <n v="25"/>
    <m/>
    <s v=""/>
    <x v="1"/>
    <s v="Bookrunner Banco Bilbao Vizcaya Argentari BBVA JLMB Joint Lead Managers-Books 0 1 2022-03-23 Bookrunner BNP Paribas BNPP JLMB Joint Lead Managers-Books 0 1 2022-03-23 Bookrunner BofA Securities Europe SA BOFAS JLMB Joint Lead Managers-Books 0 1 2022-03-23"/>
    <n v="2.4710000000000001"/>
    <n v="2.2269999999999999"/>
    <e v="#N/A"/>
    <x v="140"/>
    <s v="Carrefour SACALLABLEFIXEDEURSr Unsecured"/>
    <x v="1"/>
  </r>
  <r>
    <n v="36"/>
    <s v="Cabonline Group Holding AB"/>
    <s v="SE0017767346"/>
    <s v="BV5219233"/>
    <s v="BBG016C519Z1"/>
    <s v="CABONL"/>
    <s v="SE"/>
    <s v="SE"/>
    <s v="SE"/>
    <n v="9.572000000000001"/>
    <s v="2022-04-19"/>
    <s v="2026-04-19"/>
    <n v="9.1479999999999997"/>
    <x v="1"/>
    <s v="Y"/>
    <s v="#N/A Field Not Applicable"/>
    <s v="Secured"/>
    <s v="SEK"/>
    <s v="#N/A N/A"/>
    <s v="N.S."/>
    <s v="FLOATING"/>
    <s v="Qtrly"/>
    <n v="172665900"/>
    <s v="Technology"/>
    <s v="Software &amp; Services"/>
    <s v="Corporate"/>
    <s v="Industrial"/>
    <s v="Technology"/>
    <s v="Technology"/>
    <s v="STEP-UP MARGIN: 75BPS, STEP-UP EVENT: FAIL TO INC % NON-FOSSIL VEHICLES TO 50%, ALCOHOL IGNITION INTERLOCKS TO 87%, SBTi ALIGNMENT BY END 2025"/>
    <n v="75"/>
    <m/>
    <s v=""/>
    <x v="1"/>
    <s v="Bookrunner Pareto Securities PARETO SOLE Sole Manager 1650000 1 2022-03-24 Trustee Pareto Securities AB PARETO ISAG Issuing Agent(s) 0 7 2022-03-24"/>
    <s v="#N/A N/A"/>
    <n v="9.0009999999999994"/>
    <e v="#N/A"/>
    <x v="141"/>
    <s v="Cabonline Group Holding ABCALLABLEFLOATINGSEKSecured"/>
    <x v="0"/>
  </r>
  <r>
    <n v="68"/>
    <s v="EQT AB"/>
    <s v="XS2463988795"/>
    <s v="BV5722137"/>
    <s v="BBG016DGDJP2"/>
    <s v="EQTSS"/>
    <s v="SE"/>
    <s v="SE"/>
    <s v="SE"/>
    <n v="2.375"/>
    <s v="2022-04-06"/>
    <s v="2028-04-06"/>
    <n v="2.46"/>
    <x v="1"/>
    <s v="Y"/>
    <s v="#N/A Field Not Applicable"/>
    <s v="Sr Unsecured"/>
    <s v="EUR"/>
    <s v="NR"/>
    <s v="AA"/>
    <s v="FIXED"/>
    <s v="Annual"/>
    <n v="818115000"/>
    <s v="Financials"/>
    <s v="Financial Services"/>
    <s v="Corporate"/>
    <s v="Financial Institutions"/>
    <s v="Brokerage Assetmanagers Exchanges"/>
    <s v="Brokerage Assetmanagers Exchanges"/>
    <s v="STEP-UP MARGIN: 25BPS, STEP-UP EVENT: &lt;40% BY EUR INVESTED OF EQT ELIGIBLE EQUITY PORTFOLIO COMPANIES SET SBTs APPROVED BY SBTi BY 2025"/>
    <n v="25"/>
    <m/>
    <s v=""/>
    <x v="2"/>
    <s v="Bookrunner BNP Paribas BNPP JLMB Joint Lead Managers-Books 0 1 2022-03-30 Bookrunner Goldman Sachs Bank Europe SE GS JLMB Joint Lead Managers-Books 0 1 2022-03-30 Bookrunner JP Morgan SE JPM JLMB Joint Lead Managers-Books 0 1 2022-03-30 Bookrunner Morgan "/>
    <n v="2.46"/>
    <n v="2.3929999999999998"/>
    <e v="#N/A"/>
    <x v="142"/>
    <s v="EQT ABCALLABLEFIXEDEURSr Unsecured"/>
    <x v="0"/>
  </r>
  <r>
    <n v="34"/>
    <s v="CEZ AS"/>
    <s v="XS2461786829"/>
    <s v="BV5734215"/>
    <s v="BBG016DHPQP1"/>
    <s v="CEZCP"/>
    <s v="CZ"/>
    <s v="CZ"/>
    <s v="CZ"/>
    <n v="2.375"/>
    <s v="2022-04-06"/>
    <s v="2027-04-06"/>
    <n v="2.4620000000000002"/>
    <x v="1"/>
    <s v="Y"/>
    <s v="EMTN"/>
    <s v="Sr Unsecured"/>
    <s v="EUR"/>
    <s v="BBB+"/>
    <s v="AA"/>
    <s v="FIXED"/>
    <s v="Annual"/>
    <n v="654492000"/>
    <s v="Utilities"/>
    <s v="Power Generation"/>
    <s v="Government-Related"/>
    <s v="Agency"/>
    <s v="Government Owned, No Guarantee"/>
    <s v="Government Owned, No Guarantee"/>
    <s v="STEP-UP MARGIN: 75BPS UPON LAST COUPON DATE; SPT: GHG EMISSION INTENSITY (SCOPE 1) 0.26 tCO2e/MWh BY 12/31/2025, 30.8% REDUCTION VS 2019 BASELINE"/>
    <n v="75"/>
    <m/>
    <s v=""/>
    <x v="1"/>
    <s v="Bookrunner Barclays Bank Ireland PLC BARCBK JLMB Joint Lead Managers-Books 0 1 2022-03-30 Bookrunner Citigroup Global Markets Ltd CITI JLMB Joint Lead Managers-Books 0 1 2022-03-30 Bookrunner Deutsche Bank DB JLMB Joint Lead Managers-Books 0 1 2022-03-30 "/>
    <n v="2.4620000000000002"/>
    <n v="2.2850000000000001"/>
    <e v="#N/A"/>
    <x v="143"/>
    <s v="CEZ ASCALLABLEFIXEDEURSr Unsecured"/>
    <x v="0"/>
  </r>
  <r>
    <n v="231"/>
    <s v="Sanofi"/>
    <s v="FR0014009KQ0"/>
    <s v="BV6300149"/>
    <s v="BBG016FVB8G3"/>
    <s v="SANFP"/>
    <s v="FR"/>
    <s v="FR"/>
    <s v="FR"/>
    <n v="1.25"/>
    <s v="2022-04-06"/>
    <s v="2029-04-06"/>
    <n v="1.302"/>
    <x v="1"/>
    <s v="Y"/>
    <s v="#N/A Field Not Applicable"/>
    <s v="Sr Unsecured"/>
    <s v="EUR"/>
    <s v="AA-"/>
    <s v="A"/>
    <s v="FIXED"/>
    <s v="Annual"/>
    <n v="709033000"/>
    <s v="Health Care"/>
    <s v="Pharmaceuticals"/>
    <s v="Corporate"/>
    <s v="Industrial"/>
    <s v="Consumer Non-Cyclical"/>
    <s v="Pharmaceuticals"/>
    <s v="STEP-UP MARGIN: 25 BPS (12/31/2026); SPT: PROVISION OF ESSENTIAL MEDICINES TO AT LEAST 1.5 MILLION PATIENTS IN LOW/LOWER-MIDDLE INCOME COUNTRIES"/>
    <n v="25"/>
    <m/>
    <s v=""/>
    <x v="4"/>
    <s v="Bookrunner Barclays BARCS JLMB Joint Lead Managers-Books 0 1 2022-03-30 Bookrunner Morgan Stanley MS JLMB Joint Lead Managers-Books 0 1 2022-03-30 Bookrunner MUFG Securities EMEA PLC MUFG JLMB Joint Lead Managers-Books 0 1 2022-03-30 Bookrunner Natixis NA"/>
    <n v="1.302"/>
    <n v="1.3280000000000001"/>
    <e v="#N/A"/>
    <x v="144"/>
    <s v="SanofiCALLABLEFIXEDEURSr Unsecured"/>
    <x v="1"/>
  </r>
  <r>
    <n v="194"/>
    <s v="Pernod Ricard SA"/>
    <s v="FR0014009L57"/>
    <s v="BV6300610"/>
    <s v="BBG016FVKCG4"/>
    <s v="RIFP"/>
    <s v="FR"/>
    <s v="FR"/>
    <s v="FR"/>
    <n v="1.375"/>
    <s v="2022-04-07"/>
    <s v="2029-04-07"/>
    <n v="1.5629999999999999"/>
    <x v="1"/>
    <s v="Y"/>
    <s v="#N/A Field Not Applicable"/>
    <s v="Sr Unsecured"/>
    <s v="EUR"/>
    <s v="BBB+"/>
    <s v="AA"/>
    <s v="FIXED"/>
    <s v="Annual"/>
    <n v="815782500"/>
    <s v="Consumer Staples"/>
    <s v="Food &amp; Beverage"/>
    <s v="Corporate"/>
    <s v="Industrial"/>
    <s v="Consumer Non-Cyclical"/>
    <s v="Food and Beverage"/>
    <s v="SLB BOND. SPT1: GHG EMISSIONS; SPT2: WATER CONSUMPTION. OBSERVATION DATE: 06/30/2025. STEP-UP: 25BPTS IF SPT1 OR SPT2 NOT ACHIEVED."/>
    <n v="25"/>
    <m/>
    <s v=""/>
    <x v="1"/>
    <s v="Bookrunner Barclays BARCS JLMB Joint Lead Managers-Books 0 1 2022-03-31 Bookrunner BNP Paribas BNPP JLMB Joint Lead Managers-Books 0 1 2022-03-31 Bookrunner Deutsche Bank DB JLMB Joint Lead Managers-Books 0 1 2022-03-31 Bookrunner HSBC HSBC JLMB Joint Lea"/>
    <n v="1.5629999999999999"/>
    <n v="1.6120000000000001"/>
    <e v="#N/A"/>
    <x v="145"/>
    <s v="Pernod Ricard SACALLABLEFIXEDEURSr Unsecured"/>
    <x v="1"/>
  </r>
  <r>
    <n v="70"/>
    <s v="EQT AB"/>
    <s v="XS2463990775"/>
    <s v="BV6301808"/>
    <s v="BBG016FVV522"/>
    <s v="EQTSS"/>
    <s v="SE"/>
    <s v="SE"/>
    <s v="SE"/>
    <n v="2.875"/>
    <s v="2022-04-06"/>
    <s v="2032-04-06"/>
    <n v="2.944"/>
    <x v="1"/>
    <s v="Y"/>
    <s v="#N/A Field Not Applicable"/>
    <s v="Sr Unsecured"/>
    <s v="EUR"/>
    <s v="NR"/>
    <s v="AA"/>
    <s v="FIXED"/>
    <s v="Annual"/>
    <n v="818115000"/>
    <s v="Financials"/>
    <s v="Financial Services"/>
    <s v="Corporate"/>
    <s v="Financial Institutions"/>
    <s v="Brokerage Assetmanagers Exchanges"/>
    <s v="Brokerage Assetmanagers Exchanges"/>
    <s v="STEP-UP MARGIN: 20BPS, STEP-UP EVENT: &lt;40% BY EUR INVESTED OF EQT ELIGIBLE EQUITY PORTFOLIO COMPANIES SET SBTs APPROVED BY SBTi BY 2025"/>
    <n v="20"/>
    <m/>
    <s v=""/>
    <x v="2"/>
    <s v="Bookrunner BNP Paribas BNPP JLMB Joint Lead Managers-Books 0 1 2022-03-30 Bookrunner Goldman Sachs Bank Europe SE GS JLMB Joint Lead Managers-Books 0 1 2022-03-30 Bookrunner JP Morgan SE JPM JLMB Joint Lead Managers-Books 0 1 2022-03-30 Bookrunner Morgan "/>
    <n v="2.944"/>
    <n v="2.9940000000000002"/>
    <e v="#N/A"/>
    <x v="146"/>
    <s v="EQT ABCALLABLEFIXEDEURSr Unsecured"/>
    <x v="0"/>
  </r>
  <r>
    <n v="132"/>
    <s v="Holcim Finance Luxembourg SA"/>
    <s v="XS2463497201"/>
    <s v="BV6871503"/>
    <s v="BBG016J5TZT3"/>
    <s v="HOLNSW"/>
    <s v="LU"/>
    <s v="LU"/>
    <s v="CH"/>
    <n v="1.625"/>
    <s v="2022-04-01"/>
    <s v="2026-05-07"/>
    <n v="1.4581999999999999"/>
    <x v="0"/>
    <s v="N"/>
    <s v="EMTN"/>
    <s v="Sr Unsecured"/>
    <s v="EUR"/>
    <s v="NR"/>
    <s v="N.S."/>
    <s v="FIXED"/>
    <s v="Annual"/>
    <n v="165604500"/>
    <s v="Materials"/>
    <s v="Construction Materials Manufacturing"/>
    <s v="Corporate"/>
    <s v="Industrial"/>
    <s v="Capital Goods"/>
    <s v="Building Materials"/>
    <s v="STEP-UP MARGIN: 12.5BP PER SPT (12/31/2025) 2018 BASELINE; SPT1: CARBON INTENSITY REDUCTION 9.7%; SPT2: FRESHWATER WITHDRAWAL 25%"/>
    <s v="multi"/>
    <m/>
    <s v=""/>
    <x v="1"/>
    <s v="Bookrunner NatWest Markets NWM SOLE Sole Manager 150000 1 2022-03-23 Trustee Citibank NA/London CITI PAAG Paying Agent(s) 0 7 2022-03-23 Trustee Citibank NA/London CITI FISC Fiscal Agent(s) 0 7 2022-03-23 Trustee Citibank NA/London CITI TRNS Transfer Agen"/>
    <s v="#N/A N/A"/>
    <n v="1.417"/>
    <e v="#N/A"/>
    <x v="133"/>
    <s v="Holcim Finance Luxembourg SAAT MATURITYFIXEDEURSr Unsecured"/>
    <x v="1"/>
  </r>
  <r>
    <n v="96"/>
    <s v="Enel Finance International NV"/>
    <s v="XS2466363202"/>
    <s v="BV7154339"/>
    <s v="BBG016K63167"/>
    <s v="ENELIM"/>
    <s v="NL"/>
    <s v="NL"/>
    <s v="IT"/>
    <n v="2.875"/>
    <s v="2022-04-11"/>
    <s v="2029-04-11"/>
    <n v="3.0615999999999999"/>
    <x v="1"/>
    <s v="Y"/>
    <s v="EMTN"/>
    <s v="Sr Unsecured"/>
    <s v="GBP"/>
    <s v="BBB+"/>
    <s v="N.S."/>
    <s v="FIXED"/>
    <s v="Annual"/>
    <n v="976867500"/>
    <s v="Utilities"/>
    <s v="Utilities"/>
    <s v="Corporate"/>
    <s v="Utility"/>
    <s v="Electric"/>
    <s v="Electric"/>
    <s v="STEP-UP MARGIN: 25BPS; STEP-UP EVENT: DIRECT GHG EMISSIONS AS OF 31 DECEMBER 2024 BEING ABOVE 140G/KWHEQ, AS CONFIRMED BY EXTERNAL VERIFIER"/>
    <n v="25"/>
    <m/>
    <s v=""/>
    <x v="1"/>
    <s v="Bookrunner Banco Santander SANT JLMB Joint Lead Managers-Books 0 1 2022-04-04 Bookrunner BNP Paribas BNPP JLMB Joint Lead Managers-Books 0 1 2022-04-04 Bookrunner Credit Agricole CIB CACIB JLMB Joint Lead Managers-Books 0 1 2022-04-04 Bookrunner Goldman S"/>
    <s v="#N/A N/A"/>
    <n v="3.1659999999999999"/>
    <e v="#N/A"/>
    <x v="147"/>
    <s v="Enel Finance International NVCALLABLEFIXEDGBPSr Unsecured"/>
    <x v="0"/>
  </r>
  <r>
    <n v="37"/>
    <s v="CapMan Oyj"/>
    <s v="FI4000519178"/>
    <s v="BV7160799"/>
    <s v="BBG016K6QTV3"/>
    <s v="CPMBV"/>
    <s v="FI"/>
    <s v="FI"/>
    <s v="FI"/>
    <n v="4.5"/>
    <s v="2022-04-13"/>
    <s v="2027-04-13"/>
    <n v="4.5"/>
    <x v="1"/>
    <s v="Y"/>
    <s v="#N/A Field Not Applicable"/>
    <s v="Sr Unsecured"/>
    <s v="EUR"/>
    <s v="#N/A N/A"/>
    <s v="N.S."/>
    <s v="FIXED"/>
    <s v="Annual"/>
    <n v="43528400"/>
    <s v="Financials"/>
    <s v="Financial Services"/>
    <s v="Corporate"/>
    <s v="Financial Institutions"/>
    <s v="Brokerage Assetmanagers Exchanges"/>
    <s v="Brokerage Assetmanagers Exchanges"/>
    <s v="STEP-UP MARGIN: 25BPS PER SPT; SPT1: REDUCE GHG EMISSIONS BY 12/2023; SPT2: INTEGRATE SUST. OBJECTIVIES INTO MANAGEMENT'S RENUMERATION BY 12/2023"/>
    <s v="multi"/>
    <m/>
    <s v=""/>
    <x v="1"/>
    <s v="Bookrunner OP Corporate Bank PLC OPBANK SOLE Sole Manager 0 1 2022-04-06 Trustee OP Corporate Bank PLC OPBANK PAAG Paying Agent(s) 0 7 2022-04-06 ESG Assurance Provider ISS-oekom ISSOEK SNPC 2nd Party Consultant 0 30 2022-04-06"/>
    <n v="4.5"/>
    <n v="4.5"/>
    <e v="#N/A"/>
    <x v="148"/>
    <s v="CapMan OyjCALLABLEFIXEDEURSr Unsecured"/>
    <x v="1"/>
  </r>
  <r>
    <n v="143"/>
    <s v="JAB Holdings BV"/>
    <s v="US46653KAC27"/>
    <s v="BV7511991"/>
    <s v="BBG016LBJ5Y8"/>
    <s v="JABHOL"/>
    <s v="NL"/>
    <s v="NL"/>
    <s v="AT"/>
    <n v="4.5"/>
    <s v="2022-04-08"/>
    <s v="2052-04-08"/>
    <n v="4.6080000000000005"/>
    <x v="1"/>
    <s v="Y"/>
    <s v="144A"/>
    <s v="Sr Unsecured"/>
    <s v="USD"/>
    <s v="BBB"/>
    <s v="N.S."/>
    <s v="FIXED"/>
    <s v="S/A"/>
    <n v="500000000"/>
    <s v="Financials"/>
    <s v="Financial Services"/>
    <s v="Corporate"/>
    <s v="Industrial"/>
    <s v="Consumer Non-Cyclical"/>
    <s v="Consumer Products"/>
    <s v="STEP-UP MARGIN: UP TO 25 BPS; KPIs: (i,ii) 46.2% SCOPE 1,2 GHG EMISSIONS REDUCTION, (iii) GENDER EQUALITY"/>
    <n v="25"/>
    <m/>
    <s v=""/>
    <x v="5"/>
    <s v="Bookrunner Banco Santander (US) SANTAN JLMB Joint Lead Managers-Books 0 1 2022-04-05 Bookrunner BMO Capital Markets Corp BMO JLMB Joint Lead Managers-Books 0 1 2022-04-05 Bookrunner BNP Paribas/New York BNPPAR JLMB Joint Lead Managers-Books 0 1 2022-04-05"/>
    <n v="4.6080000000000005"/>
    <s v="#N/A N/A"/>
    <e v="#N/A"/>
    <x v="149"/>
    <s v="JAB Holdings BVCALLABLEFIXEDUSDSr Unsecured"/>
    <x v="1"/>
  </r>
  <r>
    <n v="142"/>
    <s v="JAB Holdings BV"/>
    <s v="USN4717KBG06"/>
    <s v="BV7512007"/>
    <s v="BBG016LBJ8B7"/>
    <s v="JABHOL"/>
    <s v="NL"/>
    <s v="NL"/>
    <s v="AT"/>
    <n v="4.5"/>
    <s v="2022-04-08"/>
    <s v="2052-04-08"/>
    <n v="4.6080000000000005"/>
    <x v="1"/>
    <s v="Y"/>
    <s v="REGS"/>
    <s v="Sr Unsecured"/>
    <s v="USD"/>
    <s v="BBB"/>
    <s v="N.S."/>
    <s v="FIXED"/>
    <s v="S/A"/>
    <n v="500000000"/>
    <s v="Financials"/>
    <s v="Financial Services"/>
    <s v="Corporate"/>
    <s v="Industrial"/>
    <s v="Consumer Non-Cyclical"/>
    <s v="Consumer Products"/>
    <s v="STEP-UP MARGIN: UP TO 25 BPS; KPIs: (i,ii) 46.2% SCOPE 1,2 GHG EMISSIONS REDUCTION, (iii) GENDER EQUALITY"/>
    <n v="25"/>
    <m/>
    <s v=""/>
    <x v="5"/>
    <s v="Bookrunner Banco Santander (US) SANTAN JLMB Joint Lead Managers-Books 0 1 2022-04-05 Bookrunner BMO Capital Markets Corp BMO JLMB Joint Lead Managers-Books 0 1 2022-04-05 Bookrunner BNP Paribas/New York BNPPAR JLMB Joint Lead Managers-Books 0 1 2022-04-05"/>
    <n v="4.6080000000000005"/>
    <n v="4.9189999999999996"/>
    <e v="#N/A"/>
    <x v="150"/>
    <s v="JAB Holdings BVCALLABLEFIXEDUSDSr Unsecured"/>
    <x v="1"/>
  </r>
  <r>
    <n v="15"/>
    <s v="Arcos Dorados BV"/>
    <s v="US03965TAB98"/>
    <s v="BW0558104"/>
    <s v="BBG016Z4HQP5"/>
    <s v="ARCO"/>
    <s v="NL"/>
    <s v="NL"/>
    <s v="BR"/>
    <n v="6.125"/>
    <s v="2022-04-27"/>
    <s v="2029-05-27"/>
    <n v="6.125"/>
    <x v="1"/>
    <s v="Y"/>
    <s v="144A"/>
    <s v="Sr Unsecured"/>
    <s v="USD"/>
    <s v="NR"/>
    <s v="N.S."/>
    <s v="FIXED"/>
    <s v="S/A"/>
    <n v="350000000"/>
    <s v="Consumer Discretionary"/>
    <s v="Restaurants"/>
    <s v="Corporate"/>
    <s v="Industrial"/>
    <s v="Consumer Cyclical"/>
    <s v="Restaurants"/>
    <s v="STEP-UP MARGIN: 12.5BPS/25BPS, STEP-UP EVENT: FAIL TO ACHIEVE EITHER SPT1 OR SPT2/FAIL TO ACHIEVE BOTH SPT1 AND SPT2 BY 12/31/2025."/>
    <s v="multi"/>
    <m/>
    <s v=""/>
    <x v="2"/>
    <s v="Bookrunner Banco Itau SA ITAU JLMB Joint Lead Managers-Books 0 1 2022-04-21 Bookrunner Banco Santander SANT JLMB Joint Lead Managers-Books 0 1 2022-04-21 Bookrunner Citi CITI JLMB Joint Lead Managers-Books 0 1 2022-04-21 Bookrunner JP Morgan JPM JLMB Join"/>
    <n v="6.125"/>
    <n v="6.2709999999999999"/>
    <e v="#N/A"/>
    <x v="151"/>
    <s v="Arcos Dorados BVCALLABLEFIXEDUSDSr Unsecured"/>
    <x v="0"/>
  </r>
  <r>
    <n v="16"/>
    <s v="Arcos Dorados BV"/>
    <s v="USP04568AB06"/>
    <s v="BW0558112"/>
    <s v="BBG016Z4HSV4"/>
    <s v="ARCO"/>
    <s v="NL"/>
    <s v="NL"/>
    <s v="BR"/>
    <n v="6.125"/>
    <s v="2022-04-27"/>
    <s v="2029-05-27"/>
    <n v="6.125"/>
    <x v="1"/>
    <s v="Y"/>
    <s v="REGS"/>
    <s v="Sr Unsecured"/>
    <s v="USD"/>
    <s v="NR"/>
    <s v="N.S."/>
    <s v="FIXED"/>
    <s v="S/A"/>
    <n v="350000000"/>
    <s v="Consumer Discretionary"/>
    <s v="Restaurants"/>
    <s v="Corporate"/>
    <s v="Industrial"/>
    <s v="Consumer Cyclical"/>
    <s v="Restaurants"/>
    <s v="STEP-UP MARGIN: 12.5BPS/25BPS, STEP-UP EVENT: FAIL TO ACHIEVE EITHER SPT1 OR SPT2/FAIL TO ACHIEVE BOTH SPT1 AND SPT2 BY 12/31/2025."/>
    <s v="multi"/>
    <m/>
    <s v=""/>
    <x v="2"/>
    <s v="Bookrunner Banco Itau SA ITAU JLMB Joint Lead Managers-Books 0 1 2022-04-21 Bookrunner Banco Santander SANT JLMB Joint Lead Managers-Books 0 1 2022-04-21 Bookrunner Citi CITI JLMB Joint Lead Managers-Books 0 1 2022-04-21 Bookrunner JP Morgan JPM JLMB Join"/>
    <n v="6.125"/>
    <n v="6.2679999999999998"/>
    <e v="#N/A"/>
    <x v="152"/>
    <s v="Arcos Dorados BVCALLABLEFIXEDUSDSr Unsecured"/>
    <x v="0"/>
  </r>
  <r>
    <n v="7"/>
    <s v="Aegea Finance Sarl"/>
    <s v="US00775CAB28"/>
    <s v="BW1911534"/>
    <s v="BBG01730QSH1"/>
    <s v="AEGEBZ"/>
    <s v="LU"/>
    <s v="LU"/>
    <s v="BR"/>
    <n v="6.75"/>
    <s v="2022-05-06"/>
    <s v="2029-05-20"/>
    <n v="7"/>
    <x v="1"/>
    <s v="Y"/>
    <s v="144A"/>
    <s v="Sr Unsecured"/>
    <s v="USD"/>
    <s v="BB"/>
    <s v="N.S."/>
    <s v="FIXED"/>
    <s v="S/A"/>
    <n v="500000000"/>
    <s v="Utilities"/>
    <s v="Utilities"/>
    <s v="Corporate"/>
    <s v="Utility"/>
    <s v="Other Utility"/>
    <s v="Other Utility"/>
    <s v="N/A"/>
    <s v="n/a"/>
    <m/>
    <s v=""/>
    <x v="3"/>
    <s v="Bookrunner Banco BTG Pactual BTG JLMB Joint Lead Managers-Books 0 1 2022-04-27 Bookrunner Banco Itau BBA ITABBA JLMB Joint Lead Managers-Books 0 1 2022-04-27 Bookrunner Bradesco BBI SA BRADSC JLMB Joint Lead Managers-Books 0 1 2022-04-27 Bookrunner JP Mor"/>
    <n v="7"/>
    <s v="#N/A N/A"/>
    <e v="#N/A"/>
    <x v="153"/>
    <s v="Aegea Finance SarlCALLABLEFIXEDUSDSr Unsecured"/>
    <x v="0"/>
  </r>
  <r>
    <n v="8"/>
    <s v="Aegea Finance Sarl"/>
    <s v="USL01343AA79"/>
    <s v="BW1912169"/>
    <s v="BBG01730RH48"/>
    <s v="AEGEBZ"/>
    <s v="LU"/>
    <s v="LU"/>
    <s v="BR"/>
    <n v="6.75"/>
    <s v="2022-05-06"/>
    <s v="2029-05-20"/>
    <n v="7"/>
    <x v="1"/>
    <s v="Y"/>
    <s v="REGS"/>
    <s v="Sr Unsecured"/>
    <s v="USD"/>
    <s v="BB"/>
    <s v="N.S."/>
    <s v="FIXED"/>
    <s v="S/A"/>
    <n v="500000000"/>
    <s v="Utilities"/>
    <s v="Utilities"/>
    <s v="Corporate"/>
    <s v="Utility"/>
    <s v="Other Utility"/>
    <s v="Other Utility"/>
    <s v="N/A"/>
    <s v="n/a"/>
    <m/>
    <s v=""/>
    <x v="3"/>
    <s v="Bookrunner Banco BTG Pactual BTG JLMB Joint Lead Managers-Books 0 1 2022-04-27 Bookrunner Banco Itau BBA ITABBA JLMB Joint Lead Managers-Books 0 1 2022-04-27 Bookrunner JP Morgan JPM JLMB Joint Lead Managers-Books 0 1 2022-04-27 Bookrunner Morgan Stanley "/>
    <n v="7"/>
    <s v="#N/A N/A"/>
    <e v="#N/A"/>
    <x v="153"/>
    <s v="Aegea Finance SarlCALLABLEFIXEDUSDSr Unsecured"/>
    <x v="0"/>
  </r>
  <r>
    <n v="13"/>
    <s v="Arcadis NV"/>
    <s v="#N/A Field Not Applicable"/>
    <s v="ZO2068393"/>
    <s v="BBG00X02PN86"/>
    <s v="ARCAD"/>
    <s v="NL"/>
    <s v="NL"/>
    <s v="NL"/>
    <n v="0"/>
    <s v="2020-10-14"/>
    <s v="2027-10-14"/>
    <s v="N/A"/>
    <x v="0"/>
    <s v="N"/>
    <s v="7Y"/>
    <s v="Sr Unsecured"/>
    <s v="EUR"/>
    <s v="#N/A N/A"/>
    <s v="N.S."/>
    <s v="FLOATING"/>
    <s v="S/A"/>
    <n v="176271000"/>
    <s v="Industrials"/>
    <s v="Industrial Other"/>
    <s v="Corporate"/>
    <s v="Industrial"/>
    <s v="Other Industrial"/>
    <s v="Other Industrial"/>
    <s v="SUSTAINABILITY-LINKED SCHULDSCHEIN. SUSTAINABILITY PRICING ADJUSTMENT: +5BPS IF DEVELOPMENT OF MANAGEMENT SCORE &lt;=53.4; -5BPS IF SCORE &gt;=65."/>
    <n v="5"/>
    <n v="5"/>
    <s v="yes"/>
    <x v="4"/>
    <s v="Bookrunner BayernLB BAYLB JLMB Joint Lead Managers-Books 0 1 2020-10-14 Bookrunner HSBC Trinkaus &amp; Burkhardt AG H-TRNK JLMB Joint Lead Managers-Books 0 1 2020-10-14 Bookrunner ING Bank NV Niederlassung ING JLMB Joint Lead Managers-Books 0 1 2020-10-14 Tru"/>
    <s v="#N/A N/A"/>
    <s v="#N/A N/A"/>
    <e v="#N/A"/>
    <x v="0"/>
    <s v="Arcadis NVAT MATURITYFLOATINGEURSr Unsecured"/>
    <x v="0"/>
  </r>
  <r>
    <n v="14"/>
    <s v="Arcadis NV"/>
    <s v="#N/A Field Not Applicable"/>
    <s v="ZO2076883"/>
    <s v="BBG00X02SWM7"/>
    <s v="ARCAD"/>
    <s v="NL"/>
    <s v="NL"/>
    <s v="NL"/>
    <n v="0"/>
    <s v="2020-10-14"/>
    <s v="2025-10-14"/>
    <s v="N/A"/>
    <x v="0"/>
    <s v="N"/>
    <s v="5Y"/>
    <s v="Sr Unsecured"/>
    <s v="EUR"/>
    <s v="#N/A N/A"/>
    <s v="N.S."/>
    <s v="FLOATING"/>
    <s v="S/A"/>
    <n v="176271000"/>
    <s v="Industrials"/>
    <s v="Industrial Other"/>
    <s v="Corporate"/>
    <s v="Industrial"/>
    <s v="Other Industrial"/>
    <s v="Other Industrial"/>
    <s v="SUSTAINABILITY-LINKED SCHULDSCHEIN. SUSTAINABILITY PRICING ADJUSTMENT: +5BPS IF DEVELOPMENT OF MANAGEMENT SCORE &lt;=53.4; -5BPS IF SCORE &gt;=65."/>
    <n v="5"/>
    <n v="5"/>
    <s v="yes"/>
    <x v="4"/>
    <s v="Bookrunner BayernLB BAYLB JLMB Joint Lead Managers-Books 0 1 2020-10-14 Bookrunner HSBC Trinkaus &amp; Burkhardt AG H-TRNK JLMB Joint Lead Managers-Books 0 1 2020-10-14 Bookrunner ING Bank NV Niederlassung ING JLMB Joint Lead Managers-Books 0 1 2020-10-14 Tru"/>
    <s v="#N/A N/A"/>
    <s v="#N/A N/A"/>
    <e v="#N/A"/>
    <x v="0"/>
    <s v="Arcadis NVAT MATURITYFLOATINGEURSr Unsecured"/>
    <x v="0"/>
  </r>
  <r>
    <n v="12"/>
    <s v="Arcadis NV"/>
    <s v="#N/A Field Not Applicable"/>
    <s v="ZO2076966"/>
    <s v="BBG00X02SWZ3"/>
    <s v="ARCAD"/>
    <s v="NL"/>
    <s v="NL"/>
    <s v="NL"/>
    <n v="0"/>
    <s v="2020-10-14"/>
    <s v="2023-10-16"/>
    <s v="N/A"/>
    <x v="0"/>
    <s v="N"/>
    <s v="3Y"/>
    <s v="Sr Unsecured"/>
    <s v="EUR"/>
    <s v="#N/A N/A"/>
    <s v="N.S."/>
    <s v="FLOATING"/>
    <s v="S/A"/>
    <n v="176271000"/>
    <s v="Industrials"/>
    <s v="Industrial Other"/>
    <s v="Corporate"/>
    <s v="Industrial"/>
    <s v="Other Industrial"/>
    <s v="Other Industrial"/>
    <s v="SUSTAINABILITY-LINKED SCHULDSCHEIN. SUSTAINABILITY PRICING ADJUSTMENT: +5BPS IF DEVELOPMENT OF MANAGEMENT SCORE &lt;=53.4; -5BPS IF SCORE &gt;=65."/>
    <n v="5"/>
    <n v="5"/>
    <s v="yes"/>
    <x v="4"/>
    <s v="Bookrunner BayernLB BAYLB JLMB Joint Lead Managers-Books 0 1 2020-10-14 Bookrunner HSBC Trinkaus &amp; Burkhardt AG H-TRNK JLMB Joint Lead Managers-Books 0 1 2020-10-14 Bookrunner ING Bank NV Niederlassung ING JLMB Joint Lead Managers-Books 0 1 2020-10-14 Tru"/>
    <s v="#N/A N/A"/>
    <s v="#N/A N/A"/>
    <e v="#N/A"/>
    <x v="0"/>
    <s v="Arcadis NVAT MATURITYFLOATINGEURSr Unsecured"/>
    <x v="0"/>
  </r>
  <r>
    <n v="232"/>
    <s v="Saria SE &amp; Co KG"/>
    <s v="#N/A Field Not Applicable"/>
    <s v="ZO4338356"/>
    <s v="BBG00X7YRF48"/>
    <s v="SARIAS"/>
    <s v="DE"/>
    <s v="DE"/>
    <s v="DE"/>
    <n v="0"/>
    <s v="2020-11-30"/>
    <s v="2023-11-30"/>
    <s v="N/A"/>
    <x v="0"/>
    <s v="N"/>
    <s v="3Y"/>
    <s v="Sr Unsecured"/>
    <s v="EUR"/>
    <s v="#N/A N/A"/>
    <s v="N.S."/>
    <s v="FLOATING"/>
    <s v="S/A"/>
    <n v="119544000"/>
    <s v="Industrials"/>
    <s v="Waste &amp; Environment Services &amp; Equipment"/>
    <s v="Corporate"/>
    <s v="Industrial"/>
    <s v="Capital Goods"/>
    <s v="Environmental"/>
    <s v="PRICING STEPS UP BY 50BPS IF NET DEBT/EBITDA &gt;3.75X. MARGIN INCREASES 2BPS IF ESG SCORE IS BELOW 45. DECREASES 2BPS WITH ESG SCORE ABOVE 53."/>
    <n v="2"/>
    <n v="2"/>
    <s v="yes"/>
    <x v="0"/>
    <s v="Bookrunner Landesbank Baden-Wuerttemberg LBBW JLMB Joint Lead Managers-Books 0 1 2020-11-30 Bookrunner UniCredit Bank AG UNICRD JLMB Joint Lead Managers-Books 0 1 2020-11-30"/>
    <s v="#N/A N/A"/>
    <s v="#N/A N/A"/>
    <e v="#N/A"/>
    <x v="0"/>
    <s v="Saria SE &amp; Co KGAT MATURITYFLOATINGEURSr Unsecured"/>
    <x v="1"/>
  </r>
  <r>
    <n v="233"/>
    <s v="Saria SE &amp; Co KG"/>
    <s v="#N/A Field Not Applicable"/>
    <s v="ZO4339248"/>
    <s v="BBG00X7YSFH3"/>
    <s v="SARIAS"/>
    <s v="DE"/>
    <s v="DE"/>
    <s v="DE"/>
    <n v="0"/>
    <s v="2020-11-30"/>
    <s v="2030-11-30"/>
    <s v="N/A"/>
    <x v="0"/>
    <s v="N"/>
    <s v="5Y"/>
    <s v="Sr Unsecured"/>
    <s v="EUR"/>
    <s v="#N/A N/A"/>
    <s v="N.S."/>
    <s v="FLOATING"/>
    <s v="S/A"/>
    <n v="119544000"/>
    <s v="Industrials"/>
    <s v="Waste &amp; Environment Services &amp; Equipment"/>
    <s v="Corporate"/>
    <s v="Industrial"/>
    <s v="Capital Goods"/>
    <s v="Environmental"/>
    <s v="PRICING STEPS UP BY 50BPS IF NET DEBT/EBITDA &gt;3.75X. MARGIN INCREASES 2BPS IF ESG SCORE IS BELOW 45. DECREASES 2BPS WITH ESG SCORE ABOVE 53."/>
    <n v="2"/>
    <n v="2"/>
    <s v="yes"/>
    <x v="0"/>
    <s v="Bookrunner Landesbank Baden-Wuerttemberg LBBW JLMB Joint Lead Managers-Books 0 1 2020-11-30 Bookrunner UniCredit Bank AG UNICRD JLMB Joint Lead Managers-Books 0 1 2020-11-30"/>
    <s v="#N/A N/A"/>
    <s v="#N/A N/A"/>
    <e v="#N/A"/>
    <x v="0"/>
    <s v="Saria SE &amp; Co KGAT MATURITYFLOATINGEURSr Unsecured"/>
    <x v="1"/>
  </r>
  <r>
    <n v="235"/>
    <s v="Saria SE &amp; Co KG"/>
    <s v="#N/A Field Not Applicable"/>
    <s v="ZO4339677"/>
    <s v="BBG00X7YT0S3"/>
    <s v="SARIAS"/>
    <s v="DE"/>
    <s v="DE"/>
    <s v="DE"/>
    <n v="0"/>
    <s v="2020-11-30"/>
    <s v="2027-11-30"/>
    <s v="N/A"/>
    <x v="0"/>
    <s v="N"/>
    <s v="7Y"/>
    <s v="Sr Unsecured"/>
    <s v="EUR"/>
    <s v="#N/A N/A"/>
    <s v="N.S."/>
    <s v="FLOATING"/>
    <s v="S/A"/>
    <n v="119544000"/>
    <s v="Industrials"/>
    <s v="Waste &amp; Environment Services &amp; Equipment"/>
    <s v="Corporate"/>
    <s v="Industrial"/>
    <s v="Capital Goods"/>
    <s v="Environmental"/>
    <s v="PRICING STEPS UP BY 50BPS IF NET DEBT/EBITDA &gt;3.75X. MARGIN INCREASES 2BPS IF ESG SCORE IS BELOW 45. DECREASES 2BPS WITH ESG SCORE ABOVE 53."/>
    <n v="2"/>
    <n v="2"/>
    <s v="yes"/>
    <x v="0"/>
    <s v="Bookrunner Landesbank Baden-Wuerttemberg LBBW JLMB Joint Lead Managers-Books 0 1 2020-11-30 Bookrunner UniCredit Bank AG UNICRD JLMB Joint Lead Managers-Books 0 1 2020-11-30"/>
    <s v="#N/A N/A"/>
    <s v="#N/A N/A"/>
    <e v="#N/A"/>
    <x v="0"/>
    <s v="Saria SE &amp; Co KGAT MATURITYFLOATINGEURSr Unsecured"/>
    <x v="1"/>
  </r>
  <r>
    <n v="234"/>
    <s v="Saria SE &amp; Co KG"/>
    <s v="#N/A Field Not Applicable"/>
    <s v="ZO4339917"/>
    <s v="BBG00X7YTD87"/>
    <s v="SARIAS"/>
    <s v="DE"/>
    <s v="DE"/>
    <s v="DE"/>
    <n v="0"/>
    <s v="2020-11-30"/>
    <s v="2030-11-30"/>
    <s v="N/A"/>
    <x v="0"/>
    <s v="N"/>
    <s v="10Y"/>
    <s v="Sr Unsecured"/>
    <s v="EUR"/>
    <s v="#N/A N/A"/>
    <s v="N.S."/>
    <s v="FLOATING"/>
    <s v="S/A"/>
    <n v="119544000"/>
    <s v="Industrials"/>
    <s v="Waste &amp; Environment Services &amp; Equipment"/>
    <s v="Corporate"/>
    <s v="Industrial"/>
    <s v="Capital Goods"/>
    <s v="Environmental"/>
    <s v="PRICING STEPS UP BY 50BPS IF NET DEBT/EBITDA &gt;3.75X. MARGIN INCREASES 2BPS IF ESG SCORE IS BELOW 45. DECREASES 2BPS WITH ESG SCORE ABOVE 53."/>
    <n v="2"/>
    <n v="2"/>
    <s v="yes"/>
    <x v="0"/>
    <s v="Bookrunner Landesbank Baden-Wuerttemberg LBBW JLMB Joint Lead Managers-Books 0 1 2020-11-30 Bookrunner UniCredit Bank AG UNICRD JLMB Joint Lead Managers-Books 0 1 2020-11-30"/>
    <s v="#N/A N/A"/>
    <s v="#N/A N/A"/>
    <e v="#N/A"/>
    <x v="0"/>
    <s v="Saria SE &amp; Co KGAT MATURITYFLOATINGEURSr Unsecured"/>
    <x v="1"/>
  </r>
  <r>
    <n v="244"/>
    <s v="Suzano Austria GmbH"/>
    <s v="US86964WAJ18"/>
    <s v="ZO4406484"/>
    <s v="BBG00X8QXQM3"/>
    <s v="SUZANO"/>
    <s v="AT"/>
    <s v="AT"/>
    <s v="BR"/>
    <n v="3.75"/>
    <s v="2020-09-14"/>
    <s v="2031-01-15"/>
    <n v="3.9499999999999997"/>
    <x v="1"/>
    <s v="Y"/>
    <s v="#N/A Field Not Applicable"/>
    <s v="Sr Unsecured"/>
    <s v="USD"/>
    <s v="BBB-"/>
    <s v="N.S."/>
    <s v="FIXED"/>
    <s v="S/A"/>
    <n v="1250000000"/>
    <s v="Materials"/>
    <s v="Forest &amp; Paper Products Manufacturing"/>
    <s v="Corporate"/>
    <s v="Industrial"/>
    <s v="Basic Industry"/>
    <s v="Paper"/>
    <s v="STEP-UP MARGIN: 25 BPS.STEP-UP EVENT: 09/16/2027. &lt;=15%. WOMEN ON BOARD&gt;=30% 12/31/2025."/>
    <n v="25"/>
    <m/>
    <s v=""/>
    <x v="4"/>
    <s v="Bookrunner Banco Bradesco BBI SA BBBBI JLMB Joint Lead Managers-Books 9615 4 2020-11-16 Bookrunner Banco Safra SA SAFRA JLMB Joint Lead Managers-Books 9615 4 2020-11-16 Bookrunner BNP Paribas Securities Corp BNPPAR JLMB Joint Lead Managers-Books 38461 4 2"/>
    <n v="3.9499999999999997"/>
    <n v="3.637"/>
    <e v="#N/A"/>
    <x v="154"/>
    <s v="Suzano Austria GmbHCALLABLEFIXEDUSDSr Unsecured"/>
    <x v="1"/>
  </r>
  <r>
    <n v="138"/>
    <s v="Indus Holding AG"/>
    <s v="#N/A Field Not Applicable"/>
    <s v="ZO4853784"/>
    <s v="BBG00XCC7X52"/>
    <s v="INHGR"/>
    <s v="DE"/>
    <s v="DE"/>
    <s v="DE"/>
    <n v="0"/>
    <s v="2020-09-15"/>
    <s v="2030-09-15"/>
    <s v="N/A"/>
    <x v="0"/>
    <s v="N"/>
    <s v="10Y"/>
    <s v="Sr Unsecured"/>
    <s v="EUR"/>
    <s v="#N/A N/A"/>
    <s v="N.S."/>
    <s v="FLOATING"/>
    <s v="S/A"/>
    <n v="71116800"/>
    <s v="Industrials"/>
    <s v="Manufactured Goods"/>
    <s v="Corporate"/>
    <s v="Industrial"/>
    <s v="Capital Goods"/>
    <s v="Diversified Manufacturing"/>
    <s v="N/A"/>
    <s v="n/a"/>
    <m/>
    <s v=""/>
    <x v="3"/>
    <s v="Bookrunner Landesbank Hessen-Thuringen Gi HELABA LMGR Lead Manager(s) 0 1 2020-09-15"/>
    <s v="#N/A N/A"/>
    <s v="#N/A N/A"/>
    <e v="#N/A"/>
    <x v="0"/>
    <s v="Indus Holding AGAT MATURITYFLOATINGEURSr Unsecured"/>
    <x v="1"/>
  </r>
  <r>
    <n v="139"/>
    <s v="Indus Holding AG"/>
    <s v="#N/A Field Not Applicable"/>
    <s v="ZO4854253"/>
    <s v="BBG00XCC88Z3"/>
    <s v="INHGR"/>
    <s v="DE"/>
    <s v="DE"/>
    <s v="DE"/>
    <n v="0"/>
    <s v="2020-09-15"/>
    <s v="2027-09-15"/>
    <s v="N/A"/>
    <x v="0"/>
    <s v="N"/>
    <s v="7Y"/>
    <s v="Sr Unsecured"/>
    <s v="EUR"/>
    <s v="#N/A N/A"/>
    <s v="N.S."/>
    <s v="FLOATING"/>
    <s v="S/A"/>
    <n v="71116800"/>
    <s v="Industrials"/>
    <s v="Manufactured Goods"/>
    <s v="Corporate"/>
    <s v="Industrial"/>
    <s v="Capital Goods"/>
    <s v="Diversified Manufacturing"/>
    <s v="N/A"/>
    <s v="n/a"/>
    <m/>
    <s v=""/>
    <x v="3"/>
    <s v="Bookrunner Landesbank Hessen-Thuringen Gi HELABA LMGR Lead Manager(s) 0 1 2020-09-15"/>
    <s v="#N/A N/A"/>
    <s v="#N/A N/A"/>
    <e v="#N/A"/>
    <x v="0"/>
    <s v="Indus Holding AGAT MATURITYFLOATINGEURSr Unsecured"/>
    <x v="1"/>
  </r>
  <r>
    <n v="137"/>
    <s v="Indus Holding AG"/>
    <s v="#N/A Field Not Applicable"/>
    <s v="ZO4854261"/>
    <s v="BBG00XCC8927"/>
    <s v="INHGR"/>
    <s v="DE"/>
    <s v="DE"/>
    <s v="DE"/>
    <n v="0"/>
    <s v="2020-09-15"/>
    <s v="2025-09-15"/>
    <s v="N/A"/>
    <x v="0"/>
    <s v="N"/>
    <s v="5Y"/>
    <s v="Sr Unsecured"/>
    <s v="EUR"/>
    <s v="#N/A N/A"/>
    <s v="N.S."/>
    <s v="FLOATING"/>
    <s v="S/A"/>
    <n v="71116800"/>
    <s v="Industrials"/>
    <s v="Manufactured Goods"/>
    <s v="Corporate"/>
    <s v="Industrial"/>
    <s v="Capital Goods"/>
    <s v="Diversified Manufacturing"/>
    <s v="N/A"/>
    <s v="n/a"/>
    <m/>
    <s v=""/>
    <x v="3"/>
    <s v="Bookrunner Landesbank Hessen-Thuringen Gi HELABA LMGR Lead Manager(s) 0 1 2020-09-15"/>
    <s v="#N/A N/A"/>
    <s v="#N/A N/A"/>
    <e v="#N/A"/>
    <x v="0"/>
    <s v="Indus Holding AGAT MATURITYFLOATINGEURSr Unsecured"/>
    <x v="1"/>
  </r>
  <r>
    <n v="188"/>
    <s v="Novartis Finance SA"/>
    <s v="XS2235996217"/>
    <s v="ZO5119995"/>
    <s v="BBG00XDG9M27"/>
    <s v="NOVNVX"/>
    <s v="LU"/>
    <s v="LU"/>
    <s v="CH"/>
    <n v="0"/>
    <s v="2020-09-23"/>
    <s v="2028-09-23"/>
    <n v="5.0900000000000001E-2"/>
    <x v="1"/>
    <s v="Y"/>
    <s v="#N/A Field Not Applicable"/>
    <s v="Sr Unsecured"/>
    <s v="EUR"/>
    <s v="A+"/>
    <s v="N.S."/>
    <s v="FIXED"/>
    <s v="Annual"/>
    <n v="2161040500"/>
    <s v="Health Care"/>
    <s v="Pharmaceuticals"/>
    <s v="Corporate"/>
    <s v="Industrial"/>
    <s v="Consumer Non-Cyclical"/>
    <s v="Pharmaceuticals"/>
    <s v="STEP-UP MARGIN: 25BP, STEP-UP EVENT: 2025 PATIENT ACCESS TARGETS"/>
    <n v="25"/>
    <m/>
    <s v=""/>
    <x v="4"/>
    <s v="Bookrunner Barclays BARCS JLMB Joint Lead Managers-Books 0 1 2020-09-16 Bookrunner HSBC HSBC JLMB Joint Lead Managers-Books 0 1 2020-09-16 Bookrunner JP Morgan Securities PLC JPM JLMB Joint Lead Managers-Books 0 1 2020-09-16 Bookrunner Societe Generale SG"/>
    <s v="#N/A N/A"/>
    <n v="3.9E-2"/>
    <e v="#N/A"/>
    <x v="155"/>
    <s v="Novartis Finance SACALLABLEFIXEDEURSr Unsecured"/>
    <x v="1"/>
  </r>
  <r>
    <n v="75"/>
    <s v="Enel Finance International NV"/>
    <s v="XS2244418609"/>
    <s v="ZO9275116"/>
    <s v="BBG00XV18BH9"/>
    <s v="ENELIM"/>
    <s v="NL"/>
    <s v="NL"/>
    <s v="IT"/>
    <n v="1"/>
    <s v="2020-10-20"/>
    <s v="2027-10-20"/>
    <n v="0.95030000000000003"/>
    <x v="1"/>
    <s v="Y"/>
    <s v="EMTN"/>
    <s v="Sr Unsecured"/>
    <s v="GBP"/>
    <s v="BBB+"/>
    <s v="N.S."/>
    <s v="FIXED"/>
    <s v="Annual"/>
    <n v="646985000"/>
    <s v="Utilities"/>
    <s v="Utilities"/>
    <s v="Corporate"/>
    <s v="Utility"/>
    <s v="Electric"/>
    <s v="Electric"/>
    <s v="STEP-UP MARGIN: 25BP, STEP-UP EVENT: DEC 2022 RENEWABLES INSTALLED CAPACITY"/>
    <n v="25"/>
    <m/>
    <s v=""/>
    <x v="1"/>
    <s v="Bookrunner Bank of America BA JLMB Joint Lead Managers-Books 0 1 2020-10-13 Bookrunner Barclays BARCS JLMB Joint Lead Managers-Books 0 1 2020-10-13 Bookrunner BNP Paribas BNPP JLMB Joint Lead Managers-Books 0 1 2020-10-13 Bookrunner Citi CITI JLMB Joint L"/>
    <s v="#N/A N/A"/>
    <n v="0.92800000000000005"/>
    <e v="#N/A"/>
    <x v="156"/>
    <s v="Enel Finance International NVCALLABLEFIXEDGBPSr Unsecured"/>
    <x v="0"/>
  </r>
  <r>
    <n v="52"/>
    <s v="Draegerwerk AG &amp; Co KGaA"/>
    <s v="#N/A Field Not Applicable"/>
    <s v="ZO9796350"/>
    <s v="BBG00XWYFNT9"/>
    <s v="DRAGER"/>
    <s v="DE"/>
    <s v="DE"/>
    <s v="DE"/>
    <n v="0"/>
    <s v="2021-01-04"/>
    <s v="2028-01-04"/>
    <s v="N/A"/>
    <x v="0"/>
    <s v="N"/>
    <s v="7Y"/>
    <s v="Sr Unsecured"/>
    <s v="EUR"/>
    <s v="#N/A N/A"/>
    <s v="N.S."/>
    <s v="FIXED"/>
    <s v="Annual"/>
    <n v="122531000"/>
    <s v="Health Care"/>
    <s v="Medical Equipment &amp; Devices Manufacturing"/>
    <s v="Corporate"/>
    <s v="Industrial"/>
    <s v="Consumer Non-Cyclical"/>
    <s v="Healthcare"/>
    <s v="ESG-LINKED SCHULDSCHEIN. TWO SETTLEMENT DATES: FIRST SETTLEMENT 01/04/21 FOR EUR 40MM; SECOND SETTLEMENT 03/10/21 FOR EUR 60MM."/>
    <s v="n/a"/>
    <m/>
    <s v=""/>
    <x v="2"/>
    <s v="Bookrunner Landesbank Hessen-Thuringen Gi HELABA LMGR Lead Manager(s) 0 4 2021-03-10 Bookrunner Landesbank Hessen-Thuringen Gi HELABA LMGR Lead Manager(s) 0 1 2021-01-04"/>
    <s v="#N/A N/A"/>
    <s v="#N/A N/A"/>
    <e v="#N/A"/>
    <x v="0"/>
    <s v="Draegerwerk AG &amp; Co KGaAAT MATURITYFIXEDEURSr Unsecured"/>
    <x v="0"/>
  </r>
  <r>
    <n v="53"/>
    <s v="Draegerwerk AG &amp; Co KGaA"/>
    <s v="#N/A Field Not Applicable"/>
    <s v="ZO9796368"/>
    <s v="BBG00XWYFNX4"/>
    <s v="DRAGER"/>
    <s v="DE"/>
    <s v="DE"/>
    <s v="DE"/>
    <n v="0"/>
    <s v="2021-01-04"/>
    <s v="2026-01-04"/>
    <s v="N/A"/>
    <x v="0"/>
    <s v="N"/>
    <s v="5Y"/>
    <s v="Sr Unsecured"/>
    <s v="EUR"/>
    <s v="#N/A N/A"/>
    <s v="N.S."/>
    <s v="FIXED"/>
    <s v="Annual"/>
    <n v="122531000"/>
    <s v="Health Care"/>
    <s v="Medical Equipment &amp; Devices Manufacturing"/>
    <s v="Corporate"/>
    <s v="Industrial"/>
    <s v="Consumer Non-Cyclical"/>
    <s v="Healthcare"/>
    <s v="ESG-LINKED SCHULDSCHEIN. TWO SETTLEMENT DATES: FIRST SETTLEMENT 01/04/21 FOR EUR 40MM; SECOND SETTLEMENT 03/10/21 FOR EUR 60MM."/>
    <s v="n/a"/>
    <m/>
    <s v=""/>
    <x v="2"/>
    <s v="Bookrunner Landesbank Hessen-Thuringen Gi HELABA LMGR Lead Manager(s) 0 4 2021-03-10 Bookrunner Landesbank Hessen-Thuringen Gi HELABA LMGR Lead Manager(s) 0 1 2021-01-04"/>
    <s v="#N/A N/A"/>
    <s v="#N/A N/A"/>
    <e v="#N/A"/>
    <x v="0"/>
    <s v="Draegerwerk AG &amp; Co KGaAAT MATURITYFIXEDEURSr Unsecured"/>
    <x v="0"/>
  </r>
  <r>
    <n v="102"/>
    <s v="Faber-Castell AG"/>
    <s v="#N/A Field Not Applicable"/>
    <s v="ZP4289051"/>
    <s v="BBG00RCG6FQ3"/>
    <s v="FABCAS"/>
    <s v="DE"/>
    <s v="DE"/>
    <s v="DE"/>
    <n v="0"/>
    <s v="2020-02-19"/>
    <s v="2027-02-19"/>
    <s v="N/A"/>
    <x v="0"/>
    <s v="N"/>
    <s v="7Y"/>
    <s v="Sr Unsecured"/>
    <s v="EUR"/>
    <s v="#N/A N/A"/>
    <s v="N.S."/>
    <s v="FLOATING"/>
    <s v="S/A"/>
    <n v="59355450"/>
    <s v="Consumer Discretionary"/>
    <s v="Home &amp; Office Products Manufacturing"/>
    <s v="Corporate"/>
    <s v="Industrial"/>
    <s v="Consumer Non-Cyclical"/>
    <s v="Consumer Products"/>
    <s v="ESG-LINKED SCHULDSCHEIN. SUSTAINABILITY PRICING ADJUSTMENT: +2BPS IF SUSTAINABILITY SCORE &lt;=49; -2BPS IF &gt;=69."/>
    <n v="2"/>
    <n v="2"/>
    <s v="yes"/>
    <x v="0"/>
    <s v="Bookrunner DZ Bank DZBK JLMB Joint Lead Managers-Books 0 1 2020-02-19 Bookrunner UniCredit Bank AG UNICRD JLMB Joint Lead Managers-Books 0 1 2020-02-19"/>
    <s v="#N/A N/A"/>
    <s v="#N/A N/A"/>
    <e v="#N/A"/>
    <x v="0"/>
    <s v="Faber-Castell AGAT MATURITYFLOATINGEURSr Unsecured"/>
    <x v="0"/>
  </r>
  <r>
    <n v="103"/>
    <s v="Faber-Castell AG"/>
    <s v="#N/A Field Not Applicable"/>
    <s v="ZP4289689"/>
    <s v="BBG00RCG77L5"/>
    <s v="FABCAS"/>
    <s v="DE"/>
    <s v="DE"/>
    <s v="DE"/>
    <n v="0"/>
    <s v="2020-02-19"/>
    <s v="2025-02-19"/>
    <s v="N/A"/>
    <x v="0"/>
    <s v="N"/>
    <s v="5Y"/>
    <s v="Sr Unsecured"/>
    <s v="EUR"/>
    <s v="#N/A N/A"/>
    <s v="N.S."/>
    <s v="FLOATING"/>
    <s v="S/A"/>
    <n v="59355450"/>
    <s v="Consumer Discretionary"/>
    <s v="Home &amp; Office Products Manufacturing"/>
    <s v="Corporate"/>
    <s v="Industrial"/>
    <s v="Consumer Non-Cyclical"/>
    <s v="Consumer Products"/>
    <s v="ESG-LINKED SCHULDSCHEIN. SUSTAINABILITY PRICING ADJUSTMENT: +2BPS IF SUSTAINABILITY SCORE &lt;=49; -2BPS IF &gt;=69."/>
    <n v="2"/>
    <n v="2"/>
    <s v="yes"/>
    <x v="0"/>
    <s v="Bookrunner DZ Bank DZBK JLMB Joint Lead Managers-Books 0 1 2020-02-19 Bookrunner UniCredit Bank AG UNICRD JLMB Joint Lead Managers-Books 0 1 2020-02-19"/>
    <s v="#N/A N/A"/>
    <s v="#N/A N/A"/>
    <e v="#N/A"/>
    <x v="0"/>
    <s v="Faber-Castell AGAT MATURITYFLOATINGEURSr Unsecured"/>
    <x v="0"/>
  </r>
  <r>
    <n v="273"/>
    <s v="Voith GmbH &amp; Co KGaA"/>
    <s v="#N/A Field Not Applicable"/>
    <s v="ZP5663015"/>
    <s v="BBG00RFBZ7G8"/>
    <s v="VOITGR"/>
    <s v="DE"/>
    <s v="DE"/>
    <s v="DE"/>
    <n v="0"/>
    <s v="2020-02-26"/>
    <s v="2030-02-26"/>
    <s v="N/A"/>
    <x v="0"/>
    <s v="N"/>
    <s v="10Y"/>
    <s v="Sr Unsecured"/>
    <s v="EUR"/>
    <s v="#N/A N/A"/>
    <s v="N.S."/>
    <s v="FLOATING"/>
    <s v="S/A"/>
    <n v="435148000"/>
    <s v="Industrials"/>
    <s v="Machinery Manufacturing"/>
    <s v="Corporate"/>
    <s v="Industrial"/>
    <s v="Capital Goods"/>
    <s v="Diversified Manufacturing"/>
    <s v="ESG-LINKED SCHULDSCHEIN. SUSTAINABILITY PRICING ADJUSTMENT: +2.5BPS IF ESG; RATING &lt;C+ BY ISS ESG; -2.5BPS IF &gt;C+."/>
    <n v="2.5"/>
    <n v="2.5"/>
    <s v="yes"/>
    <x v="0"/>
    <s v="Bookrunner Landesbank Baden-Wuerttemberg LBBW JLMB Joint Lead Managers-Books 0 1 2020-02-26 Bookrunner UniCredit Bank AG UNICRD JLMB Joint Lead Managers-Books 0 1 2020-02-26"/>
    <s v="#N/A N/A"/>
    <s v="#N/A N/A"/>
    <e v="#N/A"/>
    <x v="0"/>
    <s v="Voith GmbH &amp; Co KGaAAT MATURITYFLOATINGEURSr Unsecured"/>
    <x v="0"/>
  </r>
  <r>
    <n v="275"/>
    <s v="Voith GmbH &amp; Co KGaA"/>
    <s v="#N/A Field Not Applicable"/>
    <s v="ZP5670580"/>
    <s v="BBG00RFC2D88"/>
    <s v="VOITGR"/>
    <s v="DE"/>
    <s v="DE"/>
    <s v="DE"/>
    <n v="0"/>
    <s v="2020-02-26"/>
    <s v="2027-02-26"/>
    <s v="N/A"/>
    <x v="0"/>
    <s v="N"/>
    <s v="7Y"/>
    <s v="Sr Unsecured"/>
    <s v="EUR"/>
    <s v="#N/A N/A"/>
    <s v="N.S."/>
    <s v="FLOATING"/>
    <s v="S/A"/>
    <n v="435148000"/>
    <s v="Industrials"/>
    <s v="Machinery Manufacturing"/>
    <s v="Corporate"/>
    <s v="Industrial"/>
    <s v="Capital Goods"/>
    <s v="Diversified Manufacturing"/>
    <s v="ESG-LINKED SCHULDSCHEIN. SUSTAINABILITY PRICING ADJUSTMENT: +2.5BPS IF ESG; RATING &lt;C+ BY ISS ESG; -2.5BPS IF &gt;C+."/>
    <n v="2.5"/>
    <n v="2.5"/>
    <s v="yes"/>
    <x v="0"/>
    <s v="Bookrunner Landesbank Baden-Wuerttemberg LBBW JLMB Joint Lead Managers-Books 0 1 2020-02-26 Bookrunner UniCredit Bank AG UNICRD JLMB Joint Lead Managers-Books 0 1 2020-02-26"/>
    <s v="#N/A N/A"/>
    <s v="#N/A N/A"/>
    <e v="#N/A"/>
    <x v="0"/>
    <s v="Voith GmbH &amp; Co KGaAAT MATURITYFLOATINGEURSr Unsecured"/>
    <x v="0"/>
  </r>
  <r>
    <n v="274"/>
    <s v="Voith GmbH &amp; Co KGaA"/>
    <s v="#N/A Field Not Applicable"/>
    <s v="ZP5670671"/>
    <s v="BBG00RFC2F01"/>
    <s v="VOITGR"/>
    <s v="DE"/>
    <s v="DE"/>
    <s v="DE"/>
    <n v="0"/>
    <s v="2020-02-26"/>
    <s v="2025-02-26"/>
    <s v="N/A"/>
    <x v="0"/>
    <s v="N"/>
    <s v="5Y"/>
    <s v="Sr Unsecured"/>
    <s v="EUR"/>
    <s v="#N/A N/A"/>
    <s v="N.S."/>
    <s v="FLOATING"/>
    <s v="S/A"/>
    <n v="435148000"/>
    <s v="Industrials"/>
    <s v="Machinery Manufacturing"/>
    <s v="Corporate"/>
    <s v="Industrial"/>
    <s v="Capital Goods"/>
    <s v="Diversified Manufacturing"/>
    <s v="ESG-LINKED SCHULDSCHEIN. SUSTAINABILITY PRICING ADJUSTMENT: +2.5BPS IF ESG; RATING &lt;C+ BY ISS ESG; -2.5BPS IF &gt;C+."/>
    <n v="2.5"/>
    <n v="2.5"/>
    <s v="yes"/>
    <x v="0"/>
    <s v="Bookrunner Landesbank Baden-Wuerttemberg LBBW JLMB Joint Lead Managers-Books 0 1 2020-02-26 Bookrunner UniCredit Bank AG UNICRD JLMB Joint Lead Managers-Books 0 1 2020-02-26"/>
    <s v="#N/A N/A"/>
    <s v="#N/A N/A"/>
    <e v="#N/A"/>
    <x v="0"/>
    <s v="Voith GmbH &amp; Co KGaAAT MATURITYFLOATINGEURSr Unsecured"/>
    <x v="0"/>
  </r>
  <r>
    <n v="93"/>
    <s v="Enel Finance International NV"/>
    <s v="XS2066706818"/>
    <s v="ZQ0626247"/>
    <s v="BBG00QK2SJL0"/>
    <s v="ENELIM"/>
    <s v="NL"/>
    <s v="NL"/>
    <s v="IT"/>
    <n v="0"/>
    <s v="2019-10-17"/>
    <s v="2024-06-17"/>
    <n v="0.67630000000000001"/>
    <x v="1"/>
    <s v="Y"/>
    <s v="EMTN"/>
    <s v="Sr Unsecured"/>
    <s v="EUR"/>
    <s v="BBB+"/>
    <s v="N.S."/>
    <s v="FIXED"/>
    <s v="Annual"/>
    <n v="1112620000"/>
    <s v="Utilities"/>
    <s v="Utilities"/>
    <s v="Corporate"/>
    <s v="Utility"/>
    <s v="Electric"/>
    <s v="Electric"/>
    <s v="STEP-UP MARGIN: 25BP, STEP-UP EVENT: RENEWABLES INSTALLED CAPACITY"/>
    <n v="25"/>
    <m/>
    <s v=""/>
    <x v="1"/>
    <s v="Bookrunner Bank of America Merrill Lynch BofAML JLMB Joint Lead Managers-Books 0 1 2019-10-10 Bookrunner BNP Paribas BNPP JLMB Joint Lead Managers-Books 0 1 2019-10-10 Bookrunner Credit Agricole CIB CACIB JLMB Joint Lead Managers-Books 0 1 2019-10-10 Book"/>
    <s v="#N/A N/A"/>
    <n v="0.17199999999999999"/>
    <e v="#N/A"/>
    <x v="157"/>
    <s v="Enel Finance International NVCALLABLEFIXEDEURSr Unsecured"/>
    <x v="0"/>
  </r>
  <r>
    <n v="94"/>
    <s v="Enel Finance International NV"/>
    <s v="XS2066706909"/>
    <s v="ZQ0626254"/>
    <s v="BBG00QK2SJQ5"/>
    <s v="ENELIM"/>
    <s v="NL"/>
    <s v="NL"/>
    <s v="IT"/>
    <n v="0.375"/>
    <s v="2019-10-17"/>
    <s v="2027-06-17"/>
    <n v="0.88929999999999998"/>
    <x v="1"/>
    <s v="Y"/>
    <s v="EMTN"/>
    <s v="Sr Unsecured"/>
    <s v="EUR"/>
    <s v="BBB+"/>
    <s v="N.S."/>
    <s v="FIXED"/>
    <s v="Annual"/>
    <n v="1112620000"/>
    <s v="Utilities"/>
    <s v="Utilities"/>
    <s v="Corporate"/>
    <s v="Utility"/>
    <s v="Electric"/>
    <s v="Electric"/>
    <s v="STEP-UP MARGIN: 25BP, STEP-UP EVENT: RENEWABLES INSTALLED CAPACITY"/>
    <n v="25"/>
    <m/>
    <s v=""/>
    <x v="1"/>
    <s v="Bookrunner Banco Bilbao Vizcaya Argentari BBVA JLMB Joint Lead Managers-Books 0 1 2019-10-10 Bookrunner Banco Santander SANT JLMB Joint Lead Managers-Books 0 1 2019-10-10 Bookrunner Bank of America Merrill Lynch BofAML JLMB Joint Lead Managers-Books 0 1 2"/>
    <s v="#N/A N/A"/>
    <n v="0.42899999999999999"/>
    <e v="#N/A"/>
    <x v="158"/>
    <s v="Enel Finance International NVCALLABLEFIXEDEURSr Unsecured"/>
    <x v="0"/>
  </r>
  <r>
    <n v="95"/>
    <s v="Enel Finance International NV"/>
    <s v="XS2066706735"/>
    <s v="ZQ0626262"/>
    <s v="BBG00QK2SJW8"/>
    <s v="ENELIM"/>
    <s v="NL"/>
    <s v="NL"/>
    <s v="IT"/>
    <n v="1.125"/>
    <s v="2019-10-17"/>
    <s v="2034-10-17"/>
    <n v="1.3555999999999999"/>
    <x v="1"/>
    <s v="Y"/>
    <s v="EMTN"/>
    <s v="Sr Unsecured"/>
    <s v="EUR"/>
    <s v="BBB+"/>
    <s v="N.S."/>
    <s v="FIXED"/>
    <s v="Annual"/>
    <n v="556310000"/>
    <s v="Utilities"/>
    <s v="Utilities"/>
    <s v="Corporate"/>
    <s v="Utility"/>
    <s v="Electric"/>
    <s v="Electric"/>
    <s v="STEP-UP MARGIN: 25BP, STEP-UP EVENT: DIRECT GREEN HOUSE GAS EMISSIONS"/>
    <n v="25"/>
    <m/>
    <s v=""/>
    <x v="1"/>
    <s v="Bookrunner Banca IMI B.IMI JLMB Joint Lead Managers-Books 0 1 2019-10-10 Bookrunner Bank of America Merrill Lynch BofAML JLMB Joint Lead Managers-Books 0 1 2019-10-10 Bookrunner Barclays BARCS JLMB Joint Lead Managers-Books 0 1 2019-10-10 Bookrunner BNP P"/>
    <s v="#N/A N/A"/>
    <n v="1.0589999999999999"/>
    <e v="#N/A"/>
    <x v="159"/>
    <s v="Enel Finance International NVCALLABLEFIXEDEURSr Unsecured"/>
    <x v="0"/>
  </r>
  <r>
    <n v="166"/>
    <s v="Lenzing AG"/>
    <s v="#N/A Field Not Applicable"/>
    <s v="ZQ3524308"/>
    <s v="BBG00QQ5FGN5"/>
    <s v="LNZAV"/>
    <s v="AT"/>
    <s v="AT"/>
    <s v="AT"/>
    <n v="0"/>
    <s v="2019-12-09"/>
    <s v="2029-12-09"/>
    <s v="N/A"/>
    <x v="0"/>
    <s v="N"/>
    <s v="10Y"/>
    <s v="Sr Unsecured"/>
    <s v="EUR"/>
    <s v="n/a"/>
    <s v="N.S."/>
    <s v="FLOATING"/>
    <s v="S/A"/>
    <n v="552845000.28699994"/>
    <s v="Materials"/>
    <s v="Chemicals"/>
    <s v="Corporate"/>
    <s v="Industrial"/>
    <s v="Basic Industry"/>
    <s v="Chemicals"/>
    <s v="MULTI-CURRENCY DEAL. TOTAL DEAL SIZE EQUIV TO EUR 500MM. CURRENCY SPLIT EUR 441MM AND USD 65MM. TWO SETTLEMENT DATES: 12/09/2019 AND 01/10/2020."/>
    <s v="n/a"/>
    <m/>
    <s v=""/>
    <x v="2"/>
    <s v="Bookrunner BNP Paribas/Frankfurt BNP JLMB Joint Lead Managers-Books 0 4 2020-01-10 Bookrunner Landesbank Baden-Wuerttemberg LBBW JLMB Joint Lead Managers-Books 0 4 2020-01-10 Bookrunner UniCredit Bank AG UNICRD JLMB Joint Lead Managers-Books 0 4 2020-01-1"/>
    <s v="#N/A N/A"/>
    <s v="#N/A N/A"/>
    <e v="#N/A"/>
    <x v="0"/>
    <s v="Lenzing AGAT MATURITYFLOATINGEURSr Unsecured"/>
    <x v="0"/>
  </r>
  <r>
    <n v="167"/>
    <s v="Lenzing AG"/>
    <s v="#N/A Field Not Applicable"/>
    <s v="ZQ3724734"/>
    <s v="BBG00QQ85TV3"/>
    <s v="LNZAV"/>
    <s v="AT"/>
    <s v="AT"/>
    <s v="AT"/>
    <n v="0"/>
    <s v="2019-12-09"/>
    <s v="2026-12-09"/>
    <s v="N/A"/>
    <x v="0"/>
    <s v="N"/>
    <s v="7YEU"/>
    <s v="Sr Unsecured"/>
    <s v="EUR"/>
    <s v="n/a"/>
    <s v="N.S."/>
    <s v="FLOATING"/>
    <s v="S/A"/>
    <n v="487609290"/>
    <s v="Materials"/>
    <s v="Chemicals"/>
    <s v="Corporate"/>
    <s v="Industrial"/>
    <s v="Basic Industry"/>
    <s v="Chemicals"/>
    <s v="MULTI-CURRENCY DEAL. TOTAL DEAL SIZE EQUIV TO EUR 500MM. CURRENCY SPLIT EUR 441MM AND USD 65MM. TWO SETTLEMENT DATES: 12/09/2019 AND 01/10/2020."/>
    <s v="n/a"/>
    <m/>
    <s v=""/>
    <x v="2"/>
    <s v="Bookrunner BNP Paribas/Frankfurt BNP JLMB Joint Lead Managers-Books 0 4 2020-01-10 Bookrunner Landesbank Baden-Wuerttemberg LBBW JLMB Joint Lead Managers-Books 0 4 2020-01-10 Bookrunner UniCredit Bank AG UNICRD JLMB Joint Lead Managers-Books 0 4 2020-01-1"/>
    <s v="#N/A N/A"/>
    <s v="#N/A N/A"/>
    <e v="#N/A"/>
    <x v="0"/>
    <s v="Lenzing AGAT MATURITYFLOATINGEURSr Unsecured"/>
    <x v="0"/>
  </r>
  <r>
    <n v="169"/>
    <s v="Lenzing AG"/>
    <s v="#N/A Field Not Applicable"/>
    <s v="ZQ3724742"/>
    <s v="BBG00QQ85TX1"/>
    <s v="LNZAV"/>
    <s v="AT"/>
    <s v="AT"/>
    <s v="AT"/>
    <n v="0"/>
    <s v="2019-12-09"/>
    <s v="2024-12-09"/>
    <s v="N/A"/>
    <x v="0"/>
    <s v="N"/>
    <s v="5YEU"/>
    <s v="Sr Unsecured"/>
    <s v="EUR"/>
    <s v="n/a"/>
    <s v="N.S."/>
    <s v="FLOATING"/>
    <s v="S/A"/>
    <n v="487609290"/>
    <s v="Materials"/>
    <s v="Chemicals"/>
    <s v="Corporate"/>
    <s v="Industrial"/>
    <s v="Basic Industry"/>
    <s v="Chemicals"/>
    <s v="MULTI-CURRENCY DEAL. TOTAL DEAL SIZE EQUIV TO EUR 500MM. CURRENCY SPLIT EUR 441MM AND USD 65MM. TWO SETTLEMENT DATES: 12/09/2019 AND 01/10/2020."/>
    <s v="n/a"/>
    <m/>
    <s v=""/>
    <x v="2"/>
    <s v="Bookrunner BNP Paribas/Frankfurt BNP JLMB Joint Lead Managers-Books 0 4 2020-01-10 Bookrunner Landesbank Baden-Wuerttemberg LBBW JLMB Joint Lead Managers-Books 0 4 2020-01-10 Bookrunner UniCredit Bank AG UNICRD JLMB Joint Lead Managers-Books 0 4 2020-01-1"/>
    <s v="#N/A N/A"/>
    <s v="#N/A N/A"/>
    <e v="#N/A"/>
    <x v="0"/>
    <s v="Lenzing AGAT MATURITYFLOATINGEURSr Unsecured"/>
    <x v="0"/>
  </r>
  <r>
    <n v="168"/>
    <s v="Lenzing AG"/>
    <s v="#N/A Field Not Applicable"/>
    <s v="ZQ3724759"/>
    <s v="BBG00QQ85TZ9"/>
    <s v="LNZAV"/>
    <s v="AT"/>
    <s v="AT"/>
    <s v="AT"/>
    <n v="0"/>
    <s v="2019-12-09"/>
    <s v="2026-12-09"/>
    <s v="N/A"/>
    <x v="0"/>
    <s v="N"/>
    <s v="7YUS"/>
    <s v="Sr Unsecured"/>
    <s v="USD"/>
    <s v="n/a"/>
    <s v="N.S."/>
    <s v="FLOATING"/>
    <s v="Qtrly"/>
    <n v="65000000"/>
    <s v="Materials"/>
    <s v="Chemicals"/>
    <s v="Corporate"/>
    <s v="Industrial"/>
    <s v="Basic Industry"/>
    <s v="Chemicals"/>
    <s v="MULTI-CURRENCY DEAL. TOTAL DEAL SIZE EQUIV TO EUR 500MM. CURRENCY SPLIT EUR 441MM AND USD 65MM. TWO SETTLEMENT DATES: 12/09/2019 AND 01/10/2020."/>
    <s v="n/a"/>
    <m/>
    <s v=""/>
    <x v="2"/>
    <s v="Bookrunner BNP Paribas/Frankfurt BNP JLMB Joint Lead Managers-Books 0 4 2020-01-10 Bookrunner Landesbank Baden-Wuerttemberg LBBW JLMB Joint Lead Managers-Books 0 4 2020-01-10 Bookrunner UniCredit Bank AG UNICRD JLMB Joint Lead Managers-Books 0 4 2020-01-1"/>
    <s v="#N/A N/A"/>
    <s v="#N/A N/A"/>
    <e v="#N/A"/>
    <x v="0"/>
    <s v="Lenzing AGAT MATURITYFLOATINGUSDSr Unsecured"/>
    <x v="0"/>
  </r>
  <r>
    <n v="170"/>
    <s v="Lenzing AG"/>
    <s v="#N/A Field Not Applicable"/>
    <s v="ZQ3724767"/>
    <s v="BBG00QQ85V02"/>
    <s v="LNZAV"/>
    <s v="AT"/>
    <s v="AT"/>
    <s v="AT"/>
    <n v="0"/>
    <s v="2019-12-09"/>
    <s v="2024-12-09"/>
    <s v="N/A"/>
    <x v="0"/>
    <s v="N"/>
    <s v="5YUS"/>
    <s v="Sr Unsecured"/>
    <s v="USD"/>
    <s v="n/a"/>
    <s v="N.S."/>
    <s v="FLOATING"/>
    <s v="Qtrly"/>
    <n v="65000000"/>
    <s v="Materials"/>
    <s v="Chemicals"/>
    <s v="Corporate"/>
    <s v="Industrial"/>
    <s v="Basic Industry"/>
    <s v="Chemicals"/>
    <s v="MULTI-CURRENCY DEAL. TOTAL DEAL SIZE EQUIV TO EUR 500MM. CURRENCY SPLIT EUR 441MM AND USD 65MM. TWO SETTLEMENT DATES: 12/09/2019 AND 01/10/2020."/>
    <s v="n/a"/>
    <m/>
    <s v=""/>
    <x v="2"/>
    <s v="Bookrunner BNP Paribas/Frankfurt BNP JLMB Joint Lead Managers-Books 0 4 2020-01-10 Bookrunner Landesbank Baden-Wuerttemberg LBBW JLMB Joint Lead Managers-Books 0 4 2020-01-10 Bookrunner UniCredit Bank AG UNICRD JLMB Joint Lead Managers-Books 0 4 2020-01-1"/>
    <s v="#N/A N/A"/>
    <s v="#N/A N/A"/>
    <e v="#N/A"/>
    <x v="0"/>
    <s v="Lenzing AGAT MATURITYFLOATINGUSDSr Unsecured"/>
    <x v="0"/>
  </r>
  <r>
    <n v="181"/>
    <s v="Maire Tecnimont SpA"/>
    <s v="#N/A Field Not Applicable"/>
    <s v="ZQ3885113"/>
    <s v="BBG00QQFC3T9"/>
    <s v="MTIM"/>
    <s v="IT"/>
    <s v="IT"/>
    <s v="IT"/>
    <n v="0"/>
    <s v="2019-12-11"/>
    <s v="2024-12-11"/>
    <s v="N/A"/>
    <x v="0"/>
    <s v="N"/>
    <s v="5Y"/>
    <s v="Sr Unsecured"/>
    <s v="EUR"/>
    <s v="n/a"/>
    <s v="N.S."/>
    <s v="FLOATING"/>
    <s v="S/A"/>
    <n v="69326875"/>
    <s v="Industrials"/>
    <s v="Industrial Other"/>
    <s v="Corporate"/>
    <s v="Industrial"/>
    <s v="Energy"/>
    <s v="Refining"/>
    <s v="SUSTAINABILITY-LINKED SCHULDSCHEIN. STEPS UP BY 75BPS IF NET DEBT/EBITDA &gt;2.5X. SUSTAINABILITY-TIED PRICING REVISION."/>
    <n v="75"/>
    <m/>
    <s v=""/>
    <x v="2"/>
    <s v="Bookrunner Banca IMI B.IMI JLMB Joint Lead Managers-Books 0 1 2019-12-11 Bookrunner UniCredit Group UNICGP JLMB Joint Lead Managers-Books 0 1 2019-12-11 NonBookrunner Societe Generale SG CLM Co-Lead Manager(s) 0 1 2019-12-11"/>
    <s v="#N/A N/A"/>
    <s v="#N/A N/A"/>
    <e v="#N/A"/>
    <x v="0"/>
    <s v="Maire Tecnimont SpAAT MATURITYFLOATINGEURSr Unsecured"/>
    <x v="0"/>
  </r>
  <r>
    <n v="180"/>
    <s v="Maire Tecnimont SpA"/>
    <s v="#N/A Field Not Applicable"/>
    <s v="ZQ3885279"/>
    <s v="BBG00QQFC8P2"/>
    <s v="MTIM"/>
    <s v="IT"/>
    <s v="IT"/>
    <s v="IT"/>
    <n v="0"/>
    <s v="2019-12-11"/>
    <s v="2022-12-11"/>
    <s v="N/A"/>
    <x v="0"/>
    <s v="N"/>
    <s v="3Y"/>
    <s v="Sr Unsecured"/>
    <s v="EUR"/>
    <s v="n/a"/>
    <s v="N.S."/>
    <s v="FLOATING"/>
    <s v="S/A"/>
    <n v="69326875"/>
    <s v="Industrials"/>
    <s v="Industrial Other"/>
    <s v="Corporate"/>
    <s v="Industrial"/>
    <s v="Energy"/>
    <s v="Refining"/>
    <s v="SUSTAINABILITY-LINKED SCHULDSCHEIN. STEPS UP BY 75BPS IF NET DEBT/EBITDA &gt;2.5X. SUSTAINABILITY-TIED PRICING REVISION."/>
    <n v="75"/>
    <m/>
    <s v=""/>
    <x v="2"/>
    <s v="Bookrunner Banca IMI B.IMI JLMB Joint Lead Managers-Books 0 1 2019-12-11 Bookrunner UniCredit Group UNICGP JLMB Joint Lead Managers-Books 0 1 2019-12-11 NonBookrunner Societe Generale SG CLM Co-Lead Manager(s) 0 1 2019-12-11"/>
    <s v="#N/A N/A"/>
    <s v="#N/A N/A"/>
    <e v="#N/A"/>
    <x v="0"/>
    <s v="Maire Tecnimont SpAAT MATURITYFLOATINGEURSr Unsecured"/>
    <x v="0"/>
  </r>
  <r>
    <n v="91"/>
    <s v="Enel Finance International NV"/>
    <s v="US29278GAL23"/>
    <s v="ZR4855485"/>
    <s v="BBG00Q69ZX05"/>
    <s v="ENELIM"/>
    <s v="NL"/>
    <s v="NL"/>
    <s v="IT"/>
    <n v="2.65"/>
    <s v="2019-09-10"/>
    <s v="2024-09-10"/>
    <n v="2.6760000000000002"/>
    <x v="0"/>
    <s v="N"/>
    <s v="144A"/>
    <s v="Sr Unsecured"/>
    <s v="USD"/>
    <s v="BBB+"/>
    <s v="N.S."/>
    <s v="FIXED"/>
    <s v="S/A"/>
    <n v="1500000000"/>
    <s v="Utilities"/>
    <s v="Utilities"/>
    <s v="Corporate"/>
    <s v="Utility"/>
    <s v="Electric"/>
    <s v="Electric"/>
    <s v="STEP-UP MARGIN: 25 BP, STEP-UP EVENT: RENEWABLES INSTALLED CAPACITY"/>
    <n v="25"/>
    <m/>
    <s v=""/>
    <x v="1"/>
    <s v="Bookrunner Bank of America Merrill Lynch BofAML JLMB Joint Lead Managers-Books 0 1 2019-09-05 Bookrunner BNP Paribas/New York BNPPAR JLMB Joint Lead Managers-Books 0 1 2019-09-05 Bookrunner Citigroup Global Markets Inc CITI JLMB Joint Lead Managers-Books "/>
    <n v="2.6760000000000002"/>
    <n v="2.677"/>
    <e v="#N/A"/>
    <x v="160"/>
    <s v="Enel Finance International NVAT MATURITYFIXEDUSDSr Unsecured"/>
    <x v="1"/>
  </r>
  <r>
    <n v="92"/>
    <s v="Enel Finance International NV"/>
    <s v="USN30707AM05"/>
    <s v="ZR4855493"/>
    <s v="BBG00Q69ZX78"/>
    <s v="ENELIM"/>
    <s v="NL"/>
    <s v="NL"/>
    <s v="IT"/>
    <n v="2.65"/>
    <s v="2019-09-10"/>
    <s v="2024-09-10"/>
    <n v="2.6760000000000002"/>
    <x v="0"/>
    <s v="N"/>
    <s v="REGS"/>
    <s v="Sr Unsecured"/>
    <s v="USD"/>
    <s v="BBB+"/>
    <s v="N.S."/>
    <s v="FIXED"/>
    <s v="S/A"/>
    <n v="1500000000"/>
    <s v="Utilities"/>
    <s v="Utilities"/>
    <s v="Corporate"/>
    <s v="Utility"/>
    <s v="Electric"/>
    <s v="Electric"/>
    <s v="STEP-UP MARGIN: 25 BP, STEP-UP EVENT: RENEWABLES INSTALLED CAPACITY"/>
    <n v="25"/>
    <m/>
    <s v=""/>
    <x v="1"/>
    <s v="Bookrunner Bank of America Merrill Lynch BofAML JLMB Joint Lead Managers-Books 0 1 2019-09-05 Bookrunner BNP Paribas/New York BNPPAR JLMB Joint Lead Managers-Books 0 1 2019-09-05 Bookrunner Citigroup Global Markets Inc CITI JLMB Joint Lead Managers-Books "/>
    <n v="2.6760000000000002"/>
    <n v="2.677"/>
    <e v="#N/A"/>
    <x v="160"/>
    <s v="Enel Finance International NVAT MATURITYFIXEDUSDSr Unsecured"/>
    <x v="1"/>
  </r>
  <r>
    <n v="62"/>
    <s v="Duerr AG"/>
    <s v="#N/A Field Not Applicable"/>
    <s v="ZS6974621"/>
    <s v="BBG00P5B86Q4"/>
    <s v="DUEGR"/>
    <s v="DE"/>
    <s v="DE"/>
    <s v="DE"/>
    <n v="0"/>
    <s v="2019-07-04"/>
    <s v="2029-07-04"/>
    <s v="N/A"/>
    <x v="0"/>
    <s v="N"/>
    <s v="10Y"/>
    <s v="Sr Unsecured"/>
    <s v="EUR"/>
    <s v="#N/A N/A"/>
    <s v="N.S."/>
    <s v="FIXED"/>
    <s v="Annual"/>
    <n v="225626000"/>
    <s v="Industrials"/>
    <s v="Machinery Manufacturing"/>
    <s v="Corporate"/>
    <s v="Industrial"/>
    <s v="Other Industrial"/>
    <s v="Other Industrial"/>
    <s v="PRICING STEPS UP BY 2BPS IF SUSTAINABILITY SCORE &lt;=40. PRICING STEPS DOWN BY 2BPS IF &gt;=62"/>
    <n v="2"/>
    <n v="2"/>
    <s v="yes"/>
    <x v="0"/>
    <s v="Bookrunner ING Bank NV Niederlassung ING JLMB Joint Lead Managers-Books 0 1 2019-07-04 Bookrunner Landesbank Baden-Wuerttemberg LBBW JLMB Joint Lead Managers-Books 0 1 2019-07-04"/>
    <s v="#N/A N/A"/>
    <s v="#N/A N/A"/>
    <e v="#N/A"/>
    <x v="0"/>
    <s v="Duerr AGAT MATURITYFIXEDEURSr Unsecured"/>
    <x v="0"/>
  </r>
  <r>
    <n v="63"/>
    <s v="Duerr AG"/>
    <s v="#N/A Field Not Applicable"/>
    <s v="ZS6974936"/>
    <s v="BBG00P5B8G19"/>
    <s v="DUEGR"/>
    <s v="DE"/>
    <s v="DE"/>
    <s v="DE"/>
    <n v="0"/>
    <s v="2019-07-04"/>
    <s v="2027-07-04"/>
    <s v="N/A"/>
    <x v="0"/>
    <s v="N"/>
    <s v="8YFX"/>
    <s v="Sr Unsecured"/>
    <s v="EUR"/>
    <s v="#N/A N/A"/>
    <s v="N.S."/>
    <s v="FIXED"/>
    <s v="Annual"/>
    <n v="225626000"/>
    <s v="Industrials"/>
    <s v="Machinery Manufacturing"/>
    <s v="Corporate"/>
    <s v="Industrial"/>
    <s v="Other Industrial"/>
    <s v="Other Industrial"/>
    <s v="PRICING STEPS UP BY 2BPS IF SUSTAINABILITY SCORE &lt;=40. PRICING STEPS DOWN BY 2BPS IF &gt;=62"/>
    <n v="2"/>
    <n v="2"/>
    <s v="yes"/>
    <x v="0"/>
    <s v="Bookrunner ING Bank NV Niederlassung ING JLMB Joint Lead Managers-Books 0 1 2019-07-04 Bookrunner Landesbank Baden-Wuerttemberg LBBW JLMB Joint Lead Managers-Books 0 1 2019-07-04"/>
    <s v="#N/A N/A"/>
    <s v="#N/A N/A"/>
    <e v="#N/A"/>
    <x v="0"/>
    <s v="Duerr AGAT MATURITYFIXEDEURSr Unsecured"/>
    <x v="0"/>
  </r>
  <r>
    <n v="64"/>
    <s v="Duerr AG"/>
    <s v="#N/A Field Not Applicable"/>
    <s v="ZS6974944"/>
    <s v="BBG00P5B8G28"/>
    <s v="DUEGR"/>
    <s v="DE"/>
    <s v="DE"/>
    <s v="DE"/>
    <n v="0"/>
    <s v="2019-07-04"/>
    <s v="2025-07-04"/>
    <s v="N/A"/>
    <x v="0"/>
    <s v="N"/>
    <s v="6YFX"/>
    <s v="Sr Unsecured"/>
    <s v="EUR"/>
    <s v="#N/A N/A"/>
    <s v="N.S."/>
    <s v="FIXED"/>
    <s v="Annual"/>
    <n v="225626000"/>
    <s v="Industrials"/>
    <s v="Machinery Manufacturing"/>
    <s v="Corporate"/>
    <s v="Industrial"/>
    <s v="Other Industrial"/>
    <s v="Other Industrial"/>
    <s v="PRICING STEPS UP BY 2BPS IF SUSTAINABILITY SCORE &lt;=40. PRICING STEPS DOWN BY 2BPS IF &gt;=62"/>
    <n v="2"/>
    <n v="2"/>
    <s v="yes"/>
    <x v="0"/>
    <s v="Bookrunner ING Bank NV Niederlassung ING JLMB Joint Lead Managers-Books 0 1 2019-07-04 Bookrunner Landesbank Baden-Wuerttemberg LBBW JLMB Joint Lead Managers-Books 0 1 2019-07-04"/>
    <s v="#N/A N/A"/>
    <s v="#N/A N/A"/>
    <e v="#N/A"/>
    <x v="0"/>
    <s v="Duerr AGAT MATURITYFIXEDEURSr Unsecured"/>
    <x v="0"/>
  </r>
  <r>
    <n v="65"/>
    <s v="Duerr AG"/>
    <s v="#N/A Field Not Applicable"/>
    <s v="ZS6974969"/>
    <s v="BBG00P5B8G46"/>
    <s v="DUEGR"/>
    <s v="DE"/>
    <s v="DE"/>
    <s v="DE"/>
    <n v="0"/>
    <s v="2019-07-04"/>
    <s v="2024-07-04"/>
    <s v="N/A"/>
    <x v="0"/>
    <s v="N"/>
    <s v="5YFX"/>
    <s v="Sr Unsecured"/>
    <s v="EUR"/>
    <s v="#N/A N/A"/>
    <s v="N.S."/>
    <s v="FIXED"/>
    <s v="Annual"/>
    <n v="225626000"/>
    <s v="Industrials"/>
    <s v="Machinery Manufacturing"/>
    <s v="Corporate"/>
    <s v="Industrial"/>
    <s v="Other Industrial"/>
    <s v="Other Industrial"/>
    <s v="PRICING STEPS UP BY 2BPS IF SUSTAINABILITY SCORE &lt;=40. PRICING STEPS DOWN BY 2BPS IF &gt;=62"/>
    <n v="2"/>
    <n v="2"/>
    <s v="yes"/>
    <x v="0"/>
    <s v="Bookrunner ING Bank NV Niederlassung ING JLMB Joint Lead Managers-Books 0 1 2019-07-04 Bookrunner Landesbank Baden-Wuerttemberg LBBW JLMB Joint Lead Managers-Books 0 1 2019-07-04"/>
    <s v="#N/A N/A"/>
    <s v="#N/A N/A"/>
    <e v="#N/A"/>
    <x v="0"/>
    <s v="Duerr AGAT MATURITYFIXEDEURSr Unsecured"/>
    <x v="0"/>
  </r>
  <r>
    <n v="66"/>
    <s v="Duerr AG"/>
    <s v="#N/A Field Not Applicable"/>
    <s v="ZS6974977"/>
    <s v="BBG00P5B8G64"/>
    <s v="DUEGR"/>
    <s v="DE"/>
    <s v="DE"/>
    <s v="DE"/>
    <n v="0"/>
    <s v="2019-07-04"/>
    <s v="2025-07-04"/>
    <s v="N/A"/>
    <x v="0"/>
    <s v="N"/>
    <s v="6YFL"/>
    <s v="Sr Unsecured"/>
    <s v="EUR"/>
    <s v="#N/A N/A"/>
    <s v="N.S."/>
    <s v="FLOATING"/>
    <s v="S/A"/>
    <n v="225626000"/>
    <s v="Industrials"/>
    <s v="Machinery Manufacturing"/>
    <s v="Corporate"/>
    <s v="Industrial"/>
    <s v="Other Industrial"/>
    <s v="Other Industrial"/>
    <s v="PRICING STEPS UP BY 2BPS IF SUSTAINABILITY SCORE &lt;=40. PRICING STEPS DOWN BY 2BPS IF &gt;=62"/>
    <n v="2"/>
    <n v="2"/>
    <s v="yes"/>
    <x v="0"/>
    <s v="Bookrunner ING Bank NV Niederlassung ING JLMB Joint Lead Managers-Books 0 1 2019-07-04 Bookrunner Landesbank Baden-Wuerttemberg LBBW JLMB Joint Lead Managers-Books 0 1 2019-07-04"/>
    <s v="#N/A N/A"/>
    <s v="#N/A N/A"/>
    <e v="#N/A"/>
    <x v="0"/>
    <s v="Duerr AGAT MATURITYFLOATINGEURSr Unsecured"/>
    <x v="0"/>
  </r>
  <r>
    <n v="67"/>
    <s v="Duerr AG"/>
    <s v="#N/A Field Not Applicable"/>
    <s v="ZS6974985"/>
    <s v="BBG00P5B8G73"/>
    <s v="DUEGR"/>
    <s v="DE"/>
    <s v="DE"/>
    <s v="DE"/>
    <n v="0"/>
    <s v="2019-07-04"/>
    <s v="2024-07-04"/>
    <s v="N/A"/>
    <x v="0"/>
    <s v="N"/>
    <s v="5YFL"/>
    <s v="Sr Unsecured"/>
    <s v="EUR"/>
    <s v="#N/A N/A"/>
    <s v="N.S."/>
    <s v="FLOATING"/>
    <s v="S/A"/>
    <n v="225626000"/>
    <s v="Industrials"/>
    <s v="Machinery Manufacturing"/>
    <s v="Corporate"/>
    <s v="Industrial"/>
    <s v="Other Industrial"/>
    <s v="Other Industrial"/>
    <s v="PRICING STEPS UP BY 2BPS IF SUSTAINABILITY SCORE &lt;=40. PRICING STEPS DOWN BY 2BPS IF &gt;=62"/>
    <n v="2"/>
    <n v="2"/>
    <s v="yes"/>
    <x v="0"/>
    <s v="Bookrunner ING Bank NV Niederlassung ING JLMB Joint Lead Managers-Books 0 1 2019-07-04 Bookrunner Landesbank Baden-Wuerttemberg LBBW JLMB Joint Lead Managers-Books 0 1 2019-07-04"/>
    <s v="#N/A N/A"/>
    <s v="#N/A N/A"/>
    <e v="#N/A"/>
    <x v="0"/>
    <s v="Duerr AGAT MATURITYFLOATINGEURSr Unsecured"/>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1"/>
    <s v="Duerr AG"/>
    <s v="#N/A Field Not Applicable"/>
    <s v="BG4373653"/>
    <s v="BBG00S419B98"/>
    <s v="DUEGR"/>
    <s v="DE"/>
    <s v="DE"/>
    <s v="DE"/>
    <b v="1"/>
    <n v="0"/>
    <s v="2020-04-06"/>
    <s v="2030-04-06"/>
    <s v="N/A"/>
    <s v="AT MATURITY"/>
    <s v="N"/>
    <s v="10Y"/>
    <s v="Sr Unsecured"/>
    <s v="EUR"/>
    <s v="#N/A N/A"/>
    <s v="N.S."/>
    <s v="FIXED"/>
    <s v="Annual"/>
    <x v="0"/>
    <s v="Industrials"/>
    <s v="Machinery Manufacturing"/>
    <s v="Corporate"/>
    <s v="Industrial"/>
    <s v="Other Industrial"/>
    <s v="Other Industrial"/>
    <s v="PRICING STEPS UP BY 2BPS IF SUSTAINABILITY SCORE &lt;=40. PRICING STEPS DOWN BY 2BPS IF &gt;=62"/>
    <n v="2"/>
    <n v="2"/>
    <x v="0"/>
    <x v="0"/>
    <x v="0"/>
    <x v="0"/>
  </r>
  <r>
    <n v="54"/>
    <s v="Duerr AG"/>
    <s v="#N/A Field Not Applicable"/>
    <s v="BG5616522"/>
    <s v="BBG00S5JHCR7"/>
    <s v="DUEGR"/>
    <s v="DE"/>
    <s v="DE"/>
    <s v="DE"/>
    <b v="1"/>
    <n v="0"/>
    <s v="2020-04-06"/>
    <s v="2027-04-06"/>
    <s v="N/A"/>
    <s v="AT MATURITY"/>
    <s v="N"/>
    <s v="7Y"/>
    <s v="Sr Unsecured"/>
    <s v="EUR"/>
    <s v="#N/A N/A"/>
    <s v="N.S."/>
    <s v="FLOATING"/>
    <s v="S/A"/>
    <x v="0"/>
    <s v="Industrials"/>
    <s v="Machinery Manufacturing"/>
    <s v="Corporate"/>
    <s v="Industrial"/>
    <s v="Other Industrial"/>
    <s v="Other Industrial"/>
    <s v="PRICING STEPS UP BY 2BPS IF SUSTAINABILITY SCORE &lt;=40. PRICING STEPS DOWN BY 2BPS IF &gt;=62"/>
    <n v="2"/>
    <n v="2"/>
    <x v="0"/>
    <x v="0"/>
    <x v="0"/>
    <x v="0"/>
  </r>
  <r>
    <n v="55"/>
    <s v="Duerr AG"/>
    <s v="#N/A Field Not Applicable"/>
    <s v="BG5616605"/>
    <s v="BBG00S5JHD04"/>
    <s v="DUEGR"/>
    <s v="DE"/>
    <s v="DE"/>
    <s v="DE"/>
    <b v="1"/>
    <n v="0"/>
    <s v="2020-04-06"/>
    <s v="2025-04-06"/>
    <s v="N/A"/>
    <s v="AT MATURITY"/>
    <s v="N"/>
    <s v="5Y"/>
    <s v="Sr Unsecured"/>
    <s v="EUR"/>
    <s v="#N/A N/A"/>
    <s v="N.S."/>
    <s v="FLOATING"/>
    <s v="S/A"/>
    <x v="0"/>
    <s v="Industrials"/>
    <s v="Machinery Manufacturing"/>
    <s v="Corporate"/>
    <s v="Industrial"/>
    <s v="Other Industrial"/>
    <s v="Other Industrial"/>
    <s v="ESG-LINKED SCHULDSCHEIN. PRICING TIED TO ESG RATING FROM ECOVADIS +5BPS IF ESG RATING &lt;=44; -5BPS IF &gt;=66."/>
    <n v="5"/>
    <n v="5"/>
    <x v="0"/>
    <x v="0"/>
    <x v="0"/>
    <x v="0"/>
  </r>
  <r>
    <n v="22"/>
    <s v="Aurubis AG"/>
    <s v="#N/A Field Not Applicable"/>
    <s v="BJ4743974"/>
    <s v="BBG00TTCWZ96"/>
    <s v="NDAGR"/>
    <s v="DE"/>
    <s v="DE"/>
    <s v="DE"/>
    <b v="1"/>
    <n v="0"/>
    <s v="2020-06-23"/>
    <s v="2027-06-23"/>
    <s v="N/A"/>
    <s v="AT MATURITY"/>
    <s v="N"/>
    <s v="7YFL"/>
    <s v="Sr Unsecured"/>
    <s v="EUR"/>
    <s v="#N/A N/A"/>
    <s v="N.S."/>
    <s v="FLOATING"/>
    <s v="S/A"/>
    <x v="1"/>
    <s v="Materials"/>
    <s v="Metals &amp; Mining"/>
    <s v="Corporate"/>
    <s v="Industrial"/>
    <s v="Basic Industry"/>
    <s v="Metals and Mining"/>
    <s v="SUSTAINABILITY-LINKED SCHULDSCHEIN.SUSTAINABILITY PRICING ADJUSTMENT +5BPS IF ESG SCORE &lt;=56; -5BPS IF ESG SCORE &gt;=80."/>
    <n v="5"/>
    <n v="5"/>
    <x v="0"/>
    <x v="0"/>
    <x v="0"/>
    <x v="0"/>
  </r>
  <r>
    <n v="23"/>
    <s v="Aurubis AG"/>
    <s v="#N/A Field Not Applicable"/>
    <s v="BJ4744352"/>
    <s v="BBG00TTCXCM1"/>
    <s v="NDAGR"/>
    <s v="DE"/>
    <s v="DE"/>
    <s v="DE"/>
    <b v="1"/>
    <n v="0"/>
    <s v="2020-06-23"/>
    <s v="2025-06-23"/>
    <s v="N/A"/>
    <s v="AT MATURITY"/>
    <s v="N"/>
    <s v="5YFL"/>
    <s v="Sr Unsecured"/>
    <s v="EUR"/>
    <s v="#N/A N/A"/>
    <s v="N.S."/>
    <s v="FLOATING"/>
    <s v="S/A"/>
    <x v="1"/>
    <s v="Materials"/>
    <s v="Metals &amp; Mining"/>
    <s v="Corporate"/>
    <s v="Industrial"/>
    <s v="Basic Industry"/>
    <s v="Metals and Mining"/>
    <s v="SUSTAINABILITY-LINKED SCHULDSCHEIN.SUSTAINABILITY PRICING ADJUSTMENT +5BPS IF ESG SCORE &lt;=56; -5BPS IF ESG SCORE &gt;=80."/>
    <n v="5"/>
    <n v="5"/>
    <x v="0"/>
    <x v="0"/>
    <x v="0"/>
    <x v="0"/>
  </r>
  <r>
    <n v="24"/>
    <s v="Aurubis AG"/>
    <s v="#N/A Field Not Applicable"/>
    <s v="BJ4744360"/>
    <s v="BBG00TTCXCN0"/>
    <s v="NDAGR"/>
    <s v="DE"/>
    <s v="DE"/>
    <s v="DE"/>
    <b v="1"/>
    <n v="0"/>
    <s v="2020-06-23"/>
    <s v="2023-06-23"/>
    <s v="N/A"/>
    <s v="AT MATURITY"/>
    <s v="N"/>
    <s v="3YFL"/>
    <s v="Sr Unsecured"/>
    <s v="EUR"/>
    <s v="#N/A N/A"/>
    <s v="N.S."/>
    <s v="FLOATING"/>
    <s v="S/A"/>
    <x v="1"/>
    <s v="Materials"/>
    <s v="Metals &amp; Mining"/>
    <s v="Corporate"/>
    <s v="Industrial"/>
    <s v="Basic Industry"/>
    <s v="Metals and Mining"/>
    <s v="SUSTAINABILITY-LINKED SCHULDSCHEIN.SUSTAINABILITY PRICING ADJUSTMENT +5BPS IF ESG SCORE &lt;=56; -5BPS IF ESG SCORE &gt;=80."/>
    <n v="5"/>
    <n v="5"/>
    <x v="0"/>
    <x v="0"/>
    <x v="0"/>
    <x v="0"/>
  </r>
  <r>
    <n v="20"/>
    <s v="Aurubis AG"/>
    <s v="#N/A Field Not Applicable"/>
    <s v="BK2300865"/>
    <s v="BBG00VPKM8T6"/>
    <s v="NDAGR"/>
    <s v="DE"/>
    <s v="DE"/>
    <s v="DE"/>
    <b v="1"/>
    <n v="0"/>
    <s v="2020-06-23"/>
    <s v="2027-06-23"/>
    <s v="N/A"/>
    <s v="AT MATURITY"/>
    <s v="N"/>
    <s v="7YFX"/>
    <s v="Sr Unsecured"/>
    <s v="EUR"/>
    <s v="#N/A N/A"/>
    <s v="N.S."/>
    <s v="FIXED"/>
    <s v="Annual"/>
    <x v="1"/>
    <s v="Materials"/>
    <s v="Metals &amp; Mining"/>
    <s v="Corporate"/>
    <s v="Industrial"/>
    <s v="Basic Industry"/>
    <s v="Metals and Mining"/>
    <s v="SUSTAINABILITY-LINKED SCHULDSCHEIN.SUSTAINABILITY PRICING ADJUSTMENT +5BPS IF ESG SCORE &lt;=56; -5BPS IF ESG SCORE &gt;=80."/>
    <n v="5"/>
    <n v="5"/>
    <x v="0"/>
    <x v="0"/>
    <x v="0"/>
    <x v="0"/>
  </r>
  <r>
    <n v="19"/>
    <s v="Aurubis AG"/>
    <s v="#N/A Field Not Applicable"/>
    <s v="BK2300873"/>
    <s v="BBG00VPKM8W2"/>
    <s v="NDAGR"/>
    <s v="DE"/>
    <s v="DE"/>
    <s v="DE"/>
    <b v="1"/>
    <n v="0"/>
    <s v="2020-06-23"/>
    <s v="2025-06-23"/>
    <s v="N/A"/>
    <s v="AT MATURITY"/>
    <s v="N"/>
    <s v="5YFX"/>
    <s v="Sr Unsecured"/>
    <s v="EUR"/>
    <s v="#N/A N/A"/>
    <s v="N.S."/>
    <s v="FIXED"/>
    <s v="Annual"/>
    <x v="1"/>
    <s v="Materials"/>
    <s v="Metals &amp; Mining"/>
    <s v="Corporate"/>
    <s v="Industrial"/>
    <s v="Basic Industry"/>
    <s v="Metals and Mining"/>
    <s v="SUSTAINABILITY-LINKED SCHULDSCHEIN.SUSTAINABILITY PRICING ADJUSTMENT +5BPS IF ESG SCORE &lt;=56; -5BPS IF ESG SCORE &gt;=80."/>
    <n v="5"/>
    <n v="5"/>
    <x v="0"/>
    <x v="0"/>
    <x v="0"/>
    <x v="0"/>
  </r>
  <r>
    <n v="21"/>
    <s v="Aurubis AG"/>
    <s v="#N/A Field Not Applicable"/>
    <s v="BK2300881"/>
    <s v="BBG00VPKM8X1"/>
    <s v="NDAGR"/>
    <s v="DE"/>
    <s v="DE"/>
    <s v="DE"/>
    <b v="1"/>
    <n v="0"/>
    <s v="2020-06-23"/>
    <s v="2023-06-23"/>
    <s v="N/A"/>
    <s v="AT MATURITY"/>
    <s v="N"/>
    <s v="3YFX"/>
    <s v="Sr Unsecured"/>
    <s v="EUR"/>
    <s v="#N/A N/A"/>
    <s v="N.S."/>
    <s v="FIXED"/>
    <s v="Annual"/>
    <x v="1"/>
    <s v="Materials"/>
    <s v="Metals &amp; Mining"/>
    <s v="Corporate"/>
    <s v="Industrial"/>
    <s v="Basic Industry"/>
    <s v="Metals and Mining"/>
    <s v="SUSTAINABILITY-LINKED SCHULDSCHEIN.SUSTAINABILITY PRICING ADJUSTMENT +5BPS IF ESG SCORE &lt;=56; -5BPS IF ESG SCORE &gt;=80."/>
    <n v="5"/>
    <n v="5"/>
    <x v="0"/>
    <x v="0"/>
    <x v="0"/>
    <x v="0"/>
  </r>
  <r>
    <n v="245"/>
    <s v="Tauron Polska Energia SA"/>
    <s v="PLO144500017"/>
    <s v="BM1904754"/>
    <s v="BBG00Y1BMBQ2"/>
    <s v="TPEPW"/>
    <s v="PL"/>
    <s v="PL"/>
    <s v="PL"/>
    <b v="1"/>
    <n v="7.45"/>
    <s v="2020-10-30"/>
    <s v="2025-10-30"/>
    <n v="1.5762"/>
    <s v="CALLABLE"/>
    <s v="Y"/>
    <s v="A"/>
    <s v="Unsecured"/>
    <s v="PLN"/>
    <s v="#N/A N/A"/>
    <s v="N.S."/>
    <s v="FLOATING"/>
    <s v="S/A"/>
    <x v="2"/>
    <s v="Utilities"/>
    <s v="Utilities"/>
    <s v="Corporate"/>
    <s v="Utility"/>
    <s v="Electric"/>
    <s v="Electric"/>
    <s v="STEP-UP MARGIN: 5BP (IF ONE TARGET NOT MET), 10BP (IF BOTH TARGETS NOT MET), STEP-UP EVENT: CO2 EMISSIONS, RENEWABLE ENERGY INSTALLED CAPACITY"/>
    <n v="10"/>
    <m/>
    <x v="1"/>
    <x v="0"/>
    <x v="1"/>
    <x v="1"/>
  </r>
  <r>
    <n v="204"/>
    <s v="Puma SE"/>
    <s v="#N/A Field Not Applicable"/>
    <s v="BM2548139"/>
    <s v="BBG00Y2G8KT3"/>
    <s v="PUMGR"/>
    <s v="DE"/>
    <s v="DE"/>
    <s v="DE"/>
    <b v="1"/>
    <n v="0"/>
    <s v="2020-12-16"/>
    <s v="2025-12-16"/>
    <s v="N/A"/>
    <s v="AT MATURITY"/>
    <s v="N"/>
    <s v="5Y"/>
    <s v="Sr Unsecured"/>
    <s v="EUR"/>
    <s v="#N/A N/A"/>
    <s v="AAA"/>
    <s v="FLOATING"/>
    <s v="S/A"/>
    <x v="3"/>
    <s v="Consumer Discretionary"/>
    <s v="Apparel &amp; Textile Products"/>
    <s v="Corporate"/>
    <s v="Industrial"/>
    <s v="Consumer Cyclical"/>
    <s v="Retailers"/>
    <s v="ESG-LINKED SCHULDSCHEIN. TWO SETTLEMENT DATES: FIRST SETTLEMENT 12/16/20 FOR 15MM AND SECOND SETTLEMENT 01/12/21 FOR 235MM."/>
    <s v="n/a"/>
    <m/>
    <x v="1"/>
    <x v="1"/>
    <x v="2"/>
    <x v="2"/>
  </r>
  <r>
    <n v="205"/>
    <s v="Puma SE"/>
    <s v="#N/A Field Not Applicable"/>
    <s v="BM2549186"/>
    <s v="BBG00Y2G9VM5"/>
    <s v="PUMGR"/>
    <s v="DE"/>
    <s v="DE"/>
    <s v="DE"/>
    <b v="1"/>
    <n v="0"/>
    <s v="2020-12-16"/>
    <s v="2023-12-16"/>
    <s v="N/A"/>
    <s v="AT MATURITY"/>
    <s v="N"/>
    <s v="3Y"/>
    <s v="Sr Unsecured"/>
    <s v="EUR"/>
    <s v="#N/A N/A"/>
    <s v="AAA"/>
    <s v="FLOATING"/>
    <s v="S/A"/>
    <x v="3"/>
    <s v="Consumer Discretionary"/>
    <s v="Apparel &amp; Textile Products"/>
    <s v="Corporate"/>
    <s v="Industrial"/>
    <s v="Consumer Cyclical"/>
    <s v="Retailers"/>
    <s v="ESG-LINKED SCHULDSCHEIN. TWO SETTLEMENT DATES: FIRST SETTLEMENT 12/16/20 AND SECOND SETTLEMENT 01/12/21."/>
    <s v="n/a"/>
    <m/>
    <x v="1"/>
    <x v="1"/>
    <x v="0"/>
    <x v="2"/>
  </r>
  <r>
    <n v="56"/>
    <s v="Duerr AG"/>
    <s v="#N/A Field Not Applicable"/>
    <s v="BM3493996"/>
    <s v="BBG00Y48C8Y5"/>
    <s v="DUEGR"/>
    <s v="DE"/>
    <s v="DE"/>
    <s v="DE"/>
    <b v="1"/>
    <n v="0"/>
    <s v="2021-01-14"/>
    <s v="2031-01-14"/>
    <s v="N/A"/>
    <s v="AT MATURITY"/>
    <s v="N"/>
    <s v="10Y"/>
    <s v="Sr Unsecured"/>
    <s v="EUR"/>
    <s v="#N/A N/A"/>
    <s v="N.S."/>
    <s v="FIXED"/>
    <s v="Annual"/>
    <x v="4"/>
    <s v="Industrials"/>
    <s v="Machinery Manufacturing"/>
    <s v="Corporate"/>
    <s v="Industrial"/>
    <s v="Other Industrial"/>
    <s v="Other Industrial"/>
    <s v="ESG-LINKED SCHULDSCHEIN. PRICING TIED TO ESG RATING FROM ECOVADIS +5BPS IF ESG RATING &lt;=44; -5BPS IF &gt;=66."/>
    <n v="5"/>
    <n v="5"/>
    <x v="0"/>
    <x v="0"/>
    <x v="0"/>
    <x v="0"/>
  </r>
  <r>
    <n v="57"/>
    <s v="Duerr AG"/>
    <s v="#N/A Field Not Applicable"/>
    <s v="BM3494424"/>
    <s v="BBG00Y48CQV8"/>
    <s v="DUEGR"/>
    <s v="DE"/>
    <s v="DE"/>
    <s v="DE"/>
    <b v="1"/>
    <n v="0"/>
    <s v="2021-01-14"/>
    <s v="2028-01-17"/>
    <s v="N/A"/>
    <s v="AT MATURITY"/>
    <s v="N"/>
    <s v="7Y"/>
    <s v="Sr Unsecured"/>
    <s v="EUR"/>
    <s v="#N/A N/A"/>
    <s v="N.S."/>
    <s v="FLOATING"/>
    <s v="S/A"/>
    <x v="4"/>
    <s v="Industrials"/>
    <s v="Machinery Manufacturing"/>
    <s v="Corporate"/>
    <s v="Industrial"/>
    <s v="Other Industrial"/>
    <s v="Other Industrial"/>
    <s v="ESG-LINKED SCHULDSCHEIN. PRICING TIED TO ESG RATING FROM ECOVADIS +5BPS IF ESG RATING &lt;=44; -5BPS IF &gt;=66."/>
    <n v="5"/>
    <n v="5"/>
    <x v="0"/>
    <x v="0"/>
    <x v="0"/>
    <x v="0"/>
  </r>
  <r>
    <n v="58"/>
    <s v="Duerr AG"/>
    <s v="#N/A Field Not Applicable"/>
    <s v="BM3494432"/>
    <s v="BBG00Y48CQX6"/>
    <s v="DUEGR"/>
    <s v="DE"/>
    <s v="DE"/>
    <s v="DE"/>
    <b v="1"/>
    <n v="0"/>
    <s v="2021-01-14"/>
    <s v="2027-01-14"/>
    <s v="N/A"/>
    <s v="AT MATURITY"/>
    <s v="N"/>
    <s v="6Y"/>
    <s v="Sr Unsecured"/>
    <s v="EUR"/>
    <s v="#N/A N/A"/>
    <s v="N.S."/>
    <s v="FLOATING"/>
    <s v="S/A"/>
    <x v="4"/>
    <s v="Industrials"/>
    <s v="Machinery Manufacturing"/>
    <s v="Corporate"/>
    <s v="Industrial"/>
    <s v="Other Industrial"/>
    <s v="Other Industrial"/>
    <s v="ESG-LINKED SCHULDSCHEIN. PRICING TIED TO ESG RATING FROM ECOVADIS +5BPS IF ESG RATING &lt;=44; -5BPS IF &gt;=66."/>
    <n v="5"/>
    <n v="5"/>
    <x v="0"/>
    <x v="0"/>
    <x v="0"/>
    <x v="0"/>
  </r>
  <r>
    <n v="59"/>
    <s v="Duerr AG"/>
    <s v="#N/A Field Not Applicable"/>
    <s v="BM3494457"/>
    <s v="BBG00Y48CR37"/>
    <s v="DUEGR"/>
    <s v="DE"/>
    <s v="DE"/>
    <s v="DE"/>
    <b v="1"/>
    <n v="0"/>
    <s v="2021-01-14"/>
    <s v="2025-01-14"/>
    <s v="N/A"/>
    <s v="AT MATURITY"/>
    <s v="N"/>
    <s v="4Y"/>
    <s v="Sr Unsecured"/>
    <s v="EUR"/>
    <s v="#N/A N/A"/>
    <s v="N.S."/>
    <s v="FLOATING"/>
    <s v="S/A"/>
    <x v="4"/>
    <s v="Industrials"/>
    <s v="Machinery Manufacturing"/>
    <s v="Corporate"/>
    <s v="Industrial"/>
    <s v="Other Industrial"/>
    <s v="Other Industrial"/>
    <s v="ESG-LINKED SCHULDSCHEIN. PRICING TIED TO ESG RATING FROM ECOVADIS +5BPS IF ESG RATING &lt;=44; -5BPS IF &gt;=66."/>
    <n v="5"/>
    <n v="5"/>
    <x v="0"/>
    <x v="0"/>
    <x v="0"/>
    <x v="0"/>
  </r>
  <r>
    <n v="60"/>
    <s v="Duerr AG"/>
    <s v="#N/A Field Not Applicable"/>
    <s v="BM3494465"/>
    <s v="BBG00Y48CRC7"/>
    <s v="DUEGR"/>
    <s v="DE"/>
    <s v="DE"/>
    <s v="DE"/>
    <b v="1"/>
    <n v="0"/>
    <s v="2021-01-14"/>
    <s v="2024-01-14"/>
    <s v="N/A"/>
    <s v="AT MATURITY"/>
    <s v="N"/>
    <s v="3Y"/>
    <s v="Sr Unsecured"/>
    <s v="EUR"/>
    <s v="#N/A N/A"/>
    <s v="N.S."/>
    <s v="FLOATING"/>
    <s v="S/A"/>
    <x v="4"/>
    <s v="Industrials"/>
    <s v="Machinery Manufacturing"/>
    <s v="Corporate"/>
    <s v="Industrial"/>
    <s v="Other Industrial"/>
    <s v="Other Industrial"/>
    <s v="ESG-LINKED SCHULDSCHEIN. PRICING TIED TO ESG RATING FROM ECOVADIS +5BPS IF ESG RATING &lt;=44; -5BPS IF &gt;=66."/>
    <n v="5"/>
    <n v="5"/>
    <x v="0"/>
    <x v="0"/>
    <x v="0"/>
    <x v="0"/>
  </r>
  <r>
    <n v="131"/>
    <s v="Holcim Finance Luxembourg SA"/>
    <s v="XS2261215011"/>
    <s v="BM6017461"/>
    <s v="BBG00Y709383"/>
    <s v="HOLNSW"/>
    <s v="LU"/>
    <s v="LU"/>
    <s v="CH"/>
    <b v="0"/>
    <n v="0.5"/>
    <s v="2020-11-23"/>
    <s v="2031-04-23"/>
    <n v="0.51559999999999995"/>
    <s v="CALLABLE"/>
    <s v="Y"/>
    <s v="#N/A Field Not Applicable"/>
    <s v="Sr Unsecured"/>
    <s v="EUR"/>
    <s v="BBB"/>
    <s v="N.S."/>
    <s v="FIXED"/>
    <s v="Annual"/>
    <x v="5"/>
    <s v="Materials"/>
    <s v="Construction Materials Manufacturing"/>
    <s v="Corporate"/>
    <s v="Industrial"/>
    <s v="Capital Goods"/>
    <s v="Building Materials"/>
    <s v="STEP-UP MARGIN: 75BP, STEP-UP EVENT: DEC 2030 CO2 EMISSIONS"/>
    <n v="75"/>
    <m/>
    <x v="1"/>
    <x v="2"/>
    <x v="0"/>
    <x v="1"/>
  </r>
  <r>
    <n v="236"/>
    <s v="Schneider Electric SE"/>
    <s v="FR0014000OG2"/>
    <s v="BM6028963"/>
    <s v="BBG00Y70L1G4"/>
    <s v="SUFP"/>
    <s v="FR"/>
    <s v="FR"/>
    <s v="US"/>
    <b v="0"/>
    <n v="0"/>
    <s v="2020-11-24"/>
    <s v="2026-06-15"/>
    <n v="-1.5367999999999999"/>
    <s v="CONVERTIBLE"/>
    <s v="N"/>
    <s v="#N/A Field Not Applicable"/>
    <s v="Sr Unsecured"/>
    <s v="EUR"/>
    <s v="NR"/>
    <s v="AAA"/>
    <s v="FIXED"/>
    <s v="Annual"/>
    <x v="6"/>
    <s v="Industrials"/>
    <s v="Electrical Equipment Manufacturing"/>
    <s v="Corporate"/>
    <s v="Industrial"/>
    <s v="Capital Goods"/>
    <s v="Diversified Manufacturing"/>
    <s v="15% CLEAN-UP CALL. SUSTAINABILITY PRICING ADJUSTMENT"/>
    <s v="n/a"/>
    <m/>
    <x v="1"/>
    <x v="1"/>
    <x v="0"/>
    <x v="3"/>
  </r>
  <r>
    <n v="265"/>
    <s v="Veneziana Energia Risorse Idriche Territorio Ambiente Servizi SpA"/>
    <s v="XS2254184547"/>
    <s v="BM8015802"/>
    <s v="BBG00YCLMZT2"/>
    <s v="VRITAS"/>
    <s v="IT"/>
    <s v="IT"/>
    <s v="IT"/>
    <b v="1"/>
    <n v="3.25"/>
    <s v="2020-12-09"/>
    <s v="2027-12-09"/>
    <n v="3.4586999999999999"/>
    <s v="AT MATURITY"/>
    <s v="N"/>
    <s v="#N/A Field Not Applicable"/>
    <s v="Sr Unsecured"/>
    <s v="EUR"/>
    <s v="#N/A N/A"/>
    <s v="N.S."/>
    <s v="FIXED"/>
    <s v="Annual"/>
    <x v="7"/>
    <s v="Utilities"/>
    <s v="Utilities"/>
    <s v="Government-Related"/>
    <s v="Local Authority"/>
    <s v="Local Authority"/>
    <s v="Local Authority"/>
    <s v="STEP-UP MARGIN: 10BP, STEP-UP EVENT: 2024 ESG RATING"/>
    <n v="10"/>
    <m/>
    <x v="1"/>
    <x v="0"/>
    <x v="0"/>
    <x v="0"/>
  </r>
  <r>
    <n v="200"/>
    <s v="Polski Koncern Naftowy ORLEN SA"/>
    <s v="PLPKN0000208"/>
    <s v="BM9487067"/>
    <s v="BBG00YG2BZ58"/>
    <s v="PKNPW"/>
    <s v="PL"/>
    <s v="PL"/>
    <s v="PL"/>
    <b v="1"/>
    <n v="3.56"/>
    <s v="2020-12-22"/>
    <s v="2025-12-22"/>
    <n v="1.1267"/>
    <s v="AT MATURITY"/>
    <s v="N"/>
    <s v="C"/>
    <s v="Sr Unsecured"/>
    <s v="PLN"/>
    <s v="NR"/>
    <s v="BBB"/>
    <s v="FLOATING"/>
    <s v="S/A"/>
    <x v="8"/>
    <s v="Energy"/>
    <s v="Refining &amp; Marketing"/>
    <s v="Corporate"/>
    <s v="Industrial"/>
    <s v="Energy"/>
    <s v="Refining"/>
    <s v="STEP UP: +5BPS IF ESG RATING(MSCI) FALLS TO BBB, +10BPS IF ESG RATING (MSCI) FALLS TO BB"/>
    <n v="10"/>
    <m/>
    <x v="1"/>
    <x v="0"/>
    <x v="1"/>
    <x v="0"/>
  </r>
  <r>
    <n v="199"/>
    <s v="Pikolin SL"/>
    <s v="ES0205072020"/>
    <s v="BM9791419"/>
    <s v="BBG00YGB1X09"/>
    <s v="PIKLIN"/>
    <s v="ES"/>
    <s v="ES"/>
    <s v="ES"/>
    <b v="1"/>
    <n v="5.15"/>
    <s v="2020-12-04"/>
    <s v="2026-12-14"/>
    <n v="4.8480999999999996"/>
    <s v="AT MATURITY"/>
    <s v="N"/>
    <s v="EMTN"/>
    <s v="Sr Unsecured"/>
    <s v="EUR"/>
    <s v="#N/A N/A"/>
    <s v="N.S."/>
    <s v="FIXED"/>
    <s v="Annual"/>
    <x v="9"/>
    <s v="Consumer Discretionary"/>
    <s v="Home &amp; Office Products Manufacturing"/>
    <s v="Corporate"/>
    <s v="Industrial"/>
    <s v="Consumer Non-Cyclical"/>
    <s v="Consumer Products"/>
    <s v="STEP-UP MARGIN: 25BP, STEP-UP EVENT: DEC 2025 PERCENTAGE OF GREEN ENERGY CONSUMED IN OPERATIONS"/>
    <n v="25"/>
    <m/>
    <x v="1"/>
    <x v="3"/>
    <x v="0"/>
    <x v="1"/>
  </r>
  <r>
    <n v="10"/>
    <s v="Albioma SA"/>
    <s v="FR0014000X03"/>
    <s v="BN0249456"/>
    <s v="BBG00YHHWJT1"/>
    <s v="ABIOFP"/>
    <s v="FR"/>
    <s v="FR"/>
    <s v="FR"/>
    <b v="1"/>
    <n v="2.85"/>
    <s v="2020-12-07"/>
    <s v="2027-12-07"/>
    <s v="N/A"/>
    <s v="AT MATURITY"/>
    <s v="N"/>
    <s v="#N/A Field Not Applicable"/>
    <s v="Sr Unsecured"/>
    <s v="EUR"/>
    <s v="#N/A N/A"/>
    <s v="N.S."/>
    <s v="FIXED"/>
    <s v="Annual"/>
    <x v="10"/>
    <s v="Utilities"/>
    <s v="Power Generation"/>
    <s v="Corporate"/>
    <s v="Utility"/>
    <s v="Electric"/>
    <s v="Electric"/>
    <s v="UP TO 25 BPS "/>
    <n v="25"/>
    <m/>
    <x v="1"/>
    <x v="3"/>
    <x v="1"/>
    <x v="1"/>
  </r>
  <r>
    <n v="11"/>
    <s v="Albioma SA"/>
    <s v="FR0014000X11"/>
    <s v="BN0253896"/>
    <s v="BBG00YHJ1FQ2"/>
    <s v="ABIOFP"/>
    <s v="FR"/>
    <s v="FR"/>
    <s v="FR"/>
    <b v="1"/>
    <n v="3"/>
    <s v="2020-12-07"/>
    <s v="2028-12-07"/>
    <s v="N/A"/>
    <s v="AT MATURITY"/>
    <s v="N"/>
    <s v="#N/A Field Not Applicable"/>
    <s v="Sr Unsecured"/>
    <s v="EUR"/>
    <s v="#N/A N/A"/>
    <s v="N.S."/>
    <s v="FIXED"/>
    <s v="Annual"/>
    <x v="10"/>
    <s v="Utilities"/>
    <s v="Power Generation"/>
    <s v="Corporate"/>
    <s v="Utility"/>
    <s v="Electric"/>
    <s v="Electric"/>
    <s v="UP TO 25 BPS "/>
    <n v="25"/>
    <m/>
    <x v="1"/>
    <x v="3"/>
    <x v="1"/>
    <x v="1"/>
  </r>
  <r>
    <n v="40"/>
    <s v="Chargeurs SA"/>
    <s v="FR0014000SC2"/>
    <s v="BN0834745"/>
    <s v="BBG00YJHNG42"/>
    <s v="CRIFP"/>
    <s v="FR"/>
    <s v="FR"/>
    <s v="FR"/>
    <b v="1"/>
    <n v="3.25"/>
    <s v="2020-12-14"/>
    <s v="2028-12-14"/>
    <s v="N/A"/>
    <s v="AT MATURITY"/>
    <s v="N"/>
    <s v="#N/A Field Not Applicable"/>
    <s v="Sr Unsecured"/>
    <s v="EUR"/>
    <s v="#N/A N/A"/>
    <s v="N.S."/>
    <s v="FIXED"/>
    <s v="Annual"/>
    <x v="11"/>
    <s v="Consumer Discretionary"/>
    <s v="Apparel &amp; Textile Products"/>
    <s v="Corporate"/>
    <s v="Industrial"/>
    <s v="Consumer Cyclical"/>
    <s v="Retailers"/>
    <s v="PENALTY: ADDITIONAL COUPON TO CHARITABLE ORGANIZATIONS, EVENT: FAILURE TO REDUCE WORK ACCIDENT FREQUENCY, INCREASE SUSTAINABLE PRODUCT REVENUE"/>
    <s v="n/a"/>
    <m/>
    <x v="1"/>
    <x v="1"/>
    <x v="0"/>
    <x v="4"/>
  </r>
  <r>
    <n v="157"/>
    <s v="Klabin Austria GmbH"/>
    <s v="US49836AAC80"/>
    <s v="BN3697297"/>
    <s v="BBG00YS3VZM2"/>
    <s v="KLAB"/>
    <s v="AT"/>
    <s v="AT"/>
    <s v="BR"/>
    <b v="0"/>
    <n v="3.2"/>
    <s v="2021-01-12"/>
    <s v="2031-01-12"/>
    <n v="3.1999999999999997"/>
    <s v="CALLABLE"/>
    <s v="Y"/>
    <s v="144A"/>
    <s v="Sr Unsecured"/>
    <s v="USD"/>
    <s v="BB+"/>
    <s v="N.S."/>
    <s v="FIXED"/>
    <s v="S/A"/>
    <x v="12"/>
    <s v="Materials"/>
    <s v="Containers &amp; Packaging"/>
    <s v="Corporate"/>
    <s v="Industrial"/>
    <s v="Basic Industry"/>
    <s v="Paper"/>
    <s v="STEP-UP MARGIN: 12.5BP; 6.25BP; 6.25BP, STEP-UP EVENT: DEC 2025 WATER CONSUMPTION INTENSITY; WATER REUSE; BIODIVERSITY PRESERVATION"/>
    <n v="12.5"/>
    <m/>
    <x v="1"/>
    <x v="0"/>
    <x v="1"/>
    <x v="1"/>
  </r>
  <r>
    <n v="158"/>
    <s v="Klabin Austria GmbH"/>
    <s v="USA35155AE99"/>
    <s v="BN3697396"/>
    <s v="BBG00YS3W048"/>
    <s v="KLAB"/>
    <s v="AT"/>
    <s v="AT"/>
    <s v="BR"/>
    <b v="0"/>
    <n v="3.2"/>
    <s v="2021-01-12"/>
    <s v="2031-01-12"/>
    <n v="3.1999999999999997"/>
    <s v="CALLABLE"/>
    <s v="Y"/>
    <s v="REGS"/>
    <s v="Sr Unsecured"/>
    <s v="USD"/>
    <s v="BB+"/>
    <s v="N.S."/>
    <s v="FIXED"/>
    <s v="S/A"/>
    <x v="12"/>
    <s v="Materials"/>
    <s v="Containers &amp; Packaging"/>
    <s v="Corporate"/>
    <s v="Industrial"/>
    <s v="Basic Industry"/>
    <s v="Paper"/>
    <s v="STEP-UP MARGIN: 12.5BP; 6.25BP; 6.25BP, STEP-UP EVENT: DEC 2025 WATER CONSUMPTION INTENSITY; WATER REUSE; BIODIVERSITY PRESERVATION"/>
    <n v="12.5"/>
    <m/>
    <x v="1"/>
    <x v="0"/>
    <x v="1"/>
    <x v="1"/>
  </r>
  <r>
    <n v="250"/>
    <s v="Traton SE"/>
    <s v="#N/A Field Not Applicable"/>
    <s v="BN4942759"/>
    <s v="BBG00YVH5S33"/>
    <s v="TRAGR"/>
    <s v="DE"/>
    <s v="DE"/>
    <s v="DE"/>
    <b v="1"/>
    <n v="0"/>
    <s v="2021-03-03"/>
    <s v="2028-03-03"/>
    <s v="N/A"/>
    <s v="AT MATURITY"/>
    <s v="N"/>
    <s v="7YFL"/>
    <s v="Sr Unsecured"/>
    <s v="EUR"/>
    <s v="#N/A N/A"/>
    <s v="N.S."/>
    <s v="FLOATING"/>
    <s v="S/A"/>
    <x v="13"/>
    <s v="Industrials"/>
    <s v="Transportation &amp; Logistics"/>
    <s v="Corporate"/>
    <s v="Industrial"/>
    <s v="Transportation"/>
    <s v="Transportation Services"/>
    <s v="SUSTAINABILITY-LINKED SCHULDSCHEIN. TWO SETTLEMENT DATES: EUR 275MM ON 3/3/21 &amp; EUR 425MM ON  6/23/21."/>
    <s v="n/a"/>
    <m/>
    <x v="1"/>
    <x v="1"/>
    <x v="0"/>
    <x v="2"/>
  </r>
  <r>
    <n v="251"/>
    <s v="Traton SE"/>
    <s v="#N/A Field Not Applicable"/>
    <s v="BN4943351"/>
    <s v="BBG00YVH6LR1"/>
    <s v="TRAGR"/>
    <s v="DE"/>
    <s v="DE"/>
    <s v="DE"/>
    <b v="1"/>
    <n v="0"/>
    <s v="2021-03-03"/>
    <s v="2026-03-03"/>
    <s v="N/A"/>
    <s v="AT MATURITY"/>
    <s v="N"/>
    <s v="5YFL"/>
    <s v="Sr Unsecured"/>
    <s v="EUR"/>
    <s v="#N/A N/A"/>
    <s v="N.S."/>
    <s v="FLOATING"/>
    <s v="S/A"/>
    <x v="13"/>
    <s v="Industrials"/>
    <s v="Transportation &amp; Logistics"/>
    <s v="Corporate"/>
    <s v="Industrial"/>
    <s v="Transportation"/>
    <s v="Transportation Services"/>
    <s v="SUSTAINABILITY-LINKED SCHULDSCHEIN. TWO SETTLEMENT DATES: EUR 275MM ON 3/3/21 &amp; EUR 425MM ON 6/23/21."/>
    <s v="n/a"/>
    <m/>
    <x v="1"/>
    <x v="1"/>
    <x v="0"/>
    <x v="2"/>
  </r>
  <r>
    <n v="252"/>
    <s v="Traton SE"/>
    <s v="#N/A Field Not Applicable"/>
    <s v="BN4943443"/>
    <s v="BBG00YVH6M44"/>
    <s v="TRAGR"/>
    <s v="DE"/>
    <s v="DE"/>
    <s v="DE"/>
    <b v="1"/>
    <n v="0"/>
    <s v="2021-03-03"/>
    <s v="2024-03-03"/>
    <s v="N/A"/>
    <s v="AT MATURITY"/>
    <s v="N"/>
    <s v="3YFL"/>
    <s v="Sr Unsecured"/>
    <s v="EUR"/>
    <s v="#N/A N/A"/>
    <s v="N.S."/>
    <s v="FLOATING"/>
    <s v="S/A"/>
    <x v="13"/>
    <s v="Industrials"/>
    <s v="Transportation &amp; Logistics"/>
    <s v="Corporate"/>
    <s v="Industrial"/>
    <s v="Transportation"/>
    <s v="Transportation Services"/>
    <s v="SUSTAINABILITY-LINKED SCHULDSCHEIN. TWO SETTLEMENT DATES: EUR 275MM ON 3/3/21 &amp; EUR 425MM ON 6/23/21."/>
    <s v="n/a"/>
    <m/>
    <x v="1"/>
    <x v="1"/>
    <x v="0"/>
    <x v="2"/>
  </r>
  <r>
    <n v="239"/>
    <s v="Simpar Europe SA"/>
    <s v="US82883PAA21"/>
    <s v="BN5372337"/>
    <s v="BBG00YXM2H28"/>
    <s v="SIMHBZ"/>
    <s v="LU"/>
    <s v="LU"/>
    <s v="BR"/>
    <b v="0"/>
    <n v="5.2"/>
    <s v="2021-01-20"/>
    <s v="2031-01-26"/>
    <n v="5.2"/>
    <s v="CALLABLE"/>
    <s v="Y"/>
    <s v="144A"/>
    <s v="Sr Unsecured"/>
    <s v="USD"/>
    <s v="BB-"/>
    <s v="N.S."/>
    <s v="FIXED"/>
    <s v="S/A"/>
    <x v="14"/>
    <s v="Industrials"/>
    <s v="Transportation &amp; Logistics"/>
    <s v="Corporate"/>
    <s v="Industrial"/>
    <s v="Transportation"/>
    <s v="Transportation Services"/>
    <s v="STEP-UP MARGIN: 25BP, STEP-UP EVENT: MISSING THE SUSTAINABILITY PERFORMANCE TARGET. QIB/QP ONLY-SEE RESTRICTIONS IN OM. NON-COMPLIANT PURCH"/>
    <n v="25"/>
    <m/>
    <x v="1"/>
    <x v="3"/>
    <x v="0"/>
    <x v="1"/>
  </r>
  <r>
    <n v="238"/>
    <s v="Simpar Europe SA"/>
    <s v="USL8449RAA79"/>
    <s v="BN5372345"/>
    <s v="BBG00YXM2HB8"/>
    <s v="SIMHBZ"/>
    <s v="LU"/>
    <s v="LU"/>
    <s v="BR"/>
    <b v="0"/>
    <n v="5.2"/>
    <s v="2021-01-20"/>
    <s v="2031-01-26"/>
    <n v="5.2"/>
    <s v="CALLABLE"/>
    <s v="Y"/>
    <s v="REGS"/>
    <s v="Sr Unsecured"/>
    <s v="USD"/>
    <s v="BB-"/>
    <s v="N.S."/>
    <s v="FIXED"/>
    <s v="S/A"/>
    <x v="14"/>
    <s v="Industrials"/>
    <s v="Transportation &amp; Logistics"/>
    <s v="Corporate"/>
    <s v="Industrial"/>
    <s v="Transportation"/>
    <s v="Transportation Services"/>
    <s v="STEP-UP MARGIN: 25BP, STEP-UP EVENT: MISSING THE SUSTAINABILITY PERFORMANCE TARGET.ISS'D UNDER 3C7. QIB/QP ONLY-SEE RESTRICTIONS IN OM. NON-COMPLIANT PURCH"/>
    <n v="25"/>
    <m/>
    <x v="1"/>
    <x v="3"/>
    <x v="0"/>
    <x v="1"/>
  </r>
  <r>
    <n v="214"/>
    <s v="Regit Eins GmbH"/>
    <s v="#N/A Field Not Applicable"/>
    <s v="BN6486508"/>
    <s v="BBG00YZBXP73"/>
    <s v="TMVGR"/>
    <s v="DE"/>
    <s v="DE"/>
    <s v="DE"/>
    <b v="1"/>
    <n v="0"/>
    <s v="2021-03-04"/>
    <s v="2031-03-04"/>
    <s v="N/A"/>
    <s v="AT MATURITY"/>
    <s v="N"/>
    <s v="10Y"/>
    <s v="Sr Unsecured"/>
    <s v="EUR"/>
    <s v="#N/A N/A"/>
    <s v="N.S."/>
    <s v="FIXED"/>
    <s v="Annual"/>
    <x v="15"/>
    <s v="Communications"/>
    <s v="Internet Media"/>
    <s v="Corporate"/>
    <s v="Industrial"/>
    <s v="Consumer Cyclical"/>
    <s v="Consumer Cyc Services"/>
    <s v="ESG-LINKED SCHULDSCHEIN. SUSTAINABILITY PRICING ADJUSTMENT: -5BPS IF ESG SCORE &gt;60.3; +5BPS IF ESG SCORE &lt;51.5"/>
    <n v="5"/>
    <n v="5"/>
    <x v="0"/>
    <x v="0"/>
    <x v="0"/>
    <x v="0"/>
  </r>
  <r>
    <n v="213"/>
    <s v="Regit Eins GmbH"/>
    <s v="#N/A Field Not Applicable"/>
    <s v="BN6486912"/>
    <s v="BBG00YZBY9K3"/>
    <s v="TMVGR"/>
    <s v="DE"/>
    <s v="DE"/>
    <s v="DE"/>
    <b v="1"/>
    <n v="0"/>
    <s v="2021-03-04"/>
    <s v="2028-03-04"/>
    <s v="N/A"/>
    <s v="AT MATURITY"/>
    <s v="N"/>
    <s v="7Y"/>
    <s v="Sr Unsecured"/>
    <s v="EUR"/>
    <s v="#N/A N/A"/>
    <s v="N.S."/>
    <s v="FLOATING"/>
    <s v="S/A"/>
    <x v="15"/>
    <s v="Communications"/>
    <s v="Internet Media"/>
    <s v="Corporate"/>
    <s v="Industrial"/>
    <s v="Consumer Cyclical"/>
    <s v="Consumer Cyc Services"/>
    <s v="ESG-LINKED SCHULDSCHEIN. SUSTAINABILITY PRICING ADJUSTMENT: -5BPS IF ESG SCORE &gt;60.3; +5BPS IF ESG SCORE &lt;51.5"/>
    <n v="5"/>
    <n v="5"/>
    <x v="0"/>
    <x v="0"/>
    <x v="0"/>
    <x v="0"/>
  </r>
  <r>
    <n v="216"/>
    <s v="Regit Eins GmbH"/>
    <s v="#N/A Field Not Applicable"/>
    <s v="BN6486920"/>
    <s v="BBG00YZBY9M1"/>
    <s v="TMVGR"/>
    <s v="DE"/>
    <s v="DE"/>
    <s v="DE"/>
    <b v="1"/>
    <n v="0"/>
    <s v="2021-03-04"/>
    <s v="2026-03-04"/>
    <s v="N/A"/>
    <s v="AT MATURITY"/>
    <s v="N"/>
    <s v="5Y"/>
    <s v="Sr Unsecured"/>
    <s v="EUR"/>
    <s v="#N/A N/A"/>
    <s v="N.S."/>
    <s v="FLOATING"/>
    <s v="S/A"/>
    <x v="15"/>
    <s v="Communications"/>
    <s v="Internet Media"/>
    <s v="Corporate"/>
    <s v="Industrial"/>
    <s v="Consumer Cyclical"/>
    <s v="Consumer Cyc Services"/>
    <s v="ESG-LINKED SCHULDSCHEIN. SUSTAINABILITY PRICING ADJUSTMENT: -5BPS IF ESG SCORE &gt;60.3; +5BPS IF ESG SCORE &lt;51.5"/>
    <n v="5"/>
    <n v="5"/>
    <x v="0"/>
    <x v="0"/>
    <x v="0"/>
    <x v="0"/>
  </r>
  <r>
    <n v="215"/>
    <s v="Regit Eins GmbH"/>
    <s v="#N/A Field Not Applicable"/>
    <s v="BN6486938"/>
    <s v="BBG00YZBY9S5"/>
    <s v="TMVGR"/>
    <s v="DE"/>
    <s v="DE"/>
    <s v="DE"/>
    <b v="1"/>
    <n v="0"/>
    <s v="2021-03-04"/>
    <s v="2024-03-04"/>
    <s v="N/A"/>
    <s v="AT MATURITY"/>
    <s v="N"/>
    <s v="3Y"/>
    <s v="Sr Unsecured"/>
    <s v="EUR"/>
    <s v="#N/A N/A"/>
    <s v="N.S."/>
    <s v="FLOATING"/>
    <s v="S/A"/>
    <x v="15"/>
    <s v="Communications"/>
    <s v="Internet Media"/>
    <s v="Corporate"/>
    <s v="Industrial"/>
    <s v="Consumer Cyclical"/>
    <s v="Consumer Cyc Services"/>
    <s v="ESG-LINKED SCHULDSCHEIN. SUSTAINABILITY PRICING ADJUSTMENT: -5BPS IF ESG SCORE &gt;60.3; +5BPS IF ESG SCORE &lt;51.5"/>
    <n v="5"/>
    <n v="5"/>
    <x v="0"/>
    <x v="0"/>
    <x v="0"/>
    <x v="0"/>
  </r>
  <r>
    <n v="183"/>
    <s v="Movida Europe SA"/>
    <s v="US62459LAA70"/>
    <s v="BN7992819"/>
    <s v="BBG00Z2XHXL3"/>
    <s v="MOVIBZ"/>
    <s v="LU"/>
    <s v="LU"/>
    <s v="BR"/>
    <b v="0"/>
    <n v="5.25"/>
    <s v="2021-02-08"/>
    <s v="2031-02-08"/>
    <n v="5.25"/>
    <s v="CALLABLE"/>
    <s v="Y"/>
    <s v="144A"/>
    <s v="Sr Unsecured"/>
    <s v="USD"/>
    <s v="BB-"/>
    <s v="N.S."/>
    <s v="FIXED"/>
    <s v="S/A"/>
    <x v="16"/>
    <s v="Consumer Discretionary"/>
    <s v="Retail - Consumer Discretionary"/>
    <s v="Corporate"/>
    <s v="Industrial"/>
    <s v="Transportation"/>
    <s v="Transportation Services"/>
    <s v="STEP-UP MARGIN: 25BP, STEP-UP EVENT: DEC 2025 GREENHOUSE GAS EMISSIONS"/>
    <n v="25"/>
    <m/>
    <x v="1"/>
    <x v="3"/>
    <x v="0"/>
    <x v="1"/>
  </r>
  <r>
    <n v="184"/>
    <s v="Movida Europe SA"/>
    <s v="USL65266AA36"/>
    <s v="BN7992835"/>
    <s v="BBG00Z2XHXQ8"/>
    <s v="MOVIBZ"/>
    <s v="LU"/>
    <s v="LU"/>
    <s v="BR"/>
    <b v="0"/>
    <n v="5.25"/>
    <s v="2021-02-08"/>
    <s v="2031-02-08"/>
    <n v="5.25"/>
    <s v="CALLABLE"/>
    <s v="Y"/>
    <s v="REGS"/>
    <s v="Sr Unsecured"/>
    <s v="USD"/>
    <s v="BB-"/>
    <s v="N.S."/>
    <s v="FIXED"/>
    <s v="S/A"/>
    <x v="16"/>
    <s v="Consumer Discretionary"/>
    <s v="Retail - Consumer Discretionary"/>
    <s v="Corporate"/>
    <s v="Industrial"/>
    <s v="Transportation"/>
    <s v="Transportation Services"/>
    <s v="STEP-UP MARGIN: 25BP, STEP-UP EVENT: DEC 2025 GREENHOUSE GAS EMISSIONS"/>
    <n v="25"/>
    <m/>
    <x v="1"/>
    <x v="3"/>
    <x v="0"/>
    <x v="1"/>
  </r>
  <r>
    <n v="276"/>
    <s v="Vossloh AG"/>
    <s v="DE000A3H2VA6"/>
    <s v="BN9200765"/>
    <s v="BBG00Z5H8Z12"/>
    <s v="VOSGR"/>
    <s v="DE"/>
    <s v="DE"/>
    <s v="DE"/>
    <b v="1"/>
    <n v="4"/>
    <s v="2021-02-23"/>
    <s v="#N/A Field Not Applicable"/>
    <n v="4"/>
    <s v="PERPETUAL/CALL"/>
    <s v="Y"/>
    <s v="#N/A Field Not Applicable"/>
    <s v="Subordinated"/>
    <s v="EUR"/>
    <s v="#N/A N/A"/>
    <s v="N.S."/>
    <s v="VARIABLE"/>
    <s v="Annual"/>
    <x v="17"/>
    <s v="Industrials"/>
    <s v="Machinery Manufacturing"/>
    <s v="Corporate"/>
    <s v="Industrial"/>
    <s v="Capital Goods"/>
    <s v="Diversified Manufacturing"/>
    <s v="N/A"/>
    <s v="n/a"/>
    <m/>
    <x v="1"/>
    <x v="1"/>
    <x v="0"/>
    <x v="3"/>
  </r>
  <r>
    <n v="46"/>
    <s v="Constellium SE"/>
    <s v="US21039CAB00"/>
    <s v="BN9953066"/>
    <s v="BBG00Z6PNZ07"/>
    <s v="CSTM"/>
    <s v="FR"/>
    <s v="FR"/>
    <s v="US"/>
    <b v="0"/>
    <n v="3.75"/>
    <s v="2021-02-24"/>
    <s v="2029-04-15"/>
    <n v="3.75"/>
    <s v="CALLABLE"/>
    <s v="Y"/>
    <s v="144A"/>
    <s v="Sr Unsecured"/>
    <s v="USD"/>
    <s v="B"/>
    <s v="N.S."/>
    <s v="FIXED"/>
    <s v="S/A"/>
    <x v="12"/>
    <s v="Materials"/>
    <s v="Metals &amp; Mining"/>
    <s v="Corporate"/>
    <s v="Industrial"/>
    <s v="Basic Industry"/>
    <s v="Metals and Mining"/>
    <s v="STEP-UP MARGIN: 12.5BP(04/2026), 12.5BP(04/2027), STEP-UP EVENT: FAILURE TO MEET 04/2026 AND 04/2027 SUSTAINABILITY PERFORMACE TARGET"/>
    <n v="12.5"/>
    <m/>
    <x v="1"/>
    <x v="0"/>
    <x v="0"/>
    <x v="1"/>
  </r>
  <r>
    <n v="47"/>
    <s v="Constellium SE"/>
    <s v="USF21107AB74"/>
    <s v="BN9953165"/>
    <s v="BBG00Z6PNZG0"/>
    <s v="CSTM"/>
    <s v="FR"/>
    <s v="FR"/>
    <s v="US"/>
    <b v="0"/>
    <n v="3.75"/>
    <s v="2021-02-24"/>
    <s v="2029-04-15"/>
    <n v="3.75"/>
    <s v="CALLABLE"/>
    <s v="Y"/>
    <s v="REGS"/>
    <s v="Sr Unsecured"/>
    <s v="USD"/>
    <s v="B"/>
    <s v="N.S."/>
    <s v="FIXED"/>
    <s v="S/A"/>
    <x v="12"/>
    <s v="Materials"/>
    <s v="Metals &amp; Mining"/>
    <s v="Corporate"/>
    <s v="Industrial"/>
    <s v="Basic Industry"/>
    <s v="Metals and Mining"/>
    <s v="STEP-UP MARGIN: 12.5BP(04/2026), 12.5BP(04/2027), STEP-UP EVENT: FAILURE TO MEET 04/2026 AND 04/2027 SUSTAINABILITY PERFORMACE TARGET"/>
    <n v="12.5"/>
    <m/>
    <x v="1"/>
    <x v="0"/>
    <x v="0"/>
    <x v="1"/>
  </r>
  <r>
    <n v="119"/>
    <s v="Grupo Pikolin SL"/>
    <s v="ES0305072011"/>
    <s v="BO0411690"/>
    <s v="BBG00Z82GV30"/>
    <s v="PIKLIN"/>
    <s v="ES"/>
    <s v="ES"/>
    <s v="ES"/>
    <b v="1"/>
    <n v="4"/>
    <s v="2021-02-25"/>
    <s v="2025-02-25"/>
    <n v="1.9300000000000001E-2"/>
    <s v="AT MATURITY"/>
    <s v="N"/>
    <s v="EMTN"/>
    <s v="Sr Unsecured"/>
    <s v="EUR"/>
    <s v="#N/A N/A"/>
    <s v="N.S."/>
    <s v="FIXED"/>
    <s v="Annual"/>
    <x v="18"/>
    <s v="Consumer Discretionary"/>
    <s v="Home &amp; Office Products Manufacturing"/>
    <s v="Corporate"/>
    <s v="Industrial"/>
    <s v="Consumer Non-Cyclical"/>
    <s v="Consumer Products"/>
    <s v="N/A"/>
    <s v="n/a"/>
    <m/>
    <x v="1"/>
    <x v="1"/>
    <x v="0"/>
    <x v="1"/>
  </r>
  <r>
    <n v="120"/>
    <s v="H&amp;M Finance BV"/>
    <s v="XS2303070911"/>
    <s v="BO0866331"/>
    <s v="BBG00Z8WZ932"/>
    <s v="HMBSS"/>
    <s v="NL"/>
    <s v="NL"/>
    <s v="SE"/>
    <b v="0"/>
    <n v="0.25"/>
    <s v="2021-02-25"/>
    <s v="2029-08-25"/>
    <n v="0.4834"/>
    <s v="CALLABLE"/>
    <s v="Y"/>
    <s v="EMTN"/>
    <s v="Sr Unsecured"/>
    <s v="EUR"/>
    <s v="NR"/>
    <s v="N.S."/>
    <s v="FIXED"/>
    <s v="Annual"/>
    <x v="19"/>
    <s v="Consumer Discretionary"/>
    <s v="Retail - Consumer Discretionary"/>
    <s v="Corporate"/>
    <s v="Industrial"/>
    <s v="Consumer Cyclical"/>
    <s v="Retailers"/>
    <s v="STEP-UP MARGIN: AUG 2026 MAX 25BP, STEP-UP EVENT: REF YEAR 2025 RECYCLED MATERIALS PERCENTAGE"/>
    <n v="25"/>
    <m/>
    <x v="1"/>
    <x v="3"/>
    <x v="0"/>
    <x v="1"/>
  </r>
  <r>
    <n v="147"/>
    <s v="Jenoptik AG"/>
    <s v="#N/A Field Not Applicable"/>
    <s v="BO2270474"/>
    <s v="BBG00ZF12DL9"/>
    <s v="JENGR"/>
    <s v="DE"/>
    <s v="DE"/>
    <s v="DE"/>
    <b v="1"/>
    <n v="0"/>
    <s v="2021-03-31"/>
    <s v="2031-03-31"/>
    <s v="N/A"/>
    <s v="AT MATURITY"/>
    <s v="N"/>
    <s v="10Y"/>
    <s v="Sr Unsecured"/>
    <s v="EUR"/>
    <s v="#N/A N/A"/>
    <s v="N.S."/>
    <s v="FLOATING"/>
    <s v="S/A"/>
    <x v="20"/>
    <s v="Technology"/>
    <s v="Hardware"/>
    <s v="Corporate"/>
    <s v="Industrial"/>
    <s v="Technology"/>
    <s v="Technology"/>
    <s v="ESG-LINKED &amp; MULTI-CURRENCY SCHULDSCHEIN EUR350MM/USD 59MM. DEAL SIZE EQUIV TO EUR 400MM. TWO SETTLEMENT DATES: 03/31/21 FOR EUR 130MM &amp; 09/30/21 FOR EUR270MM."/>
    <s v="n/a"/>
    <m/>
    <x v="1"/>
    <x v="1"/>
    <x v="0"/>
    <x v="2"/>
  </r>
  <r>
    <n v="146"/>
    <s v="Jenoptik AG"/>
    <s v="#N/A Field Not Applicable"/>
    <s v="BO2287999"/>
    <s v="BBG00ZF1CX70"/>
    <s v="JENGR"/>
    <s v="DE"/>
    <s v="DE"/>
    <s v="DE"/>
    <b v="1"/>
    <n v="0"/>
    <s v="2021-03-31"/>
    <s v="2028-03-31"/>
    <s v="N/A"/>
    <s v="AT MATURITY"/>
    <s v="N"/>
    <s v="7Y"/>
    <s v="Sr Unsecured"/>
    <s v="EUR"/>
    <s v="#N/A N/A"/>
    <s v="N.S."/>
    <s v="FLOATING"/>
    <s v="S/A"/>
    <x v="21"/>
    <s v="Technology"/>
    <s v="Hardware"/>
    <s v="Corporate"/>
    <s v="Industrial"/>
    <s v="Technology"/>
    <s v="Technology"/>
    <s v="ESG-LINKED &amp; MULTI-CURRENCY SCHULDSCHEIN EUR350MM/USD 59MM. DEAL SIZE EQUIV TO EUR 400MM. TWO SETTLEMENT DATES: 03/31/21 FOR EUR 130MM &amp; 09/30/21 FOR EUR270MM."/>
    <s v="n/a"/>
    <m/>
    <x v="1"/>
    <x v="1"/>
    <x v="0"/>
    <x v="2"/>
  </r>
  <r>
    <n v="150"/>
    <s v="Jenoptik AG"/>
    <s v="#N/A Field Not Applicable"/>
    <s v="BO2288013"/>
    <s v="BBG00ZF1CXH9"/>
    <s v="JENGR"/>
    <s v="DE"/>
    <s v="DE"/>
    <s v="DE"/>
    <b v="1"/>
    <n v="0"/>
    <s v="2021-03-31"/>
    <s v="2026-03-31"/>
    <s v="N/A"/>
    <s v="AT MATURITY"/>
    <s v="N"/>
    <s v="5Y"/>
    <s v="Sr Unsecured"/>
    <s v="EUR"/>
    <s v="#N/A N/A"/>
    <s v="N.S."/>
    <s v="FLOATING"/>
    <s v="S/A"/>
    <x v="21"/>
    <s v="Technology"/>
    <s v="Hardware"/>
    <s v="Corporate"/>
    <s v="Industrial"/>
    <s v="Technology"/>
    <s v="Technology"/>
    <s v="ESG-LINKED &amp; MULTI-CURRENCY SCHULDSCHEIN EUR350MM/USD59MM. DEAL SIZE EQUIV TO EUR 400MM. TWO SETTLEMENT DATES: 03/31/21 FOR EUR 130MM &amp; 09/30/21 FOR EUR270MM."/>
    <s v="n/a"/>
    <m/>
    <x v="1"/>
    <x v="1"/>
    <x v="0"/>
    <x v="2"/>
  </r>
  <r>
    <n v="148"/>
    <s v="Jenoptik AG"/>
    <s v="#N/A Field Not Applicable"/>
    <s v="BO2288021"/>
    <s v="BBG00ZF1CXT6"/>
    <s v="JENGR"/>
    <s v="DE"/>
    <s v="DE"/>
    <s v="DE"/>
    <b v="1"/>
    <n v="0"/>
    <s v="2021-03-31"/>
    <s v="2026-03-31"/>
    <s v="N/A"/>
    <s v="AT MATURITY"/>
    <s v="N"/>
    <s v="5YUS"/>
    <s v="Sr Unsecured"/>
    <s v="USD"/>
    <s v="#N/A N/A"/>
    <s v="N.S."/>
    <s v="FLOATING"/>
    <s v="Qtrly"/>
    <x v="22"/>
    <s v="Technology"/>
    <s v="Hardware"/>
    <s v="Corporate"/>
    <s v="Industrial"/>
    <s v="Technology"/>
    <s v="Technology"/>
    <s v="ESG-LINKED &amp; MULTI-CURRENCY SCHULDSCHEIN EUR350MM/USD59MM. DEAL SIZE EQUIV TO EUR 400MM. TWO SETTLEMENT DATES: 03/31/21 FOR EUR 130MM &amp; 09/30/21 FOR EUR270MM."/>
    <s v="n/a"/>
    <m/>
    <x v="1"/>
    <x v="1"/>
    <x v="0"/>
    <x v="2"/>
  </r>
  <r>
    <n v="149"/>
    <s v="Jenoptik AG"/>
    <s v="#N/A Field Not Applicable"/>
    <s v="BO2288039"/>
    <s v="BBG00ZF1CY41"/>
    <s v="JENGR"/>
    <s v="DE"/>
    <s v="DE"/>
    <s v="DE"/>
    <b v="1"/>
    <n v="0"/>
    <s v="2021-03-31"/>
    <s v="2024-03-31"/>
    <s v="N/A"/>
    <s v="AT MATURITY"/>
    <s v="N"/>
    <s v="3Y"/>
    <s v="Sr Unsecured"/>
    <s v="EUR"/>
    <s v="#N/A N/A"/>
    <s v="N.S."/>
    <s v="FLOATING"/>
    <s v="S/A"/>
    <x v="21"/>
    <s v="Technology"/>
    <s v="Hardware"/>
    <s v="Corporate"/>
    <s v="Industrial"/>
    <s v="Technology"/>
    <s v="Technology"/>
    <s v="ESG-LINKED &amp; MULTI-CURRENCY SCHULDSCHEIN EUR350MM/USD59MM. DEAL SIZE EQUIV TO EUR 400MM. TWO SETTLEMENT DATES: 03/31/21 FOR EUR 130MM &amp; 09/30/21 FOR EUR270MM."/>
    <s v="n/a"/>
    <m/>
    <x v="1"/>
    <x v="1"/>
    <x v="0"/>
    <x v="2"/>
  </r>
  <r>
    <n v="253"/>
    <s v="Traton SE"/>
    <s v="#N/A Field Not Applicable"/>
    <s v="BO4001745"/>
    <s v="BBG00ZJXLT93"/>
    <s v="TRAGR"/>
    <s v="DE"/>
    <s v="DE"/>
    <s v="DE"/>
    <b v="1"/>
    <n v="0"/>
    <s v="2021-03-03"/>
    <s v="2028-03-03"/>
    <s v="N/A"/>
    <s v="AT MATURITY"/>
    <s v="N"/>
    <s v="7YFX"/>
    <s v="Sr Unsecured"/>
    <s v="EUR"/>
    <s v="#N/A N/A"/>
    <s v="N.S."/>
    <s v="FIXED"/>
    <s v="Annual"/>
    <x v="13"/>
    <s v="Industrials"/>
    <s v="Transportation &amp; Logistics"/>
    <s v="Corporate"/>
    <s v="Industrial"/>
    <s v="Transportation"/>
    <s v="Transportation Services"/>
    <s v="SUSTAINABILITY-LINKED SCHULDSCHEIN. TWO SETTLEMENT DATES: EUR 275MM ON 3/3/21 &amp; EUR 425MM ON 6/23/21."/>
    <s v="n/a"/>
    <m/>
    <x v="1"/>
    <x v="1"/>
    <x v="0"/>
    <x v="2"/>
  </r>
  <r>
    <n v="255"/>
    <s v="Traton SE"/>
    <s v="#N/A Field Not Applicable"/>
    <s v="BO4001760"/>
    <s v="BBG00ZJXLTD8"/>
    <s v="TRAGR"/>
    <s v="DE"/>
    <s v="DE"/>
    <s v="DE"/>
    <b v="1"/>
    <n v="0"/>
    <s v="2021-03-03"/>
    <s v="2028-03-03"/>
    <s v="N/A"/>
    <s v="AT MATURITY"/>
    <s v="N"/>
    <s v="5YFX"/>
    <s v="Sr Unsecured"/>
    <s v="EUR"/>
    <s v="#N/A N/A"/>
    <s v="N.S."/>
    <s v="FIXED"/>
    <s v="Annual"/>
    <x v="13"/>
    <s v="Industrials"/>
    <s v="Transportation &amp; Logistics"/>
    <s v="Corporate"/>
    <s v="Industrial"/>
    <s v="Transportation"/>
    <s v="Transportation Services"/>
    <s v="SUSTAINABILITY-LINKED SCHULDSCHEIN. TWO SETTLEMENT DATES: EUR 275MM ON 3/3/21 &amp; EUR 425MM ON 6/23/21."/>
    <s v="n/a"/>
    <m/>
    <x v="1"/>
    <x v="1"/>
    <x v="0"/>
    <x v="2"/>
  </r>
  <r>
    <n v="254"/>
    <s v="Traton SE"/>
    <s v="#N/A Field Not Applicable"/>
    <s v="BO4001778"/>
    <s v="BBG00ZJXLTH4"/>
    <s v="TRAGR"/>
    <s v="DE"/>
    <s v="DE"/>
    <s v="DE"/>
    <b v="1"/>
    <n v="0"/>
    <s v="2021-03-03"/>
    <s v="2028-03-03"/>
    <s v="N/A"/>
    <s v="AT MATURITY"/>
    <s v="N"/>
    <s v="3YFX"/>
    <s v="Sr Unsecured"/>
    <s v="EUR"/>
    <s v="#N/A N/A"/>
    <s v="N.S."/>
    <s v="FIXED"/>
    <s v="Annual"/>
    <x v="13"/>
    <s v="Industrials"/>
    <s v="Transportation &amp; Logistics"/>
    <s v="Corporate"/>
    <s v="Industrial"/>
    <s v="Transportation"/>
    <s v="Transportation Services"/>
    <s v="SUSTAINABILITY-LINKED SCHULDSCHEIN. DEAL SIZE EUR 700MM. TWO SETTLEMENT DATES: EUR 275MM ON 3/3/21 &amp; EUR 425MM ON 06/23/21."/>
    <s v="n/a"/>
    <m/>
    <x v="1"/>
    <x v="1"/>
    <x v="0"/>
    <x v="2"/>
  </r>
  <r>
    <n v="202"/>
    <s v="Public Power Corp SA"/>
    <s v="XS2314265237"/>
    <s v="BO4570236"/>
    <s v="BBG00ZKVGW85"/>
    <s v="PPCGA"/>
    <s v="GR"/>
    <s v="GR"/>
    <s v="GR"/>
    <b v="1"/>
    <n v="3.875"/>
    <s v="2021-03-18"/>
    <s v="2026-03-30"/>
    <n v="3.875"/>
    <s v="CALLABLE"/>
    <s v="Y"/>
    <s v="#N/A Field Not Applicable"/>
    <s v="Sr Unsecured"/>
    <s v="EUR"/>
    <s v="B+"/>
    <s v="BBB"/>
    <s v="FIXED"/>
    <s v="S/A"/>
    <x v="23"/>
    <s v="Utilities"/>
    <s v="Utilities"/>
    <s v="Government-Related"/>
    <s v="Agency"/>
    <s v="Government Owned, No Guarantee"/>
    <s v="Government Owned, No Guarantee"/>
    <s v="STEP-UP MARGIN: 50BP, STEP-UP EVENT: FAILURE TO REDUCE ISSUER'S CO2 EMISSIONS BY 40% BY DEC-22, FROM 2019 BASE YEAR."/>
    <n v="50"/>
    <m/>
    <x v="1"/>
    <x v="2"/>
    <x v="0"/>
    <x v="1"/>
  </r>
  <r>
    <n v="159"/>
    <s v="Koninklijke Ahold Delhaize NV"/>
    <s v="XS2317288301"/>
    <s v="BO5182908"/>
    <s v="BBG00ZLG9PY1"/>
    <s v="ADNA"/>
    <s v="NL"/>
    <s v="NL"/>
    <s v="NL"/>
    <b v="1"/>
    <n v="0.375"/>
    <s v="2021-03-18"/>
    <s v="2030-03-18"/>
    <n v="0.40460000000000002"/>
    <s v="CALLABLE"/>
    <s v="Y"/>
    <s v="#N/A Field Not Applicable"/>
    <s v="Sr Unsecured"/>
    <s v="EUR"/>
    <s v="BBB"/>
    <s v="AA"/>
    <s v="FIXED"/>
    <s v="Annual"/>
    <x v="24"/>
    <s v="Consumer Staples"/>
    <s v="Supermarkets &amp; Pharmacies"/>
    <s v="Corporate"/>
    <s v="Industrial"/>
    <s v="Consumer Non-Cyclical"/>
    <s v="Supermarkets"/>
    <s v="STEP-UP MARGIN: 25 BP FROM MARCH 2026, STEP-UP EVENT: CARBON EMISSION REDUCTION - CO2 EMISSION REDUCTION - FOOD WASTE REDUCTION"/>
    <n v="25"/>
    <m/>
    <x v="1"/>
    <x v="3"/>
    <x v="0"/>
    <x v="1"/>
  </r>
  <r>
    <n v="201"/>
    <s v="Polski Koncern Naftowy ORLEN SA"/>
    <s v="PLO037100016"/>
    <s v="BO6681916"/>
    <s v="BBG00ZQYMVS6"/>
    <s v="PKNPW"/>
    <s v="PL"/>
    <s v="PL"/>
    <s v="PL"/>
    <b v="1"/>
    <n v="2.875"/>
    <s v="2021-03-25"/>
    <s v="2031-03-25"/>
    <n v="2.9098000000000002"/>
    <s v="AT MATURITY"/>
    <s v="N"/>
    <s v="D"/>
    <s v="Sr Unsecured"/>
    <s v="PLN"/>
    <s v="#N/A N/A"/>
    <s v="BBB"/>
    <s v="FIXED"/>
    <s v="S/A"/>
    <x v="25"/>
    <s v="Energy"/>
    <s v="Refining &amp; Marketing"/>
    <s v="Corporate"/>
    <s v="Industrial"/>
    <s v="Energy"/>
    <s v="Refining"/>
    <s v="STEP UP: +10BPS IF ESG RATING(MSCI) FALLS TO BBB, +20BPS IF ESG RATING (MSCI) FALLS TO BB OR LOWER"/>
    <n v="20"/>
    <m/>
    <x v="1"/>
    <x v="0"/>
    <x v="1"/>
    <x v="0"/>
  </r>
  <r>
    <n v="122"/>
    <s v="Hapag-Lloyd AG"/>
    <s v="XS2326550899"/>
    <s v="BO7346857"/>
    <s v="BBG00ZS90181"/>
    <s v="HPLGR"/>
    <s v="DE"/>
    <s v="DE"/>
    <s v="DE"/>
    <b v="1"/>
    <n v="2.5"/>
    <s v="2021-04-06"/>
    <s v="2028-04-15"/>
    <n v="2.5"/>
    <s v="CALLABLE"/>
    <s v="Y"/>
    <s v="144A"/>
    <s v="Sr Unsecured"/>
    <s v="EUR"/>
    <s v="BB-"/>
    <s v="N.S."/>
    <s v="FIXED"/>
    <s v="S/A"/>
    <x v="26"/>
    <s v="Industrials"/>
    <s v="Transportation &amp; Logistics"/>
    <s v="Corporate"/>
    <s v="Industrial"/>
    <s v="Transportation"/>
    <s v="Transportation Services"/>
    <s v="Hapag-Lloyd's offering includes a potential 25bp coupon step-up, as well as a call price increase,"/>
    <n v="25"/>
    <m/>
    <x v="1"/>
    <x v="3"/>
    <x v="0"/>
    <x v="1"/>
  </r>
  <r>
    <n v="268"/>
    <s v="Verbund AG"/>
    <s v="XS2320746394"/>
    <s v="BO7653054"/>
    <s v="BBG00ZSJDM98"/>
    <s v="VERAV"/>
    <s v="AT"/>
    <s v="AT"/>
    <s v="AT"/>
    <b v="1"/>
    <n v="0.9"/>
    <s v="2021-04-01"/>
    <s v="2041-04-01"/>
    <n v="0.90010000000000001"/>
    <s v="CALLABLE"/>
    <s v="Y"/>
    <s v="#N/A Field Not Applicable"/>
    <s v="Sr Unsecured"/>
    <s v="EUR"/>
    <s v="A-"/>
    <s v="AAA"/>
    <s v="FIXED"/>
    <s v="Annual"/>
    <x v="27"/>
    <s v="Utilities"/>
    <s v="Power Generation"/>
    <s v="Government-Related"/>
    <s v="Agency"/>
    <s v="Government Owned, No Guarantee"/>
    <s v="Government Owned, No Guarantee"/>
    <s v="STEP-UP MARGIN: 25BP, STEP-UP EVENT: RENEWABLES INSTALLED CAPACITY"/>
    <n v="25"/>
    <m/>
    <x v="1"/>
    <x v="3"/>
    <x v="0"/>
    <x v="1"/>
  </r>
  <r>
    <n v="123"/>
    <s v="Hapag-Lloyd AG"/>
    <s v="XS2326548562"/>
    <s v="BO8025047"/>
    <s v="BBG00ZTHF257"/>
    <s v="HPLGR"/>
    <s v="DE"/>
    <s v="DE"/>
    <s v="DE"/>
    <b v="1"/>
    <n v="2.5"/>
    <s v="2021-04-06"/>
    <s v="2028-04-15"/>
    <n v="2.5"/>
    <s v="CALLABLE"/>
    <s v="Y"/>
    <s v="REGS"/>
    <s v="Sr Unsecured"/>
    <s v="EUR"/>
    <s v="BB-"/>
    <s v="N.S."/>
    <s v="FIXED"/>
    <s v="S/A"/>
    <x v="26"/>
    <s v="Industrials"/>
    <s v="Transportation &amp; Logistics"/>
    <s v="Corporate"/>
    <s v="Industrial"/>
    <s v="Transportation"/>
    <s v="Transportation Services"/>
    <s v="Hapag-Lloyd's offering includes a potential 25bp coupon step-up, as well as a call price increase,"/>
    <n v="25"/>
    <m/>
    <x v="1"/>
    <x v="3"/>
    <x v="0"/>
    <x v="1"/>
  </r>
  <r>
    <n v="190"/>
    <s v="PCF GmbH"/>
    <s v="XS2333301757"/>
    <s v="BP0490451"/>
    <s v="BBG0100PLMM6"/>
    <s v="PFLEID"/>
    <s v="DE"/>
    <s v="DE"/>
    <s v="DE"/>
    <b v="1"/>
    <n v="4.75"/>
    <s v="2021-04-22"/>
    <s v="2026-04-15"/>
    <n v="4.7591000000000001"/>
    <s v="CALLABLE"/>
    <s v="Y"/>
    <s v="144A"/>
    <s v="Secured"/>
    <s v="EUR"/>
    <s v="B"/>
    <s v="N.S."/>
    <s v="FIXED"/>
    <s v="S/A"/>
    <x v="28"/>
    <s v="Materials"/>
    <s v="Construction Materials Manufacturing"/>
    <s v="Corporate"/>
    <s v="Industrial"/>
    <s v="Capital Goods"/>
    <s v="Building Materials"/>
    <s v="STEP-UP MARGIN: 12.5BP, STEP-UP EVENT: DEC 2022 USE RECYCLED WOOD PRODUCTS 44% AND STEP-UP MARGIN: 12.5BP, EVENT: DEC 2022 REDUCTION GAS EMISSION TO 201670 TONS"/>
    <n v="25"/>
    <m/>
    <x v="1"/>
    <x v="3"/>
    <x v="1"/>
    <x v="1"/>
  </r>
  <r>
    <n v="191"/>
    <s v="PCF GmbH"/>
    <s v="XS2333302722"/>
    <s v="BP0490469"/>
    <s v="BBG0100PLMX4"/>
    <s v="PFLEID"/>
    <s v="DE"/>
    <s v="DE"/>
    <s v="DE"/>
    <b v="1"/>
    <n v="4.75"/>
    <s v="2021-04-22"/>
    <s v="2026-04-15"/>
    <n v="4.6886000000000001"/>
    <s v="CALLABLE"/>
    <s v="Y"/>
    <s v="144A"/>
    <s v="Secured"/>
    <s v="EUR"/>
    <s v="B"/>
    <s v="N.S."/>
    <s v="FLOATING"/>
    <s v="Qtrly"/>
    <x v="29"/>
    <s v="Materials"/>
    <s v="Construction Materials Manufacturing"/>
    <s v="Corporate"/>
    <s v="Industrial"/>
    <s v="Capital Goods"/>
    <s v="Building Materials"/>
    <s v="STEP-UP MARGIN: 12.5BP, STEP-UP EVENT: DEC 2022 USE RECYCLED WOOD PRODUCTS 44% AND STEP-UP MARGIN: 12.5BP, EVENT: DEC 2022 REDUCTION GAS EMISSION TO 201670 TONS"/>
    <n v="25"/>
    <m/>
    <x v="1"/>
    <x v="3"/>
    <x v="1"/>
    <x v="1"/>
  </r>
  <r>
    <n v="192"/>
    <s v="PCF GmbH"/>
    <s v="XS2333301674"/>
    <s v="BP0490477"/>
    <s v="BBG0100PLMZ2"/>
    <s v="PFLEID"/>
    <s v="DE"/>
    <s v="DE"/>
    <s v="DE"/>
    <b v="1"/>
    <n v="4.75"/>
    <s v="2021-04-22"/>
    <s v="2026-04-15"/>
    <n v="4.6368999999999998"/>
    <s v="CALLABLE"/>
    <s v="Y"/>
    <s v="REGS"/>
    <s v="Secured"/>
    <s v="EUR"/>
    <s v="B"/>
    <s v="N.S."/>
    <s v="FIXED"/>
    <s v="S/A"/>
    <x v="28"/>
    <s v="Materials"/>
    <s v="Construction Materials Manufacturing"/>
    <s v="Corporate"/>
    <s v="Industrial"/>
    <s v="Capital Goods"/>
    <s v="Building Materials"/>
    <s v="STEP-UP MARGIN: 12.5BP, STEP-UP EVENT: DEC 2022 USE RECYCLED WOOD PRODUCTS 44% AND STEP-UP MARGIN: 12.5BP, EVENT: DEC 2022 REDUCTION GAS EMISSION TO 201670 TONS"/>
    <n v="25"/>
    <m/>
    <x v="1"/>
    <x v="3"/>
    <x v="1"/>
    <x v="1"/>
  </r>
  <r>
    <n v="193"/>
    <s v="PCF GmbH"/>
    <s v="XS2333302052"/>
    <s v="BP0490485"/>
    <s v="BBG0100PLN62"/>
    <s v="PFLEID"/>
    <s v="DE"/>
    <s v="DE"/>
    <s v="DE"/>
    <b v="1"/>
    <n v="4.75"/>
    <s v="2021-04-22"/>
    <s v="2026-04-15"/>
    <n v="4.6186999999999996"/>
    <s v="CALLABLE"/>
    <s v="Y"/>
    <s v="REGS"/>
    <s v="Secured"/>
    <s v="EUR"/>
    <s v="B"/>
    <s v="N.S."/>
    <s v="FLOATING"/>
    <s v="Qtrly"/>
    <x v="29"/>
    <s v="Materials"/>
    <s v="Construction Materials Manufacturing"/>
    <s v="Corporate"/>
    <s v="Industrial"/>
    <s v="Capital Goods"/>
    <s v="Building Materials"/>
    <s v="STEP-UP MARGIN: 12.5BP, STEP-UP EVENT: DEC 2022 USE RECYCLED WOOD PRODUCTS 44% AND STEP-UP MARGIN: 12.5BP, EVENT: DEC 2022 REDUCTION GAS EMISSION TO 201670 TONS"/>
    <n v="25"/>
    <m/>
    <x v="1"/>
    <x v="3"/>
    <x v="1"/>
    <x v="1"/>
  </r>
  <r>
    <n v="153"/>
    <s v="Kelag-Kaerntner Elektrizitaets AG"/>
    <s v="XS2328873463"/>
    <s v="BP0568710"/>
    <s v="BBG0100RC7S9"/>
    <s v="KELAGG"/>
    <s v="AT"/>
    <s v="AT"/>
    <s v="AT"/>
    <b v="1"/>
    <n v="1.1499999999999999"/>
    <s v="2021-04-16"/>
    <s v="2041-04-16"/>
    <n v="1.224"/>
    <s v="AT MATURITY"/>
    <s v="N"/>
    <s v="#N/A Field Not Applicable"/>
    <s v="Sr Unsecured"/>
    <s v="EUR"/>
    <s v="#N/A N/A"/>
    <s v="N.S."/>
    <s v="FIXED"/>
    <s v="Annual"/>
    <x v="30"/>
    <s v="Utilities"/>
    <s v="Utilities"/>
    <s v="Government-Related"/>
    <s v="Local Authority"/>
    <s v="Local Authority"/>
    <s v="Local Authority"/>
    <s v="STEP-UP MARGIN: 50 BPS, STEP UP EVENT; ESG RATING &lt;68 IN REPORT 2026 &amp;/OR &lt;70 IN REPORT 2031, COUPON INCREASES ONCE IN AND FOR PERIOD ONLY"/>
    <n v="50"/>
    <m/>
    <x v="1"/>
    <x v="2"/>
    <x v="0"/>
    <x v="0"/>
  </r>
  <r>
    <n v="30"/>
    <s v="Berlin Hyp AG"/>
    <s v="DE000BHY0SL9"/>
    <s v="BP0671035"/>
    <s v="BBG01015BGG0"/>
    <s v="BHH"/>
    <s v="DE"/>
    <s v="DE"/>
    <s v="DE"/>
    <b v="1"/>
    <n v="0.375"/>
    <s v="2021-04-21"/>
    <s v="2031-04-21"/>
    <n v="0.41539999999999999"/>
    <s v="AT MATURITY"/>
    <s v="N"/>
    <s v="EMTN"/>
    <s v="Sr Preferred"/>
    <s v="EUR"/>
    <s v="AA-"/>
    <s v="N.S."/>
    <s v="FIXED"/>
    <s v="Annual"/>
    <x v="31"/>
    <s v="Financials"/>
    <s v="Consumer Finance"/>
    <s v="Corporate"/>
    <s v="Financial Institutions"/>
    <s v="Banking"/>
    <s v="Banking"/>
    <s v="SUSTAINABILITY-LINKED BOND, STEP-UP COUPON: 25BP, STEP-UP EVENT: CARBON REDUCTION UNTIL DEC 2030"/>
    <n v="25"/>
    <m/>
    <x v="1"/>
    <x v="3"/>
    <x v="0"/>
    <x v="1"/>
  </r>
  <r>
    <n v="9"/>
    <s v="Aeroporti di Roma SpA"/>
    <s v="XS2337326727"/>
    <s v="BP2016262"/>
    <s v="BBG0107S0918"/>
    <s v="ADRIT"/>
    <s v="IT"/>
    <s v="IT"/>
    <s v="IT"/>
    <b v="1"/>
    <n v="1.75"/>
    <s v="2021-04-30"/>
    <s v="2031-07-30"/>
    <n v="1.8186"/>
    <s v="CALLABLE"/>
    <s v="Y"/>
    <s v="EMTN"/>
    <s v="Sr Unsecured"/>
    <s v="EUR"/>
    <s v="BBB-"/>
    <s v="N.S."/>
    <s v="FIXED"/>
    <s v="Annual"/>
    <x v="32"/>
    <s v="Industrials"/>
    <s v="Transportation &amp; Logistics"/>
    <s v="Corporate"/>
    <s v="Industrial"/>
    <s v="Transportation"/>
    <s v="Transportation Services"/>
    <s v="STEP-UP MARGIN: 12.5BP (1 SPT NOT MET) OR 19BP (2 SPTs NOT MET) OR 25BP (3 SPTs NOT MET). STEP-UP EVENT: CO2 EMISSIONS, ACA LEVEL 4+ MAINTENANCE"/>
    <n v="25"/>
    <m/>
    <x v="1"/>
    <x v="3"/>
    <x v="1"/>
    <x v="1"/>
  </r>
  <r>
    <n v="224"/>
    <s v="Rexel SA"/>
    <s v="XS2332306344"/>
    <s v="BP2664129"/>
    <s v="BBG010FN1YC2"/>
    <s v="RXLFP"/>
    <s v="FR"/>
    <s v="FR"/>
    <s v="FR"/>
    <b v="1"/>
    <n v="2.125"/>
    <s v="2021-05-05"/>
    <s v="2028-06-15"/>
    <n v="2.1088"/>
    <s v="CALLABLE"/>
    <s v="Y"/>
    <s v="#N/A Field Not Applicable"/>
    <s v="Sr Unsecured"/>
    <s v="EUR"/>
    <s v="BB-"/>
    <s v="N.S."/>
    <s v="FIXED"/>
    <s v="S/A"/>
    <x v="33"/>
    <s v="Industrials"/>
    <s v="Industrial Other"/>
    <s v="Corporate"/>
    <s v="Industrial"/>
    <s v="Capital Goods"/>
    <s v="Diversified Manufacturing"/>
    <s v="STEP-UP MARGIN: 25BP. SPT 1: 23% REDUCTION IN SCOPE 3 GHG EMISSIONS; SPT 2: 23.7% REDUCTION IN SCOPE 1 &amp; 2 GHG EMISISONS BY 2023."/>
    <n v="25"/>
    <m/>
    <x v="1"/>
    <x v="3"/>
    <x v="0"/>
    <x v="1"/>
  </r>
  <r>
    <n v="127"/>
    <s v="Herens Holdco Sarl"/>
    <s v="US427169AA59"/>
    <s v="BP2693730"/>
    <s v="BBG010FNLMS9"/>
    <s v="LNZING"/>
    <s v="LU"/>
    <s v="LU"/>
    <s v="LU"/>
    <b v="1"/>
    <n v="4.75"/>
    <s v="2021-05-14"/>
    <s v="2028-05-15"/>
    <n v="4.75"/>
    <s v="CALLABLE"/>
    <s v="Y"/>
    <s v="144A"/>
    <s v="Secured"/>
    <s v="USD"/>
    <s v="B"/>
    <s v="N.S."/>
    <s v="FIXED"/>
    <s v="S/A"/>
    <x v="34"/>
    <s v="Materials"/>
    <s v="Chemicals"/>
    <s v="Corporate"/>
    <s v="Industrial"/>
    <s v="Basic Industry"/>
    <s v="Chemicals"/>
    <s v="STEP-UP MARGIN: 25BP, STEP-UP EVENT: MAY 2025 GREENHOUSE GAS EMISSIONS AND WASTE INTENSITY PERCENTAGE"/>
    <n v="25"/>
    <m/>
    <x v="1"/>
    <x v="3"/>
    <x v="0"/>
    <x v="1"/>
  </r>
  <r>
    <n v="130"/>
    <s v="Herens Midco Sarl"/>
    <s v="XS2340137426"/>
    <s v="BP2693748"/>
    <s v="BBG010FNLMV5"/>
    <s v="LNZING"/>
    <s v="LU"/>
    <s v="LU"/>
    <s v="LU"/>
    <b v="1"/>
    <n v="5.25"/>
    <s v="2021-05-14"/>
    <s v="2029-05-15"/>
    <n v="5.25"/>
    <s v="CALLABLE"/>
    <s v="Y"/>
    <s v="144A"/>
    <s v="Sr Unsecured"/>
    <s v="EUR"/>
    <s v="CCC"/>
    <s v="N.S."/>
    <s v="FIXED"/>
    <s v="S/A"/>
    <x v="35"/>
    <s v="Materials"/>
    <s v="Chemicals"/>
    <s v="Corporate"/>
    <s v="Industrial"/>
    <s v="Basic Industry"/>
    <s v="Chemicals"/>
    <s v="STEP-UP MARGIN: 25BP, STEP-UP EVENT: MAY 2025 GREENHOUSE GAS EMISSIONS AND WASTE INTENSITY PERCENTAGE"/>
    <n v="25"/>
    <m/>
    <x v="1"/>
    <x v="3"/>
    <x v="0"/>
    <x v="1"/>
  </r>
  <r>
    <n v="128"/>
    <s v="Herens Holdco Sarl"/>
    <s v="USL47909AA11"/>
    <s v="BP2693755"/>
    <s v="BBG010FNLMW4"/>
    <s v="LNZING"/>
    <s v="LU"/>
    <s v="LU"/>
    <s v="LU"/>
    <b v="1"/>
    <n v="4.75"/>
    <s v="2021-05-14"/>
    <s v="2028-05-15"/>
    <n v="4.75"/>
    <s v="CALLABLE"/>
    <s v="Y"/>
    <s v="REGS"/>
    <s v="Secured"/>
    <s v="USD"/>
    <s v="B"/>
    <s v="N.S."/>
    <s v="FIXED"/>
    <s v="S/A"/>
    <x v="34"/>
    <s v="Materials"/>
    <s v="Chemicals"/>
    <s v="Corporate"/>
    <s v="Industrial"/>
    <s v="Basic Industry"/>
    <s v="Chemicals"/>
    <s v="STEP-UP MARGIN: 25BP, STEP-UP EVENT: MAY 2025 GREENHOUSE GAS EMISSIONS AND WASTE INTENSITY PERCENTAGE"/>
    <n v="25"/>
    <m/>
    <x v="1"/>
    <x v="3"/>
    <x v="0"/>
    <x v="1"/>
  </r>
  <r>
    <n v="129"/>
    <s v="Herens Midco Sarl"/>
    <s v="XS2340137343"/>
    <s v="BP2693763"/>
    <s v="BBG010FNLN07"/>
    <s v="LNZING"/>
    <s v="LU"/>
    <s v="LU"/>
    <s v="LU"/>
    <b v="1"/>
    <n v="5.25"/>
    <s v="2021-05-14"/>
    <s v="2029-05-15"/>
    <n v="5.25"/>
    <s v="CALLABLE"/>
    <s v="Y"/>
    <s v="REGS"/>
    <s v="Sr Unsecured"/>
    <s v="EUR"/>
    <s v="CCC"/>
    <s v="N.S."/>
    <s v="FIXED"/>
    <s v="S/A"/>
    <x v="35"/>
    <s v="Materials"/>
    <s v="Chemicals"/>
    <s v="Corporate"/>
    <s v="Industrial"/>
    <s v="Basic Industry"/>
    <s v="Chemicals"/>
    <s v="STEP-UP MARGIN: 25BP, STEP-UP EVENT: MAY 2025 GREENHOUSE GAS EMISSIONS AND WASTE INTENSITY PERCENTAGE"/>
    <n v="25"/>
    <m/>
    <x v="1"/>
    <x v="3"/>
    <x v="0"/>
    <x v="1"/>
  </r>
  <r>
    <n v="257"/>
    <s v="UBM Development AG"/>
    <s v="AT0000A2QS11"/>
    <s v="BP3002782"/>
    <s v="BBG010H4YJT1"/>
    <s v="UBSAV"/>
    <s v="AT"/>
    <s v="AT"/>
    <s v="AT"/>
    <b v="1"/>
    <n v="3.125"/>
    <s v="2021-05-21"/>
    <s v="2026-05-21"/>
    <n v="9.7329000000000008"/>
    <s v="AT MATURITY"/>
    <s v="N"/>
    <s v="#N/A Field Not Applicable"/>
    <s v="Sr Unsecured"/>
    <s v="EUR"/>
    <s v="#N/A N/A"/>
    <s v="N.S."/>
    <s v="FIXED"/>
    <s v="Annual"/>
    <x v="36"/>
    <s v="Consumer Discretionary"/>
    <s v="Travel &amp; Lodging"/>
    <s v="Corporate"/>
    <s v="Industrial"/>
    <s v="Other Industrial"/>
    <s v="Other Industrial"/>
    <s v="STEP-UP MARGIN 15 BP TO REDEMPTION AMT, STEP-UP EVENT: ESG RATING BELOW C+."/>
    <n v="15"/>
    <m/>
    <x v="1"/>
    <x v="0"/>
    <x v="0"/>
    <x v="0"/>
  </r>
  <r>
    <n v="141"/>
    <s v="Iochpe-Maxion Austria GmbH / Maxion Wheels de Mexico S de RL de CV"/>
    <s v="US46188AAA25"/>
    <s v="BP3021477"/>
    <s v="BBG010HFB1N6"/>
    <s v="IOCMXW"/>
    <s v="AT"/>
    <s v="AT"/>
    <s v="BR"/>
    <b v="0"/>
    <n v="5"/>
    <s v="2021-05-07"/>
    <s v="2028-05-07"/>
    <n v="5.25"/>
    <s v="CALLABLE"/>
    <s v="Y"/>
    <s v="144A"/>
    <s v="Sr Unsecured"/>
    <s v="USD"/>
    <s v="BB-"/>
    <s v="N.S."/>
    <s v="FIXED"/>
    <s v="S/A"/>
    <x v="37"/>
    <s v="Consumer Discretionary"/>
    <s v="Auto Parts Manufacturing"/>
    <s v="Corporate"/>
    <s v="Industrial"/>
    <s v="Consumer Cyclical"/>
    <s v="Automotive"/>
    <s v="STEP-UP MARGIN: 25BP, STEP-UP EVENT: DEC 2025"/>
    <n v="25"/>
    <m/>
    <x v="1"/>
    <x v="3"/>
    <x v="0"/>
    <x v="1"/>
  </r>
  <r>
    <n v="140"/>
    <s v="Iochpe-Maxion Austria GmbH / Maxion Wheels de Mexico S de RL de CV"/>
    <s v="USA3R74HAA50"/>
    <s v="BP3021485"/>
    <s v="BBG010HFB1Q3"/>
    <s v="IOCMXW"/>
    <s v="AT"/>
    <s v="AT"/>
    <s v="BR"/>
    <b v="0"/>
    <n v="5"/>
    <s v="2021-05-07"/>
    <s v="2028-05-07"/>
    <n v="5.25"/>
    <s v="CALLABLE"/>
    <s v="Y"/>
    <s v="REGS"/>
    <s v="Sr Unsecured"/>
    <s v="USD"/>
    <s v="BB-"/>
    <s v="N.S."/>
    <s v="FIXED"/>
    <s v="S/A"/>
    <x v="37"/>
    <s v="Consumer Discretionary"/>
    <s v="Auto Parts Manufacturing"/>
    <s v="Corporate"/>
    <s v="Industrial"/>
    <s v="Consumer Cyclical"/>
    <s v="Automotive"/>
    <s v="STEP-UP MARGIN: 25BP, STEP-UP EVENT: DEC 2025"/>
    <n v="25"/>
    <m/>
    <x v="1"/>
    <x v="3"/>
    <x v="0"/>
    <x v="1"/>
  </r>
  <r>
    <n v="256"/>
    <s v="UBM Development AG"/>
    <s v="XS2355161956"/>
    <s v="BP3490789"/>
    <s v="BBG010M9V7V0"/>
    <s v="UBSAV"/>
    <s v="AT"/>
    <s v="AT"/>
    <s v="AT"/>
    <b v="1"/>
    <n v="5.5"/>
    <s v="2021-06-18"/>
    <s v="#N/A Field Not Applicable"/>
    <n v="2.4872999999999998"/>
    <s v="PERPETUAL/CALL"/>
    <s v="Y"/>
    <s v="."/>
    <s v="Jr Subordinated"/>
    <s v="EUR"/>
    <s v="#N/A N/A"/>
    <s v="N.S."/>
    <s v="VARIABLE"/>
    <s v="Annual"/>
    <x v="38"/>
    <s v="Consumer Discretionary"/>
    <s v="Travel &amp; Lodging"/>
    <s v="Corporate"/>
    <s v="Industrial"/>
    <s v="Other Industrial"/>
    <s v="Other Industrial"/>
    <s v="FOR EVERY YEAR THAT THE ISSUER'S ESG RATINGS BY BOTH ISS ESG AND ECOVADIS ARE BELOW CERTAIN THRESHOLDS, 0.10% PREMIUM ON THE REDEMPTION AMOUNT AT MATURITY."/>
    <n v="10"/>
    <m/>
    <x v="1"/>
    <x v="0"/>
    <x v="0"/>
    <x v="0"/>
  </r>
  <r>
    <n v="69"/>
    <s v="EQT AB"/>
    <s v="XS2338570331"/>
    <s v="BP3855841"/>
    <s v="BBG010RS38Y9"/>
    <s v="EQTSS"/>
    <s v="SE"/>
    <s v="SE"/>
    <s v="SE"/>
    <b v="1"/>
    <n v="0.875"/>
    <s v="2021-05-14"/>
    <s v="2031-05-14"/>
    <n v="1.0294000000000001"/>
    <s v="CALLABLE"/>
    <s v="Y"/>
    <s v="#N/A Field Not Applicable"/>
    <s v="Sr Unsecured"/>
    <s v="EUR"/>
    <s v="NR"/>
    <s v="AA"/>
    <s v="FIXED"/>
    <s v="Annual"/>
    <x v="39"/>
    <s v="Financials"/>
    <s v="Financial Services"/>
    <s v="Corporate"/>
    <s v="Financial Institutions"/>
    <s v="Brokerage Assetmanagers Exchanges"/>
    <s v="Brokerage Assetmanagers Exchanges"/>
    <s v="STEP UP MARGIN: 7.5BPS, 7.5BPS, 10 BPS, STEP UP EVENT: BOARD DIVERSITY, INVESTMENT ADVISORY PROFESSIONALS DIVERSITY, SCIENCE BASED TARGETS EVENT"/>
    <n v="25"/>
    <m/>
    <x v="1"/>
    <x v="3"/>
    <x v="1"/>
    <x v="4"/>
  </r>
  <r>
    <n v="136"/>
    <s v="Imerys SA"/>
    <s v="FR0014003GX7"/>
    <s v="BP3866681"/>
    <s v="BBG010RS9RW3"/>
    <s v="NK"/>
    <s v="FR"/>
    <s v="FR"/>
    <s v="FR"/>
    <b v="1"/>
    <n v="1"/>
    <s v="2021-05-14"/>
    <s v="2031-07-15"/>
    <n v="1.0571999999999999"/>
    <s v="CALLABLE"/>
    <s v="Y"/>
    <s v="#N/A Field Not Applicable"/>
    <s v="Sr Unsecured"/>
    <s v="EUR"/>
    <s v="BBB-"/>
    <s v="N.S."/>
    <s v="FIXED"/>
    <s v="Annual"/>
    <x v="40"/>
    <s v="Materials"/>
    <s v="Chemicals"/>
    <s v="Corporate"/>
    <s v="Industrial"/>
    <s v="Capital Goods"/>
    <s v="Building Materials"/>
    <s v="ADJ TRIGGER PREMIUM STEP UP +25BPS IN 2026 IF 2025 TARGET NOT REACHED , +50BPS IN 2031 IF 2030 TARGET NOT REACHED"/>
    <n v="50"/>
    <m/>
    <x v="1"/>
    <x v="2"/>
    <x v="1"/>
    <x v="1"/>
  </r>
  <r>
    <n v="267"/>
    <s v="Verallia SA"/>
    <s v="FR0014003G27"/>
    <s v="BP4319292"/>
    <s v="BBG010TZBC19"/>
    <s v="VRLAFP"/>
    <s v="FR"/>
    <s v="FR"/>
    <s v="FR"/>
    <b v="1"/>
    <n v="1.625"/>
    <s v="2021-05-14"/>
    <s v="2028-05-14"/>
    <n v="1.8557999999999999"/>
    <s v="CALLABLE"/>
    <s v="Y"/>
    <s v="#N/A Field Not Applicable"/>
    <s v="Sr Unsecured"/>
    <s v="EUR"/>
    <s v="NR"/>
    <s v="N.S."/>
    <s v="FIXED"/>
    <s v="Annual"/>
    <x v="39"/>
    <s v="Materials"/>
    <s v="Containers &amp; Packaging"/>
    <s v="Corporate"/>
    <s v="Industrial"/>
    <s v="Capital Goods"/>
    <s v="Packaging"/>
    <s v="STEP UP MARGIN: 10BPS, 20BPS. STEP UP EVENT: CO2 EMISSIONS MORE THAN 2,625KT, EXTERNAL CULLET SHARE LESS THAN 59% IN 2025."/>
    <n v="25"/>
    <m/>
    <x v="1"/>
    <x v="3"/>
    <x v="1"/>
    <x v="1"/>
  </r>
  <r>
    <n v="44"/>
    <s v="Constellium SE"/>
    <s v="XS2335148701"/>
    <s v="BP5467942"/>
    <s v="BBG01135D1W9"/>
    <s v="CSTM"/>
    <s v="FR"/>
    <s v="FR"/>
    <s v="US"/>
    <b v="0"/>
    <n v="3.125"/>
    <s v="2021-06-02"/>
    <s v="2029-07-15"/>
    <n v="3.125"/>
    <s v="CALLABLE"/>
    <s v="Y"/>
    <s v="144A"/>
    <s v="Sr Unsecured"/>
    <s v="EUR"/>
    <s v="B"/>
    <s v="N.S."/>
    <s v="FIXED"/>
    <s v="S/A"/>
    <x v="41"/>
    <s v="Materials"/>
    <s v="Metals &amp; Mining"/>
    <s v="Corporate"/>
    <s v="Industrial"/>
    <s v="Basic Industry"/>
    <s v="Metals and Mining"/>
    <s v="- 12.5BPS STEP-UP IN PRICING STARTING AFTER JULY 15, 2026, IF SPT 1 NOT MET; - 12.5BPS STEP-UP IN PRICING STARTING AFTER JULY 15, 2027, IF SPT 2 NOT MET."/>
    <n v="12.5"/>
    <m/>
    <x v="1"/>
    <x v="0"/>
    <x v="0"/>
    <x v="1"/>
  </r>
  <r>
    <n v="45"/>
    <s v="Constellium SE"/>
    <s v="XS2335148024"/>
    <s v="BP5467959"/>
    <s v="BBG01135D1X8"/>
    <s v="CSTM"/>
    <s v="FR"/>
    <s v="FR"/>
    <s v="US"/>
    <b v="0"/>
    <n v="3.125"/>
    <s v="2021-06-02"/>
    <s v="2029-07-15"/>
    <n v="3.125"/>
    <s v="CALLABLE"/>
    <s v="Y"/>
    <s v="REGS"/>
    <s v="Sr Unsecured"/>
    <s v="EUR"/>
    <s v="B"/>
    <s v="N.S."/>
    <s v="FIXED"/>
    <s v="S/A"/>
    <x v="41"/>
    <s v="Materials"/>
    <s v="Metals &amp; Mining"/>
    <s v="Corporate"/>
    <s v="Industrial"/>
    <s v="Basic Industry"/>
    <s v="Metals and Mining"/>
    <s v="- 12.5BPS STEP-UP IN PRICING STARTING AFTER JULY 15, 2026, IF SPT 1 NOT MET; - 12.5BPS STEP-UP IN PRICING STARTING AFTER JULY 15, 2027, IF SPT 2 NOT MET."/>
    <n v="12.5"/>
    <m/>
    <x v="1"/>
    <x v="0"/>
    <x v="0"/>
    <x v="1"/>
  </r>
  <r>
    <n v="121"/>
    <s v="Hammerson Ireland Finance DAC"/>
    <s v="XS2344772426"/>
    <s v="BP7949749"/>
    <s v="BBG01173G6X5"/>
    <s v="HMSOLN"/>
    <s v="IE"/>
    <s v="IE"/>
    <s v="GB"/>
    <b v="0"/>
    <n v="1.75"/>
    <s v="2021-06-03"/>
    <s v="2027-06-03"/>
    <n v="1.8707"/>
    <s v="CALLABLE"/>
    <s v="Y"/>
    <s v="#N/A Field Not Applicable"/>
    <s v="Sr Unsecured"/>
    <s v="EUR"/>
    <s v="BBB"/>
    <s v="N.S."/>
    <s v="FIXED"/>
    <s v="Annual"/>
    <x v="42"/>
    <s v="Financials"/>
    <s v="Real Estate"/>
    <s v="Corporate"/>
    <s v="Financial Institutions"/>
    <s v="REITs"/>
    <s v="Retail REITs"/>
    <s v="STEP-UP MARGIN : 75 BP IN FINAL PERIOD IF GHG KPI NOT MET"/>
    <n v="75"/>
    <m/>
    <x v="1"/>
    <x v="2"/>
    <x v="0"/>
    <x v="1"/>
  </r>
  <r>
    <n v="164"/>
    <s v="Lakers Group AB"/>
    <s v="NO0011017113"/>
    <s v="BP8607064"/>
    <s v="BBG0118SLG25"/>
    <s v="LAKGRP"/>
    <s v="SE"/>
    <s v="SE"/>
    <s v="NO"/>
    <b v="0"/>
    <n v="6.79"/>
    <s v="2021-06-09"/>
    <s v="2025-06-09"/>
    <n v="5.4230999999999998"/>
    <s v="CALLABLE"/>
    <s v="Y"/>
    <s v="#N/A Field Not Applicable"/>
    <s v="Secured"/>
    <s v="NOK"/>
    <s v="#N/A N/A"/>
    <s v="N.S."/>
    <s v="FLOATING"/>
    <s v="Qtrly"/>
    <x v="43"/>
    <s v="Industrials"/>
    <s v="Machinery Manufacturing"/>
    <s v="Corporate"/>
    <s v="Industrial"/>
    <s v="Capital Goods"/>
    <s v="Diversified Manufacturing"/>
    <s v="REDEEMS AT 100.5% AT MATURITY IF SUSTAINABILITY PERFORMANCE TARGETs NOT MET (CO2: REDUCTION/TOP 5 SUPPLIER CONTRIBUTORS/EMPLOYEE EFFICIENCY."/>
    <n v="50"/>
    <m/>
    <x v="1"/>
    <x v="2"/>
    <x v="0"/>
    <x v="3"/>
  </r>
  <r>
    <n v="99"/>
    <s v="Eni SpA"/>
    <s v="XS2344735811"/>
    <s v="BP8798616"/>
    <s v="BBG0118XV0B8"/>
    <s v="ENIIM"/>
    <s v="IT"/>
    <s v="IT"/>
    <s v="IT"/>
    <b v="1"/>
    <n v="0.375"/>
    <s v="2021-06-14"/>
    <s v="2028-06-14"/>
    <n v="0.30499999999999999"/>
    <s v="AT MATURITY"/>
    <s v="N"/>
    <s v="EMTN"/>
    <s v="Sr Unsecured"/>
    <s v="EUR"/>
    <s v="BBB+"/>
    <s v="A"/>
    <s v="FIXED"/>
    <s v="Annual"/>
    <x v="44"/>
    <s v="Energy"/>
    <s v="Integrated Oils"/>
    <s v="Corporate"/>
    <s v="Industrial"/>
    <s v="Energy"/>
    <s v="Integrated"/>
    <s v="STEP-UP MARGIN: 25BP (IF ONE OR BOTH TARGETS MISSED), STEP-UP EVENTS: 2025 RENEWABLES INSTALLED CAPACITY, 2024 CO2 EMISSIONS."/>
    <n v="25"/>
    <m/>
    <x v="1"/>
    <x v="3"/>
    <x v="0"/>
    <x v="1"/>
  </r>
  <r>
    <n v="114"/>
    <s v="Fritz Draexlmaier GmbH &amp; Co KG"/>
    <s v="#N/A Field Not Applicable"/>
    <s v="BP9767255"/>
    <s v="BBG011C1XWN8"/>
    <s v="DRAEXL"/>
    <s v="DE"/>
    <s v="DE"/>
    <s v="DE"/>
    <b v="1"/>
    <n v="0"/>
    <s v="2021-07-06"/>
    <s v="2025-07-06"/>
    <s v="N/A"/>
    <s v="AT MATURITY"/>
    <s v="N"/>
    <s v="4Y"/>
    <s v="Sr Unsecured"/>
    <s v="EUR"/>
    <s v="#N/A N/A"/>
    <s v="N.S."/>
    <s v="FLOATING"/>
    <s v="S/A"/>
    <x v="45"/>
    <s v="Consumer Discretionary"/>
    <s v="Auto Parts Manufacturing"/>
    <s v="Corporate"/>
    <s v="Industrial"/>
    <s v="Consumer Cyclical"/>
    <s v="Automotive"/>
    <s v="ESG-LINKED. KPI'S: SELF-POWER POTENTIAL, RECYCLING QUOTA, APPRENTICESHIP QUOTA. 0-1 OF 3 KPI MET +5BPS, 2 OF 3 0BPS, 3 OF 3 -5BPS."/>
    <n v="5"/>
    <n v="5"/>
    <x v="0"/>
    <x v="0"/>
    <x v="0"/>
    <x v="1"/>
  </r>
  <r>
    <n v="115"/>
    <s v="Fritz Draexlmaier GmbH &amp; Co KG"/>
    <s v="#N/A Field Not Applicable"/>
    <s v="BP9768873"/>
    <s v="BBG011C1YDB2"/>
    <s v="DRAEXL"/>
    <s v="DE"/>
    <s v="DE"/>
    <s v="DE"/>
    <b v="1"/>
    <n v="0"/>
    <s v="2021-07-06"/>
    <s v="2026-07-06"/>
    <s v="N/A"/>
    <s v="AT MATURITY"/>
    <s v="N"/>
    <s v="5Y"/>
    <s v="Sr Unsecured"/>
    <s v="EUR"/>
    <s v="#N/A N/A"/>
    <s v="N.S."/>
    <s v="FLOATING"/>
    <s v="S/A"/>
    <x v="45"/>
    <s v="Consumer Discretionary"/>
    <s v="Auto Parts Manufacturing"/>
    <s v="Corporate"/>
    <s v="Industrial"/>
    <s v="Consumer Cyclical"/>
    <s v="Automotive"/>
    <s v="ESG-LINKED. KPI'S: SELF-POWER POTENTIAL, RECYCLING QUOTA, APPRENTICESHIP QUOTA. 0-1 OF 3 KPI MET +5BPS, 2 OF 3 0BPS, 3 OF 3 -5BPS."/>
    <n v="5"/>
    <n v="5"/>
    <x v="0"/>
    <x v="0"/>
    <x v="0"/>
    <x v="1"/>
  </r>
  <r>
    <n v="112"/>
    <s v="Fritz Draexlmaier GmbH &amp; Co KG"/>
    <s v="#N/A Field Not Applicable"/>
    <s v="BP9785794"/>
    <s v="BBG011C3DB61"/>
    <s v="DRAEXL"/>
    <s v="DE"/>
    <s v="DE"/>
    <s v="DE"/>
    <b v="1"/>
    <n v="0"/>
    <s v="2021-07-06"/>
    <s v="2028-07-06"/>
    <s v="N/A"/>
    <s v="AT MATURITY"/>
    <s v="N"/>
    <s v="7Y"/>
    <s v="Sr Unsecured"/>
    <s v="EUR"/>
    <s v="#N/A N/A"/>
    <s v="N.S."/>
    <s v="FLOATING"/>
    <s v="S/A"/>
    <x v="45"/>
    <s v="Consumer Discretionary"/>
    <s v="Auto Parts Manufacturing"/>
    <s v="Corporate"/>
    <s v="Industrial"/>
    <s v="Consumer Cyclical"/>
    <s v="Automotive"/>
    <s v="ESG-LINKED. KPI'S: SELF-POWER POTENTIAL, RECYCLING QUOTA, APPRENTICESHIP QUOTA. 0-1 OF 3 KPI MET +5BPS, 2 OF 3 0BPS, 3 OF 3 -5BPS."/>
    <n v="5"/>
    <n v="5"/>
    <x v="0"/>
    <x v="0"/>
    <x v="0"/>
    <x v="1"/>
  </r>
  <r>
    <n v="113"/>
    <s v="Fritz Draexlmaier GmbH &amp; Co KG"/>
    <s v="#N/A Field Not Applicable"/>
    <s v="BP9786156"/>
    <s v="BBG011C40W12"/>
    <s v="DRAEXL"/>
    <s v="DE"/>
    <s v="DE"/>
    <s v="DE"/>
    <b v="1"/>
    <n v="0"/>
    <s v="2021-07-06"/>
    <s v="2031-07-06"/>
    <s v="N/A"/>
    <s v="AT MATURITY"/>
    <s v="N"/>
    <s v="10Y"/>
    <s v="Sr Unsecured"/>
    <s v="EUR"/>
    <s v="#N/A N/A"/>
    <s v="N.S."/>
    <s v="FIXED"/>
    <s v="Annual"/>
    <x v="45"/>
    <s v="Consumer Discretionary"/>
    <s v="Auto Parts Manufacturing"/>
    <s v="Corporate"/>
    <s v="Industrial"/>
    <s v="Consumer Cyclical"/>
    <s v="Automotive"/>
    <s v="ESG-LINKED. KPI'S: SELF-POWER POTENTIAL, RECYCLING QUOTA, APPRENTICESHIP QUOTA. 0-1 OF 3 KPI MET +5BPS, 2 OF 3 0BPS, 3 OF 3 -5BPS."/>
    <n v="5"/>
    <n v="5"/>
    <x v="0"/>
    <x v="0"/>
    <x v="0"/>
    <x v="1"/>
  </r>
  <r>
    <n v="76"/>
    <s v="Enel Finance International NV"/>
    <s v="XS2353182020"/>
    <s v="BP9829774"/>
    <s v="BBG011C64FX5"/>
    <s v="ENELIM"/>
    <s v="NL"/>
    <s v="NL"/>
    <s v="IT"/>
    <b v="0"/>
    <n v="0"/>
    <s v="2021-06-17"/>
    <s v="2027-06-17"/>
    <n v="0.151"/>
    <s v="CALLABLE"/>
    <s v="Y"/>
    <s v="EMTN"/>
    <s v="Sr Unsecured"/>
    <s v="EUR"/>
    <s v="BBB+"/>
    <s v="N.S."/>
    <s v="FIXED"/>
    <s v="Annual"/>
    <x v="46"/>
    <s v="Utilities"/>
    <s v="Utilities"/>
    <s v="Corporate"/>
    <s v="Utility"/>
    <s v="Electric"/>
    <s v="Electric"/>
    <s v="STEP-UP MARGIN: 25BP, STEP-UP EVENT: 12/31/2023 GREENHOUSE GAS EMISSIONS ABOVE 148G/KWHEQ"/>
    <n v="25"/>
    <m/>
    <x v="1"/>
    <x v="3"/>
    <x v="0"/>
    <x v="1"/>
  </r>
  <r>
    <n v="98"/>
    <s v="Enel Finance International NV"/>
    <s v="XS2353182293"/>
    <s v="BP9829808"/>
    <s v="BBG011C64G81"/>
    <s v="ENELIM"/>
    <s v="NL"/>
    <s v="NL"/>
    <s v="IT"/>
    <b v="0"/>
    <n v="0.5"/>
    <s v="2021-06-17"/>
    <s v="2030-06-17"/>
    <n v="0.48780000000000001"/>
    <s v="CALLABLE"/>
    <s v="Y"/>
    <s v="EMTN"/>
    <s v="Sr Unsecured"/>
    <s v="EUR"/>
    <s v="BBB+"/>
    <s v="N.S."/>
    <s v="FIXED"/>
    <s v="Annual"/>
    <x v="47"/>
    <s v="Utilities"/>
    <s v="Utilities"/>
    <s v="Corporate"/>
    <s v="Utility"/>
    <s v="Electric"/>
    <s v="Electric"/>
    <s v="STEP-UP MARGIN: 25BP, STEP-UP EVENT: 12/31/2023 GREENHOUSE GAS EMISSIONS ABOVE 148G/KWHEQ"/>
    <n v="25"/>
    <m/>
    <x v="1"/>
    <x v="3"/>
    <x v="0"/>
    <x v="1"/>
  </r>
  <r>
    <n v="97"/>
    <s v="Enel Finance International NV"/>
    <s v="XS2353182376"/>
    <s v="BP9829816"/>
    <s v="BBG011C64GK7"/>
    <s v="ENELIM"/>
    <s v="NL"/>
    <s v="NL"/>
    <s v="IT"/>
    <b v="0"/>
    <n v="0.875"/>
    <s v="2021-06-17"/>
    <s v="2036-06-17"/>
    <n v="0.92310000000000003"/>
    <s v="CALLABLE"/>
    <s v="Y"/>
    <s v="EMTN"/>
    <s v="Sr Unsecured"/>
    <s v="EUR"/>
    <s v="BBB+"/>
    <s v="N.S."/>
    <s v="FIXED"/>
    <s v="Annual"/>
    <x v="46"/>
    <s v="Utilities"/>
    <s v="Utilities"/>
    <s v="Corporate"/>
    <s v="Utility"/>
    <s v="Electric"/>
    <s v="Electric"/>
    <s v="STEP-UP MARGIN: 25BP, STEP-UP EVENT: 12/31/2031 GREENHOUSE GAS EMISSIONS ABOVE 82G/KWHEQ"/>
    <n v="25"/>
    <m/>
    <x v="1"/>
    <x v="3"/>
    <x v="0"/>
    <x v="1"/>
  </r>
  <r>
    <n v="145"/>
    <s v="JBS Finance Luxembourg Sarl"/>
    <s v="US46592QAA76"/>
    <s v="BP9865349"/>
    <s v="BBG011C76BK4"/>
    <s v="JBSSBZ"/>
    <s v="LU"/>
    <s v="LU"/>
    <s v="US"/>
    <b v="0"/>
    <n v="3.625"/>
    <s v="2021-06-15"/>
    <s v="2032-01-15"/>
    <n v="3.75"/>
    <s v="CALLABLE"/>
    <s v="Y"/>
    <s v="144A"/>
    <s v="Sr Unsecured"/>
    <s v="USD"/>
    <s v="BBB-"/>
    <s v="N.S."/>
    <s v="FIXED"/>
    <s v="S/A"/>
    <x v="48"/>
    <s v="Consumer Staples"/>
    <s v="Food &amp; Beverage"/>
    <s v="Corporate"/>
    <s v="Industrial"/>
    <s v="Consumer Non-Cyclical"/>
    <s v="Food and Beverage"/>
    <s v="FROM 01/15/2027 CPN STEP UP BY 25BPS UNLESS SUSTAINABILITY PERFORMANCE TARGET MET"/>
    <n v="25"/>
    <m/>
    <x v="1"/>
    <x v="3"/>
    <x v="0"/>
    <x v="1"/>
  </r>
  <r>
    <n v="144"/>
    <s v="JBS Finance Luxembourg Sarl"/>
    <s v="USL5S59NAA30"/>
    <s v="BP9865356"/>
    <s v="BBG011C76BN1"/>
    <s v="JBSSBZ"/>
    <s v="LU"/>
    <s v="LU"/>
    <s v="US"/>
    <b v="0"/>
    <n v="3.625"/>
    <s v="2021-06-15"/>
    <s v="2032-01-15"/>
    <n v="3.75"/>
    <s v="CALLABLE"/>
    <s v="Y"/>
    <s v="REGS"/>
    <s v="Sr Unsecured"/>
    <s v="USD"/>
    <s v="BBB-"/>
    <s v="N.S."/>
    <s v="FIXED"/>
    <s v="S/A"/>
    <x v="48"/>
    <s v="Consumer Staples"/>
    <s v="Food &amp; Beverage"/>
    <s v="Corporate"/>
    <s v="Industrial"/>
    <s v="Consumer Non-Cyclical"/>
    <s v="Food and Beverage"/>
    <s v="FROM 01/15/2027 CPN STEP UP BY 25BPS UNLESS SUSTAINABILITY PERFORMANCE TARGET MET"/>
    <n v="25"/>
    <m/>
    <x v="1"/>
    <x v="3"/>
    <x v="0"/>
    <x v="1"/>
  </r>
  <r>
    <n v="71"/>
    <s v="Edenred"/>
    <s v="FR0014003YP6"/>
    <s v="BP9946271"/>
    <s v="BBG011CBFPK4"/>
    <s v="EDENFP"/>
    <s v="FR"/>
    <s v="FR"/>
    <s v="FR"/>
    <b v="1"/>
    <n v="0"/>
    <s v="2021-06-14"/>
    <s v="2028-06-14"/>
    <n v="-0.12"/>
    <s v="CONVERTIBLE"/>
    <s v="N"/>
    <s v="EDEN"/>
    <s v="Sr Unsecured"/>
    <s v="EUR"/>
    <s v="#N/A N/A"/>
    <s v="AA"/>
    <s v="ZERO COUPON"/>
    <s v="#N/A Field Not Applicable"/>
    <x v="49"/>
    <s v="Consumer Discretionary"/>
    <s v="Consumer Services"/>
    <s v="Corporate"/>
    <s v="Industrial"/>
    <s v="Consumer Cyclical"/>
    <s v="Consumer Cyc Services"/>
    <s v="90 DAYS LOCK-UP. STEP UP MARGIN: 50BP, STEP UP EVENTS: KPI 1 AT LEAST 34 % WOMEN EXECUTIVE POSITIONS, KPI 2: 15% LESS GREENHOUSE EMISSIONS, KPI 3: AT LEAST 64%"/>
    <n v="50"/>
    <m/>
    <x v="1"/>
    <x v="2"/>
    <x v="0"/>
    <x v="3"/>
  </r>
  <r>
    <n v="230"/>
    <s v="SSAB AB"/>
    <s v="XS2353270239"/>
    <s v="BQ0031691"/>
    <s v="BBG011CHC5T9"/>
    <s v="SSABAS"/>
    <s v="SE"/>
    <s v="SE"/>
    <s v="SE"/>
    <b v="1"/>
    <n v="1.8960000000000001"/>
    <s v="2021-06-16"/>
    <s v="2026-06-16"/>
    <n v="1.6949000000000001"/>
    <s v="AT MATURITY"/>
    <s v="N"/>
    <s v="DMTN"/>
    <s v="Sr Unsecured"/>
    <s v="SEK"/>
    <s v="#N/A N/A"/>
    <s v="N.S."/>
    <s v="FLOATING"/>
    <s v="Qtrly"/>
    <x v="50"/>
    <s v="Materials"/>
    <s v="Metals &amp; Mining"/>
    <s v="Corporate"/>
    <s v="Industrial"/>
    <s v="Basic Industry"/>
    <s v="Metals and Mining"/>
    <s v="REDEEMED AT 101% IF CO2 EMISSIONS NOT REDUCED BY 10%"/>
    <n v="100"/>
    <m/>
    <x v="1"/>
    <x v="2"/>
    <x v="0"/>
    <x v="1"/>
  </r>
  <r>
    <n v="42"/>
    <s v="Constantia Flexibles GmbH"/>
    <s v="#N/A Field Not Applicable"/>
    <s v="BQ1161117"/>
    <s v="BBG011FRHKS7"/>
    <s v="COFAV"/>
    <s v="AT"/>
    <s v="AT"/>
    <s v="AT"/>
    <b v="1"/>
    <n v="0"/>
    <s v="2021-08-04"/>
    <s v="2028-08-04"/>
    <s v="N/A"/>
    <s v="AT MATURITY"/>
    <s v="N"/>
    <s v="7Y"/>
    <s v="Sr Unsecured"/>
    <s v="EUR"/>
    <s v="#N/A N/A"/>
    <s v="N.S."/>
    <s v="FLOATING"/>
    <s v="S/A"/>
    <x v="51"/>
    <s v="Materials"/>
    <s v="Containers &amp; Packaging"/>
    <s v="Corporate"/>
    <s v="Industrial"/>
    <s v="Capital Goods"/>
    <s v="Packaging"/>
    <s v="ESG-LINKED SCHULDSCHEIN. SUSTAINABILITY PRICING ADJUSTMENT: +2.5BPS IF ESG SCORE &lt;=65;   -2.5BPS IF &gt;=75."/>
    <n v="2.5"/>
    <n v="2.5"/>
    <x v="0"/>
    <x v="0"/>
    <x v="0"/>
    <x v="0"/>
  </r>
  <r>
    <n v="41"/>
    <s v="Constantia Flexibles GmbH"/>
    <s v="#N/A Field Not Applicable"/>
    <s v="BQ1161786"/>
    <s v="BBG011FRJ928"/>
    <s v="COFAV"/>
    <s v="AT"/>
    <s v="AT"/>
    <s v="AT"/>
    <b v="1"/>
    <n v="0"/>
    <s v="2021-08-04"/>
    <s v="2026-08-04"/>
    <s v="N/A"/>
    <s v="AT MATURITY"/>
    <s v="N"/>
    <s v="5Y"/>
    <s v="Sr Unsecured"/>
    <s v="EUR"/>
    <s v="#N/A N/A"/>
    <s v="N.S."/>
    <s v="FLOATING"/>
    <s v="S/A"/>
    <x v="51"/>
    <s v="Materials"/>
    <s v="Containers &amp; Packaging"/>
    <s v="Corporate"/>
    <s v="Industrial"/>
    <s v="Capital Goods"/>
    <s v="Packaging"/>
    <s v="ESG-LINKED SCHULDSCHEIN. SUSTAINABILITY PRICING ADJUSTMENT: +2.5BPS IF ESG SCORE &lt;=65;   -2.5BPS IF &gt;=75."/>
    <n v="2.5"/>
    <n v="2.5"/>
    <x v="0"/>
    <x v="0"/>
    <x v="0"/>
    <x v="0"/>
  </r>
  <r>
    <n v="43"/>
    <s v="Constantia Flexibles GmbH"/>
    <s v="#N/A Field Not Applicable"/>
    <s v="BQ1161794"/>
    <s v="BBG011FRJ937"/>
    <s v="COFAV"/>
    <s v="AT"/>
    <s v="AT"/>
    <s v="AT"/>
    <b v="1"/>
    <n v="0"/>
    <s v="2021-08-04"/>
    <s v="2024-08-04"/>
    <s v="N/A"/>
    <s v="AT MATURITY"/>
    <s v="N"/>
    <s v="3Y"/>
    <s v="Sr Unsecured"/>
    <s v="EUR"/>
    <s v="#N/A N/A"/>
    <s v="N.S."/>
    <s v="FLOATING"/>
    <s v="S/A"/>
    <x v="51"/>
    <s v="Materials"/>
    <s v="Containers &amp; Packaging"/>
    <s v="Corporate"/>
    <s v="Industrial"/>
    <s v="Capital Goods"/>
    <s v="Packaging"/>
    <s v="ESG-LINKED SCHULDSCHEIN. SUSTAINABILITY PRICING ADJUSTMENT: +2.5BPS IF ESG SCORE &lt;=65;   -2.5BPS IF &gt;=75."/>
    <n v="2.5"/>
    <n v="2.5"/>
    <x v="0"/>
    <x v="0"/>
    <x v="0"/>
    <x v="0"/>
  </r>
  <r>
    <n v="187"/>
    <s v="Nobian Finance BV"/>
    <s v="XS2358383896"/>
    <s v="BQ1586537"/>
    <s v="BBG011JF2HL9"/>
    <s v="NOHOLB"/>
    <s v="NL"/>
    <s v="NL"/>
    <s v="NL"/>
    <b v="1"/>
    <n v="3.625"/>
    <s v="2021-07-01"/>
    <s v="2026-07-15"/>
    <n v="3.625"/>
    <s v="CALLABLE"/>
    <s v="Y"/>
    <s v="144A"/>
    <s v="Secured"/>
    <s v="EUR"/>
    <s v="B"/>
    <s v="N.S."/>
    <s v="FIXED"/>
    <s v="S/A"/>
    <x v="52"/>
    <s v="Materials"/>
    <s v="Chemicals"/>
    <s v="Corporate"/>
    <s v="Industrial"/>
    <s v="Basic Industry"/>
    <s v="Chemicals"/>
    <s v="STEP-UP MARGIN: 12.5, STEP-UP EVENT: INCREASE RENEWABLE ENERGY USE BY 29% BY 12/22 AND REDUCTION CO2 EMISSIONS BY 4%"/>
    <n v="12.5"/>
    <m/>
    <x v="1"/>
    <x v="0"/>
    <x v="0"/>
    <x v="1"/>
  </r>
  <r>
    <n v="186"/>
    <s v="Nobian Finance BV"/>
    <s v="XS2358383466"/>
    <s v="BQ1586552"/>
    <s v="BBG011JF2HN7"/>
    <s v="NOHOLB"/>
    <s v="NL"/>
    <s v="NL"/>
    <s v="NL"/>
    <b v="1"/>
    <n v="3.625"/>
    <s v="2021-07-01"/>
    <s v="2026-07-15"/>
    <n v="3.625"/>
    <s v="CALLABLE"/>
    <s v="Y"/>
    <s v="REGS"/>
    <s v="Secured"/>
    <s v="EUR"/>
    <s v="B"/>
    <s v="N.S."/>
    <s v="FIXED"/>
    <s v="S/A"/>
    <x v="52"/>
    <s v="Materials"/>
    <s v="Chemicals"/>
    <s v="Corporate"/>
    <s v="Industrial"/>
    <s v="Basic Industry"/>
    <s v="Chemicals"/>
    <s v="STEP-UP MARGIN: 12.5, STEP-UP EVENT: INCREASE RENEWABLE ENERGY USE BY 29% BY 12/22 AND REDUCTION CO2 EMISSIONS BY 4%"/>
    <n v="12.5"/>
    <m/>
    <x v="1"/>
    <x v="0"/>
    <x v="0"/>
    <x v="1"/>
  </r>
  <r>
    <n v="280"/>
    <s v="Zeppelin GmbH"/>
    <s v="#N/A Field Not Applicable"/>
    <s v="BQ2320183"/>
    <s v="BBG011KPDX29"/>
    <s v="ZEPPEL"/>
    <s v="DE"/>
    <s v="DE"/>
    <s v="DE"/>
    <b v="1"/>
    <n v="0"/>
    <s v="2021-08-06"/>
    <s v="2031-08-06"/>
    <s v="N/A"/>
    <s v="AT MATURITY"/>
    <s v="N"/>
    <s v="10Y"/>
    <s v="Sr Unsecured"/>
    <s v="EUR"/>
    <s v="#N/A N/A"/>
    <s v="N.S."/>
    <s v="FIXED"/>
    <s v="Annual"/>
    <x v="53"/>
    <s v="Industrials"/>
    <s v="Industrial Other"/>
    <s v="Corporate"/>
    <s v="Industrial"/>
    <s v="Capital Goods"/>
    <s v="Construction Machinery"/>
    <s v="SUSTAINABILITY-LINKED SCHULDSCHEIN. SUSTAINABILITY PRICING ADJUSTMENT: +/- 2.5BPS DEPENDING ON FINAL KPIS MET."/>
    <n v="2.5"/>
    <n v="2.5"/>
    <x v="0"/>
    <x v="0"/>
    <x v="0"/>
    <x v="2"/>
  </r>
  <r>
    <n v="279"/>
    <s v="Zeppelin GmbH"/>
    <s v="#N/A Field Not Applicable"/>
    <s v="BQ2321892"/>
    <s v="BBG011KPH6F0"/>
    <s v="ZEPPEL"/>
    <s v="DE"/>
    <s v="DE"/>
    <s v="DE"/>
    <b v="1"/>
    <n v="0"/>
    <s v="2021-08-06"/>
    <s v="2028-08-06"/>
    <s v="N/A"/>
    <s v="AT MATURITY"/>
    <s v="N"/>
    <s v="7Y"/>
    <s v="Sr Unsecured"/>
    <s v="EUR"/>
    <s v="#N/A N/A"/>
    <s v="N.S."/>
    <s v="FIXED"/>
    <s v="Annual"/>
    <x v="53"/>
    <s v="Industrials"/>
    <s v="Industrial Other"/>
    <s v="Corporate"/>
    <s v="Industrial"/>
    <s v="Capital Goods"/>
    <s v="Construction Machinery"/>
    <s v="SUSTAINABILITY-LINKED SCHULDSCHEIN. SUSTAINABILITY PRICING ADJUSTMENT: +/- 2.5BPS DEPENDING ON FINAL KPIS MET."/>
    <n v="2.5"/>
    <n v="2.5"/>
    <x v="0"/>
    <x v="0"/>
    <x v="0"/>
    <x v="2"/>
  </r>
  <r>
    <n v="198"/>
    <s v="Picard Groupe SAS"/>
    <s v="XS2361343267"/>
    <s v="BQ2953850"/>
    <s v="BBG011MCTKM5"/>
    <s v="PICSUR"/>
    <s v="FR"/>
    <s v="FR"/>
    <s v="FR"/>
    <b v="1"/>
    <n v="3.875"/>
    <s v="2021-07-07"/>
    <s v="2026-07-01"/>
    <n v="3.7443"/>
    <s v="CALLABLE"/>
    <s v="Y"/>
    <s v="144A"/>
    <s v="Secured"/>
    <s v="EUR"/>
    <s v="B"/>
    <s v="N.S."/>
    <s v="FIXED"/>
    <s v="S/A"/>
    <x v="54"/>
    <s v="Consumer Staples"/>
    <s v="Supermarkets &amp; Pharmacies"/>
    <s v="Corporate"/>
    <s v="Industrial"/>
    <s v="Consumer Non-Cyclical"/>
    <s v="Food and Beverage"/>
    <s v="STEP-UP MARGIN: 12.5 BPS PER KPI, STEP-UP EVENTS: CO2 EMISSIONS, ENERGY CONSUMPTION"/>
    <n v="25"/>
    <m/>
    <x v="1"/>
    <x v="3"/>
    <x v="1"/>
    <x v="1"/>
  </r>
  <r>
    <n v="172"/>
    <s v="Lion/Polaris Lux 4 SA"/>
    <s v="XS2361343770"/>
    <s v="BQ2953868"/>
    <s v="BBG011MCTKR0"/>
    <s v="PICSUR"/>
    <s v="LU"/>
    <s v="LU"/>
    <s v="FR"/>
    <b v="0"/>
    <n v="4"/>
    <s v="2021-07-07"/>
    <s v="2026-07-01"/>
    <n v="3.7774999999999999"/>
    <s v="CALLABLE"/>
    <s v="Y"/>
    <s v="144A"/>
    <s v="Secured"/>
    <s v="EUR"/>
    <s v="B"/>
    <s v="N.S."/>
    <s v="FLOATING"/>
    <s v="Qtrly"/>
    <x v="55"/>
    <s v="Consumer Discretionary"/>
    <s v="Restaurants"/>
    <s v="Corporate"/>
    <s v="Industrial"/>
    <s v="Consumer Cyclical"/>
    <s v="Restaurants"/>
    <s v="STEP-UP MARGIN: 12.5 BP PER KPI, STEP-UP EVENTS: CO2 EMISSIONS, ENERGY CONSUMPTION"/>
    <n v="25"/>
    <m/>
    <x v="1"/>
    <x v="3"/>
    <x v="1"/>
    <x v="1"/>
  </r>
  <r>
    <n v="195"/>
    <s v="Picard Bondco SA"/>
    <s v="XS2361345478"/>
    <s v="BQ2953876"/>
    <s v="BBG011MCTL07"/>
    <s v="PICSUR"/>
    <s v="LU"/>
    <s v="LU"/>
    <s v="FR"/>
    <b v="0"/>
    <n v="5.375"/>
    <s v="2021-07-07"/>
    <s v="2027-07-01"/>
    <n v="5.3266999999999998"/>
    <s v="CALLABLE"/>
    <s v="Y"/>
    <s v="144A"/>
    <s v="Sr Unsecured"/>
    <s v="EUR"/>
    <s v="CCC+"/>
    <s v="N.S."/>
    <s v="FIXED"/>
    <s v="S/A"/>
    <x v="56"/>
    <s v="Consumer Staples"/>
    <s v="Supermarkets &amp; Pharmacies"/>
    <s v="Corporate"/>
    <s v="Industrial"/>
    <s v="Consumer Non-Cyclical"/>
    <s v="Food and Beverage"/>
    <s v="STEP-UP MARGIN: 12.5 BP PER KPI, STEP-UP EVENTS: CO2 EMISSIONS, ENERGY CONSUMPTION"/>
    <n v="25"/>
    <m/>
    <x v="1"/>
    <x v="3"/>
    <x v="1"/>
    <x v="1"/>
  </r>
  <r>
    <n v="197"/>
    <s v="Picard Groupe SAS"/>
    <s v="XS2361342889"/>
    <s v="BQ2953892"/>
    <s v="BBG011MCTL43"/>
    <s v="PICSUR"/>
    <s v="FR"/>
    <s v="FR"/>
    <s v="FR"/>
    <b v="1"/>
    <n v="3.875"/>
    <s v="2021-07-07"/>
    <s v="2026-07-01"/>
    <n v="3.7553999999999998"/>
    <s v="CALLABLE"/>
    <s v="Y"/>
    <s v="REGS"/>
    <s v="Secured"/>
    <s v="EUR"/>
    <s v="B"/>
    <s v="N.S."/>
    <s v="FIXED"/>
    <s v="S/A"/>
    <x v="54"/>
    <s v="Consumer Staples"/>
    <s v="Supermarkets &amp; Pharmacies"/>
    <s v="Corporate"/>
    <s v="Industrial"/>
    <s v="Consumer Non-Cyclical"/>
    <s v="Supermarkets"/>
    <s v="STEP-UP MARGIN: 12.5 BP PER KPI, STEP-UP EVENTS: CO2 EMISSIONS, ENERGY CONSUMPTION"/>
    <n v="25"/>
    <m/>
    <x v="1"/>
    <x v="3"/>
    <x v="1"/>
    <x v="1"/>
  </r>
  <r>
    <n v="171"/>
    <s v="Lion/Polaris Lux 4 SA"/>
    <s v="XS2361343697"/>
    <s v="BQ2954189"/>
    <s v="BBG011MCTM50"/>
    <s v="PICSUR"/>
    <s v="LU"/>
    <s v="LU"/>
    <s v="FR"/>
    <b v="0"/>
    <n v="4"/>
    <s v="2021-07-07"/>
    <s v="2026-07-01"/>
    <n v="3.81"/>
    <s v="CALLABLE"/>
    <s v="Y"/>
    <s v="REGS"/>
    <s v="Secured"/>
    <s v="EUR"/>
    <s v="B"/>
    <s v="N.S."/>
    <s v="FLOATING"/>
    <s v="Qtrly"/>
    <x v="55"/>
    <s v="Consumer Discretionary"/>
    <s v="Restaurants"/>
    <s v="Corporate"/>
    <s v="Industrial"/>
    <s v="Consumer Cyclical"/>
    <s v="Restaurants"/>
    <s v="STEP-UP MARGIN: 12.5 BP PER KPI, STEP-UP EVENTS: CO2 EMISSIONS, ENERGY CONSUMPTION"/>
    <n v="25"/>
    <m/>
    <x v="1"/>
    <x v="3"/>
    <x v="1"/>
    <x v="1"/>
  </r>
  <r>
    <n v="196"/>
    <s v="Picard Bondco SA"/>
    <s v="XS2361344315"/>
    <s v="BQ2954205"/>
    <s v="BBG011MCTMK3"/>
    <s v="PICSUR"/>
    <s v="LU"/>
    <s v="LU"/>
    <s v="FR"/>
    <b v="0"/>
    <n v="5.375"/>
    <s v="2021-07-07"/>
    <s v="2027-07-01"/>
    <n v="5.3220999999999998"/>
    <s v="CALLABLE"/>
    <s v="Y"/>
    <s v="REGS"/>
    <s v="Sr Unsecured"/>
    <s v="EUR"/>
    <s v="CCC+"/>
    <s v="N.S."/>
    <s v="FIXED"/>
    <s v="S/A"/>
    <x v="56"/>
    <s v="Consumer Staples"/>
    <s v="Supermarkets &amp; Pharmacies"/>
    <s v="Corporate"/>
    <s v="Industrial"/>
    <s v="Consumer Non-Cyclical"/>
    <s v="Food and Beverage"/>
    <s v="STEP-UP MARGIN: 12.5 BP PER KPI, STEP-UP EVENTS: CO2 EMISSIONS, ENERGY CONSUMPTION"/>
    <n v="25"/>
    <m/>
    <x v="1"/>
    <x v="3"/>
    <x v="1"/>
    <x v="1"/>
  </r>
  <r>
    <n v="243"/>
    <s v="Suzano Austria GmbH"/>
    <s v="US86964WAK80"/>
    <s v="BQ2995893"/>
    <s v="BBG011MF43T6"/>
    <s v="SUZANO"/>
    <s v="AT"/>
    <s v="AT"/>
    <s v="BR"/>
    <b v="0"/>
    <n v="3.125"/>
    <s v="2021-07-01"/>
    <s v="2032-01-15"/>
    <n v="3.28"/>
    <s v="CALLABLE"/>
    <s v="Y"/>
    <s v="DM3N"/>
    <s v="Sr Unsecured"/>
    <s v="USD"/>
    <s v="BBB-"/>
    <s v="N.S."/>
    <s v="FIXED"/>
    <s v="S/A"/>
    <x v="48"/>
    <s v="Materials"/>
    <s v="Forest &amp; Paper Products Manufacturing"/>
    <s v="Corporate"/>
    <s v="Industrial"/>
    <s v="Basic Industry"/>
    <s v="Paper"/>
    <s v="STEP-UP MARGIN: 12.5 BPS IF INDUSTRIAL WATER TARGET OR WOMEN IN LEADERSHIP TARGET NOT MET OR 25 BPS IF NEITHER IS MET."/>
    <n v="25"/>
    <m/>
    <x v="1"/>
    <x v="3"/>
    <x v="1"/>
    <x v="3"/>
  </r>
  <r>
    <n v="223"/>
    <s v="Repsol Europe Finance Sarl"/>
    <s v="XS2361358299"/>
    <s v="BQ3131753"/>
    <s v="BBG011MLK4J4"/>
    <s v="REPSM"/>
    <s v="LU"/>
    <s v="LU"/>
    <s v="ES"/>
    <b v="0"/>
    <n v="0.375"/>
    <s v="2021-07-06"/>
    <s v="2029-07-06"/>
    <n v="0.37930000000000003"/>
    <s v="CALLABLE"/>
    <s v="Y"/>
    <s v="EMTN"/>
    <s v="Sr Unsecured"/>
    <s v="EUR"/>
    <s v="BBB"/>
    <s v="N.S."/>
    <s v="FIXED"/>
    <s v="Annual"/>
    <x v="57"/>
    <s v="Energy"/>
    <s v="Integrated Oils"/>
    <s v="Corporate"/>
    <s v="Industrial"/>
    <s v="Energy"/>
    <s v="Integrated"/>
    <s v="25bps/annum step up in 2027-2029 if the group fails to reduce its Carbon Intensity Indicator (CII) by 12% by 2025"/>
    <n v="25"/>
    <m/>
    <x v="1"/>
    <x v="3"/>
    <x v="1"/>
    <x v="1"/>
  </r>
  <r>
    <n v="222"/>
    <s v="Repsol Europe Finance Sarl"/>
    <s v="XS2361358539"/>
    <s v="BQ3131761"/>
    <s v="BBG011MLK4P7"/>
    <s v="REPSM"/>
    <s v="LU"/>
    <s v="LU"/>
    <s v="ES"/>
    <b v="0"/>
    <n v="0.875"/>
    <s v="2021-07-06"/>
    <s v="2033-07-06"/>
    <n v="0.8014"/>
    <s v="CALLABLE"/>
    <s v="Y"/>
    <s v="EMTN"/>
    <s v="Sr Unsecured"/>
    <s v="EUR"/>
    <s v="BBB"/>
    <s v="N.S."/>
    <s v="FIXED"/>
    <s v="Annual"/>
    <x v="58"/>
    <s v="Energy"/>
    <s v="Integrated Oils"/>
    <s v="Corporate"/>
    <s v="Industrial"/>
    <s v="Energy"/>
    <s v="Integrated"/>
    <s v="37.5bps/annum step up in 2032-2033 if the group fails to reduce its Carbon Intensity Indicator (CII) by 25% by 2030"/>
    <n v="37.5"/>
    <m/>
    <x v="1"/>
    <x v="2"/>
    <x v="0"/>
    <x v="1"/>
  </r>
  <r>
    <n v="1"/>
    <s v="A2A SpA"/>
    <s v="XS2364001078"/>
    <s v="BQ3956720"/>
    <s v="BBG011PLBMH3"/>
    <s v="AEMSPA"/>
    <s v="IT"/>
    <s v="IT"/>
    <s v="IT"/>
    <b v="1"/>
    <n v="0.625"/>
    <s v="2021-07-15"/>
    <s v="2031-07-15"/>
    <n v="0.621"/>
    <s v="CALLABLE"/>
    <s v="Y"/>
    <s v="EMTN"/>
    <s v="Sr Unsecured"/>
    <s v="EUR"/>
    <s v="BBB"/>
    <s v="N.S."/>
    <s v="FIXED"/>
    <s v="Annual"/>
    <x v="59"/>
    <s v="Utilities"/>
    <s v="Power Generation"/>
    <s v="Government-Related"/>
    <s v="Local Authority"/>
    <s v="Local Authority"/>
    <s v="Local Authority"/>
    <s v="STEP-UP MARGIN: 25BP, STEP-UP EVENT: EMISSION INTENSITY ABOVE 296 gCO2/kWh (REFERENCE DATE 31 Dec 2025)"/>
    <n v="25"/>
    <m/>
    <x v="1"/>
    <x v="3"/>
    <x v="0"/>
    <x v="1"/>
  </r>
  <r>
    <n v="80"/>
    <s v="Enel Finance International NV"/>
    <s v="US29278GAM06"/>
    <s v="BQ4396710"/>
    <s v="BBG011Q3W835"/>
    <s v="ENELIM"/>
    <s v="NL"/>
    <s v="NL"/>
    <s v="IT"/>
    <b v="0"/>
    <n v="1.375"/>
    <s v="2021-07-12"/>
    <s v="2026-07-12"/>
    <n v="1.4769999999999999"/>
    <s v="CALLABLE"/>
    <s v="Y"/>
    <s v="144A"/>
    <s v="Sr Unsecured"/>
    <s v="USD"/>
    <s v="BBB+"/>
    <s v="N.S."/>
    <s v="FIXED"/>
    <s v="S/A"/>
    <x v="60"/>
    <s v="Utilities"/>
    <s v="Utilities"/>
    <s v="Corporate"/>
    <s v="Utility"/>
    <s v="Electric"/>
    <s v="Electric"/>
    <s v="STEP-UP MARGIN: 25BP, STEP-UP EVENT: 12/31/23 DIRECT GHG EMISSIONS BEING ABOVE 148G/KWHEQ"/>
    <n v="25"/>
    <m/>
    <x v="1"/>
    <x v="3"/>
    <x v="0"/>
    <x v="1"/>
  </r>
  <r>
    <n v="82"/>
    <s v="Enel Finance International NV"/>
    <s v="US29278GAN88"/>
    <s v="BQ4396728"/>
    <s v="BBG011Q3W871"/>
    <s v="ENELIM"/>
    <s v="NL"/>
    <s v="NL"/>
    <s v="IT"/>
    <b v="0"/>
    <n v="1.875"/>
    <s v="2021-07-12"/>
    <s v="2028-07-12"/>
    <n v="1.9370000000000001"/>
    <s v="CALLABLE"/>
    <s v="Y"/>
    <s v="144A"/>
    <s v="Sr Unsecured"/>
    <s v="USD"/>
    <s v="BBB+"/>
    <s v="N.S."/>
    <s v="FIXED"/>
    <s v="S/A"/>
    <x v="48"/>
    <s v="Utilities"/>
    <s v="Utilities"/>
    <s v="Corporate"/>
    <s v="Utility"/>
    <s v="Electric"/>
    <s v="Electric"/>
    <s v="STEP-UP MARGIN: 25BP, STEP-UP EVENTS: DEC 2023, GHG EMISSIONS &gt;148G/KWHEQ"/>
    <n v="25"/>
    <m/>
    <x v="1"/>
    <x v="3"/>
    <x v="0"/>
    <x v="1"/>
  </r>
  <r>
    <n v="86"/>
    <s v="Enel Finance International NV"/>
    <s v="US29278GAP37"/>
    <s v="BQ4396736"/>
    <s v="BBG011Q3W8Z0"/>
    <s v="ENELIM"/>
    <s v="NL"/>
    <s v="NL"/>
    <s v="IT"/>
    <b v="0"/>
    <n v="2.25"/>
    <s v="2021-07-12"/>
    <s v="2031-07-12"/>
    <n v="2.3199999999999998"/>
    <s v="CALLABLE"/>
    <s v="Y"/>
    <s v="144A"/>
    <s v="Sr Unsecured"/>
    <s v="USD"/>
    <s v="BBB+"/>
    <s v="N.S."/>
    <s v="FIXED"/>
    <s v="S/A"/>
    <x v="48"/>
    <s v="Utilities"/>
    <s v="Utilities"/>
    <s v="Corporate"/>
    <s v="Utility"/>
    <s v="Electric"/>
    <s v="Electric"/>
    <s v="STEP-UP MARGIN: 25BP, STEP-UP EVENTS: DEC 2023, GHG EMISSIONS &gt;148G/KWHEQ"/>
    <n v="25"/>
    <m/>
    <x v="1"/>
    <x v="3"/>
    <x v="0"/>
    <x v="1"/>
  </r>
  <r>
    <n v="81"/>
    <s v="Enel Finance International NV"/>
    <s v="US29278GAQ10"/>
    <s v="BQ4396744"/>
    <s v="BBG011Q3W942"/>
    <s v="ENELIM"/>
    <s v="NL"/>
    <s v="NL"/>
    <s v="IT"/>
    <b v="0"/>
    <n v="2.875"/>
    <s v="2021-07-12"/>
    <s v="2041-07-12"/>
    <n v="2.9569999999999999"/>
    <s v="CALLABLE"/>
    <s v="Y"/>
    <s v="144A"/>
    <s v="Sr Unsecured"/>
    <s v="USD"/>
    <s v="BBB+"/>
    <s v="N.S."/>
    <s v="FIXED"/>
    <s v="S/A"/>
    <x v="61"/>
    <s v="Utilities"/>
    <s v="Utilities"/>
    <s v="Corporate"/>
    <s v="Utility"/>
    <s v="Electric"/>
    <s v="Electric"/>
    <s v="STEP-UP MARGIN: 25BP, STEP-UP EVENTS: DEC 2030, GHG EMISSIONS &gt;82G/KWHEQ"/>
    <n v="25"/>
    <m/>
    <x v="1"/>
    <x v="3"/>
    <x v="0"/>
    <x v="1"/>
  </r>
  <r>
    <n v="87"/>
    <s v="Enel Finance International NV"/>
    <s v="USN30706VC11"/>
    <s v="BQ4396769"/>
    <s v="BBG011Q3W9H8"/>
    <s v="ENELIM"/>
    <s v="NL"/>
    <s v="NL"/>
    <s v="IT"/>
    <b v="0"/>
    <n v="1.375"/>
    <s v="2021-07-12"/>
    <s v="2026-07-12"/>
    <n v="1.4769999999999999"/>
    <s v="CALLABLE"/>
    <s v="Y"/>
    <s v="REGS"/>
    <s v="Sr Unsecured"/>
    <s v="USD"/>
    <s v="BBB+"/>
    <s v="N.S."/>
    <s v="FIXED"/>
    <s v="S/A"/>
    <x v="60"/>
    <s v="Utilities"/>
    <s v="Utilities"/>
    <s v="Corporate"/>
    <s v="Utility"/>
    <s v="Electric"/>
    <s v="Electric"/>
    <s v="STEP-UP MARGIN: 25BP, STEP-UP EVENTS: DEC 2023, GHG EMISSIONS &gt;148G/KWHEQ"/>
    <n v="25"/>
    <m/>
    <x v="1"/>
    <x v="3"/>
    <x v="0"/>
    <x v="1"/>
  </r>
  <r>
    <n v="83"/>
    <s v="Enel Finance International NV"/>
    <s v="USN30706VD93"/>
    <s v="BQ4396777"/>
    <s v="BBG011Q3WB56"/>
    <s v="ENELIM"/>
    <s v="NL"/>
    <s v="NL"/>
    <s v="IT"/>
    <b v="0"/>
    <n v="1.875"/>
    <s v="2021-07-12"/>
    <s v="2028-07-12"/>
    <n v="1.9370000000000001"/>
    <s v="CALLABLE"/>
    <s v="Y"/>
    <s v="REGS"/>
    <s v="Sr Unsecured"/>
    <s v="USD"/>
    <s v="BBB+"/>
    <s v="N.S."/>
    <s v="FIXED"/>
    <s v="S/A"/>
    <x v="48"/>
    <s v="Utilities"/>
    <s v="Utilities"/>
    <s v="Corporate"/>
    <s v="Utility"/>
    <s v="Electric"/>
    <s v="Electric"/>
    <s v="STEP-UP MARGIN: 25BP, STEP-UP EVENTS: DEC 2023, GHG EMISSIONS &gt;148G/KWHEQ"/>
    <n v="25"/>
    <m/>
    <x v="1"/>
    <x v="3"/>
    <x v="0"/>
    <x v="1"/>
  </r>
  <r>
    <n v="84"/>
    <s v="Enel Finance International NV"/>
    <s v="USN30706VE76"/>
    <s v="BQ4396785"/>
    <s v="BBG011Q3WB83"/>
    <s v="ENELIM"/>
    <s v="NL"/>
    <s v="NL"/>
    <s v="IT"/>
    <b v="0"/>
    <n v="2.25"/>
    <s v="2021-07-12"/>
    <s v="2031-07-12"/>
    <n v="2.3199999999999998"/>
    <s v="CALLABLE"/>
    <s v="Y"/>
    <s v="REGS"/>
    <s v="Sr Unsecured"/>
    <s v="USD"/>
    <s v="BBB+"/>
    <s v="N.S."/>
    <s v="FIXED"/>
    <s v="S/A"/>
    <x v="48"/>
    <s v="Utilities"/>
    <s v="Utilities"/>
    <s v="Corporate"/>
    <s v="Utility"/>
    <s v="Electric"/>
    <s v="Electric"/>
    <s v="STEP-UP MARGIN: 25BP, STEP-UP EVENTS: DEC 2023, GHG EMISSIONS &gt;148G/KWHEQ"/>
    <n v="25"/>
    <m/>
    <x v="1"/>
    <x v="3"/>
    <x v="0"/>
    <x v="1"/>
  </r>
  <r>
    <n v="85"/>
    <s v="Enel Finance International NV"/>
    <s v="USN30706VF42"/>
    <s v="BQ4396793"/>
    <s v="BBG011Q3WBF5"/>
    <s v="ENELIM"/>
    <s v="NL"/>
    <s v="NL"/>
    <s v="IT"/>
    <b v="0"/>
    <n v="2.875"/>
    <s v="2021-07-12"/>
    <s v="2041-07-12"/>
    <n v="2.9569999999999999"/>
    <s v="CALLABLE"/>
    <s v="Y"/>
    <s v="REGS"/>
    <s v="Sr Unsecured"/>
    <s v="USD"/>
    <s v="BBB+"/>
    <s v="N.S."/>
    <s v="FIXED"/>
    <s v="S/A"/>
    <x v="61"/>
    <s v="Utilities"/>
    <s v="Utilities"/>
    <s v="Corporate"/>
    <s v="Utility"/>
    <s v="Electric"/>
    <s v="Electric"/>
    <s v="STEP-UP MARGIN: 25BP, STEP-UP EVENTS: DEC 2030, GHG EMISSIONS &gt;82G/KWHEQ"/>
    <n v="25"/>
    <m/>
    <x v="1"/>
    <x v="3"/>
    <x v="0"/>
    <x v="1"/>
  </r>
  <r>
    <n v="203"/>
    <s v="Public Power Corp SA"/>
    <s v="XS2359929812"/>
    <s v="BQ5041802"/>
    <s v="BBG011RFPD70"/>
    <s v="PPCGA"/>
    <s v="GR"/>
    <s v="GR"/>
    <s v="GR"/>
    <b v="1"/>
    <n v="3.375"/>
    <s v="2021-07-21"/>
    <s v="2028-07-31"/>
    <n v="3.375"/>
    <s v="CALLABLE"/>
    <s v="Y"/>
    <s v="#N/A Field Not Applicable"/>
    <s v="Sr Unsecured"/>
    <s v="EUR"/>
    <s v="B+"/>
    <s v="BBB"/>
    <s v="FIXED"/>
    <s v="S/A"/>
    <x v="62"/>
    <s v="Utilities"/>
    <s v="Utilities"/>
    <s v="Government-Related"/>
    <s v="Agency"/>
    <s v="Government Owned, No Guarantee"/>
    <s v="Government Owned, No Guarantee"/>
    <s v="STEP-UP MARGIN: 50BP, STEP-UP EVENT: 57% REDUCTION IN C02 EMISSIONS BY 12/2023, 2019 BASE YEAR"/>
    <n v="50"/>
    <m/>
    <x v="1"/>
    <x v="2"/>
    <x v="0"/>
    <x v="1"/>
  </r>
  <r>
    <n v="262"/>
    <s v="Valeo"/>
    <s v="FR0014004UE6"/>
    <s v="BQ6920418"/>
    <s v="BBG011XTZZP3"/>
    <s v="FRFP"/>
    <s v="FR"/>
    <s v="FR"/>
    <s v="FR"/>
    <b v="1"/>
    <n v="1"/>
    <s v="2021-08-03"/>
    <s v="2028-08-03"/>
    <n v="1.0090000000000001"/>
    <s v="CALLABLE"/>
    <s v="Y"/>
    <s v="EMTN"/>
    <s v="Sr Unsecured"/>
    <s v="EUR"/>
    <s v="BB+"/>
    <s v="AAA"/>
    <s v="FIXED"/>
    <s v="Annual"/>
    <x v="63"/>
    <s v="Consumer Discretionary"/>
    <s v="Auto Parts Manufacturing"/>
    <s v="Corporate"/>
    <s v="Industrial"/>
    <s v="Consumer Cyclical"/>
    <s v="Automotive"/>
    <s v="STEP-UP MARGIN: 37.5 BP, STEP-UP EVENT: CO2 EMISSIONS"/>
    <n v="37.5"/>
    <m/>
    <x v="1"/>
    <x v="2"/>
    <x v="0"/>
    <x v="1"/>
  </r>
  <r>
    <n v="291"/>
    <s v="ista International GmbH"/>
    <s v="#N/A Field Not Applicable"/>
    <s v="BR0363092"/>
    <s v="BBG01252KSY3"/>
    <s v="ISTAGR"/>
    <s v="DE"/>
    <s v="DE"/>
    <s v="DE"/>
    <b v="1"/>
    <n v="0"/>
    <s v="2021-09-23"/>
    <s v="2026-09-23"/>
    <s v="N/A"/>
    <s v="AT MATURITY"/>
    <s v="N"/>
    <s v="5Y"/>
    <s v="Sr Unsecured"/>
    <s v="EUR"/>
    <s v="#N/A N/A"/>
    <s v="N.S."/>
    <s v="FLOATING"/>
    <s v="S/A"/>
    <x v="64"/>
    <s v="Industrials"/>
    <s v="Electrical Equipment Manufacturing"/>
    <s v="Corporate"/>
    <s v="Industrial"/>
    <s v="Capital Goods"/>
    <s v="Diversified Manufacturing"/>
    <s v="ESG-LINKED SCHULDSCHEIN:+/- UP TO 5BPS DEPENDING ON KPIS ACHIEVED OUT OF 5. ADDITIONAL ISSUER: TRIONISTA TOPCO, TRIONISTA HOLDCO &amp; ISTA DEUTSCHLAND."/>
    <n v="5"/>
    <n v="5"/>
    <x v="0"/>
    <x v="0"/>
    <x v="0"/>
    <x v="2"/>
  </r>
  <r>
    <n v="292"/>
    <s v="ista International GmbH"/>
    <s v="#N/A Field Not Applicable"/>
    <s v="BR0363373"/>
    <s v="BBG01252LV66"/>
    <s v="ISTAGR"/>
    <s v="DE"/>
    <s v="DE"/>
    <s v="DE"/>
    <b v="1"/>
    <n v="0"/>
    <s v="2021-09-23"/>
    <s v="2024-09-23"/>
    <s v="N/A"/>
    <s v="AT MATURITY"/>
    <s v="N"/>
    <s v="3Y"/>
    <s v="Sr Unsecured"/>
    <s v="EUR"/>
    <s v="#N/A N/A"/>
    <s v="N.S."/>
    <s v="FLOATING"/>
    <s v="S/A"/>
    <x v="64"/>
    <s v="Industrials"/>
    <s v="Electrical Equipment Manufacturing"/>
    <s v="Corporate"/>
    <s v="Industrial"/>
    <s v="Capital Goods"/>
    <s v="Diversified Manufacturing"/>
    <s v="ESG-LINKED SCHULDSCHEIN:+/- UP TO 5BPS DEPENDING ON KPIS ACHIEVED OUT OF 5. ADDITIONAL ISSUER: TRIONISTA TOPCO, TRIONISTA HOLDCO &amp; ISTA DEUTSCHLAND."/>
    <n v="5"/>
    <n v="5"/>
    <x v="0"/>
    <x v="0"/>
    <x v="0"/>
    <x v="2"/>
  </r>
  <r>
    <n v="133"/>
    <s v="Holcim US Finance Sarl &amp; Cie SCS"/>
    <s v="XS2382209125"/>
    <s v="BR1756716"/>
    <s v="BBG0129MLJ01"/>
    <s v="HOLNSW"/>
    <s v="LU"/>
    <s v="LU"/>
    <s v="CH"/>
    <b v="0"/>
    <n v="2.2400000000000002"/>
    <s v="2021-09-02"/>
    <s v="2031-10-15"/>
    <n v="2.3795000000000002"/>
    <s v="AT MATURITY"/>
    <s v="N"/>
    <s v="EMTN"/>
    <s v="Sr Unsecured"/>
    <s v="USD"/>
    <s v="BBB"/>
    <s v="N.S."/>
    <s v="FIXED"/>
    <s v="S/A"/>
    <x v="65"/>
    <s v="Materials"/>
    <s v="Construction Materials Manufacturing"/>
    <s v="Corporate"/>
    <s v="Industrial"/>
    <s v="Capital Goods"/>
    <s v="Building Materials"/>
    <s v="STEP-UP MARGIN: 1.50%, STEP-UP EVENT: DEC 2030 CO2 EMISSIONS"/>
    <n v="150"/>
    <m/>
    <x v="1"/>
    <x v="2"/>
    <x v="0"/>
    <x v="1"/>
  </r>
  <r>
    <n v="135"/>
    <s v="Holding d'Infrastructures des Metiers de l'Environnement"/>
    <s v="XS2385389551"/>
    <s v="BR3184446"/>
    <s v="BBG012F0DHN0"/>
    <s v="SAUR"/>
    <s v="FR"/>
    <s v="FR"/>
    <s v="FR"/>
    <b v="1"/>
    <n v="0.125"/>
    <s v="2021-09-16"/>
    <s v="2025-09-16"/>
    <n v="9.3899999999999997E-2"/>
    <s v="CALLABLE"/>
    <s v="Y"/>
    <s v="#N/A Field Not Applicable"/>
    <s v="Sr Unsecured"/>
    <s v="EUR"/>
    <s v="BBB-"/>
    <s v="N.S."/>
    <s v="FIXED"/>
    <s v="Annual"/>
    <x v="66"/>
    <s v="Utilities"/>
    <s v="Utilities"/>
    <s v="Corporate"/>
    <s v="Utility"/>
    <s v="Other Utility"/>
    <s v="Other Utility"/>
    <s v="STEP-UP MARGIN: 12.5 BP PER KPI, STEP-UP EVENT: WATER WITHDRAWALS, CARBON INTENSITY 3-YR ROLLING AVERAGE"/>
    <n v="25"/>
    <m/>
    <x v="1"/>
    <x v="3"/>
    <x v="1"/>
    <x v="1"/>
  </r>
  <r>
    <n v="134"/>
    <s v="Holding d'Infrastructures des Metiers de l'Environnement"/>
    <s v="XS2385390724"/>
    <s v="BR3193496"/>
    <s v="BBG012F0KZS7"/>
    <s v="SAUR"/>
    <s v="FR"/>
    <s v="FR"/>
    <s v="FR"/>
    <b v="1"/>
    <n v="0.625"/>
    <s v="2021-09-16"/>
    <s v="2028-09-16"/>
    <n v="0.65900000000000003"/>
    <s v="CALLABLE"/>
    <s v="Y"/>
    <s v="."/>
    <s v="Sr Unsecured"/>
    <s v="EUR"/>
    <s v="BBB-"/>
    <s v="N.S."/>
    <s v="FIXED"/>
    <s v="Annual"/>
    <x v="67"/>
    <s v="Utilities"/>
    <s v="Utilities"/>
    <s v="Corporate"/>
    <s v="Utility"/>
    <s v="Other Utility"/>
    <s v="Other Utility"/>
    <s v="STEP-UP MARGIN: 12.5 BP PER KPI, STEP-UP EVENT: WATER WITHDRAWALS, CARBON INTENSITY 3-YR ROLLING AVERAGE"/>
    <n v="25"/>
    <m/>
    <x v="1"/>
    <x v="3"/>
    <x v="1"/>
    <x v="1"/>
  </r>
  <r>
    <n v="242"/>
    <s v="Suzano Austria GmbH"/>
    <s v="US86964WAL63"/>
    <s v="BR3636874"/>
    <s v="BBG012FD1XF9"/>
    <s v="SUZANO"/>
    <s v="AT"/>
    <s v="AT"/>
    <s v="BR"/>
    <b v="0"/>
    <n v="2.5"/>
    <s v="2021-09-13"/>
    <s v="2028-09-15"/>
    <n v="2.6999999999999997"/>
    <s v="CALLABLE"/>
    <s v="Y"/>
    <s v="#N/A Field Not Applicable"/>
    <s v="Sr Unsecured"/>
    <s v="USD"/>
    <s v="BBB-"/>
    <s v="N.S."/>
    <s v="FIXED"/>
    <s v="S/A"/>
    <x v="12"/>
    <s v="Materials"/>
    <s v="Forest &amp; Paper Products Manufacturing"/>
    <s v="Corporate"/>
    <s v="Industrial"/>
    <s v="Basic Industry"/>
    <s v="Paper"/>
    <s v="STEP-UP MARGIN: 25BP, STEP-UP EVENT: GREENHOUSE GAS EMISSIONS"/>
    <n v="25"/>
    <m/>
    <x v="1"/>
    <x v="3"/>
    <x v="0"/>
    <x v="1"/>
  </r>
  <r>
    <n v="270"/>
    <s v="Verde Bidco SpA"/>
    <s v="XS2389120325"/>
    <s v="BR4160098"/>
    <s v="BBG012HPF995"/>
    <s v="ITLYUM"/>
    <s v="IT"/>
    <s v="IT"/>
    <s v="IT"/>
    <b v="1"/>
    <n v="4.625"/>
    <s v="2021-10-01"/>
    <s v="2026-10-01"/>
    <n v="4.625"/>
    <s v="CALLABLE"/>
    <s v="Y"/>
    <s v="144A"/>
    <s v="Secured"/>
    <s v="EUR"/>
    <s v="B"/>
    <s v="N.S."/>
    <s v="FIXED"/>
    <s v="S/A"/>
    <x v="68"/>
    <s v="Industrials"/>
    <s v="Waste &amp; Environment Services &amp; Equipment"/>
    <s v="Corporate"/>
    <s v="Industrial"/>
    <s v="Capital Goods"/>
    <s v="Environmental"/>
    <s v="N/A"/>
    <s v="n/a"/>
    <m/>
    <x v="1"/>
    <x v="1"/>
    <x v="0"/>
    <x v="1"/>
  </r>
  <r>
    <n v="269"/>
    <s v="Verde Bidco SpA"/>
    <s v="XS2389112736"/>
    <s v="BR4193255"/>
    <s v="BBG012HQDNP6"/>
    <s v="ITLYUM"/>
    <s v="IT"/>
    <s v="IT"/>
    <s v="IT"/>
    <b v="1"/>
    <n v="4.625"/>
    <s v="2021-10-01"/>
    <s v="2026-10-01"/>
    <n v="4.625"/>
    <s v="CALLABLE"/>
    <s v="Y"/>
    <s v="REGS"/>
    <s v="Secured"/>
    <s v="EUR"/>
    <s v="B"/>
    <s v="N.S."/>
    <s v="FIXED"/>
    <s v="S/A"/>
    <x v="68"/>
    <s v="Industrials"/>
    <s v="Waste &amp; Environment Services &amp; Equipment"/>
    <s v="Corporate"/>
    <s v="Industrial"/>
    <s v="Capital Goods"/>
    <s v="Environmental"/>
    <s v="STEP-UP PREMIUM: REDEMPTION 0.3% (A) + 0.3% (B) OF PRINCIPAL AMOUNT OF THE NOTES UNLESS ACHIEVED (A) CO2 AVOIDED EMISSIONS TARGET AND (B) QUANT. OF WASTE TARGET"/>
    <n v="60"/>
    <m/>
    <x v="1"/>
    <x v="2"/>
    <x v="1"/>
    <x v="1"/>
  </r>
  <r>
    <n v="151"/>
    <s v="Johnson Controls International plc / Tyco Fire &amp; Security Finance SCA"/>
    <s v="US47837RAD26"/>
    <s v="BR4231683"/>
    <s v="BBG012HR2FX4"/>
    <s v="JCI"/>
    <s v="IE"/>
    <s v="IE"/>
    <s v="US"/>
    <b v="0"/>
    <n v="2"/>
    <s v="2021-09-16"/>
    <s v="2031-09-16"/>
    <n v="2.0909999999999997"/>
    <s v="CALLABLE"/>
    <s v="Y"/>
    <s v="#N/A Field Not Applicable"/>
    <s v="Sr Unsecured"/>
    <s v="USD"/>
    <s v="BBB"/>
    <s v="N.S."/>
    <s v="FIXED"/>
    <s v="S/A"/>
    <x v="12"/>
    <s v="Industrials"/>
    <s v="Electrical Equipment Manufacturing"/>
    <s v="Corporate"/>
    <s v="Industrial"/>
    <s v="Capital Goods"/>
    <s v="Diversified Manufacturing"/>
    <s v="STEP UP MARGIN: 12.5BPS IF THE ISSUER DOES NOT SATISFY SCOPE 1 AND SCOPE 2 SPTS, ADDITIONAL 12.5BPS STEP-UP IF ISSUER DOES NOT SATISFY SCOPE 3 SPT"/>
    <n v="25"/>
    <m/>
    <x v="1"/>
    <x v="3"/>
    <x v="1"/>
    <x v="1"/>
  </r>
  <r>
    <n v="228"/>
    <s v="Rumo Luxembourg Sarl"/>
    <s v="US781467AE54"/>
    <s v="BR4709829"/>
    <s v="BBG012JJ8R40"/>
    <s v="RAILBZ"/>
    <s v="LU"/>
    <s v="LU"/>
    <s v="BR"/>
    <b v="0"/>
    <n v="4.2"/>
    <s v="2021-09-22"/>
    <s v="2032-01-18"/>
    <n v="4.25"/>
    <s v="CALLABLE"/>
    <s v="Y"/>
    <s v="144A"/>
    <s v="Sr Unsecured"/>
    <s v="USD"/>
    <s v="BB"/>
    <s v="N.S."/>
    <s v="FIXED"/>
    <s v="S/A"/>
    <x v="12"/>
    <s v="Industrials"/>
    <s v="Railroad"/>
    <s v="Corporate"/>
    <s v="Industrial"/>
    <s v="Transportation"/>
    <s v="Railroads"/>
    <s v="STEP-UP MARGIN: 25BP, STEP-UP EVENTS: DECEMBER 2026 17.6% REDUCTION OF GHG EMISSIONS."/>
    <n v="25"/>
    <m/>
    <x v="1"/>
    <x v="3"/>
    <x v="0"/>
    <x v="1"/>
  </r>
  <r>
    <n v="229"/>
    <s v="Rumo Luxembourg Sarl"/>
    <s v="USL79090AD51"/>
    <s v="BR4709845"/>
    <s v="BBG012JJ8RD0"/>
    <s v="RAILBZ"/>
    <s v="LU"/>
    <s v="LU"/>
    <s v="BR"/>
    <b v="0"/>
    <n v="4.2"/>
    <s v="2021-09-22"/>
    <s v="2032-01-18"/>
    <n v="4.25"/>
    <s v="CALLABLE"/>
    <s v="Y"/>
    <s v="REGS"/>
    <s v="Sr Unsecured"/>
    <s v="USD"/>
    <s v="BB"/>
    <s v="N.S."/>
    <s v="FIXED"/>
    <s v="S/A"/>
    <x v="12"/>
    <s v="Industrials"/>
    <s v="Railroad"/>
    <s v="Corporate"/>
    <s v="Industrial"/>
    <s v="Transportation"/>
    <s v="Railroads"/>
    <s v="STEP-UP MARGIN: 25BP, STEP-UP EVENTS: DECEMBER 2026 REDUCTION OF GHG EMISSIONS."/>
    <n v="25"/>
    <m/>
    <x v="1"/>
    <x v="3"/>
    <x v="0"/>
    <x v="1"/>
  </r>
  <r>
    <n v="117"/>
    <s v="Granges AB"/>
    <s v="SE0013360476"/>
    <s v="BR5281596"/>
    <s v="BBG012MYMBX0"/>
    <s v="GRNGSS"/>
    <s v="SE"/>
    <s v="SE"/>
    <s v="SE"/>
    <b v="1"/>
    <n v="1.266"/>
    <s v="2021-09-29"/>
    <s v="2026-09-29"/>
    <n v="1.081"/>
    <s v="AT MATURITY"/>
    <s v="N"/>
    <s v="DMTN"/>
    <s v="Sr Unsecured"/>
    <s v="SEK"/>
    <s v="#N/A N/A"/>
    <s v="N.S."/>
    <s v="FLOATING"/>
    <s v="Qtrly"/>
    <x v="69"/>
    <s v="Materials"/>
    <s v="Metals &amp; Mining"/>
    <s v="Corporate"/>
    <s v="Industrial"/>
    <s v="Basic Industry"/>
    <s v="Metals and Mining"/>
    <s v="BOND REDEEMED AT 101.20% IF SPTs NOT MET (40 BPS PER SPT). SPTs 1,2 = CARBON EMISSIONS INTENSITY, SPT 3 = SHARE OF RECYCLED ALUMINIUM"/>
    <n v="120"/>
    <m/>
    <x v="1"/>
    <x v="2"/>
    <x v="0"/>
    <x v="1"/>
  </r>
  <r>
    <n v="89"/>
    <s v="Enel Finance International NV"/>
    <s v="XS2390400633"/>
    <s v="BR5522767"/>
    <s v="BBG012NHN0K3"/>
    <s v="ENELIM"/>
    <s v="NL"/>
    <s v="NL"/>
    <s v="IT"/>
    <b v="0"/>
    <n v="0"/>
    <s v="2021-09-28"/>
    <s v="2026-05-28"/>
    <n v="6.4000000000000015E-2"/>
    <s v="CALLABLE"/>
    <s v="Y"/>
    <s v="EMTN"/>
    <s v="Sr Unsecured"/>
    <s v="EUR"/>
    <s v="BBB+"/>
    <s v="N.S."/>
    <s v="FIXED"/>
    <s v="Annual"/>
    <x v="70"/>
    <s v="Utilities"/>
    <s v="Utilities"/>
    <s v="Corporate"/>
    <s v="Utility"/>
    <s v="Electric"/>
    <s v="Electric"/>
    <s v="STEP-UP MARGIN: 25BP, STEP-UP EVENT: 12/31/23 DIRECT GHG EMISSIONS BEING ABOVE 148G/KWHEQ"/>
    <n v="25"/>
    <m/>
    <x v="1"/>
    <x v="3"/>
    <x v="0"/>
    <x v="1"/>
  </r>
  <r>
    <n v="90"/>
    <s v="Enel Finance International NV"/>
    <s v="XS2390400716"/>
    <s v="BR5522783"/>
    <s v="BBG012NHN0Q7"/>
    <s v="ENELIM"/>
    <s v="NL"/>
    <s v="NL"/>
    <s v="IT"/>
    <b v="0"/>
    <n v="0.375"/>
    <s v="2021-09-28"/>
    <s v="2029-05-28"/>
    <n v="0.38800000000000001"/>
    <s v="CALLABLE"/>
    <s v="Y"/>
    <s v="EMTN"/>
    <s v="Sr Unsecured"/>
    <s v="EUR"/>
    <s v="BBB+"/>
    <s v="N.S."/>
    <s v="FIXED"/>
    <s v="Annual"/>
    <x v="71"/>
    <s v="Utilities"/>
    <s v="Utilities"/>
    <s v="Corporate"/>
    <s v="Utility"/>
    <s v="Electric"/>
    <s v="Electric"/>
    <s v="STEP-UP MARGIN: 25BP, STEP-UP EVENT: 12/31/23 DIRECT GHG EMISSIONS BEING ABOVE 148G/KWHEQ"/>
    <n v="25"/>
    <m/>
    <x v="1"/>
    <x v="3"/>
    <x v="0"/>
    <x v="1"/>
  </r>
  <r>
    <n v="88"/>
    <s v="Enel Finance International NV"/>
    <s v="XS2390400807"/>
    <s v="BR5522809"/>
    <s v="BBG012NHN0W0"/>
    <s v="ENELIM"/>
    <s v="NL"/>
    <s v="NL"/>
    <s v="IT"/>
    <b v="0"/>
    <n v="0.875"/>
    <s v="2021-09-28"/>
    <s v="2034-09-28"/>
    <n v="0.93789999999999996"/>
    <s v="CALLABLE"/>
    <s v="Y"/>
    <s v="EMTN"/>
    <s v="Sr Unsecured"/>
    <s v="EUR"/>
    <s v="BBB+"/>
    <s v="N.S."/>
    <s v="FIXED"/>
    <s v="Annual"/>
    <x v="70"/>
    <s v="Utilities"/>
    <s v="Utilities"/>
    <s v="Corporate"/>
    <s v="Utility"/>
    <s v="Electric"/>
    <s v="Electric"/>
    <s v="STEP-UP MARGIN: 25BP, STEP-UP EVENT: 12/31/30 DIRECT GHG EMISSIONS BEING ABOVE 82G/KWHEQ"/>
    <n v="25"/>
    <m/>
    <x v="1"/>
    <x v="3"/>
    <x v="0"/>
    <x v="1"/>
  </r>
  <r>
    <n v="165"/>
    <s v="Legrand SA"/>
    <s v="FR0014005OK3"/>
    <s v="BR6431919"/>
    <s v="BBG012Q9B4H7"/>
    <s v="LRFP"/>
    <s v="FR"/>
    <s v="FR"/>
    <s v="FR"/>
    <b v="1"/>
    <n v="0.375"/>
    <s v="2021-10-06"/>
    <s v="2031-10-06"/>
    <n v="0.39500000000000002"/>
    <s v="CALLABLE"/>
    <s v="Y"/>
    <s v="#N/A Field Not Applicable"/>
    <s v="Sr Unsecured"/>
    <s v="EUR"/>
    <s v="NR"/>
    <s v="AA"/>
    <s v="FIXED"/>
    <s v="Annual"/>
    <x v="72"/>
    <s v="Industrials"/>
    <s v="Electrical Equipment Manufacturing"/>
    <s v="Corporate"/>
    <s v="Industrial"/>
    <s v="Capital Goods"/>
    <s v="Building Materials"/>
    <s v="STEP-UP MARGIN: 25BPS PER SPT; SPT1, SPT2 GHG EMISSIONS REDUCTION"/>
    <n v="50"/>
    <m/>
    <x v="1"/>
    <x v="2"/>
    <x v="1"/>
    <x v="1"/>
  </r>
  <r>
    <n v="72"/>
    <s v="Elecnor SA"/>
    <s v="ES0229743002"/>
    <s v="BR6478951"/>
    <s v="BBG012QBV2N7"/>
    <s v="ENOSM"/>
    <s v="ES"/>
    <s v="ES"/>
    <s v="ES"/>
    <b v="1"/>
    <n v="3.0249999999999999"/>
    <s v="2021-09-30"/>
    <s v="2035-09-30"/>
    <s v="N/A"/>
    <s v="AT MATURITY"/>
    <s v="N"/>
    <s v="#N/A Field Not Applicable"/>
    <s v="Sr Unsecured"/>
    <s v="EUR"/>
    <s v="#N/A N/A"/>
    <s v="N.S."/>
    <s v="FIXED"/>
    <s v="S/A"/>
    <x v="73"/>
    <s v="Industrials"/>
    <s v="Industrial Other"/>
    <s v="Corporate"/>
    <s v="Industrial"/>
    <s v="Other Industrial"/>
    <s v="Other Industrial"/>
    <s v="COUPON STEP-UP: 2.5BPS PER KPI1: GREEN HOUSE GAS EMISSION KPI2: LABOR"/>
    <n v="5"/>
    <m/>
    <x v="1"/>
    <x v="0"/>
    <x v="1"/>
    <x v="1"/>
  </r>
  <r>
    <n v="33"/>
    <s v="Biesterfeld AG"/>
    <s v="#N/A Field Not Applicable"/>
    <s v="BR6744469"/>
    <s v="BBG012QT8QL3"/>
    <s v="BIFELD"/>
    <s v="DE"/>
    <s v="DE"/>
    <s v="DE"/>
    <b v="1"/>
    <n v="0"/>
    <s v="2021-11-10"/>
    <s v="2031-11-10"/>
    <s v="N/A"/>
    <s v="AT MATURITY"/>
    <s v="N"/>
    <s v="10Y"/>
    <s v="Sr Unsecured"/>
    <s v="EUR"/>
    <s v="#N/A N/A"/>
    <s v="N.S."/>
    <s v="FIXED"/>
    <s v="Annual"/>
    <x v="74"/>
    <s v="Materials"/>
    <s v="Chemicals"/>
    <s v="Corporate"/>
    <s v="Industrial"/>
    <s v="Basic Industry"/>
    <s v="Chemicals"/>
    <s v="SUSTAINABILITY PRICING ADJUSTMENT: +/- 5BPS IF ESG SCORE &lt;=53 / &gt;=63 UP TO 2025; +/- 5BPS IF &lt;=58 / &gt;=68 FROM 2026."/>
    <n v="5"/>
    <n v="5"/>
    <x v="0"/>
    <x v="0"/>
    <x v="0"/>
    <x v="0"/>
  </r>
  <r>
    <n v="31"/>
    <s v="Biesterfeld AG"/>
    <s v="#N/A Field Not Applicable"/>
    <s v="BR6752157"/>
    <s v="BBG012QTFC18"/>
    <s v="BIFELD"/>
    <s v="DE"/>
    <s v="DE"/>
    <s v="DE"/>
    <b v="1"/>
    <n v="0"/>
    <s v="2021-11-10"/>
    <s v="2028-11-10"/>
    <s v="N/A"/>
    <s v="AT MATURITY"/>
    <s v="N"/>
    <s v="7Y"/>
    <s v="Sr Unsecured"/>
    <s v="EUR"/>
    <s v="#N/A N/A"/>
    <s v="N.S."/>
    <s v="FLOATING"/>
    <s v="S/A"/>
    <x v="74"/>
    <s v="Materials"/>
    <s v="Chemicals"/>
    <s v="Corporate"/>
    <s v="Industrial"/>
    <s v="Basic Industry"/>
    <s v="Chemicals"/>
    <s v="SUSTAINABILITY PRICING ADJUSTMENT: +/- 5BPS IF ESG SCORE &lt;=53 / &gt;=63 UP TO 2025; +/- 5BPS IF &lt;=58 / &gt;=68 FROM 2026."/>
    <n v="5"/>
    <n v="5"/>
    <x v="0"/>
    <x v="0"/>
    <x v="0"/>
    <x v="0"/>
  </r>
  <r>
    <n v="32"/>
    <s v="Biesterfeld AG"/>
    <s v="#N/A Field Not Applicable"/>
    <s v="BR6756869"/>
    <s v="BBG012QTJF26"/>
    <s v="BIFELD"/>
    <s v="DE"/>
    <s v="DE"/>
    <s v="DE"/>
    <b v="1"/>
    <n v="0"/>
    <s v="2021-11-10"/>
    <s v="2026-11-10"/>
    <s v="N/A"/>
    <s v="AT MATURITY"/>
    <s v="N"/>
    <s v="5Y"/>
    <s v="Sr Unsecured"/>
    <s v="EUR"/>
    <s v="#N/A N/A"/>
    <s v="N.S."/>
    <s v="FLOATING"/>
    <s v="S/A"/>
    <x v="74"/>
    <s v="Materials"/>
    <s v="Chemicals"/>
    <s v="Corporate"/>
    <s v="Industrial"/>
    <s v="Basic Industry"/>
    <s v="Chemicals"/>
    <s v="SUSTAINABILITY PRICING ADJUSTMENT: +/- 5BPS IF ESG SCORE &lt;=53 / &gt;=63 UP TO 2025; +/- 5BPS IF &lt;=58 / &gt;=68 FROM 2026."/>
    <n v="5"/>
    <n v="5"/>
    <x v="0"/>
    <x v="0"/>
    <x v="0"/>
    <x v="0"/>
  </r>
  <r>
    <n v="185"/>
    <s v="Nederlandse Gasunie NV"/>
    <s v="XS2393539593"/>
    <s v="BR7204091"/>
    <s v="BBG012RXZWC0"/>
    <s v="NEGANV"/>
    <s v="NL"/>
    <s v="NL"/>
    <s v="NL"/>
    <b v="1"/>
    <n v="0.75"/>
    <s v="2021-10-13"/>
    <s v="2036-10-13"/>
    <n v="0.76300000000000001"/>
    <s v="CALLABLE"/>
    <s v="Y"/>
    <s v="EMTN"/>
    <s v="Sr Unsecured"/>
    <s v="EUR"/>
    <s v="NR"/>
    <s v="N.S."/>
    <s v="FIXED"/>
    <s v="Annual"/>
    <x v="75"/>
    <s v="Utilities"/>
    <s v="Utilities"/>
    <s v="Government-Related"/>
    <s v="Agency"/>
    <s v="Government Owned, No Guarantee"/>
    <s v="Government Owned, No Guarantee"/>
    <s v="STEP-UP MARGIN: 10BPS PER KPI. STEP-UP EVENTS: REDUCTION OF METHANE EMISSIONS, GREENHOUSE GAS EMISSIONS"/>
    <n v="20"/>
    <m/>
    <x v="1"/>
    <x v="0"/>
    <x v="1"/>
    <x v="1"/>
  </r>
  <r>
    <n v="48"/>
    <s v="Cullinan Holdco Scsp"/>
    <s v="XS2397355095"/>
    <s v="BR7695454"/>
    <s v="BBG012T90WR3"/>
    <s v="GRAANU"/>
    <s v="LU"/>
    <s v="LU"/>
    <s v="LU"/>
    <b v="1"/>
    <n v="4.625"/>
    <s v="2021-10-12"/>
    <s v="2026-10-15"/>
    <n v="4.6976000000000004"/>
    <s v="CALLABLE"/>
    <s v="Y"/>
    <s v="144A"/>
    <s v="Secured"/>
    <s v="EUR"/>
    <s v="BB-"/>
    <s v="N.S."/>
    <s v="FIXED"/>
    <s v="S/A"/>
    <x v="76"/>
    <s v="Energy"/>
    <s v="Renewable Energy"/>
    <s v="Corporate"/>
    <s v="Industrial"/>
    <s v="Energy"/>
    <s v="Refining"/>
    <s v="STEP-UP MARGIN: 75BPS, STEP-UP EVENT: FAILURE TO TO REDUCE GRAMS OF CO2 EQUIVALENTS PER MEGAJOULE OF ENERGY CONTAINED IN PELLETS (GCO2-EQ/MJ) BY 5% BY DEC-2024"/>
    <n v="75"/>
    <m/>
    <x v="1"/>
    <x v="2"/>
    <x v="0"/>
    <x v="1"/>
  </r>
  <r>
    <n v="49"/>
    <s v="Cullinan Holdco Scsp"/>
    <s v="XS2397354288"/>
    <s v="BR7695462"/>
    <s v="BBG012T90X73"/>
    <s v="GRAANU"/>
    <s v="LU"/>
    <s v="LU"/>
    <s v="LU"/>
    <b v="1"/>
    <n v="4.75"/>
    <s v="2021-10-12"/>
    <s v="2026-10-15"/>
    <n v="4.7389999999999999"/>
    <s v="CALLABLE"/>
    <s v="Y"/>
    <s v="144A"/>
    <s v="Secured"/>
    <s v="EUR"/>
    <s v="BB-"/>
    <s v="N.S."/>
    <s v="FLOATING"/>
    <s v="Qtrly"/>
    <x v="77"/>
    <s v="Energy"/>
    <s v="Renewable Energy"/>
    <s v="Corporate"/>
    <s v="Industrial"/>
    <s v="Energy"/>
    <s v="Refining"/>
    <s v="STEP-UP MARGIN: 75BPS, STEP-UP EVENT: FAILURE TO TO REDUCE GRAMS OF CO2 EQUIVALENTS PER MEGAJOULE OF ENERGY CONTAINED IN PELLETS (GCO2-EQ/MJ) BY 5% BY DEC-2024"/>
    <n v="75"/>
    <m/>
    <x v="1"/>
    <x v="2"/>
    <x v="0"/>
    <x v="1"/>
  </r>
  <r>
    <n v="51"/>
    <s v="Cullinan Holdco Scsp"/>
    <s v="XS2397354528"/>
    <s v="BR7695512"/>
    <s v="BBG012T91029"/>
    <s v="GRAANU"/>
    <s v="LU"/>
    <s v="LU"/>
    <s v="LU"/>
    <b v="1"/>
    <n v="4.625"/>
    <s v="2021-10-12"/>
    <s v="2026-10-15"/>
    <n v="4.6477000000000004"/>
    <s v="CALLABLE"/>
    <s v="Y"/>
    <s v="REGS"/>
    <s v="Secured"/>
    <s v="EUR"/>
    <s v="BB-"/>
    <s v="N.S."/>
    <s v="FIXED"/>
    <s v="S/A"/>
    <x v="76"/>
    <s v="Energy"/>
    <s v="Renewable Energy"/>
    <s v="Corporate"/>
    <s v="Industrial"/>
    <s v="Energy"/>
    <s v="Refining"/>
    <s v="STEP-UP MARGIN: 75BPS, STEP-UP EVENT: FAILURE TO TO REDUCE GRAMS OF CO2 EQUIVALENTS PER MEGAJOULE OF ENERGY CONTAINED IN PELLETS (GCO2-EQ/MJ) BY 5% BY DEC-2024"/>
    <n v="75"/>
    <m/>
    <x v="1"/>
    <x v="2"/>
    <x v="0"/>
    <x v="1"/>
  </r>
  <r>
    <n v="50"/>
    <s v="Cullinan Holdco Scsp"/>
    <s v="XS2397354015"/>
    <s v="BR7695538"/>
    <s v="BBG012T910Q3"/>
    <s v="GRAANU"/>
    <s v="LU"/>
    <s v="LU"/>
    <s v="LU"/>
    <b v="1"/>
    <n v="4.75"/>
    <s v="2021-10-12"/>
    <s v="2026-10-15"/>
    <n v="4.8159000000000001"/>
    <s v="CALLABLE"/>
    <s v="Y"/>
    <s v="REGS"/>
    <s v="Secured"/>
    <s v="EUR"/>
    <s v="BB-"/>
    <s v="N.S."/>
    <s v="FLOATING"/>
    <s v="Qtrly"/>
    <x v="77"/>
    <s v="Energy"/>
    <s v="Renewable Energy"/>
    <s v="Corporate"/>
    <s v="Industrial"/>
    <s v="Energy"/>
    <s v="Refining"/>
    <s v="STEP-UP MARGIN: 75BPS, STEP-UP EVENT: FAILURE TO TO REDUCE GRAMS OF CO2 EQUIVALENTS PER MEGAJOULE OF ENERGY CONTAINED IN PELLETS (GCO2-EQ/MJ) BY 5% BY DEC-2024"/>
    <n v="75"/>
    <m/>
    <x v="1"/>
    <x v="2"/>
    <x v="0"/>
    <x v="1"/>
  </r>
  <r>
    <n v="174"/>
    <s v="Louis Dreyfus Co BV"/>
    <s v="XS2395419844"/>
    <s v="BR8722620"/>
    <s v="BBG012WWV5T1"/>
    <s v="LOUDRE"/>
    <s v="NL"/>
    <s v="NL"/>
    <s v="NL"/>
    <b v="1"/>
    <n v="0.89"/>
    <s v="2021-10-13"/>
    <s v="2026-10-13"/>
    <n v="0.85840000000000005"/>
    <s v="AT MATURITY"/>
    <s v="N"/>
    <s v="#N/A Field Not Applicable"/>
    <s v="Sr Unsecured"/>
    <s v="JPY"/>
    <s v="#N/A N/A"/>
    <s v="N.S."/>
    <s v="FIXED"/>
    <s v="S/A"/>
    <x v="78"/>
    <s v="Consumer Staples"/>
    <s v="Retail - Consumer Staples"/>
    <s v="Corporate"/>
    <s v="Industrial"/>
    <s v="Consumer Cyclical"/>
    <s v="Retailers"/>
    <s v="STEP-UP/STEP-DOWN MARGIN: 1BP PER KPI; KPIs: GHG EMISSIONS, ELECTRICITY CONSUMPTION, WATER CONSUMPTION, SOLID WASTE REDUCTION"/>
    <n v="4"/>
    <n v="4"/>
    <x v="0"/>
    <x v="0"/>
    <x v="1"/>
    <x v="1"/>
  </r>
  <r>
    <n v="126"/>
    <s v="Hera SpA"/>
    <s v="XS2399933386"/>
    <s v="BR8975129"/>
    <s v="BBG012XGD551"/>
    <s v="HERIM"/>
    <s v="IT"/>
    <s v="IT"/>
    <s v="IT"/>
    <b v="1"/>
    <n v="1"/>
    <s v="2021-10-25"/>
    <s v="2034-04-25"/>
    <n v="1.077"/>
    <s v="CALLABLE"/>
    <s v="Y"/>
    <s v="EMTN"/>
    <s v="Sr Unsecured"/>
    <s v="EUR"/>
    <s v="BBB"/>
    <s v="N.S."/>
    <s v="FIXED"/>
    <s v="Annual"/>
    <x v="79"/>
    <s v="Utilities"/>
    <s v="Utilities"/>
    <s v="Government-Related"/>
    <s v="Agency"/>
    <s v="Government Sponsored"/>
    <s v="Government Sponsored"/>
    <s v="STEP-UP MARGIN: 20, 15BPS. STEP-UP DEVENTS: REDUCTION GREENHOUSE GAS EMISSIONS, INCREASE IN PLASTIC RECYCLING"/>
    <n v="35"/>
    <m/>
    <x v="1"/>
    <x v="2"/>
    <x v="1"/>
    <x v="1"/>
  </r>
  <r>
    <n v="189"/>
    <s v="OVS SpA"/>
    <s v="XS2393520734"/>
    <s v="BS0195161"/>
    <s v="BBG0132T5YC3"/>
    <s v="GCNIM"/>
    <s v="IT"/>
    <s v="IT"/>
    <s v="IT"/>
    <b v="1"/>
    <n v="2.25"/>
    <s v="2021-11-10"/>
    <s v="2027-11-10"/>
    <n v="2.2768999999999999"/>
    <s v="CALLABLE"/>
    <s v="Y"/>
    <s v="EMTN"/>
    <s v="Sr Unsecured"/>
    <s v="EUR"/>
    <s v="n/a"/>
    <s v="N.S."/>
    <s v="FIXED"/>
    <s v="Annual"/>
    <x v="80"/>
    <s v="Consumer Discretionary"/>
    <s v="Retail - Consumer Discretionary"/>
    <s v="Corporate"/>
    <s v="Industrial"/>
    <s v="Consumer Cyclical"/>
    <s v="Retailers"/>
    <s v="SUSTAINABILITY PRICING ADJUSTMENT: MARGIN STEP-UP UP TO 25BPS IF KPI ARE NOT MET.  SCOPE 1, 2 AND 3 GHG EMISSIONS."/>
    <n v="25"/>
    <m/>
    <x v="1"/>
    <x v="3"/>
    <x v="0"/>
    <x v="1"/>
  </r>
  <r>
    <n v="217"/>
    <s v="Renolit SE"/>
    <s v="#N/A Field Not Applicable"/>
    <s v="BS0343308"/>
    <s v="BBG013347KZ0"/>
    <s v="RENODE"/>
    <s v="DE"/>
    <s v="DE"/>
    <s v="DE"/>
    <b v="1"/>
    <n v="0"/>
    <s v="2021-12-13"/>
    <s v="2028-12-13"/>
    <s v="N/A"/>
    <s v="AT MATURITY"/>
    <s v="N"/>
    <s v="7Y"/>
    <s v="Sr Unsecured"/>
    <s v="EUR"/>
    <s v="#N/A N/A"/>
    <s v="N.S."/>
    <s v="FLOATING"/>
    <s v="S/A"/>
    <x v="81"/>
    <s v="Materials"/>
    <s v="Chemicals"/>
    <s v="Corporate"/>
    <s v="Industrial"/>
    <s v="Basic Industry"/>
    <s v="Chemicals"/>
    <s v="ESG-LINKED SCHULDSCHEIN. SUSTAINABILITY PRICING ADJUSTMENT: +/- 2BPS PER KPI. KPIS: ENERGY EFFICIENCY; RECYCLING; DIVERSITY."/>
    <n v="4"/>
    <n v="4"/>
    <x v="0"/>
    <x v="0"/>
    <x v="1"/>
    <x v="3"/>
  </r>
  <r>
    <n v="219"/>
    <s v="Renolit SE"/>
    <s v="#N/A Field Not Applicable"/>
    <s v="BS0344702"/>
    <s v="BBG01334G0G5"/>
    <s v="RENODE"/>
    <s v="DE"/>
    <s v="DE"/>
    <s v="DE"/>
    <b v="1"/>
    <n v="0"/>
    <s v="2021-12-13"/>
    <s v="2024-12-13"/>
    <s v="N/A"/>
    <s v="AT MATURITY"/>
    <s v="N"/>
    <s v="3Y"/>
    <s v="Sr Unsecured"/>
    <s v="EUR"/>
    <s v="#N/A N/A"/>
    <s v="N.S."/>
    <s v="FLOATING"/>
    <s v="S/A"/>
    <x v="81"/>
    <s v="Materials"/>
    <s v="Chemicals"/>
    <s v="Corporate"/>
    <s v="Industrial"/>
    <s v="Basic Industry"/>
    <s v="Chemicals"/>
    <s v="ESG-LINKED SCHULDSCHEIN. SUSTAINABILITY PRICING ADJUSTMENT: +/- 2BPS PER KPI. KPIS: ENERGY EFFICIENCY; RECYCLING; DIVERSITY."/>
    <n v="4"/>
    <n v="4"/>
    <x v="0"/>
    <x v="0"/>
    <x v="1"/>
    <x v="3"/>
  </r>
  <r>
    <n v="220"/>
    <s v="Renolit SE"/>
    <s v="#N/A Field Not Applicable"/>
    <s v="BS0345642"/>
    <s v="BBG01334KXV1"/>
    <s v="RENODE"/>
    <s v="DE"/>
    <s v="DE"/>
    <s v="DE"/>
    <b v="1"/>
    <n v="0"/>
    <s v="2021-12-13"/>
    <s v="2026-12-13"/>
    <s v="N/A"/>
    <s v="AT MATURITY"/>
    <s v="N"/>
    <s v="5Y"/>
    <s v="Sr Unsecured"/>
    <s v="EUR"/>
    <s v="#N/A N/A"/>
    <s v="N.S."/>
    <s v="FLOATING"/>
    <s v="S/A"/>
    <x v="81"/>
    <s v="Materials"/>
    <s v="Chemicals"/>
    <s v="Corporate"/>
    <s v="Industrial"/>
    <s v="Basic Industry"/>
    <s v="Chemicals"/>
    <s v="ESG-LINKED SCHULDSCHEIN. SUSTAINABILITY PRICING ADJUSTMENT: +/- 2BPS PER KPI. KPIS: ENERGY EFFICIENCY; RECYCLING; DIVERSITY."/>
    <n v="4"/>
    <n v="4"/>
    <x v="0"/>
    <x v="0"/>
    <x v="1"/>
    <x v="3"/>
  </r>
  <r>
    <n v="237"/>
    <s v="Seche Environnement SA"/>
    <s v="XS2399981435"/>
    <s v="BS1023271"/>
    <s v="BBG0135GHFL6"/>
    <s v="SCHPFP"/>
    <s v="FR"/>
    <s v="FR"/>
    <s v="FR"/>
    <b v="1"/>
    <n v="2.25"/>
    <s v="2021-11-04"/>
    <s v="2028-11-15"/>
    <n v="2.1871999999999998"/>
    <s v="CALLABLE"/>
    <s v="Y"/>
    <s v="#N/A Field Not Applicable"/>
    <s v="Sr Unsecured"/>
    <s v="EUR"/>
    <s v="BB"/>
    <s v="N.S."/>
    <s v="FIXED"/>
    <s v="S/A"/>
    <x v="82"/>
    <s v="Industrials"/>
    <s v="Waste &amp; Environment Services &amp; Equipment"/>
    <s v="Corporate"/>
    <s v="Industrial"/>
    <s v="Capital Goods"/>
    <s v="Environmental"/>
    <s v="SUSTBLTY PRFM TGTS: REDUCE GHG EMIS BY 10% BY 2025 WITH 2020 BASE YEAR; GHG EMISSIONS BY 40% BY 2025. ZERO SPT MET: +25 BPS / ONE SPT MET: +12.5 BPS"/>
    <n v="25"/>
    <m/>
    <x v="1"/>
    <x v="3"/>
    <x v="1"/>
    <x v="1"/>
  </r>
  <r>
    <n v="118"/>
    <s v="Greenfood AB"/>
    <s v="SE0017072457"/>
    <s v="BS1439477"/>
    <s v="BBG013686HY7"/>
    <s v="GREFOD"/>
    <s v="SE"/>
    <s v="SE"/>
    <s v="SE"/>
    <b v="1"/>
    <n v="7"/>
    <s v="2021-11-04"/>
    <s v="2025-11-04"/>
    <n v="6.8083999999999998"/>
    <s v="CALLABLE"/>
    <s v="Y"/>
    <s v="#N/A Field Not Applicable"/>
    <s v="Secured"/>
    <s v="SEK"/>
    <s v="#N/A N/A"/>
    <s v="N.S."/>
    <s v="FLOATING"/>
    <s v="Qtrly"/>
    <x v="83"/>
    <s v="Consumer Staples"/>
    <s v="Food &amp; Beverage"/>
    <s v="Corporate"/>
    <s v="Industrial"/>
    <s v="Consumer Non-Cyclical"/>
    <s v="Food and Beverage"/>
    <s v="N/A"/>
    <s v="n/a"/>
    <m/>
    <x v="1"/>
    <x v="1"/>
    <x v="0"/>
    <x v="1"/>
  </r>
  <r>
    <n v="207"/>
    <s v="RHI Magnesita GmbH"/>
    <s v="#N/A Field Not Applicable"/>
    <s v="BS1742383"/>
    <s v="BBG0136SDTT5"/>
    <s v="RHIMLN"/>
    <s v="AT"/>
    <s v="AT"/>
    <s v="US"/>
    <b v="0"/>
    <n v="0.56299999999999983"/>
    <s v="2021-12-07"/>
    <s v="2031-12-07"/>
    <s v="N/A"/>
    <s v="AT MATURITY"/>
    <s v="N"/>
    <s v="10Y"/>
    <s v="Sr Unsecured"/>
    <s v="EUR"/>
    <s v="#N/A N/A"/>
    <s v="N.S."/>
    <s v="FLOATING"/>
    <s v="S/A"/>
    <x v="84"/>
    <s v="Industrials"/>
    <s v="Machinery Manufacturing"/>
    <s v="Corporate"/>
    <s v="Industrial"/>
    <s v="Capital Goods"/>
    <s v="Diversified Manufacturing"/>
    <s v="SUSTAINABILITY PRICING ADJUSTMENT:-3BPS IF ESG SCORE +4 POINTS; +3BPS IF ESG SCORE -6 POINTS."/>
    <n v="3"/>
    <n v="3"/>
    <x v="0"/>
    <x v="0"/>
    <x v="0"/>
    <x v="0"/>
  </r>
  <r>
    <n v="208"/>
    <s v="RHI Magnesita GmbH"/>
    <s v="#N/A Field Not Applicable"/>
    <s v="BS1742524"/>
    <s v="BBG0136SGRY0"/>
    <s v="RHIMLN"/>
    <s v="AT"/>
    <s v="AT"/>
    <s v="US"/>
    <b v="0"/>
    <n v="0.36299999999999999"/>
    <s v="2021-12-07"/>
    <s v="2029-12-07"/>
    <s v="N/A"/>
    <s v="AT MATURITY"/>
    <s v="N"/>
    <s v="8Y"/>
    <s v="Sr Unsecured"/>
    <s v="EUR"/>
    <s v="#N/A N/A"/>
    <s v="N.S."/>
    <s v="FLOATING"/>
    <s v="S/A"/>
    <x v="84"/>
    <s v="Industrials"/>
    <s v="Machinery Manufacturing"/>
    <s v="Corporate"/>
    <s v="Industrial"/>
    <s v="Capital Goods"/>
    <s v="Diversified Manufacturing"/>
    <s v="SUSTAINABILITY PRICING ADJUSTMENT:-3BPS IF ESG SCORE +4 POINTS; +3BPS IF ESG SCORE -6 POINTS."/>
    <n v="3"/>
    <n v="3"/>
    <x v="0"/>
    <x v="0"/>
    <x v="0"/>
    <x v="0"/>
  </r>
  <r>
    <n v="209"/>
    <s v="RHI Magnesita GmbH"/>
    <s v="#N/A Field Not Applicable"/>
    <s v="BS1742532"/>
    <s v="BBG0136SGSG8"/>
    <s v="RHIMLN"/>
    <s v="AT"/>
    <s v="AT"/>
    <s v="US"/>
    <b v="0"/>
    <n v="0.313"/>
    <s v="2021-12-07"/>
    <s v="2028-12-07"/>
    <s v="N/A"/>
    <s v="AT MATURITY"/>
    <s v="N"/>
    <s v="7Y"/>
    <s v="Sr Unsecured"/>
    <s v="EUR"/>
    <s v="#N/A N/A"/>
    <s v="N.S."/>
    <s v="FLOATING"/>
    <s v="S/A"/>
    <x v="84"/>
    <s v="Industrials"/>
    <s v="Machinery Manufacturing"/>
    <s v="Corporate"/>
    <s v="Industrial"/>
    <s v="Capital Goods"/>
    <s v="Diversified Manufacturing"/>
    <s v="SUSTAINABILITY PRICING ADJUSTMENT:-3BPS IF ESG SCORE +4 POINTS; +3BPS IF ESG SCORE -6 POINTS."/>
    <n v="3"/>
    <n v="3"/>
    <x v="0"/>
    <x v="0"/>
    <x v="0"/>
    <x v="0"/>
  </r>
  <r>
    <n v="210"/>
    <s v="RHI Magnesita GmbH"/>
    <s v="#N/A Field Not Applicable"/>
    <s v="BS1742540"/>
    <s v="BBG0136SGTV9"/>
    <s v="RHIMLN"/>
    <s v="AT"/>
    <s v="AT"/>
    <s v="US"/>
    <b v="0"/>
    <n v="0.75"/>
    <s v="2021-12-07"/>
    <s v="2026-06-07"/>
    <n v="3.9800000000000002E-2"/>
    <s v="AT MATURITY"/>
    <s v="N"/>
    <s v="5.5Y"/>
    <s v="Sr Unsecured"/>
    <s v="EUR"/>
    <s v="#N/A N/A"/>
    <s v="N.S."/>
    <s v="FIXED"/>
    <s v="Annual"/>
    <x v="84"/>
    <s v="Industrials"/>
    <s v="Machinery Manufacturing"/>
    <s v="Corporate"/>
    <s v="Industrial"/>
    <s v="Capital Goods"/>
    <s v="Diversified Manufacturing"/>
    <s v="SUSTAINABILITY PRICING ADJUSTMENT:-3BPS IF ESG SCORE +4 POINTS; +3BPS IF ESG SCORE -6 POINTS."/>
    <n v="3"/>
    <n v="3"/>
    <x v="0"/>
    <x v="0"/>
    <x v="0"/>
    <x v="0"/>
  </r>
  <r>
    <n v="246"/>
    <s v="Teva Pharmaceutical Finance Netherlands II BV"/>
    <s v="XS2406607098"/>
    <s v="BS1759346"/>
    <s v="BBG0136TNNQ8"/>
    <s v="TEVA"/>
    <s v="NL"/>
    <s v="NL"/>
    <s v="IL"/>
    <b v="0"/>
    <n v="3.75"/>
    <s v="2021-11-09"/>
    <s v="2027-05-09"/>
    <n v="3.75"/>
    <s v="CALLABLE"/>
    <s v="Y"/>
    <s v="#N/A Field Not Applicable"/>
    <s v="Sr Unsecured"/>
    <s v="EUR"/>
    <s v="BB-"/>
    <s v="N.S."/>
    <s v="FIXED"/>
    <s v="S/A"/>
    <x v="85"/>
    <s v="Health Care"/>
    <s v="Pharmaceuticals"/>
    <s v="Corporate"/>
    <s v="Industrial"/>
    <s v="Consumer Non-Cyclical"/>
    <s v="Pharmaceuticals"/>
    <s v="CPN STEP-UP 0.125% IF SUSTAINABILITY PERF TARGET NOT ACHIEVED BY 12/31/2025"/>
    <n v="12.5"/>
    <m/>
    <x v="1"/>
    <x v="0"/>
    <x v="0"/>
    <x v="3"/>
  </r>
  <r>
    <n v="247"/>
    <s v="Teva Pharmaceutical Finance Netherlands II BV"/>
    <s v="XS2406607171"/>
    <s v="BS1759429"/>
    <s v="BBG0136TNQ18"/>
    <s v="TEVA"/>
    <s v="NL"/>
    <s v="NL"/>
    <s v="IL"/>
    <b v="0"/>
    <n v="4.375"/>
    <s v="2021-11-09"/>
    <s v="2030-05-09"/>
    <n v="4.375"/>
    <s v="CALLABLE"/>
    <s v="Y"/>
    <s v="#N/A Field Not Applicable"/>
    <s v="Sr Unsecured"/>
    <s v="EUR"/>
    <s v="BB-"/>
    <s v="N.S."/>
    <s v="FIXED"/>
    <s v="S/A"/>
    <x v="86"/>
    <s v="Health Care"/>
    <s v="Pharmaceuticals"/>
    <s v="Corporate"/>
    <s v="Industrial"/>
    <s v="Consumer Non-Cyclical"/>
    <s v="Pharmaceuticals"/>
    <s v="STEP-UP MARGIN: 15 BPS. STEP-UP DEVENTS: REGULATORY SUBMISSIONS TARGET, PRODUCT VOLUME TARGET, REDUCTION GREENHOUSE GAS EMISSIONS"/>
    <n v="15"/>
    <m/>
    <x v="1"/>
    <x v="0"/>
    <x v="0"/>
    <x v="3"/>
  </r>
  <r>
    <n v="248"/>
    <s v="Teva Pharmaceutical Finance Netherlands III BV"/>
    <s v="US88167AAQ40"/>
    <s v="BS1759452"/>
    <s v="BBG0136TNRY0"/>
    <s v="TEVA"/>
    <s v="NL"/>
    <s v="NL"/>
    <s v="IL"/>
    <b v="0"/>
    <n v="5.125"/>
    <s v="2021-11-09"/>
    <s v="2029-05-09"/>
    <n v="5.125"/>
    <s v="CALLABLE"/>
    <s v="Y"/>
    <s v="#N/A Field Not Applicable"/>
    <s v="Sr Unsecured"/>
    <s v="USD"/>
    <s v="BB-"/>
    <s v="N.S."/>
    <s v="FIXED"/>
    <s v="S/A"/>
    <x v="48"/>
    <s v="Health Care"/>
    <s v="Pharmaceuticals"/>
    <s v="Corporate"/>
    <s v="Industrial"/>
    <s v="Consumer Non-Cyclical"/>
    <s v="Pharmaceuticals"/>
    <s v="SUSTAINABILITY-LINKED-STEP-UP 12.5 bps IF 2025 REGULATORY SUBMISSIONS TARGET NOT MET AND ANOTHER 12.5 BPS IF PRODUCT VOLUME TARGET AS OF TESTING DATE NOT MET."/>
    <n v="25"/>
    <m/>
    <x v="1"/>
    <x v="3"/>
    <x v="1"/>
    <x v="3"/>
  </r>
  <r>
    <n v="249"/>
    <s v="Teva Pharmaceutical Finance Netherlands III BV"/>
    <s v="US88167AAP66"/>
    <s v="BS1775391"/>
    <s v="BBG0136VL8H8"/>
    <s v="TEVA"/>
    <s v="NL"/>
    <s v="NL"/>
    <s v="IL"/>
    <b v="0"/>
    <n v="4.75"/>
    <s v="2021-11-09"/>
    <s v="2027-05-09"/>
    <n v="4.75"/>
    <s v="CALLABLE"/>
    <s v="Y"/>
    <s v="#N/A Field Not Applicable"/>
    <s v="Sr Unsecured"/>
    <s v="USD"/>
    <s v="BB-"/>
    <s v="N.S."/>
    <s v="FIXED"/>
    <s v="S/A"/>
    <x v="48"/>
    <s v="Health Care"/>
    <s v="Pharmaceuticals"/>
    <s v="Corporate"/>
    <s v="Industrial"/>
    <s v="Consumer Non-Cyclical"/>
    <s v="Pharmaceuticals"/>
    <s v="targets that include improving access to medicines in low- and middle-income countries (LMICs) and reducing greenhouse gas (GHG) emissions."/>
    <n v="45"/>
    <m/>
    <x v="1"/>
    <x v="2"/>
    <x v="1"/>
    <x v="3"/>
  </r>
  <r>
    <n v="17"/>
    <s v="Atos SE"/>
    <s v="FR0014006G24"/>
    <s v="BS1954855"/>
    <s v="BBG0137X2DH3"/>
    <s v="ATOFP"/>
    <s v="FR"/>
    <s v="FR"/>
    <s v="FR"/>
    <b v="1"/>
    <n v="1"/>
    <s v="2021-11-12"/>
    <s v="2029-11-12"/>
    <n v="1.109"/>
    <s v="CALLABLE"/>
    <s v="Y"/>
    <s v="#N/A Field Not Applicable"/>
    <s v="Sr Unsecured"/>
    <s v="EUR"/>
    <s v="NR"/>
    <s v="N.S."/>
    <s v="FIXED"/>
    <s v="Annual"/>
    <x v="87"/>
    <s v="Technology"/>
    <s v="Software &amp; Services"/>
    <s v="Corporate"/>
    <s v="Industrial"/>
    <s v="Technology"/>
    <s v="Technology"/>
    <s v="STEP-UP MARGIN: 0.175%. STEP UP DEPEND ON THE ACHIEVEMENT BY ATOS SE OF THE SUSTAINABILITY PERFORMANCE TARGET (SPT) BASED ON THE ATOS SE KPI ON 12/31/25."/>
    <n v="17.5"/>
    <m/>
    <x v="1"/>
    <x v="0"/>
    <x v="0"/>
    <x v="1"/>
  </r>
  <r>
    <n v="110"/>
    <s v="Faurecia SE"/>
    <s v="#N/A Field Not Applicable"/>
    <s v="BS2203120"/>
    <s v="BBG0138Z47N1"/>
    <s v="EOFP"/>
    <s v="FR"/>
    <s v="FR"/>
    <s v="FR"/>
    <b v="1"/>
    <n v="0"/>
    <s v="2021-12-22"/>
    <s v="2024-07-12"/>
    <s v="N/A"/>
    <s v="AT MATURITY"/>
    <s v="N"/>
    <s v="2.5Y"/>
    <s v="Sr Unsecured"/>
    <s v="EUR"/>
    <s v="#N/A N/A"/>
    <s v="BB"/>
    <s v="FLOATING"/>
    <s v="S/A"/>
    <x v="88"/>
    <s v="Consumer Discretionary"/>
    <s v="Auto Parts Manufacturing"/>
    <s v="Corporate"/>
    <s v="Industrial"/>
    <s v="Consumer Cyclical"/>
    <s v="Automotive"/>
    <s v="MULTICURRENCY DEAL EQUIV TO EUR 700MM. SETTLE DATES: 12/22/21 AND 1/12/22. ADJ +10BPS. GHG EMISSIONS INTENSITY -20% IN 2023 ABSOLUTE GHG EMISSION 80% IN 2025."/>
    <n v="10"/>
    <m/>
    <x v="1"/>
    <x v="0"/>
    <x v="0"/>
    <x v="1"/>
  </r>
  <r>
    <n v="106"/>
    <s v="Faurecia SE"/>
    <s v="#N/A Field Not Applicable"/>
    <s v="BS2205612"/>
    <s v="BBG0138ZCGC4"/>
    <s v="EOFP"/>
    <s v="FR"/>
    <s v="FR"/>
    <s v="FR"/>
    <b v="1"/>
    <n v="0"/>
    <s v="2021-12-22"/>
    <s v="2026-01-12"/>
    <s v="N/A"/>
    <s v="AT MATURITY"/>
    <s v="N"/>
    <s v="4YFL"/>
    <s v="Sr Unsecured"/>
    <s v="EUR"/>
    <s v="#N/A N/A"/>
    <s v="BB"/>
    <s v="FLOATING"/>
    <s v="S/A"/>
    <x v="88"/>
    <s v="Consumer Discretionary"/>
    <s v="Auto Parts Manufacturing"/>
    <s v="Corporate"/>
    <s v="Industrial"/>
    <s v="Consumer Cyclical"/>
    <s v="Automotive"/>
    <s v="MULTICURRENCY DEAL EQUIV TO EUR 700MM. SETTLE DATES: 12/22/21 AND 1/12/22. ADJ +10BPS. GHG EMISSIONS INTENSITY -20% IN 2023 ABSOLUTE GHG EMISSION 80% IN 2025."/>
    <n v="10"/>
    <m/>
    <x v="1"/>
    <x v="0"/>
    <x v="0"/>
    <x v="1"/>
  </r>
  <r>
    <n v="105"/>
    <s v="Faurecia SE"/>
    <s v="#N/A Field Not Applicable"/>
    <s v="BS2206420"/>
    <s v="BBG0138ZHWX1"/>
    <s v="EOFP"/>
    <s v="FR"/>
    <s v="FR"/>
    <s v="FR"/>
    <b v="1"/>
    <n v="0"/>
    <s v="2021-12-22"/>
    <s v="2027-01-12"/>
    <s v="N/A"/>
    <s v="AT MATURITY"/>
    <s v="N"/>
    <s v="5Y"/>
    <s v="Sr Unsecured"/>
    <s v="USD"/>
    <s v="#N/A N/A"/>
    <s v="BB"/>
    <s v="FLOATING"/>
    <s v="Qtrly"/>
    <x v="89"/>
    <s v="Consumer Discretionary"/>
    <s v="Auto Parts Manufacturing"/>
    <s v="Corporate"/>
    <s v="Industrial"/>
    <s v="Consumer Cyclical"/>
    <s v="Automotive"/>
    <s v="MULTICURRENCY DEAL EQUIV TO EUR 700MM. USD SPLIT: $33.5MM. ADJ +10BPS. GHG EMISSIONS INTENSITY -20% IN 2023 ABSOLUTE GHG EMISSION 80% IN 2025."/>
    <n v="10"/>
    <m/>
    <x v="1"/>
    <x v="0"/>
    <x v="0"/>
    <x v="1"/>
  </r>
  <r>
    <n v="107"/>
    <s v="Faurecia SE"/>
    <s v="#N/A Field Not Applicable"/>
    <s v="BS2209622"/>
    <s v="BBG0138ZPQG4"/>
    <s v="EOFP"/>
    <s v="FR"/>
    <s v="FR"/>
    <s v="FR"/>
    <b v="1"/>
    <n v="0"/>
    <s v="2021-12-22"/>
    <s v="2028-01-12"/>
    <s v="N/A"/>
    <s v="AT MATURITY"/>
    <s v="N"/>
    <s v="6YFL"/>
    <s v="Sr Unsecured"/>
    <s v="EUR"/>
    <s v="#N/A N/A"/>
    <s v="BB"/>
    <s v="FLOATING"/>
    <s v="S/A"/>
    <x v="90"/>
    <s v="Consumer Discretionary"/>
    <s v="Auto Parts Manufacturing"/>
    <s v="Corporate"/>
    <s v="Industrial"/>
    <s v="Consumer Cyclical"/>
    <s v="Automotive"/>
    <s v="MULTICURRENCY DEAL EQUIV TO EUR 700MM. SETTLE DATES: 12/22/21 AND 1/12/22. ADJ +10BPS. GHG EMISSIONS INTENSITY -20% IN 2023 ABSOLUTE GHG EMISSION 80% IN 2025."/>
    <n v="10"/>
    <m/>
    <x v="1"/>
    <x v="0"/>
    <x v="0"/>
    <x v="1"/>
  </r>
  <r>
    <n v="175"/>
    <s v="Lune Holdings Sarl"/>
    <s v="XS2406727409"/>
    <s v="BS2397401"/>
    <s v="BBG0139H02R1"/>
    <s v="KEMONE"/>
    <s v="LU"/>
    <s v="LU"/>
    <s v="FR"/>
    <b v="0"/>
    <n v="5.625"/>
    <s v="2021-11-18"/>
    <s v="2028-11-15"/>
    <n v="5.6561000000000003"/>
    <s v="CALLABLE"/>
    <s v="Y"/>
    <s v="144A"/>
    <s v="Secured"/>
    <s v="EUR"/>
    <s v="B"/>
    <s v="N.S."/>
    <s v="FIXED"/>
    <s v="S/A"/>
    <x v="91"/>
    <s v="Materials"/>
    <s v="Chemicals"/>
    <s v="Corporate"/>
    <s v="Industrial"/>
    <s v="Basic Industry"/>
    <s v="Chemicals"/>
    <s v="STEP-UP MARGIN: 25 BPS; STEP-UP EVENT: FAILING TO MEET CO2 EMISSIONS TARGET"/>
    <n v="25"/>
    <m/>
    <x v="1"/>
    <x v="3"/>
    <x v="0"/>
    <x v="1"/>
  </r>
  <r>
    <n v="176"/>
    <s v="Lune Holdings Sarl"/>
    <s v="XS2406727151"/>
    <s v="BS2397476"/>
    <s v="BBG0139H03V4"/>
    <s v="KEMONE"/>
    <s v="LU"/>
    <s v="LU"/>
    <s v="FR"/>
    <b v="0"/>
    <n v="5.625"/>
    <s v="2021-11-18"/>
    <s v="2028-11-15"/>
    <n v="5.6367000000000003"/>
    <s v="CALLABLE"/>
    <s v="Y"/>
    <s v="REGS"/>
    <s v="Secured"/>
    <s v="EUR"/>
    <s v="B"/>
    <s v="N.S."/>
    <s v="FIXED"/>
    <s v="S/A"/>
    <x v="91"/>
    <s v="Materials"/>
    <s v="Chemicals"/>
    <s v="Corporate"/>
    <s v="Industrial"/>
    <s v="Basic Industry"/>
    <s v="Chemicals"/>
    <s v="STEP-UP MARGIN: 25 BPS; STEP-UP EVENT: FAILING TO MEET CO2 EMISSIONS TARGET"/>
    <n v="25"/>
    <m/>
    <x v="1"/>
    <x v="3"/>
    <x v="0"/>
    <x v="1"/>
  </r>
  <r>
    <n v="225"/>
    <s v="Rexel SA"/>
    <s v="XS2403428472"/>
    <s v="BS2667019"/>
    <s v="BBG0139YKRB4"/>
    <s v="RXLFP"/>
    <s v="FR"/>
    <s v="FR"/>
    <s v="FR"/>
    <b v="1"/>
    <n v="2.125"/>
    <s v="2021-11-10"/>
    <s v="2028-12-15"/>
    <n v="2.125"/>
    <s v="CALLABLE"/>
    <s v="Y"/>
    <s v="#N/A Field Not Applicable"/>
    <s v="Sr Unsecured"/>
    <s v="EUR"/>
    <s v="BB-"/>
    <s v="N.S."/>
    <s v="FIXED"/>
    <s v="S/A"/>
    <x v="92"/>
    <s v="Industrials"/>
    <s v="Industrial Other"/>
    <s v="Corporate"/>
    <s v="Industrial"/>
    <s v="Capital Goods"/>
    <s v="Diversified Manufacturing"/>
    <s v="STEP-UP MARGIN: 25BP, STEP-UP EVENT: GREENHOUSE GAS EMISSIONS"/>
    <n v="25"/>
    <m/>
    <x v="1"/>
    <x v="3"/>
    <x v="0"/>
    <x v="1"/>
  </r>
  <r>
    <n v="104"/>
    <s v="Faurecia SE"/>
    <s v="XS2405483301"/>
    <s v="BS2687603"/>
    <s v="BBG0139ZT3Q9"/>
    <s v="EOFP"/>
    <s v="FR"/>
    <s v="FR"/>
    <s v="FR"/>
    <b v="1"/>
    <n v="2.75"/>
    <s v="2021-11-10"/>
    <s v="2027-02-15"/>
    <n v="2.75"/>
    <s v="CALLABLE"/>
    <s v="Y"/>
    <s v="#N/A Field Not Applicable"/>
    <s v="Sr Unsecured"/>
    <s v="EUR"/>
    <s v="BB"/>
    <s v="BB"/>
    <s v="FIXED"/>
    <s v="S/A"/>
    <x v="93"/>
    <s v="Consumer Discretionary"/>
    <s v="Auto Parts Manufacturing"/>
    <s v="Corporate"/>
    <s v="Industrial"/>
    <s v="Consumer Cyclical"/>
    <s v="Automotive"/>
    <s v="+25BPS IF SBT NOT MET TO REDUCE SCOPE 1 AND 2 GHG EMISSIONS INTENSITY BY 20% BY 2023 &amp; REDUCE ABSOLUTE SCOPE 1 AND 2 GHG EMISSIONS BY 80% BY 2025"/>
    <n v="25"/>
    <m/>
    <x v="1"/>
    <x v="3"/>
    <x v="0"/>
    <x v="1"/>
  </r>
  <r>
    <n v="266"/>
    <s v="Verallia SA"/>
    <s v="FR0014006EG0"/>
    <s v="BS2913736"/>
    <s v="BBG013BM8ZQ7"/>
    <s v="VRLAFP"/>
    <s v="FR"/>
    <s v="FR"/>
    <s v="FR"/>
    <b v="1"/>
    <n v="1.875"/>
    <s v="2021-11-10"/>
    <s v="2031-11-10"/>
    <n v="2"/>
    <s v="CALLABLE"/>
    <s v="Y"/>
    <s v="#N/A Field Not Applicable"/>
    <s v="Sr Unsecured"/>
    <s v="EUR"/>
    <s v="NR"/>
    <s v="N.S."/>
    <s v="FIXED"/>
    <s v="Annual"/>
    <x v="94"/>
    <s v="Materials"/>
    <s v="Containers &amp; Packaging"/>
    <s v="Corporate"/>
    <s v="Industrial"/>
    <s v="Capital Goods"/>
    <s v="Packaging"/>
    <s v="STEP-UP MARGIN: 25BP (ZERO SPT MET)/12.5BP (ONE SPT MET), STEP UP EVENTS: CO2 EMISSIONS (2025), EXTERNAL CULLET SHARE IS LESS THAN 59% (2025)"/>
    <n v="25"/>
    <m/>
    <x v="1"/>
    <x v="3"/>
    <x v="1"/>
    <x v="1"/>
  </r>
  <r>
    <n v="160"/>
    <s v="Koninklijke KPN NV"/>
    <s v="XS2406890066"/>
    <s v="BS3080196"/>
    <s v="BBG013CM0VJ1"/>
    <s v="KPN"/>
    <s v="NL"/>
    <s v="NL"/>
    <s v="NL"/>
    <b v="1"/>
    <n v="0.875"/>
    <s v="2021-11-15"/>
    <s v="2033-11-15"/>
    <n v="0.98399999999999999"/>
    <s v="CALLABLE"/>
    <s v="Y"/>
    <s v="GMTN"/>
    <s v="Sr Unsecured"/>
    <s v="EUR"/>
    <s v="BBB-"/>
    <s v="AAA"/>
    <s v="FIXED"/>
    <s v="Annual"/>
    <x v="95"/>
    <s v="Communications"/>
    <s v="Wireless Telecommunications Services"/>
    <s v="Corporate"/>
    <s v="Industrial"/>
    <s v="Communications"/>
    <s v="Wirelines"/>
    <s v="STEP-UP MARGIN: 37.5 BP FROM 11/15/31; SPT: REDUCE ABSOLUTE VALUE CHAIN CO2 EMISSIONS (SCOPE 3) BY 30% BY 2030 AGAINST THE 2014 BASELINE"/>
    <n v="37.5"/>
    <m/>
    <x v="1"/>
    <x v="2"/>
    <x v="0"/>
    <x v="1"/>
  </r>
  <r>
    <n v="124"/>
    <s v="Henkel AG &amp; Co KGaA"/>
    <s v="XS2407955827"/>
    <s v="BS3838106"/>
    <s v="BBG013FWQB84"/>
    <s v="HENKEL"/>
    <s v="DE"/>
    <s v="DE"/>
    <s v="DE"/>
    <b v="1"/>
    <n v="0.5"/>
    <s v="2021-11-17"/>
    <s v="2032-11-17"/>
    <n v="0.56440000000000001"/>
    <s v="CALLABLE"/>
    <s v="Y"/>
    <s v="EMTN"/>
    <s v="Sr Unsecured"/>
    <s v="EUR"/>
    <s v="A"/>
    <s v="AA"/>
    <s v="FIXED"/>
    <s v="Annual"/>
    <x v="96"/>
    <s v="Consumer Staples"/>
    <s v="Consumer Products"/>
    <s v="Corporate"/>
    <s v="Industrial"/>
    <s v="Consumer Non-Cyclical"/>
    <s v="Consumer Products"/>
    <s v="STEP-UP BY 37.5BP PER KPI (MAX. 75BP CUMULATIVE) IF HENKEL FAILS TO ACHIEVE SPT 1 2030 AND SPT 2. TEST DATES SPT1 2030 / SPT2 31/12/2030."/>
    <n v="75"/>
    <m/>
    <x v="1"/>
    <x v="2"/>
    <x v="1"/>
    <x v="1"/>
  </r>
  <r>
    <n v="125"/>
    <s v="Henkel AG &amp; Co KGaA"/>
    <s v="XS2407954002"/>
    <s v="BS3838114"/>
    <s v="BBG013FWQBQ4"/>
    <s v="HENKEL"/>
    <s v="DE"/>
    <s v="DE"/>
    <s v="DE"/>
    <b v="1"/>
    <n v="1.75"/>
    <s v="2021-11-17"/>
    <s v="2026-11-17"/>
    <n v="1.8149999999999999"/>
    <s v="CALLABLE"/>
    <s v="Y"/>
    <s v="EMTN"/>
    <s v="Sr Unsecured"/>
    <s v="USD"/>
    <s v="A"/>
    <s v="AA"/>
    <s v="FIXED"/>
    <s v="Annual"/>
    <x v="97"/>
    <s v="Consumer Staples"/>
    <s v="Consumer Products"/>
    <s v="Corporate"/>
    <s v="Industrial"/>
    <s v="Consumer Non-Cyclical"/>
    <s v="Consumer Products"/>
    <s v="PRINCIPAL PREMIUM AT MATURITY OF 25BP PER KPI (MAX. 50BP CUMULATIVE) IF HENKEL FAILS TO ACHIEVE SPT 1 2025 AND SPT 3. TEST DATES SPT1 2025 / SPT3 31/12/2025."/>
    <n v="50"/>
    <m/>
    <x v="1"/>
    <x v="2"/>
    <x v="1"/>
    <x v="1"/>
  </r>
  <r>
    <n v="155"/>
    <s v="Kinnevik AB"/>
    <s v="SE0013360534"/>
    <s v="BS4766942"/>
    <s v="BBG013JMFLL7"/>
    <s v="KINVB"/>
    <s v="SE"/>
    <s v="SE"/>
    <s v="SE"/>
    <b v="1"/>
    <n v="0.627"/>
    <s v="2021-11-23"/>
    <s v="2026-11-23"/>
    <n v="0.78510000000000002"/>
    <s v="AT MATURITY"/>
    <s v="N"/>
    <s v="DMTN"/>
    <s v="Sr Unsecured"/>
    <s v="SEK"/>
    <s v="#N/A N/A"/>
    <s v="AA"/>
    <s v="FLOATING"/>
    <s v="Qtrly"/>
    <x v="98"/>
    <s v="Financials"/>
    <s v="Financial Services"/>
    <s v="Corporate"/>
    <s v="Financial Institutions"/>
    <s v="Other Financial"/>
    <s v="Other Financial"/>
    <s v="SLB CPN STEP-UP: 7.5BPTS/SPT ANNUALLY STARTING 2022; SPT1: GHG; SPT2: GENDER EQUALITY; SPT3: ESG SCORE"/>
    <n v="22.5"/>
    <m/>
    <x v="1"/>
    <x v="0"/>
    <x v="1"/>
    <x v="3"/>
  </r>
  <r>
    <n v="156"/>
    <s v="Kinnevik AB"/>
    <s v="SE0013360542"/>
    <s v="BS4766959"/>
    <s v="BBG013JMFMF2"/>
    <s v="KINVB"/>
    <s v="SE"/>
    <s v="SE"/>
    <s v="SE"/>
    <b v="1"/>
    <n v="0.82700000000000007"/>
    <s v="2021-11-23"/>
    <s v="2028-11-23"/>
    <n v="0.58579999999999999"/>
    <s v="AT MATURITY"/>
    <s v="N"/>
    <s v="DMTN"/>
    <s v="Sr Unsecured"/>
    <s v="SEK"/>
    <s v="#N/A N/A"/>
    <s v="AA"/>
    <s v="FLOATING"/>
    <s v="Qtrly"/>
    <x v="99"/>
    <s v="Financials"/>
    <s v="Financial Services"/>
    <s v="Corporate"/>
    <s v="Financial Institutions"/>
    <s v="Other Financial"/>
    <s v="Other Financial"/>
    <s v="SLB CPN STEP-UP: 7.5BPTS/SPT ANNUALLY STARTING 2022; SPT1: GHG; SPT2: GENDER EQUALITY; SPT3: ESG SCORE"/>
    <n v="22.5"/>
    <m/>
    <x v="1"/>
    <x v="0"/>
    <x v="1"/>
    <x v="3"/>
  </r>
  <r>
    <n v="6"/>
    <s v="Accor SA"/>
    <s v="FR0014006ND8"/>
    <s v="BS4767460"/>
    <s v="BBG013JMPMT6"/>
    <s v="ACFP"/>
    <s v="FR"/>
    <s v="FR"/>
    <s v="FR"/>
    <b v="1"/>
    <n v="2.375"/>
    <s v="2021-11-29"/>
    <s v="2028-11-29"/>
    <n v="2.5"/>
    <s v="CALLABLE"/>
    <s v="Y"/>
    <s v="#N/A Field Not Applicable"/>
    <s v="Sr Unsecured"/>
    <s v="EUR"/>
    <s v="BB+"/>
    <s v="A"/>
    <s v="FIXED"/>
    <s v="Annual"/>
    <x v="100"/>
    <s v="Consumer Discretionary"/>
    <s v="Travel &amp; Lodging"/>
    <s v="Corporate"/>
    <s v="Industrial"/>
    <s v="Consumer Cyclical"/>
    <s v="Lodging"/>
    <s v="STEP-UP MARGIN: 12.5BPS PER KPI; KPI1: SCOPE 1,2 GHG EMISSIONS REDUCTION BY 25.2% BY 2025, KPI2: SCOPE 3 GHG EMISSIONS REDUCTION BY 15% BY 2025"/>
    <n v="25"/>
    <m/>
    <x v="1"/>
    <x v="3"/>
    <x v="1"/>
    <x v="1"/>
  </r>
  <r>
    <n v="3"/>
    <s v="ASTM SpA"/>
    <s v="XS2412267358"/>
    <s v="BS4792864"/>
    <s v="BBG013JP2L70"/>
    <s v="ATIM"/>
    <s v="IT"/>
    <s v="IT"/>
    <s v="IT"/>
    <b v="1"/>
    <n v="1"/>
    <s v="2021-11-25"/>
    <s v="2026-11-25"/>
    <n v="1.054"/>
    <s v="CALLABLE"/>
    <s v="Y"/>
    <s v="EMTN"/>
    <s v="Sr Unsecured"/>
    <s v="EUR"/>
    <s v="BBB-"/>
    <s v="N.S."/>
    <s v="FIXED"/>
    <s v="Annual"/>
    <x v="101"/>
    <s v="Industrials"/>
    <s v="Industrial Other"/>
    <s v="Corporate"/>
    <s v="Industrial"/>
    <s v="Transportation"/>
    <s v="Transportation Services"/>
    <s v="SLB STP-UP: 50BPTS/ANNUM; STP DATE: 07/2025; KPI1: GHG (20BPTS)"/>
    <n v="50"/>
    <m/>
    <x v="1"/>
    <x v="2"/>
    <x v="0"/>
    <x v="1"/>
  </r>
  <r>
    <n v="4"/>
    <s v="ASTM SpA"/>
    <s v="XS2412267515"/>
    <s v="BS4792872"/>
    <s v="BBG013JP2M23"/>
    <s v="ATIM"/>
    <s v="IT"/>
    <s v="IT"/>
    <s v="IT"/>
    <b v="1"/>
    <n v="1.5"/>
    <s v="2021-11-25"/>
    <s v="2030-01-25"/>
    <n v="1.675"/>
    <s v="CALLABLE"/>
    <s v="Y"/>
    <s v="EMTN"/>
    <s v="Sr Unsecured"/>
    <s v="EUR"/>
    <s v="BBB-"/>
    <s v="N.S."/>
    <s v="FIXED"/>
    <s v="Annual"/>
    <x v="102"/>
    <s v="Industrials"/>
    <s v="Industrial Other"/>
    <s v="Corporate"/>
    <s v="Industrial"/>
    <s v="Transportation"/>
    <s v="Transportation Services"/>
    <s v="SLB STP-UP: 50BPTS/ANNUM; STP DATE: 07/2028; KPI1: GHG (28BPTS) ; KPI2: GHG (42BPTS)"/>
    <n v="50"/>
    <m/>
    <x v="1"/>
    <x v="2"/>
    <x v="0"/>
    <x v="1"/>
  </r>
  <r>
    <n v="5"/>
    <s v="ASTM SpA"/>
    <s v="XS2412267788"/>
    <s v="BS4792906"/>
    <s v="BBG013JP2PY1"/>
    <s v="ATIM"/>
    <s v="IT"/>
    <s v="IT"/>
    <s v="IT"/>
    <b v="1"/>
    <n v="2.375"/>
    <d v="2021-11-25T00:00:00"/>
    <s v="2033-11-25"/>
    <n v="2.3946000000000001"/>
    <s v="CALLABLE"/>
    <s v="Y"/>
    <s v="EMTN"/>
    <s v="Sr Unsecured"/>
    <s v="EUR"/>
    <s v="BBB-"/>
    <s v="N.S."/>
    <s v="FIXED"/>
    <s v="Annual"/>
    <x v="103"/>
    <s v="Industrials"/>
    <s v="Industrial Other"/>
    <s v="Corporate"/>
    <s v="Industrial"/>
    <s v="Transportation"/>
    <s v="Transportation Services"/>
    <s v="SLB STP-UP: 50BPTS/ANNUM; STP DATE: 07/2031; KPI1: GHG (20BPTS) ; KPI2: GHG (30BPTS)"/>
    <n v="50"/>
    <m/>
    <x v="1"/>
    <x v="2"/>
    <x v="0"/>
    <x v="1"/>
  </r>
  <r>
    <n v="178"/>
    <s v="M FINANCE SASU"/>
    <s v="FR0014004UD8"/>
    <s v="BS4845456"/>
    <s v="BBG013JRK0H1"/>
    <s v="MONNOY"/>
    <s v="FR"/>
    <s v="FR"/>
    <s v="FR"/>
    <b v="1"/>
    <n v="2.6"/>
    <s v="2021-10-04"/>
    <s v="2029-10-04"/>
    <n v="0.56840000000000002"/>
    <s v="AT MATURITY"/>
    <s v="N"/>
    <s v="#N/A Field Not Applicable"/>
    <s v="Sr Unsecured"/>
    <s v="EUR"/>
    <s v="n/a"/>
    <s v="N.S."/>
    <s v="FIXED"/>
    <s v="Annual"/>
    <x v="104"/>
    <s v="Financials"/>
    <s v="Financial Services"/>
    <s v="Corporate"/>
    <s v="Financial Institutions"/>
    <s v="Other Financial"/>
    <s v="Other Financial"/>
    <s v="SLB STEP-UP/DOWN: 50bpts MAX; SPT DATE: 2023, 2025, 2027; KPI1: GREEN HOUSE GASES; KPI2: GENDER EQUALITY"/>
    <n v="50"/>
    <n v="50"/>
    <x v="0"/>
    <x v="2"/>
    <x v="0"/>
    <x v="3"/>
  </r>
  <r>
    <n v="177"/>
    <s v="M FINANCE SASU"/>
    <s v="FR0014004UB2"/>
    <s v="BS4847320"/>
    <s v="BBG013JRMJP9"/>
    <s v="MONNOY"/>
    <s v="FR"/>
    <s v="FR"/>
    <s v="FR"/>
    <b v="1"/>
    <n v="2.4750000000000001"/>
    <s v="2021-10-04"/>
    <s v="2028-10-04"/>
    <n v="0.45250000000000001"/>
    <s v="AT MATURITY"/>
    <s v="N"/>
    <s v="#N/A Field Not Applicable"/>
    <s v="Sr Unsecured"/>
    <s v="EUR"/>
    <s v="n/a"/>
    <s v="N.S."/>
    <s v="FIXED"/>
    <s v="Annual"/>
    <x v="105"/>
    <s v="Financials"/>
    <s v="Financial Services"/>
    <s v="Corporate"/>
    <s v="Financial Institutions"/>
    <s v="Other Financial"/>
    <s v="Other Financial"/>
    <s v="SLB STEP-UP/DOWN: 50bpts MAX; SPT DATE: 2023, 2025, 2027; KPI1: GREEN HOUSE GASES; KPI2: GENDER EQUALITY"/>
    <n v="50"/>
    <n v="50"/>
    <x v="0"/>
    <x v="2"/>
    <x v="0"/>
    <x v="3"/>
  </r>
  <r>
    <n v="179"/>
    <s v="M FINANCE SASU"/>
    <s v="FR0014004UC0"/>
    <s v="BS4848583"/>
    <s v="BBG013JRSQR5"/>
    <s v="MONNOY"/>
    <s v="FR"/>
    <s v="FR"/>
    <s v="FR"/>
    <b v="1"/>
    <n v="2.95"/>
    <s v="2021-10-04"/>
    <s v="2031-10-04"/>
    <n v="0.80320000000000003"/>
    <s v="AT MATURITY"/>
    <s v="N"/>
    <s v="."/>
    <s v="Sr Unsecured"/>
    <s v="EUR"/>
    <s v="n/a"/>
    <s v="N.S."/>
    <s v="FIXED"/>
    <s v="Annual"/>
    <x v="106"/>
    <s v="Financials"/>
    <s v="Financial Services"/>
    <s v="Corporate"/>
    <s v="Financial Institutions"/>
    <s v="Other Financial"/>
    <s v="Other Financial"/>
    <s v="SLB STEP-UP/DOWN: 50bpts MAX; SPT DATE: 2023, 2025, 2027; KPI1: GREEN HOUSE GASES; KPI2: GENDER EQUALITY"/>
    <n v="50"/>
    <n v="50"/>
    <x v="0"/>
    <x v="2"/>
    <x v="0"/>
    <x v="3"/>
  </r>
  <r>
    <n v="182"/>
    <s v="Mota-Engil SGPS SA"/>
    <s v="PTMENYOM0005"/>
    <s v="BS5188310"/>
    <s v="BBG013KN1016"/>
    <s v="EGLPL"/>
    <s v="PT"/>
    <s v="PT"/>
    <s v="PT"/>
    <b v="1"/>
    <n v="4.25"/>
    <s v="2021-12-02"/>
    <s v="2026-12-02"/>
    <n v="4.1913999999999998"/>
    <s v="SINKABLE"/>
    <s v="N"/>
    <s v="#N/A Field Not Applicable"/>
    <s v="Sr Unsecured"/>
    <s v="EUR"/>
    <s v="n/a"/>
    <s v="N.S."/>
    <s v="FIXED"/>
    <s v="S/A"/>
    <x v="107"/>
    <s v="Industrials"/>
    <s v="Industrial Other"/>
    <s v="Corporate"/>
    <s v="Industrial"/>
    <s v="Other Industrial"/>
    <s v="Other Industrial"/>
    <s v="ISSD IN EXCH FOR PTMENWOM0007,PTMENUOM0009. STEP-UP MARGIN: EUR 1.25 REDEMP INC PER BOND. STEP-UP EVENT: LTIFR (SEE SPO) &gt; 3.3 BY 12/31/2025."/>
    <s v="n/a"/>
    <m/>
    <x v="1"/>
    <x v="1"/>
    <x v="0"/>
    <x v="4"/>
  </r>
  <r>
    <n v="173"/>
    <s v="Loomis AB"/>
    <s v="SE0013360559"/>
    <s v="BS5495509"/>
    <s v="BBG013MYTH22"/>
    <s v="LOOMBS"/>
    <s v="SE"/>
    <s v="SE"/>
    <s v="SE"/>
    <b v="1"/>
    <n v="1.29"/>
    <s v="2021-11-30"/>
    <s v="2026-11-30"/>
    <n v="1.29"/>
    <s v="AT MATURITY"/>
    <s v="N"/>
    <s v="DMTN"/>
    <s v="Sr Unsecured"/>
    <s v="SEK"/>
    <s v="n/a"/>
    <s v="N.S."/>
    <s v="FLOATING"/>
    <s v="Qtrly"/>
    <x v="108"/>
    <s v="Consumer Discretionary"/>
    <s v="Consumer Services"/>
    <s v="Corporate"/>
    <s v="Industrial"/>
    <s v="Consumer Cyclical"/>
    <s v="Consumer Cyc Services"/>
    <s v="REDEMPTION PRICE TO INCREASE TO 101% IF THE ISSUER DOES NOT REDUCE CO2 EMISSIONS BY 20% BY END OF 2025 VS 2019 BASELINE"/>
    <n v="100"/>
    <m/>
    <x v="1"/>
    <x v="2"/>
    <x v="0"/>
    <x v="1"/>
  </r>
  <r>
    <n v="163"/>
    <s v="LANXESS AG"/>
    <s v="XS2415386726"/>
    <s v="BS5948655"/>
    <s v="BBG013PNCKN1"/>
    <s v="LXSGR"/>
    <s v="DE"/>
    <s v="DE"/>
    <s v="DE"/>
    <b v="1"/>
    <n v="0.625"/>
    <s v="2021-12-01"/>
    <s v="2029-12-01"/>
    <n v="0.73799999999999999"/>
    <s v="CALLABLE"/>
    <s v="Y"/>
    <s v="EMTN"/>
    <s v="Sr Unsecured"/>
    <s v="EUR"/>
    <s v="BBB"/>
    <s v="AA"/>
    <s v="FIXED"/>
    <s v="Annual"/>
    <x v="109"/>
    <s v="Materials"/>
    <s v="Chemicals"/>
    <s v="Corporate"/>
    <s v="Industrial"/>
    <s v="Basic Industry"/>
    <s v="Chemicals"/>
    <s v="STEP-UP MARGIN BY 0.25% IF SPT NOT ACHIEVED ON 12/31/25. REDUCTION OF GHG EMISSIONS (SCOPE 1+2) BY 600KT TO 2,600KT (81.250% OF THE 2018 BASELINE) BY 2025."/>
    <n v="25"/>
    <m/>
    <x v="1"/>
    <x v="3"/>
    <x v="0"/>
    <x v="1"/>
  </r>
  <r>
    <n v="154"/>
    <s v="Kerry Group Financial Services Unltd Co"/>
    <s v="XS2414830963"/>
    <s v="BS5958647"/>
    <s v="BBG013PPDGW4"/>
    <s v="KYGID"/>
    <s v="IE"/>
    <s v="IE"/>
    <s v="IE"/>
    <b v="1"/>
    <n v="0.875"/>
    <s v="2021-12-01"/>
    <s v="2031-12-01"/>
    <n v="0.93100000000000005"/>
    <s v="CALLABLE"/>
    <s v="Y"/>
    <s v="#N/A Field Not Applicable"/>
    <s v="Sr Unsecured"/>
    <s v="EUR"/>
    <s v="BBB"/>
    <s v="N.S."/>
    <s v="FIXED"/>
    <s v="Annual"/>
    <x v="110"/>
    <s v="Consumer Staples"/>
    <s v="Food &amp; Beverage"/>
    <s v="Corporate"/>
    <s v="Industrial"/>
    <s v="Consumer Non-Cyclical"/>
    <s v="Food and Beverage"/>
    <s v="SLB COUPON STEP-UP: 50BPTs/KPI; SPT DATE: 2030; KPI1: GHG; KPI2: FOOD WASTE"/>
    <n v="100"/>
    <m/>
    <x v="1"/>
    <x v="2"/>
    <x v="1"/>
    <x v="1"/>
  </r>
  <r>
    <n v="152"/>
    <s v="Kahrs BondCo AB"/>
    <s v="SE0017085285"/>
    <s v="BS6174186"/>
    <s v="BBG013Q9QBL8"/>
    <s v="KAHRSB"/>
    <s v="SE"/>
    <s v="SE"/>
    <s v="SE"/>
    <b v="1"/>
    <n v="6"/>
    <s v="2021-12-07"/>
    <s v="2026-12-07"/>
    <n v="5.8059000000000003"/>
    <s v="CALLABLE"/>
    <s v="Y"/>
    <s v="DMTN"/>
    <s v="Secured"/>
    <s v="SEK"/>
    <s v="#N/A N/A"/>
    <s v="N.S."/>
    <s v="FLOATING"/>
    <s v="Qtrly"/>
    <x v="111"/>
    <s v="Consumer Discretionary"/>
    <s v="Home Improvement"/>
    <s v="Corporate"/>
    <s v="Industrial"/>
    <s v="Capital Goods"/>
    <s v="Building Materials"/>
    <s v="STEP-UP MARGIN: 50BPS ADDED TO NOTIONAL AMOUNT UPON MATURITY OR CALL OPTION PRICE; STEP-UP EVENT: MISSING ALL SPTs"/>
    <n v="50"/>
    <m/>
    <x v="1"/>
    <x v="2"/>
    <x v="0"/>
    <x v="1"/>
  </r>
  <r>
    <n v="226"/>
    <s v="Rimini Bidco SpA"/>
    <s v="XS2417499832"/>
    <s v="BS6180258"/>
    <s v="BBG013QBJTC2"/>
    <s v="SAFFA"/>
    <s v="IT"/>
    <s v="IT"/>
    <s v="IT"/>
    <b v="1"/>
    <n v="5.25"/>
    <s v="2021-12-14"/>
    <s v="2026-12-14"/>
    <n v="5.4771000000000001"/>
    <s v="CALLABLE"/>
    <s v="Y"/>
    <s v="144A"/>
    <s v="Secured"/>
    <s v="EUR"/>
    <s v="B"/>
    <s v="N.S."/>
    <s v="FLOATING"/>
    <s v="Qtrly"/>
    <x v="112"/>
    <s v="Materials"/>
    <s v="Containers &amp; Packaging"/>
    <s v="Corporate"/>
    <s v="Industrial"/>
    <s v="Basic Industry"/>
    <s v="Paper"/>
    <s v="STEP-UP MARGIN: 25BP PER SPT; SPTs: REDUCTION OF GHG BY 15%, WATER SENT TO RECOVERY TO 81.5%, WATER DISCHARGE PER TON BY 10% BY 12/31/25, ALL VS 2020 BASELINE"/>
    <n v="75"/>
    <m/>
    <x v="1"/>
    <x v="2"/>
    <x v="1"/>
    <x v="1"/>
  </r>
  <r>
    <n v="227"/>
    <s v="Rimini Bidco SpA"/>
    <s v="XS2417486771"/>
    <s v="BS6180290"/>
    <s v="BBG013QBJTQ7"/>
    <s v="SAFFA"/>
    <s v="IT"/>
    <s v="IT"/>
    <s v="IT"/>
    <b v="1"/>
    <n v="5.25"/>
    <s v="2021-12-14"/>
    <s v="2026-12-14"/>
    <n v="5.1708999999999996"/>
    <s v="CALLABLE"/>
    <s v="Y"/>
    <s v="REGS"/>
    <s v="Secured"/>
    <s v="EUR"/>
    <s v="B"/>
    <s v="N.S."/>
    <s v="FLOATING"/>
    <s v="Qtrly"/>
    <x v="112"/>
    <s v="Materials"/>
    <s v="Containers &amp; Packaging"/>
    <s v="Corporate"/>
    <s v="Industrial"/>
    <s v="Basic Industry"/>
    <s v="Paper"/>
    <s v="STEP-UP MARGIN: 25BP PER SPT; SPTs: REDUCTION OF GHG BY 15%, WATER SENT TO RECOVERY TO 81.5%, WATER DISCHARGE PER TON BY 10% BY 12/31/25, ALL VS 2020 BASELINE"/>
    <n v="75"/>
    <m/>
    <x v="1"/>
    <x v="2"/>
    <x v="1"/>
    <x v="1"/>
  </r>
  <r>
    <n v="73"/>
    <s v="Elekta AB"/>
    <s v="SE0016274260"/>
    <s v="BS8106574"/>
    <s v="BBG013WMFZX8"/>
    <s v="EKTAB"/>
    <s v="SE"/>
    <s v="SE"/>
    <s v="SE"/>
    <b v="1"/>
    <n v="0.92099999999999993"/>
    <s v="2021-12-14"/>
    <s v="2026-12-14"/>
    <n v="0.74580000000000002"/>
    <s v="AT MATURITY"/>
    <s v="N"/>
    <s v="DMTN"/>
    <s v="Sr Unsecured"/>
    <s v="SEK"/>
    <s v="#N/A N/A"/>
    <s v="N.S."/>
    <s v="FLOATING"/>
    <s v="Qtrly"/>
    <x v="113"/>
    <s v="Health Care"/>
    <s v="Medical Equipment &amp; Devices Manufacturing"/>
    <s v="Corporate"/>
    <s v="Industrial"/>
    <s v="Consumer Non-Cyclical"/>
    <s v="Healthcare"/>
    <s v="STEP-UP REDEMPTION: 101%, SPT: 825 UNIT INCREASE OF LINAC INSTALLED BASE BY 04/30/2025 VS 04/30/2020 (BASELINE)"/>
    <n v="100"/>
    <m/>
    <x v="1"/>
    <x v="2"/>
    <x v="0"/>
    <x v="1"/>
  </r>
  <r>
    <n v="74"/>
    <s v="Elekta AB"/>
    <s v="SE0016274278"/>
    <s v="BS8106590"/>
    <s v="BBG013WMG064"/>
    <s v="EKTAB"/>
    <s v="SE"/>
    <s v="SE"/>
    <s v="SE"/>
    <b v="1"/>
    <n v="1.925"/>
    <s v="2021-12-14"/>
    <s v="2028-12-14"/>
    <n v="1.8956"/>
    <s v="AT MATURITY"/>
    <s v="N"/>
    <s v="DMTN"/>
    <s v="Sr Unsecured"/>
    <s v="SEK"/>
    <s v="#N/A N/A"/>
    <s v="N.S."/>
    <s v="FIXED"/>
    <s v="Annual"/>
    <x v="114"/>
    <s v="Health Care"/>
    <s v="Medical Equipment &amp; Devices Manufacturing"/>
    <s v="Corporate"/>
    <s v="Industrial"/>
    <s v="Consumer Non-Cyclical"/>
    <s v="Healthcare"/>
    <s v="STEP-UP CPN: 35BPS, SPT: 825 UNIT INCREASE OF LINAC INSTALLED BASE BY 04/30/2025 VS 04/30/2020 (BASELINE)"/>
    <n v="35"/>
    <m/>
    <x v="1"/>
    <x v="2"/>
    <x v="0"/>
    <x v="1"/>
  </r>
  <r>
    <n v="116"/>
    <s v="GEK Terna Holding Real Estate Construction SA"/>
    <s v="GRC145121CD2"/>
    <s v="BS8796234"/>
    <s v="BBG013XYWMK5"/>
    <s v="GEKTER"/>
    <s v="GR"/>
    <s v="GR"/>
    <s v="GR"/>
    <b v="1"/>
    <n v="2.2999999999999998"/>
    <s v="2021-12-14"/>
    <s v="2028-12-14"/>
    <n v="2.3151000000000002"/>
    <s v="CALLABLE"/>
    <s v="Y"/>
    <s v="#N/A Field Not Applicable"/>
    <s v="Unsecured"/>
    <s v="EUR"/>
    <s v="#N/A N/A"/>
    <s v="N.S."/>
    <s v="FIXED"/>
    <s v="S/A"/>
    <x v="115"/>
    <s v="Industrials"/>
    <s v="Industrial Other"/>
    <s v="Corporate"/>
    <s v="Industrial"/>
    <s v="Transportation"/>
    <s v="Transportation Services"/>
    <s v="SLB CPN STEP-UP: 20BPTS/ANNUM; SPT DATE: ANNUALLY ON 06/30; KPI: GHG"/>
    <n v="20"/>
    <m/>
    <x v="1"/>
    <x v="0"/>
    <x v="0"/>
    <x v="1"/>
  </r>
  <r>
    <n v="212"/>
    <s v="RHI Magnesita GmbH"/>
    <s v="#N/A Field Not Applicable"/>
    <s v="BS8814508"/>
    <s v="BBG013Y0QG55"/>
    <s v="RHIMLN"/>
    <s v="AT"/>
    <s v="AT"/>
    <s v="US"/>
    <b v="0"/>
    <n v="1.2769999999999999"/>
    <s v="2021-12-07"/>
    <s v="2031-12-07"/>
    <n v="1.2445999999999999"/>
    <s v="AT MATURITY"/>
    <s v="N"/>
    <s v="10YF"/>
    <s v="Sr Unsecured"/>
    <s v="EUR"/>
    <s v="#N/A N/A"/>
    <s v="N.S."/>
    <s v="FIXED"/>
    <s v="Annual"/>
    <x v="84"/>
    <s v="Industrials"/>
    <s v="Machinery Manufacturing"/>
    <s v="Corporate"/>
    <s v="Industrial"/>
    <s v="Capital Goods"/>
    <s v="Diversified Manufacturing"/>
    <s v="SUSTAINABILITY PRICING ADJUSTMENT:-3BPS IF ESG SCORE +4 POINTS; +3BPS IF ESG SCORE -6 POINTS."/>
    <n v="3"/>
    <n v="3"/>
    <x v="0"/>
    <x v="0"/>
    <x v="0"/>
    <x v="0"/>
  </r>
  <r>
    <n v="206"/>
    <s v="RHI Magnesita GmbH"/>
    <s v="#N/A Field Not Applicable"/>
    <s v="BS8816255"/>
    <s v="BBG013Y0W6J5"/>
    <s v="RHIMLN"/>
    <s v="AT"/>
    <s v="AT"/>
    <s v="US"/>
    <b v="0"/>
    <n v="0.21299999999999999"/>
    <s v="2021-12-07"/>
    <s v="2026-06-07"/>
    <s v="N/A"/>
    <s v="AT MATURITY"/>
    <s v="N"/>
    <s v="5.5"/>
    <s v="Sr Unsecured"/>
    <s v="EUR"/>
    <s v="#N/A N/A"/>
    <s v="N.S."/>
    <s v="FLOATING"/>
    <s v="S/A"/>
    <x v="84"/>
    <s v="Industrials"/>
    <s v="Machinery Manufacturing"/>
    <s v="Corporate"/>
    <s v="Industrial"/>
    <s v="Capital Goods"/>
    <s v="Diversified Manufacturing"/>
    <s v="SUSTAINABILITY PRICING ADJUSTMENT:-3BPS IF ESG SCORE +4 POINTS; +3BPS IF ESG SCORE -6 POINTS."/>
    <n v="3"/>
    <n v="3"/>
    <x v="0"/>
    <x v="0"/>
    <x v="0"/>
    <x v="0"/>
  </r>
  <r>
    <n v="211"/>
    <s v="RHI Magnesita GmbH"/>
    <s v="#N/A Field Not Applicable"/>
    <s v="BS8816669"/>
    <s v="BBG013Y0WJV3"/>
    <s v="RHIMLN"/>
    <s v="AT"/>
    <s v="AT"/>
    <s v="US"/>
    <b v="0"/>
    <n v="0.85"/>
    <s v="2021-12-07"/>
    <s v="2028-12-07"/>
    <n v="0.19570000000000001"/>
    <s v="AT MATURITY"/>
    <s v="N"/>
    <s v="7YFX"/>
    <s v="Sr Unsecured"/>
    <s v="EUR"/>
    <s v="#N/A N/A"/>
    <s v="N.S."/>
    <s v="FIXED"/>
    <s v="Annual"/>
    <x v="84"/>
    <s v="Industrials"/>
    <s v="Machinery Manufacturing"/>
    <s v="Corporate"/>
    <s v="Industrial"/>
    <s v="Capital Goods"/>
    <s v="Diversified Manufacturing"/>
    <s v="SUSTAINABILITY PRICING ADJUSTMENT:-3BPS IF ESG SCORE +4 POINTS; +3BPS IF ESG SCORE -6 POINTS."/>
    <n v="3"/>
    <n v="3"/>
    <x v="0"/>
    <x v="0"/>
    <x v="0"/>
    <x v="0"/>
  </r>
  <r>
    <n v="278"/>
    <s v="YA Holding AB"/>
    <s v="SE0016831150"/>
    <s v="BS9540193"/>
    <s v="BBG01404GG62"/>
    <s v="YDHDG"/>
    <s v="SE"/>
    <s v="SE"/>
    <s v="SE"/>
    <b v="1"/>
    <n v="8.8010000000000002"/>
    <s v="2021-12-17"/>
    <s v="2024-12-17"/>
    <n v="7.6839000000000004"/>
    <s v="CALLABLE"/>
    <s v="Y"/>
    <s v="DMTN"/>
    <s v="Secured"/>
    <s v="SEK"/>
    <s v="#N/A N/A"/>
    <s v="N.S."/>
    <s v="FLOATING"/>
    <s v="Qtrly"/>
    <x v="116"/>
    <s v="Consumer Discretionary"/>
    <s v="Educational Services"/>
    <s v="Corporate"/>
    <s v="Industrial"/>
    <s v="Other Industrial"/>
    <s v="Other Industrial"/>
    <s v="BOND REDEEMED AT 100.75 IF THE ISSUER FAILS TO ACHIEVE SPT"/>
    <n v="75"/>
    <m/>
    <x v="1"/>
    <x v="2"/>
    <x v="0"/>
    <x v="4"/>
  </r>
  <r>
    <n v="221"/>
    <s v="Renolit SE"/>
    <s v="#N/A Field Not Applicable"/>
    <s v="BS9926319"/>
    <s v="BBG01412D5S8"/>
    <s v="RENODE"/>
    <s v="DE"/>
    <s v="DE"/>
    <s v="DE"/>
    <b v="1"/>
    <n v="0"/>
    <s v="2021-12-13"/>
    <s v="2027-12-13"/>
    <s v="N/A"/>
    <s v="AT MATURITY"/>
    <s v="N"/>
    <s v="6Y"/>
    <s v="Sr Unsecured"/>
    <s v="EUR"/>
    <s v="#N/A N/A"/>
    <s v="N.S."/>
    <s v="FLOATING"/>
    <s v="S/A"/>
    <x v="81"/>
    <s v="Materials"/>
    <s v="Chemicals"/>
    <s v="Corporate"/>
    <s v="Industrial"/>
    <s v="Basic Industry"/>
    <s v="Chemicals"/>
    <s v="ESG-LINKED SCHULDSCHEIN. SUSTAINABILITY PRICING ADJUSTMENT: +/- 2BPS PER KPI. KPIS: ENERGY EFFICIENCY; RECYCLING; DIVERSITY."/>
    <n v="6"/>
    <n v="6"/>
    <x v="0"/>
    <x v="0"/>
    <x v="1"/>
    <x v="3"/>
  </r>
  <r>
    <n v="218"/>
    <s v="Renolit SE"/>
    <s v="#N/A Field Not Applicable"/>
    <s v="BS9926327"/>
    <s v="BBG01412D5V4"/>
    <s v="RENODE"/>
    <s v="DE"/>
    <s v="DE"/>
    <s v="DE"/>
    <b v="1"/>
    <n v="0"/>
    <s v="2021-12-13"/>
    <s v="2025-12-13"/>
    <s v="N/A"/>
    <s v="AT MATURITY"/>
    <s v="N"/>
    <s v="4Y"/>
    <s v="Sr Unsecured"/>
    <s v="EUR"/>
    <s v="#N/A N/A"/>
    <s v="N.S."/>
    <s v="FLOATING"/>
    <s v="S/A"/>
    <x v="81"/>
    <s v="Materials"/>
    <s v="Chemicals"/>
    <s v="Corporate"/>
    <s v="Industrial"/>
    <s v="Basic Industry"/>
    <s v="Chemicals"/>
    <s v="ESG-LINKED SCHULDSCHEIN. SUSTAINABILITY PRICING ADJUSTMENT: +/- 2BPS PER KPI. KPIS: ENERGY EFFICIENCY; RECYCLING; DIVERSITY."/>
    <n v="6"/>
    <n v="6"/>
    <x v="0"/>
    <x v="0"/>
    <x v="1"/>
    <x v="3"/>
  </r>
  <r>
    <n v="27"/>
    <s v="BayWa AG"/>
    <s v="#N/A Field Not Applicable"/>
    <s v="BT2413768"/>
    <s v="BBG0149BVYS7"/>
    <s v="BYWGR"/>
    <s v="DE"/>
    <s v="DE"/>
    <s v="DE"/>
    <b v="1"/>
    <n v="0"/>
    <s v="2021-12-21"/>
    <s v="2031-12-22"/>
    <s v="N/A"/>
    <s v="AT MATURITY"/>
    <s v="N"/>
    <s v="10Y"/>
    <s v="Sr Unsecured"/>
    <s v="EUR"/>
    <s v="#N/A N/A"/>
    <s v="N.S."/>
    <s v="FIXED"/>
    <s v="Annual"/>
    <x v="117"/>
    <s v="Consumer Staples"/>
    <s v="Retail - Consumer Staples"/>
    <s v="Corporate"/>
    <s v="Industrial"/>
    <s v="Consumer Non-Cyclical"/>
    <s v="Food and Beverage"/>
    <s v="SUSTAINABILITY-LINKED SCHULDSCHEIN TIED TO ESG RATING BY MSCI."/>
    <s v="n/a"/>
    <m/>
    <x v="1"/>
    <x v="1"/>
    <x v="0"/>
    <x v="0"/>
  </r>
  <r>
    <n v="28"/>
    <s v="BayWa AG"/>
    <s v="#N/A Field Not Applicable"/>
    <s v="BT2413925"/>
    <s v="BBG0149BW6B5"/>
    <s v="BYWGR"/>
    <s v="DE"/>
    <s v="DE"/>
    <s v="DE"/>
    <b v="1"/>
    <n v="0"/>
    <s v="2021-12-21"/>
    <s v="2028-12-21"/>
    <s v="N/A"/>
    <s v="AT MATURITY"/>
    <s v="N"/>
    <s v="7YFX"/>
    <s v="Sr Unsecured"/>
    <s v="EUR"/>
    <s v="#N/A N/A"/>
    <s v="N.S."/>
    <s v="FIXED"/>
    <s v="Annual"/>
    <x v="117"/>
    <s v="Consumer Staples"/>
    <s v="Retail - Consumer Staples"/>
    <s v="Corporate"/>
    <s v="Industrial"/>
    <s v="Consumer Non-Cyclical"/>
    <s v="Food and Beverage"/>
    <s v="SUSTAINABILITY-LINKED SCHULDSCHEIN TIED TO ESG RATING BY MSCI."/>
    <s v="n/a"/>
    <m/>
    <x v="1"/>
    <x v="1"/>
    <x v="0"/>
    <x v="0"/>
  </r>
  <r>
    <n v="25"/>
    <s v="BayWa AG"/>
    <s v="#N/A Field Not Applicable"/>
    <s v="BT2413933"/>
    <s v="BBG0149BW6F1"/>
    <s v="BYWGR"/>
    <s v="DE"/>
    <s v="DE"/>
    <s v="DE"/>
    <b v="1"/>
    <n v="0"/>
    <s v="2021-12-21"/>
    <s v="2028-12-21"/>
    <s v="N/A"/>
    <s v="AT MATURITY"/>
    <s v="N"/>
    <s v="7YFL"/>
    <s v="Sr Unsecured"/>
    <s v="EUR"/>
    <s v="#N/A N/A"/>
    <s v="N.S."/>
    <s v="FLOATING"/>
    <s v="S/A"/>
    <x v="117"/>
    <s v="Consumer Staples"/>
    <s v="Retail - Consumer Staples"/>
    <s v="Corporate"/>
    <s v="Industrial"/>
    <s v="Consumer Non-Cyclical"/>
    <s v="Food and Beverage"/>
    <s v="SUSTAINABILITY-LINKED SCHULDSCHEIN TIED TO ESG RATING BY MSCI."/>
    <s v="n/a"/>
    <m/>
    <x v="1"/>
    <x v="1"/>
    <x v="0"/>
    <x v="0"/>
  </r>
  <r>
    <n v="29"/>
    <s v="BayWa AG"/>
    <s v="#N/A Field Not Applicable"/>
    <s v="BT2413941"/>
    <s v="BBG0149BW6J7"/>
    <s v="BYWGR"/>
    <s v="DE"/>
    <s v="DE"/>
    <s v="DE"/>
    <b v="1"/>
    <n v="0"/>
    <s v="2021-12-21"/>
    <s v="2026-12-21"/>
    <s v="N/A"/>
    <s v="AT MATURITY"/>
    <s v="N"/>
    <s v="5YFX"/>
    <s v="Sr Unsecured"/>
    <s v="EUR"/>
    <s v="#N/A N/A"/>
    <s v="N.S."/>
    <s v="FIXED"/>
    <s v="Annual"/>
    <x v="117"/>
    <s v="Consumer Staples"/>
    <s v="Retail - Consumer Staples"/>
    <s v="Corporate"/>
    <s v="Industrial"/>
    <s v="Consumer Non-Cyclical"/>
    <s v="Food and Beverage"/>
    <s v="SUSTAINABILITY-LINKED SCHULDSCHEIN TIED TO ESG RATING BY MSCI."/>
    <s v="n/a"/>
    <m/>
    <x v="1"/>
    <x v="1"/>
    <x v="0"/>
    <x v="0"/>
  </r>
  <r>
    <n v="26"/>
    <s v="BayWa AG"/>
    <s v="#N/A Field Not Applicable"/>
    <s v="BT2413966"/>
    <s v="BBG0149BW6P0"/>
    <s v="BYWGR"/>
    <s v="DE"/>
    <s v="DE"/>
    <s v="DE"/>
    <b v="1"/>
    <n v="0"/>
    <s v="2021-12-21"/>
    <s v="2026-12-21"/>
    <s v="N/A"/>
    <s v="AT MATURITY"/>
    <s v="N"/>
    <s v="5YFL"/>
    <s v="Sr Unsecured"/>
    <s v="EUR"/>
    <s v="#N/A N/A"/>
    <s v="N.S."/>
    <s v="FIXED"/>
    <s v="Annual"/>
    <x v="117"/>
    <s v="Consumer Staples"/>
    <s v="Retail - Consumer Staples"/>
    <s v="Corporate"/>
    <s v="Industrial"/>
    <s v="Consumer Non-Cyclical"/>
    <s v="Food and Beverage"/>
    <s v="SUSTAINABILITY-LINKED SCHULDSCHEIN TIED TO ESG RATING BY MSCI."/>
    <s v="n/a"/>
    <m/>
    <x v="1"/>
    <x v="1"/>
    <x v="0"/>
    <x v="0"/>
  </r>
  <r>
    <n v="108"/>
    <s v="Faurecia SE"/>
    <s v="#N/A Field Not Applicable"/>
    <s v="BT2751928"/>
    <s v="BBG014BFCLJ4"/>
    <s v="EOFP"/>
    <s v="FR"/>
    <s v="FR"/>
    <s v="FR"/>
    <b v="1"/>
    <n v="0"/>
    <s v="2021-12-22"/>
    <s v="2028-01-12"/>
    <s v="N/A"/>
    <s v="AT MATURITY"/>
    <s v="N"/>
    <s v="6YFX"/>
    <s v="Sr Unsecured"/>
    <s v="EUR"/>
    <s v="#N/A N/A"/>
    <s v="BB"/>
    <s v="FIXED"/>
    <s v="Annual"/>
    <x v="118"/>
    <s v="Consumer Discretionary"/>
    <s v="Auto Parts Manufacturing"/>
    <s v="Corporate"/>
    <s v="Industrial"/>
    <s v="Consumer Cyclical"/>
    <s v="Automotive"/>
    <s v="MULTICURRENCY DEAL EQUIV TO EUR 700MM. SETTLE DATES: 12/22/21 AND 1/12/22. ADJ +10BPS. GHG EMISSIONS INTENSITY -20% IN 2023 ABSOLUTE GHG EMISSION 80% IN 2025."/>
    <n v="10"/>
    <m/>
    <x v="1"/>
    <x v="0"/>
    <x v="0"/>
    <x v="1"/>
  </r>
  <r>
    <n v="109"/>
    <s v="Faurecia SE"/>
    <s v="#N/A Field Not Applicable"/>
    <s v="BT2751951"/>
    <s v="BBG014BFCLP7"/>
    <s v="EOFP"/>
    <s v="FR"/>
    <s v="FR"/>
    <s v="FR"/>
    <b v="1"/>
    <n v="0"/>
    <s v="2021-12-22"/>
    <s v="2026-01-12"/>
    <s v="N/A"/>
    <s v="AT MATURITY"/>
    <s v="N"/>
    <s v="4YFX"/>
    <s v="Sr Unsecured"/>
    <s v="EUR"/>
    <s v="#N/A N/A"/>
    <s v="BB"/>
    <s v="FIXED"/>
    <s v="Annual"/>
    <x v="90"/>
    <s v="Consumer Discretionary"/>
    <s v="Auto Parts Manufacturing"/>
    <s v="Corporate"/>
    <s v="Industrial"/>
    <s v="Consumer Cyclical"/>
    <s v="Automotive"/>
    <s v="MULTICURRENCY DEAL EQUIV TO EUR 700MM. SETTLE DATES: 12/22/21 AND 1/12/22. ADJ +10BPS. GHG EMISSIONS INTENSITY -20% IN 2023 ABSOLUTE GHG EMISSION 80% IN 2025."/>
    <n v="10"/>
    <m/>
    <x v="1"/>
    <x v="0"/>
    <x v="0"/>
    <x v="1"/>
  </r>
  <r>
    <n v="261"/>
    <s v="VZ Secured Financing BV"/>
    <s v="XS2431016034"/>
    <s v="BT3367682"/>
    <s v="BBG014D43343"/>
    <s v="ZIGGO"/>
    <s v="NL"/>
    <s v="NL"/>
    <s v="NL"/>
    <b v="1"/>
    <n v="3.5"/>
    <s v="2022-01-20"/>
    <s v="2032-01-15"/>
    <n v="3.5"/>
    <s v="CALLABLE"/>
    <s v="Y"/>
    <s v="144A"/>
    <s v="Secured"/>
    <s v="EUR"/>
    <s v="B+"/>
    <s v="N.S."/>
    <s v="FIXED"/>
    <s v="S/A"/>
    <x v="119"/>
    <s v="Communications"/>
    <s v="Cable &amp; Satellite"/>
    <s v="Corporate"/>
    <s v="Industrial"/>
    <s v="Communications"/>
    <s v="Cable Satellite"/>
    <s v="STEP MARGIN: 12.5BPS, STEP EVENT: CPN INC IF SPT A OR B MISS BY 12/31/2025, REDEMP INC/DEC IF SPT A &amp; B MISS/ACHIEVED, NO LESS THAN 100%"/>
    <n v="12.5"/>
    <m/>
    <x v="1"/>
    <x v="0"/>
    <x v="0"/>
    <x v="1"/>
  </r>
  <r>
    <n v="259"/>
    <s v="VZ Secured Financing BV"/>
    <s v="XS2431015655"/>
    <s v="BT3367799"/>
    <s v="BBG014D438Q8"/>
    <s v="ZIGGO"/>
    <s v="NL"/>
    <s v="NL"/>
    <s v="NL"/>
    <b v="1"/>
    <n v="3.5"/>
    <s v="2022-01-20"/>
    <s v="2032-01-15"/>
    <n v="3.5"/>
    <s v="CALLABLE"/>
    <s v="Y"/>
    <s v="REGS"/>
    <s v="Secured"/>
    <s v="EUR"/>
    <s v="B+"/>
    <s v="N.S."/>
    <s v="FIXED"/>
    <s v="S/A"/>
    <x v="119"/>
    <s v="Communications"/>
    <s v="Cable &amp; Satellite"/>
    <s v="Corporate"/>
    <s v="Industrial"/>
    <s v="Communications"/>
    <s v="Cable Satellite"/>
    <s v="STEP MARGIN: 12.5BPS, STEP EVENT: CPN INC IF SPT A OR B MISS BY 12/31/2025, REDEMP INC/DEC IF SPT A &amp; B MISS/ACHIEVED, NO LESS THAN 100%"/>
    <n v="12.5"/>
    <m/>
    <x v="1"/>
    <x v="0"/>
    <x v="0"/>
    <x v="1"/>
  </r>
  <r>
    <n v="260"/>
    <s v="VZ Secured Financing BV"/>
    <s v="USN9T19KAA74"/>
    <s v="BT3408114"/>
    <s v="BBG014D6F318"/>
    <s v="ZIGGO"/>
    <s v="NL"/>
    <s v="NL"/>
    <s v="NL"/>
    <b v="1"/>
    <n v="5"/>
    <s v="2022-01-20"/>
    <s v="2032-01-15"/>
    <n v="5.125"/>
    <s v="CALLABLE"/>
    <s v="Y"/>
    <s v="RegS"/>
    <s v="Secured"/>
    <s v="USD"/>
    <s v="B+"/>
    <s v="N.S."/>
    <s v="FIXED"/>
    <s v="S/A"/>
    <x v="120"/>
    <s v="Communications"/>
    <s v="Cable &amp; Satellite"/>
    <s v="Corporate"/>
    <s v="Industrial"/>
    <s v="Communications"/>
    <s v="Cable Satellite"/>
    <s v="STEP MARGIN: 12.5BPS, STEP EVENT: CPN INC IF SPT A OR B MISS BY 12/31/2025, REDEMP INC/DEC IF SPT A &amp; B MISS/ACHIEVED, NO LESS THAN 100%"/>
    <n v="12.5"/>
    <m/>
    <x v="1"/>
    <x v="0"/>
    <x v="0"/>
    <x v="1"/>
  </r>
  <r>
    <n v="258"/>
    <s v="VZ Secured Financing BV"/>
    <s v="US91845AAA34"/>
    <s v="BT3408833"/>
    <s v="BBG014D6JTZ0"/>
    <s v="ZIGGO"/>
    <s v="NL"/>
    <s v="NL"/>
    <s v="NL"/>
    <b v="1"/>
    <n v="5"/>
    <s v="2022-01-20"/>
    <s v="2032-01-15"/>
    <n v="5.125"/>
    <s v="CALLABLE"/>
    <s v="Y"/>
    <s v="144a"/>
    <s v="Secured"/>
    <s v="USD"/>
    <s v="B+"/>
    <s v="N.S."/>
    <s v="FIXED"/>
    <s v="S/A"/>
    <x v="120"/>
    <s v="Communications"/>
    <s v="Cable &amp; Satellite"/>
    <s v="Corporate"/>
    <s v="Industrial"/>
    <s v="Communications"/>
    <s v="Cable Satellite"/>
    <s v="STEP MARGIN: 12.5BPS, STEP EVENT: CPN INC IF SPT A OR B MISS BY 12/31/2025, REDEMP INC/DEC IF SPT A &amp; B MISS/ACHIEVED, NO LESS THAN 100%"/>
    <n v="12.5"/>
    <m/>
    <x v="1"/>
    <x v="0"/>
    <x v="0"/>
    <x v="1"/>
  </r>
  <r>
    <n v="35"/>
    <s v="CPI Property Group SA"/>
    <s v="XS2432162654"/>
    <s v="BT3966533"/>
    <s v="BBG014G3F2J5"/>
    <s v="CPIPGR"/>
    <s v="LU"/>
    <s v="LU"/>
    <s v="CZ"/>
    <b v="0"/>
    <n v="1.75"/>
    <s v="2022-01-14"/>
    <s v="2030-01-14"/>
    <n v="2.0169999999999999"/>
    <s v="CALLABLE"/>
    <s v="Y"/>
    <s v="EMTN"/>
    <s v="Sr Unsecured"/>
    <s v="EUR"/>
    <s v="BBB"/>
    <s v="N.S."/>
    <s v="FIXED"/>
    <s v="Annual"/>
    <x v="121"/>
    <s v="Financials"/>
    <s v="Real Estate"/>
    <s v="Corporate"/>
    <s v="Financial Institutions"/>
    <s v="Other Financial"/>
    <s v="Other Financial"/>
    <s v="STEP-UP MARGIN: 25BPS, STEP-UP EVENT: GHG EMISSION INTENSITY &gt; 0.095T CO2EQ/M2 OF CPIPG PROPERTY PORTFOLIO FOR FY 2027."/>
    <n v="25"/>
    <m/>
    <x v="1"/>
    <x v="3"/>
    <x v="0"/>
    <x v="1"/>
  </r>
  <r>
    <n v="79"/>
    <s v="Enel Finance International NV"/>
    <s v="XS2432293673"/>
    <s v="BT4292533"/>
    <s v="BBG014GTTYY6"/>
    <s v="ENELIM"/>
    <s v="NL"/>
    <s v="NL"/>
    <s v="IT"/>
    <b v="0"/>
    <n v="0.25"/>
    <s v="2022-01-17"/>
    <s v="2025-11-17"/>
    <n v="0.27729999999999999"/>
    <s v="CALLABLE"/>
    <s v="Y"/>
    <s v="#N/A Field Not Applicable"/>
    <s v="Sr Unsecured"/>
    <s v="EUR"/>
    <s v="BBB+"/>
    <s v="N.S."/>
    <s v="FIXED"/>
    <s v="Annual"/>
    <x v="122"/>
    <s v="Utilities"/>
    <s v="Utilities"/>
    <s v="Corporate"/>
    <s v="Utility"/>
    <s v="Electric"/>
    <s v="Electric"/>
    <s v="STEP-UP MARGIN: 25BP, STEP-UP EVENT: 12/31/23 DIRECT GHG EMISSIONS BEING ABOVE 148G/KWHEQ"/>
    <n v="25"/>
    <m/>
    <x v="1"/>
    <x v="3"/>
    <x v="0"/>
    <x v="1"/>
  </r>
  <r>
    <n v="77"/>
    <s v="Enel Finance International NV"/>
    <s v="XS2432293756"/>
    <s v="BT4292558"/>
    <s v="BBG014GTV031"/>
    <s v="ENELIM"/>
    <s v="NL"/>
    <s v="NL"/>
    <s v="IT"/>
    <b v="0"/>
    <n v="0.875"/>
    <s v="2022-01-17"/>
    <s v="2031-01-17"/>
    <n v="1.0269999999999999"/>
    <s v="CALLABLE"/>
    <s v="Y"/>
    <s v="emtn"/>
    <s v="Sr Unsecured"/>
    <s v="EUR"/>
    <s v="BBB+"/>
    <s v="N.S."/>
    <s v="FIXED"/>
    <s v="Annual"/>
    <x v="123"/>
    <s v="Utilities"/>
    <s v="Utilities"/>
    <s v="Corporate"/>
    <s v="Utility"/>
    <s v="Electric"/>
    <s v="Electric"/>
    <s v="STEP-UP MARGIN: 25BP, STEP-UP EVENT: 12/31/24 DIRECT GHG EMISSIONS BEING ABOVE 140G/KWHEQ"/>
    <n v="25"/>
    <m/>
    <x v="1"/>
    <x v="3"/>
    <x v="0"/>
    <x v="1"/>
  </r>
  <r>
    <n v="78"/>
    <s v="Enel Finance International NV"/>
    <s v="XS2432293913"/>
    <s v="BT4292566"/>
    <s v="BBG014GTV0J4"/>
    <s v="ENELIM"/>
    <s v="NL"/>
    <s v="NL"/>
    <s v="IT"/>
    <b v="0"/>
    <n v="1.25"/>
    <s v="2022-01-17"/>
    <s v="2035-01-17"/>
    <n v="1.306"/>
    <s v="CALLABLE"/>
    <s v="Y"/>
    <s v="emtn"/>
    <s v="Sr Unsecured"/>
    <s v="EUR"/>
    <s v="BBB+"/>
    <s v="N.S."/>
    <s v="FIXED"/>
    <s v="Annual"/>
    <x v="123"/>
    <s v="Utilities"/>
    <s v="Utilities"/>
    <s v="Corporate"/>
    <s v="Utility"/>
    <s v="Electric"/>
    <s v="Electric"/>
    <s v="STEP-UP MARGIN: 25BP, STEP-UP EVENT: 12/31/30 DIRECT GHG EMISSIONS BEING ABOVE 82G/KWHEQ"/>
    <n v="25"/>
    <m/>
    <x v="1"/>
    <x v="3"/>
    <x v="0"/>
    <x v="1"/>
  </r>
  <r>
    <n v="240"/>
    <s v="Snam SpA"/>
    <s v="XS2433211310"/>
    <s v="BT4343112"/>
    <s v="BBG014GXZ207"/>
    <s v="SRGIM"/>
    <s v="IT"/>
    <s v="IT"/>
    <s v="IT"/>
    <b v="1"/>
    <n v="0.75"/>
    <s v="2022-01-20"/>
    <s v="2029-06-20"/>
    <n v="1.2725"/>
    <s v="CALLABLE"/>
    <s v="Y"/>
    <s v="EMTN"/>
    <s v="Sr Unsecured"/>
    <s v="EUR"/>
    <s v="BBB"/>
    <s v="A"/>
    <s v="FIXED"/>
    <s v="Annual"/>
    <x v="124"/>
    <s v="Utilities"/>
    <s v="Utilities"/>
    <s v="Corporate"/>
    <s v="Utility"/>
    <s v="Natural Gas"/>
    <s v="Natural Gas"/>
    <s v="STEP-UP MARGIN: 25bpts, STEP-UP EVENT: FAIL TO REDUCE SCOPE 1/2 GHG EMISSIONS BY 50% BY DEC 2030."/>
    <n v="25"/>
    <m/>
    <x v="1"/>
    <x v="3"/>
    <x v="0"/>
    <x v="1"/>
  </r>
  <r>
    <n v="241"/>
    <s v="Snam SpA"/>
    <s v="XS2433226854"/>
    <s v="BT4343138"/>
    <s v="BBG014GXZ4M9"/>
    <s v="SRGIM"/>
    <s v="IT"/>
    <s v="IT"/>
    <s v="IT"/>
    <b v="1"/>
    <n v="1.25"/>
    <s v="2022-01-20"/>
    <s v="2034-06-20"/>
    <n v="1.2710000000000001"/>
    <s v="CALLABLE"/>
    <s v="Y"/>
    <s v="EMTN"/>
    <s v="Sr Unsecured"/>
    <s v="EUR"/>
    <s v="BBB"/>
    <s v="A"/>
    <s v="FIXED"/>
    <s v="Annual"/>
    <x v="125"/>
    <s v="Utilities"/>
    <s v="Utilities"/>
    <s v="Corporate"/>
    <s v="Utility"/>
    <s v="Natural Gas"/>
    <s v="Natural Gas"/>
    <s v="CLEAN-UP CALL 80%. STEP-UP MARGIN: 25bpts, STEP-UP EVENT: FAIL TO REDUCE NATURAL GAS/SCOPE 1/2 GHG EMISSIONS BY 55%/40% BY DEC 2025/2027."/>
    <n v="25"/>
    <m/>
    <x v="1"/>
    <x v="3"/>
    <x v="0"/>
    <x v="1"/>
  </r>
  <r>
    <n v="289"/>
    <s v="degewo AG"/>
    <s v="#N/A Field Not Applicable"/>
    <s v="BT5670141"/>
    <s v="BBG014LKY8R8"/>
    <s v="DEGEWO"/>
    <s v="DE"/>
    <s v="DE"/>
    <s v="DE"/>
    <b v="1"/>
    <n v="0"/>
    <s v="2022-02-24"/>
    <s v="2062-02-24"/>
    <s v="N/A"/>
    <s v="AT MATURITY"/>
    <s v="N"/>
    <s v="40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1"/>
    <s v="degewo AG"/>
    <s v="#N/A Field Not Applicable"/>
    <s v="BT5673616"/>
    <s v="BBG014LL3NG9"/>
    <s v="DEGEWO"/>
    <s v="DE"/>
    <s v="DE"/>
    <s v="DE"/>
    <b v="1"/>
    <n v="0"/>
    <s v="2022-02-24"/>
    <s v="2057-02-24"/>
    <s v="N/A"/>
    <s v="AT MATURITY"/>
    <s v="N"/>
    <s v="35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2"/>
    <s v="degewo AG"/>
    <s v="#N/A Field Not Applicable"/>
    <s v="BT5673632"/>
    <s v="BBG014LL3NX0"/>
    <s v="DEGEWO"/>
    <s v="DE"/>
    <s v="DE"/>
    <s v="DE"/>
    <b v="1"/>
    <n v="0"/>
    <s v="2022-02-24"/>
    <s v="2052-02-24"/>
    <s v="N/A"/>
    <s v="AT MATURITY"/>
    <s v="N"/>
    <s v="30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3"/>
    <s v="degewo AG"/>
    <s v="#N/A Field Not Applicable"/>
    <s v="BT5673640"/>
    <s v="BBG014LL3PM7"/>
    <s v="DEGEWO"/>
    <s v="DE"/>
    <s v="DE"/>
    <s v="DE"/>
    <b v="1"/>
    <n v="0"/>
    <s v="2022-02-24"/>
    <s v="2047-02-24"/>
    <s v="N/A"/>
    <s v="AT MATURITY"/>
    <s v="N"/>
    <s v="25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90"/>
    <s v="degewo AG"/>
    <s v="#N/A Field Not Applicable"/>
    <s v="BT5673665"/>
    <s v="BBG014LL3Q36"/>
    <s v="DEGEWO"/>
    <s v="DE"/>
    <s v="DE"/>
    <s v="DE"/>
    <b v="1"/>
    <n v="0"/>
    <s v="2022-02-24"/>
    <s v="2042-02-24"/>
    <s v="N/A"/>
    <s v="AT MATURITY"/>
    <s v="N"/>
    <s v="20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4"/>
    <s v="degewo AG"/>
    <s v="#N/A Field Not Applicable"/>
    <s v="BT5673673"/>
    <s v="BBG014LL3QG2"/>
    <s v="DEGEWO"/>
    <s v="DE"/>
    <s v="DE"/>
    <s v="DE"/>
    <b v="1"/>
    <n v="0"/>
    <s v="2022-02-24"/>
    <s v="2037-02-24"/>
    <s v="N/A"/>
    <s v="AT MATURITY"/>
    <s v="N"/>
    <s v="15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5"/>
    <s v="degewo AG"/>
    <s v="#N/A Field Not Applicable"/>
    <s v="BT5673681"/>
    <s v="BBG014LL3QX3"/>
    <s v="DEGEWO"/>
    <s v="DE"/>
    <s v="DE"/>
    <s v="DE"/>
    <b v="1"/>
    <n v="0"/>
    <s v="2022-02-24"/>
    <s v="2032-02-24"/>
    <s v="N/A"/>
    <s v="AT MATURITY"/>
    <s v="N"/>
    <s v="10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6"/>
    <s v="degewo AG"/>
    <s v="#N/A Field Not Applicable"/>
    <s v="BT5673699"/>
    <s v="BBG014LL3R52"/>
    <s v="DEGEWO"/>
    <s v="DE"/>
    <s v="DE"/>
    <s v="DE"/>
    <b v="1"/>
    <n v="0"/>
    <s v="2022-02-24"/>
    <s v="2029-02-24"/>
    <s v="N/A"/>
    <s v="AT MATURITY"/>
    <s v="N"/>
    <s v="7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7"/>
    <s v="degewo AG"/>
    <s v="#N/A Field Not Applicable"/>
    <s v="BT5673707"/>
    <s v="BBG014LL3RM3"/>
    <s v="DEGEWO"/>
    <s v="DE"/>
    <s v="DE"/>
    <s v="DE"/>
    <b v="1"/>
    <n v="0"/>
    <s v="2022-02-24"/>
    <s v="2027-02-24"/>
    <s v="N/A"/>
    <s v="AT MATURITY"/>
    <s v="N"/>
    <s v="5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88"/>
    <s v="degewo AG"/>
    <s v="#N/A Field Not Applicable"/>
    <s v="BT5673772"/>
    <s v="BBG014LL45K2"/>
    <s v="DEGEWO"/>
    <s v="DE"/>
    <s v="DE"/>
    <s v="DE"/>
    <b v="1"/>
    <n v="0"/>
    <s v="2022-02-24"/>
    <s v="2025-02-24"/>
    <s v="N/A"/>
    <s v="AT MATURITY"/>
    <s v="N"/>
    <s v="3Y"/>
    <s v="Sr Unsecured"/>
    <s v="EUR"/>
    <s v="#N/A N/A"/>
    <s v="N.S."/>
    <s v="FLOATING"/>
    <s v="S/A"/>
    <x v="126"/>
    <s v="Financials"/>
    <s v="Real Estate"/>
    <s v="Government-Related"/>
    <s v="Local Authority"/>
    <s v="Local Authority"/>
    <s v="Local Authority"/>
    <s v="PRICING ADJ: +1.5BPS IF KPIS NOT ACHIEVED. KPIS: NEW RENTALS TO HOUSEHOLDS UNDER RESIDENTIAL ENTITLEMENT CERTIFICATE PROGRAM; CO2 EMISSIONS FOR ENTIRE PORTFOLIO"/>
    <n v="1.5"/>
    <n v="1.5"/>
    <x v="0"/>
    <x v="0"/>
    <x v="0"/>
    <x v="3"/>
  </r>
  <r>
    <n v="277"/>
    <s v="Webuild SpA"/>
    <s v="XS2437324333"/>
    <s v="BT5681023"/>
    <s v="BBG014LLWV97"/>
    <s v="IPGIM"/>
    <s v="IT"/>
    <s v="IT"/>
    <s v="IT"/>
    <b v="1"/>
    <n v="3.875"/>
    <s v="2022-01-28"/>
    <s v="2026-07-28"/>
    <n v="3.879"/>
    <s v="CALLABLE"/>
    <s v="Y"/>
    <s v="#N/A Field Not Applicable"/>
    <s v="Sr Unsecured"/>
    <s v="EUR"/>
    <s v="BB-"/>
    <s v="N.S."/>
    <s v="FIXED"/>
    <s v="Annual"/>
    <x v="127"/>
    <s v="Industrials"/>
    <s v="Industrial Other"/>
    <s v="Corporate"/>
    <s v="Industrial"/>
    <s v="Other Industrial"/>
    <s v="Other Industrial"/>
    <s v="STEP-UP MARGIN: 75BPS AT REDEMPTION, STEP-UP EVENT: FAILURE TO REDUCE SUM OF SCOPE 1 &amp; 2 GHG EMISSIONS BY 50% BY 12/31/2025 OR AT REDEMPTION."/>
    <n v="75"/>
    <m/>
    <x v="1"/>
    <x v="2"/>
    <x v="0"/>
    <x v="1"/>
  </r>
  <r>
    <n v="101"/>
    <s v="FIS Fabbrica Italiana Sintetici SpA"/>
    <s v="XS2436585355"/>
    <s v="BT9871315"/>
    <s v="BBG014ZYYJ44"/>
    <s v="FISITA"/>
    <s v="IT"/>
    <s v="IT"/>
    <s v="IT"/>
    <b v="1"/>
    <n v="5.625"/>
    <s v="2022-02-10"/>
    <s v="2027-08-01"/>
    <n v="5.8300999999999998"/>
    <s v="CALLABLE"/>
    <s v="Y"/>
    <s v="REGS"/>
    <s v="Secured"/>
    <s v="EUR"/>
    <s v="B"/>
    <s v="N.S."/>
    <s v="FIXED"/>
    <s v="S/A"/>
    <x v="128"/>
    <s v="Materials"/>
    <s v="Chemicals"/>
    <s v="Corporate"/>
    <s v="Industrial"/>
    <s v="Basic Industry"/>
    <s v="Chemicals"/>
    <s v="STEP-UP MARGIN: 0.2% REDEMPTION PRICE PER SPT. STEP-UP EVENT: FAILURE TO MEET YEARLY SPT 1/2/3 BY YEAR-END 2021-2026."/>
    <n v="60"/>
    <m/>
    <x v="1"/>
    <x v="2"/>
    <x v="1"/>
    <x v="1"/>
  </r>
  <r>
    <n v="100"/>
    <s v="FIS Fabbrica Italiana Sintetici SpA"/>
    <s v="XS2436586247"/>
    <s v="BT9871331"/>
    <s v="BBG014ZYYKB3"/>
    <s v="FISITA"/>
    <s v="IT"/>
    <s v="IT"/>
    <s v="IT"/>
    <b v="1"/>
    <n v="5.625"/>
    <s v="2022-02-10"/>
    <s v="2027-08-01"/>
    <n v="5.8429000000000002"/>
    <s v="CALLABLE"/>
    <s v="Y"/>
    <s v="144A"/>
    <s v="Secured"/>
    <s v="EUR"/>
    <s v="B"/>
    <s v="N.S."/>
    <s v="FIXED"/>
    <s v="S/A"/>
    <x v="128"/>
    <s v="Materials"/>
    <s v="Chemicals"/>
    <s v="Corporate"/>
    <s v="Industrial"/>
    <s v="Basic Industry"/>
    <s v="Chemicals"/>
    <s v="STEP-UP MARGIN: 0.2% REDEMPTION PRICE PER SPT. STEP-UP EVENT: FAILURE TO MEET YEARLY SPT 1/2/3 BY YEAR-END 2021-2026."/>
    <n v="60"/>
    <m/>
    <x v="1"/>
    <x v="2"/>
    <x v="1"/>
    <x v="1"/>
  </r>
  <r>
    <n v="18"/>
    <s v="Atrium Ljungberg AB"/>
    <s v="SE0013883428"/>
    <s v="BU3126846"/>
    <s v="BBG01561W2S8"/>
    <s v="ATRLJB"/>
    <s v="SE"/>
    <s v="SE"/>
    <s v="SE"/>
    <b v="1"/>
    <n v="1.3320000000000001"/>
    <s v="2022-02-22"/>
    <s v="2027-02-22"/>
    <n v="1.4698"/>
    <s v="AT MATURITY"/>
    <s v="N"/>
    <s v="#N/A Field Not Applicable"/>
    <s v="Sr Unsecured"/>
    <s v="SEK"/>
    <s v="#N/A N/A"/>
    <s v="N.S."/>
    <s v="FLOATING"/>
    <s v="Qtrly"/>
    <x v="129"/>
    <s v="Financials"/>
    <s v="Real Estate"/>
    <s v="Corporate"/>
    <s v="Industrial"/>
    <s v="Consumer Cyclical"/>
    <s v="Consumer Cyc Services"/>
    <s v="SUSTAIN. LINKD. KPI 1-4 &amp; SPT 1-4 AS PER SUSTAIN. FRAMEWRK. REDMPT PX INCREASE BY 0.25% PER SPT IF NOT FULFLLD BY 12/31/25. MAX REDMPT 101"/>
    <n v="100"/>
    <m/>
    <x v="1"/>
    <x v="2"/>
    <x v="1"/>
    <x v="3"/>
  </r>
  <r>
    <n v="271"/>
    <s v="Vestas Wind Systems Finance BV"/>
    <s v="XS2449928543"/>
    <s v="BU6749503"/>
    <s v="BBG015JQWQ42"/>
    <s v="VWSDC"/>
    <s v="NL"/>
    <s v="NL"/>
    <s v="NL"/>
    <b v="1"/>
    <n v="1.5"/>
    <s v="2022-03-15"/>
    <s v="2029-06-15"/>
    <n v="1.524"/>
    <s v="CALLABLE"/>
    <s v="Y"/>
    <s v="EMTN"/>
    <s v="Sr Unsecured"/>
    <s v="EUR"/>
    <s v="NR"/>
    <s v="N.S."/>
    <s v="FIXED"/>
    <s v="Annual"/>
    <x v="130"/>
    <s v="Energy"/>
    <s v="Renewable Energy"/>
    <s v="Corporate"/>
    <s v="Industrial"/>
    <s v="Capital Goods"/>
    <s v="Diversified Manufacturing"/>
    <s v="STEP-UP MARGIN: UP TO 25BP; STEP-UP EVENT: SCOPE 1, 2 AND 3 CO2 EMISSIONS"/>
    <n v="25"/>
    <m/>
    <x v="1"/>
    <x v="3"/>
    <x v="0"/>
    <x v="1"/>
  </r>
  <r>
    <n v="272"/>
    <s v="Vestas Wind Systems Finance BV"/>
    <s v="XS2449929517"/>
    <s v="BU6749586"/>
    <s v="BBG015JQWRH6"/>
    <s v="VWSDC"/>
    <s v="NL"/>
    <s v="NL"/>
    <s v="NL"/>
    <b v="1"/>
    <n v="2"/>
    <s v="2022-03-15"/>
    <s v="2034-06-15"/>
    <n v="2.1190000000000002"/>
    <s v="CALLABLE"/>
    <s v="Y"/>
    <s v="EMTN"/>
    <s v="Sr Unsecured"/>
    <s v="EUR"/>
    <s v="NR"/>
    <s v="N.S."/>
    <s v="FIXED"/>
    <s v="Annual"/>
    <x v="130"/>
    <s v="Energy"/>
    <s v="Renewable Energy"/>
    <s v="Corporate"/>
    <s v="Industrial"/>
    <s v="Capital Goods"/>
    <s v="Diversified Manufacturing"/>
    <s v="STEP-UP MARGIN: UP TO 25BP; STEP-UP EVENT: SCOPE 1, 2 AND 3 CO2 EMISSIONS"/>
    <n v="25"/>
    <m/>
    <x v="1"/>
    <x v="3"/>
    <x v="0"/>
    <x v="1"/>
  </r>
  <r>
    <n v="264"/>
    <s v="Varta AG"/>
    <s v="#N/A Field Not Applicable"/>
    <s v="BU9302615"/>
    <s v="BBG015R5V118"/>
    <s v="VARGR"/>
    <s v="DE"/>
    <s v="DE"/>
    <s v="DE"/>
    <b v="1"/>
    <n v="0"/>
    <s v="2022-03-30"/>
    <s v="2029-03-30"/>
    <s v="N/A"/>
    <s v="AT MATURITY"/>
    <s v="N"/>
    <s v="7Y"/>
    <s v="Sr Unsecured"/>
    <s v="EUR"/>
    <s v="#N/A N/A"/>
    <s v="N.S."/>
    <s v="FLOATING"/>
    <s v="S/A"/>
    <x v="131"/>
    <s v="Consumer Staples"/>
    <s v="Consumer Products"/>
    <s v="Corporate"/>
    <s v="Industrial"/>
    <s v="Capital Goods"/>
    <s v="Diversified Manufacturing"/>
    <s v="ESG LINKED +/-2.5 BPS BASED ON SUSTAINALYTICS ESG RATING."/>
    <n v="2.5"/>
    <n v="2.5"/>
    <x v="0"/>
    <x v="0"/>
    <x v="0"/>
    <x v="0"/>
  </r>
  <r>
    <n v="263"/>
    <s v="Varta AG"/>
    <s v="#N/A Field Not Applicable"/>
    <s v="BU9303993"/>
    <s v="BBG015R60762"/>
    <s v="VARGR"/>
    <s v="DE"/>
    <s v="DE"/>
    <s v="DE"/>
    <b v="1"/>
    <n v="0"/>
    <s v="2022-03-30"/>
    <s v="2027-03-30"/>
    <s v="N/A"/>
    <s v="AT MATURITY"/>
    <s v="N"/>
    <s v="5Y"/>
    <s v="Sr Unsecured"/>
    <s v="EUR"/>
    <s v="#N/A N/A"/>
    <s v="N.S."/>
    <s v="FLOATING"/>
    <s v="S/A"/>
    <x v="131"/>
    <s v="Consumer Staples"/>
    <s v="Consumer Products"/>
    <s v="Corporate"/>
    <s v="Industrial"/>
    <s v="Capital Goods"/>
    <s v="Diversified Manufacturing"/>
    <s v="ESG LINKED +/-2.5 BPS BASED ON SUSTAINALYTICS ESG RATING."/>
    <n v="2.5"/>
    <n v="2.5"/>
    <x v="0"/>
    <x v="0"/>
    <x v="0"/>
    <x v="0"/>
  </r>
  <r>
    <n v="2"/>
    <s v="A2A SpA"/>
    <s v="XS2457496359"/>
    <s v="BV1138858"/>
    <s v="BBG015XJG305"/>
    <s v="AEMSPA"/>
    <s v="IT"/>
    <s v="IT"/>
    <s v="IT"/>
    <b v="1"/>
    <n v="1.5"/>
    <s v="2022-03-16"/>
    <s v="2028-03-16"/>
    <n v="1.6220000000000001"/>
    <s v="CALLABLE"/>
    <s v="Y"/>
    <s v="EMTN"/>
    <s v="Sr Unsecured"/>
    <s v="EUR"/>
    <s v="BBB"/>
    <s v="N.S."/>
    <s v="FIXED"/>
    <s v="Annual"/>
    <x v="132"/>
    <s v="Utilities"/>
    <s v="Power Generation"/>
    <s v="Government-Related"/>
    <s v="Local Authority"/>
    <s v="Local Authority"/>
    <s v="Local Authority"/>
    <s v="RENEWABLE ENERGY SLB. SPT: INSTALLATION &lt; 3,000MW on 12/31/2024. STEP-UP: 25bpts"/>
    <n v="25"/>
    <m/>
    <x v="1"/>
    <x v="3"/>
    <x v="0"/>
    <x v="1"/>
  </r>
  <r>
    <n v="162"/>
    <s v="LANXESS AG"/>
    <s v="XS2459163619"/>
    <s v="BV2249076"/>
    <s v="BBG0160XMH28"/>
    <s v="LXSGR"/>
    <s v="DE"/>
    <s v="DE"/>
    <s v="DE"/>
    <b v="1"/>
    <n v="1.75"/>
    <s v="2022-03-22"/>
    <s v="2028-03-22"/>
    <n v="1.8129999999999999"/>
    <s v="CALLABLE"/>
    <s v="Y"/>
    <s v="EMTN"/>
    <s v="Sr Unsecured"/>
    <s v="EUR"/>
    <s v="BBB"/>
    <s v="AA"/>
    <s v="FIXED"/>
    <s v="Annual"/>
    <x v="133"/>
    <s v="Materials"/>
    <s v="Chemicals"/>
    <s v="Corporate"/>
    <s v="Industrial"/>
    <s v="Basic Industry"/>
    <s v="Chemicals"/>
    <s v="STEP-UP MARGIN: 25BPS, STEP-UP EVENT: REDUCTION OF GHG EMISSIONS (SCOPE 1+2) BY 600KT TO 2,600KT (81.25% OF THE 2018 BASELINE) BY 2025"/>
    <n v="25"/>
    <m/>
    <x v="1"/>
    <x v="3"/>
    <x v="0"/>
    <x v="1"/>
  </r>
  <r>
    <n v="161"/>
    <s v="L'Oreal SA"/>
    <s v="FR0014009EJ8"/>
    <s v="BV4081634"/>
    <s v="BBG0167XVGD1"/>
    <s v="ORFP"/>
    <s v="FR"/>
    <s v="FR"/>
    <s v="FR"/>
    <b v="1"/>
    <n v="0.875"/>
    <s v="2022-03-29"/>
    <s v="2026-06-29"/>
    <n v="0.90100000000000002"/>
    <s v="CALLABLE"/>
    <s v="Y"/>
    <s v="#N/A Field Not Applicable"/>
    <s v="Sr Unsecured"/>
    <s v="EUR"/>
    <s v="AA"/>
    <s v="AAA"/>
    <s v="FIXED"/>
    <s v="Annual"/>
    <x v="134"/>
    <s v="Consumer Staples"/>
    <s v="Consumer Products"/>
    <s v="Corporate"/>
    <s v="Industrial"/>
    <s v="Consumer Non-Cyclical"/>
    <s v="Consumer Products"/>
    <s v="STEP-UP MARGIN: 12.5BP PER SPT (2025); SPT1: 0 ABSOLUTE SCOPES 1,2 GHG, SPT2: 14% REDUCTION OF SCOPES 1,2,3; SPT3: USE 50% OF RECYCLED PLASTICS IN PACKAGING"/>
    <n v="37.5"/>
    <m/>
    <x v="1"/>
    <x v="2"/>
    <x v="1"/>
    <x v="1"/>
  </r>
  <r>
    <n v="111"/>
    <s v="Faurecia SE"/>
    <s v="#N/A Field Not Applicable"/>
    <s v="BV4095907"/>
    <s v="BBG0167Z1CR3"/>
    <s v="EOFP"/>
    <s v="FR"/>
    <s v="FR"/>
    <s v="FR"/>
    <b v="1"/>
    <n v="0"/>
    <s v="2022-02-25"/>
    <s v="2030-02-25"/>
    <s v="N/A"/>
    <s v="AT MATURITY"/>
    <s v="N"/>
    <s v="8Y"/>
    <s v="Sr Unsecured"/>
    <s v="EUR"/>
    <s v="#N/A N/A"/>
    <s v="BB"/>
    <s v="FLOATING"/>
    <s v="S/A"/>
    <x v="135"/>
    <s v="Consumer Discretionary"/>
    <s v="Auto Parts Manufacturing"/>
    <s v="Corporate"/>
    <s v="Industrial"/>
    <s v="Consumer Cyclical"/>
    <s v="Automotive"/>
    <s v="GHG EMISSIONS SCOPE 1&amp;2 "/>
    <n v="25"/>
    <m/>
    <x v="1"/>
    <x v="3"/>
    <x v="0"/>
    <x v="1"/>
  </r>
  <r>
    <n v="38"/>
    <s v="Carrefour SA"/>
    <s v="FR0014009DZ6"/>
    <s v="BV4439030"/>
    <s v="BBG0168SHTJ3"/>
    <s v="CAFP"/>
    <s v="FR"/>
    <s v="FR"/>
    <s v="FR"/>
    <b v="1"/>
    <n v="1.875"/>
    <s v="2022-03-30"/>
    <s v="2026-10-30"/>
    <n v="1.8644000000000001"/>
    <s v="CALLABLE"/>
    <s v="Y"/>
    <s v="EMTN"/>
    <s v="Sr Unsecured"/>
    <s v="EUR"/>
    <s v="NR"/>
    <s v="A"/>
    <s v="FIXED"/>
    <s v="Annual"/>
    <x v="136"/>
    <s v="Consumer Staples"/>
    <s v="Supermarkets &amp; Pharmacies"/>
    <s v="Corporate"/>
    <s v="Industrial"/>
    <s v="Consumer Non-Cyclical"/>
    <s v="Supermarkets"/>
    <s v="SLB. SPT1/SPT2: SUSTAINABLE FARMING AND FOOD. STEP-UP: 25BPTS IF BOTH SPT NOT SATISFIED ON 10/2026"/>
    <n v="25"/>
    <m/>
    <x v="1"/>
    <x v="3"/>
    <x v="0"/>
    <x v="1"/>
  </r>
  <r>
    <n v="39"/>
    <s v="Carrefour SA"/>
    <s v="FR0014009E07"/>
    <s v="BV4439048"/>
    <s v="BBG0168SHW06"/>
    <s v="CAFP"/>
    <s v="FR"/>
    <s v="FR"/>
    <s v="FR"/>
    <b v="1"/>
    <n v="2.375"/>
    <s v="2022-03-30"/>
    <s v="2029-10-30"/>
    <n v="2.4710000000000001"/>
    <s v="CALLABLE"/>
    <s v="Y"/>
    <s v="EMTN"/>
    <s v="Sr Unsecured"/>
    <s v="EUR"/>
    <s v="NR"/>
    <s v="A"/>
    <s v="FIXED"/>
    <s v="Annual"/>
    <x v="136"/>
    <s v="Consumer Staples"/>
    <s v="Supermarkets &amp; Pharmacies"/>
    <s v="Corporate"/>
    <s v="Industrial"/>
    <s v="Consumer Non-Cyclical"/>
    <s v="Supermarkets"/>
    <s v="SLB. SPT1/SPT2: SUSTAINABLE FARMING AND FOOD. STEP-UP: 25BPTS EACH YEAR IF BOTH SPT NOT SATISFIED ON 10/2026, 2027, 2028 AND 2029"/>
    <n v="25"/>
    <m/>
    <x v="1"/>
    <x v="3"/>
    <x v="0"/>
    <x v="1"/>
  </r>
  <r>
    <n v="36"/>
    <s v="Cabonline Group Holding AB"/>
    <s v="SE0017767346"/>
    <s v="BV5219233"/>
    <s v="BBG016C519Z1"/>
    <s v="CABONL"/>
    <s v="SE"/>
    <s v="SE"/>
    <s v="SE"/>
    <b v="1"/>
    <n v="9.572000000000001"/>
    <s v="2022-04-19"/>
    <s v="2026-04-19"/>
    <n v="9.1479999999999997"/>
    <s v="CALLABLE"/>
    <s v="Y"/>
    <s v="#N/A Field Not Applicable"/>
    <s v="Secured"/>
    <s v="SEK"/>
    <s v="#N/A N/A"/>
    <s v="N.S."/>
    <s v="FLOATING"/>
    <s v="Qtrly"/>
    <x v="137"/>
    <s v="Technology"/>
    <s v="Software &amp; Services"/>
    <s v="Corporate"/>
    <s v="Industrial"/>
    <s v="Technology"/>
    <s v="Technology"/>
    <s v="STEP-UP MARGIN: 75BPS, STEP-UP EVENT: FAIL TO INC % NON-FOSSIL VEHICLES TO 50%, ALCOHOL IGNITION INTERLOCKS TO 87%, SBTi ALIGNMENT BY END 2025"/>
    <n v="75"/>
    <m/>
    <x v="1"/>
    <x v="2"/>
    <x v="0"/>
    <x v="1"/>
  </r>
  <r>
    <n v="68"/>
    <s v="EQT AB"/>
    <s v="XS2463988795"/>
    <s v="BV5722137"/>
    <s v="BBG016DGDJP2"/>
    <s v="EQTSS"/>
    <s v="SE"/>
    <s v="SE"/>
    <s v="SE"/>
    <b v="1"/>
    <n v="2.375"/>
    <s v="2022-04-06"/>
    <s v="2028-04-06"/>
    <n v="2.46"/>
    <s v="CALLABLE"/>
    <s v="Y"/>
    <s v="#N/A Field Not Applicable"/>
    <s v="Sr Unsecured"/>
    <s v="EUR"/>
    <s v="NR"/>
    <s v="AA"/>
    <s v="FIXED"/>
    <s v="Annual"/>
    <x v="138"/>
    <s v="Financials"/>
    <s v="Financial Services"/>
    <s v="Corporate"/>
    <s v="Financial Institutions"/>
    <s v="Brokerage Assetmanagers Exchanges"/>
    <s v="Brokerage Assetmanagers Exchanges"/>
    <s v="STEP-UP MARGIN: 25BPS, STEP-UP EVENT: &lt;40% BY EUR INVESTED OF EQT ELIGIBLE EQUITY PORTFOLIO COMPANIES SET SBTs APPROVED BY SBTi BY 2025"/>
    <n v="25"/>
    <m/>
    <x v="1"/>
    <x v="3"/>
    <x v="0"/>
    <x v="3"/>
  </r>
  <r>
    <n v="34"/>
    <s v="CEZ AS"/>
    <s v="XS2461786829"/>
    <s v="BV5734215"/>
    <s v="BBG016DHPQP1"/>
    <s v="CEZCP"/>
    <s v="CZ"/>
    <s v="CZ"/>
    <s v="CZ"/>
    <b v="1"/>
    <n v="2.375"/>
    <s v="2022-04-06"/>
    <s v="2027-04-06"/>
    <n v="2.4620000000000002"/>
    <s v="CALLABLE"/>
    <s v="Y"/>
    <s v="EMTN"/>
    <s v="Sr Unsecured"/>
    <s v="EUR"/>
    <s v="BBB+"/>
    <s v="AA"/>
    <s v="FIXED"/>
    <s v="Annual"/>
    <x v="139"/>
    <s v="Utilities"/>
    <s v="Power Generation"/>
    <s v="Government-Related"/>
    <s v="Agency"/>
    <s v="Government Owned, No Guarantee"/>
    <s v="Government Owned, No Guarantee"/>
    <s v="STEP-UP MARGIN: 75BPS UPON LAST COUPON DATE; SPT: GHG EMISSION INTENSITY (SCOPE 1) 0.26 tCO2e/MWh BY 12/31/2025, 30.8% REDUCTION VS 2019 BASELINE"/>
    <n v="75"/>
    <m/>
    <x v="1"/>
    <x v="2"/>
    <x v="0"/>
    <x v="1"/>
  </r>
  <r>
    <n v="231"/>
    <s v="Sanofi"/>
    <s v="FR0014009KQ0"/>
    <s v="BV6300149"/>
    <s v="BBG016FVB8G3"/>
    <s v="SANFP"/>
    <s v="FR"/>
    <s v="FR"/>
    <s v="FR"/>
    <b v="1"/>
    <n v="1.25"/>
    <s v="2022-04-06"/>
    <s v="2029-04-06"/>
    <n v="1.302"/>
    <s v="CALLABLE"/>
    <s v="Y"/>
    <s v="#N/A Field Not Applicable"/>
    <s v="Sr Unsecured"/>
    <s v="EUR"/>
    <s v="AA-"/>
    <s v="A"/>
    <s v="FIXED"/>
    <s v="Annual"/>
    <x v="140"/>
    <s v="Health Care"/>
    <s v="Pharmaceuticals"/>
    <s v="Corporate"/>
    <s v="Industrial"/>
    <s v="Consumer Non-Cyclical"/>
    <s v="Pharmaceuticals"/>
    <s v="STEP-UP MARGIN: 25 BPS (12/31/2026); SPT: PROVISION OF ESSENTIAL MEDICINES TO AT LEAST 1.5 MILLION PATIENTS IN LOW/LOWER-MIDDLE INCOME COUNTRIES"/>
    <n v="25"/>
    <m/>
    <x v="1"/>
    <x v="3"/>
    <x v="0"/>
    <x v="4"/>
  </r>
  <r>
    <n v="194"/>
    <s v="Pernod Ricard SA"/>
    <s v="FR0014009L57"/>
    <s v="BV6300610"/>
    <s v="BBG016FVKCG4"/>
    <s v="RIFP"/>
    <s v="FR"/>
    <s v="FR"/>
    <s v="FR"/>
    <b v="1"/>
    <n v="1.375"/>
    <s v="2022-04-07"/>
    <s v="2029-04-07"/>
    <n v="1.5629999999999999"/>
    <s v="CALLABLE"/>
    <s v="Y"/>
    <s v="#N/A Field Not Applicable"/>
    <s v="Sr Unsecured"/>
    <s v="EUR"/>
    <s v="BBB+"/>
    <s v="AA"/>
    <s v="FIXED"/>
    <s v="Annual"/>
    <x v="141"/>
    <s v="Consumer Staples"/>
    <s v="Food &amp; Beverage"/>
    <s v="Corporate"/>
    <s v="Industrial"/>
    <s v="Consumer Non-Cyclical"/>
    <s v="Food and Beverage"/>
    <s v="SLB BOND. SPT1: GHG EMISSIONS; SPT2: WATER CONSUMPTION. OBSERVATION DATE: 06/30/2025. STEP-UP: 25BPTS IF SPT1 OR SPT2 NOT ACHIEVED."/>
    <n v="25"/>
    <m/>
    <x v="1"/>
    <x v="3"/>
    <x v="0"/>
    <x v="1"/>
  </r>
  <r>
    <n v="70"/>
    <s v="EQT AB"/>
    <s v="XS2463990775"/>
    <s v="BV6301808"/>
    <s v="BBG016FVV522"/>
    <s v="EQTSS"/>
    <s v="SE"/>
    <s v="SE"/>
    <s v="SE"/>
    <b v="1"/>
    <n v="2.875"/>
    <s v="2022-04-06"/>
    <s v="2032-04-06"/>
    <n v="2.944"/>
    <s v="CALLABLE"/>
    <s v="Y"/>
    <s v="#N/A Field Not Applicable"/>
    <s v="Sr Unsecured"/>
    <s v="EUR"/>
    <s v="NR"/>
    <s v="AA"/>
    <s v="FIXED"/>
    <s v="Annual"/>
    <x v="138"/>
    <s v="Financials"/>
    <s v="Financial Services"/>
    <s v="Corporate"/>
    <s v="Financial Institutions"/>
    <s v="Brokerage Assetmanagers Exchanges"/>
    <s v="Brokerage Assetmanagers Exchanges"/>
    <s v="STEP-UP MARGIN: 20BPS, STEP-UP EVENT: &lt;40% BY EUR INVESTED OF EQT ELIGIBLE EQUITY PORTFOLIO COMPANIES SET SBTs APPROVED BY SBTi BY 2025"/>
    <n v="20"/>
    <m/>
    <x v="1"/>
    <x v="0"/>
    <x v="0"/>
    <x v="3"/>
  </r>
  <r>
    <n v="132"/>
    <s v="Holcim Finance Luxembourg SA"/>
    <s v="XS2463497201"/>
    <s v="BV6871503"/>
    <s v="BBG016J5TZT3"/>
    <s v="HOLNSW"/>
    <s v="LU"/>
    <s v="LU"/>
    <s v="CH"/>
    <b v="0"/>
    <n v="1.625"/>
    <s v="2022-04-01"/>
    <s v="2026-05-07"/>
    <n v="1.4581999999999999"/>
    <s v="AT MATURITY"/>
    <s v="N"/>
    <s v="EMTN"/>
    <s v="Sr Unsecured"/>
    <s v="EUR"/>
    <s v="NR"/>
    <s v="N.S."/>
    <s v="FIXED"/>
    <s v="Annual"/>
    <x v="142"/>
    <s v="Materials"/>
    <s v="Construction Materials Manufacturing"/>
    <s v="Corporate"/>
    <s v="Industrial"/>
    <s v="Capital Goods"/>
    <s v="Building Materials"/>
    <s v="STEP-UP MARGIN: 12.5BP PER SPT (12/31/2025) 2018 BASELINE; SPT1: CARBON INTENSITY REDUCTION 9.7%; SPT2: FRESHWATER WITHDRAWAL 25%"/>
    <n v="25"/>
    <m/>
    <x v="1"/>
    <x v="3"/>
    <x v="1"/>
    <x v="1"/>
  </r>
  <r>
    <n v="96"/>
    <s v="Enel Finance International NV"/>
    <s v="XS2466363202"/>
    <s v="BV7154339"/>
    <s v="BBG016K63167"/>
    <s v="ENELIM"/>
    <s v="NL"/>
    <s v="NL"/>
    <s v="IT"/>
    <b v="0"/>
    <n v="2.875"/>
    <s v="2022-04-11"/>
    <s v="2029-04-11"/>
    <n v="3.0615999999999999"/>
    <s v="CALLABLE"/>
    <s v="Y"/>
    <s v="EMTN"/>
    <s v="Sr Unsecured"/>
    <s v="GBP"/>
    <s v="BBB+"/>
    <s v="N.S."/>
    <s v="FIXED"/>
    <s v="Annual"/>
    <x v="143"/>
    <s v="Utilities"/>
    <s v="Utilities"/>
    <s v="Corporate"/>
    <s v="Utility"/>
    <s v="Electric"/>
    <s v="Electric"/>
    <s v="STEP-UP MARGIN: 25BPS; STEP-UP EVENT: DIRECT GHG EMISSIONS AS OF 31 DECEMBER 2024 BEING ABOVE 140G/KWHEQ, AS CONFIRMED BY EXTERNAL VERIFIER"/>
    <n v="25"/>
    <m/>
    <x v="1"/>
    <x v="3"/>
    <x v="0"/>
    <x v="1"/>
  </r>
  <r>
    <n v="37"/>
    <s v="CapMan Oyj"/>
    <s v="FI4000519178"/>
    <s v="BV7160799"/>
    <s v="BBG016K6QTV3"/>
    <s v="CPMBV"/>
    <s v="FI"/>
    <s v="FI"/>
    <s v="FI"/>
    <b v="1"/>
    <n v="4.5"/>
    <s v="2022-04-13"/>
    <s v="2027-04-13"/>
    <n v="4.5"/>
    <s v="CALLABLE"/>
    <s v="Y"/>
    <s v="#N/A Field Not Applicable"/>
    <s v="Sr Unsecured"/>
    <s v="EUR"/>
    <s v="#N/A N/A"/>
    <s v="N.S."/>
    <s v="FIXED"/>
    <s v="Annual"/>
    <x v="144"/>
    <s v="Financials"/>
    <s v="Financial Services"/>
    <s v="Corporate"/>
    <s v="Financial Institutions"/>
    <s v="Brokerage Assetmanagers Exchanges"/>
    <s v="Brokerage Assetmanagers Exchanges"/>
    <s v="STEP-UP MARGIN: 25BPS PER SPT; SPT1: REDUCE GHG EMISSIONS BY 12/2023; SPT2: INTEGRATE SUST. OBJECTIVIES INTO MANAGEMENT'S RENUMERATION BY 12/2023"/>
    <n v="50"/>
    <m/>
    <x v="1"/>
    <x v="2"/>
    <x v="1"/>
    <x v="1"/>
  </r>
  <r>
    <n v="143"/>
    <s v="JAB Holdings BV"/>
    <s v="US46653KAC27"/>
    <s v="BV7511991"/>
    <s v="BBG016LBJ5Y8"/>
    <s v="JABHOL"/>
    <s v="NL"/>
    <s v="NL"/>
    <s v="AT"/>
    <b v="0"/>
    <n v="4.5"/>
    <s v="2022-04-08"/>
    <s v="2052-04-08"/>
    <n v="4.6080000000000005"/>
    <s v="CALLABLE"/>
    <s v="Y"/>
    <s v="144A"/>
    <s v="Sr Unsecured"/>
    <s v="USD"/>
    <s v="BBB"/>
    <s v="N.S."/>
    <s v="FIXED"/>
    <s v="S/A"/>
    <x v="12"/>
    <s v="Financials"/>
    <s v="Financial Services"/>
    <s v="Corporate"/>
    <s v="Industrial"/>
    <s v="Consumer Non-Cyclical"/>
    <s v="Consumer Products"/>
    <s v="STEP-UP MARGIN: UP TO 25 BPS; KPIs: (i,ii) 46.2% SCOPE 1,2 GHG EMISSIONS REDUCTION, (iii) GENDER EQUALITY"/>
    <n v="25"/>
    <m/>
    <x v="1"/>
    <x v="3"/>
    <x v="0"/>
    <x v="3"/>
  </r>
  <r>
    <n v="142"/>
    <s v="JAB Holdings BV"/>
    <s v="USN4717KBG06"/>
    <s v="BV7512007"/>
    <s v="BBG016LBJ8B7"/>
    <s v="JABHOL"/>
    <s v="NL"/>
    <s v="NL"/>
    <s v="AT"/>
    <b v="0"/>
    <n v="4.5"/>
    <s v="2022-04-08"/>
    <s v="2052-04-08"/>
    <n v="4.6080000000000005"/>
    <s v="CALLABLE"/>
    <s v="Y"/>
    <s v="REGS"/>
    <s v="Sr Unsecured"/>
    <s v="USD"/>
    <s v="BBB"/>
    <s v="N.S."/>
    <s v="FIXED"/>
    <s v="S/A"/>
    <x v="12"/>
    <s v="Financials"/>
    <s v="Financial Services"/>
    <s v="Corporate"/>
    <s v="Industrial"/>
    <s v="Consumer Non-Cyclical"/>
    <s v="Consumer Products"/>
    <s v="STEP-UP MARGIN: UP TO 25 BPS; KPIs: (i,ii) 46.2% SCOPE 1,2 GHG EMISSIONS REDUCTION, (iii) GENDER EQUALITY"/>
    <n v="25"/>
    <m/>
    <x v="1"/>
    <x v="3"/>
    <x v="0"/>
    <x v="3"/>
  </r>
  <r>
    <n v="15"/>
    <s v="Arcos Dorados BV"/>
    <s v="US03965TAB98"/>
    <s v="BW0558104"/>
    <s v="BBG016Z4HQP5"/>
    <s v="ARCO"/>
    <s v="NL"/>
    <s v="NL"/>
    <s v="BR"/>
    <b v="0"/>
    <n v="6.125"/>
    <s v="2022-04-27"/>
    <s v="2029-05-27"/>
    <n v="6.125"/>
    <s v="CALLABLE"/>
    <s v="Y"/>
    <s v="144A"/>
    <s v="Sr Unsecured"/>
    <s v="USD"/>
    <s v="NR"/>
    <s v="N.S."/>
    <s v="FIXED"/>
    <s v="S/A"/>
    <x v="34"/>
    <s v="Consumer Discretionary"/>
    <s v="Restaurants"/>
    <s v="Corporate"/>
    <s v="Industrial"/>
    <s v="Consumer Cyclical"/>
    <s v="Restaurants"/>
    <s v="STEP-UP MARGIN: 12.5BPS/25BPS, STEP-UP EVENT: FAIL TO ACHIEVE EITHER SPT1 OR SPT2/FAIL TO ACHIEVE BOTH SPT1 AND SPT2 BY 12/31/2025."/>
    <n v="25"/>
    <m/>
    <x v="1"/>
    <x v="3"/>
    <x v="1"/>
    <x v="1"/>
  </r>
  <r>
    <n v="16"/>
    <s v="Arcos Dorados BV"/>
    <s v="USP04568AB06"/>
    <s v="BW0558112"/>
    <s v="BBG016Z4HSV4"/>
    <s v="ARCO"/>
    <s v="NL"/>
    <s v="NL"/>
    <s v="BR"/>
    <b v="0"/>
    <n v="6.125"/>
    <s v="2022-04-27"/>
    <s v="2029-05-27"/>
    <n v="6.125"/>
    <s v="CALLABLE"/>
    <s v="Y"/>
    <s v="REGS"/>
    <s v="Sr Unsecured"/>
    <s v="USD"/>
    <s v="NR"/>
    <s v="N.S."/>
    <s v="FIXED"/>
    <s v="S/A"/>
    <x v="34"/>
    <s v="Consumer Discretionary"/>
    <s v="Restaurants"/>
    <s v="Corporate"/>
    <s v="Industrial"/>
    <s v="Consumer Cyclical"/>
    <s v="Restaurants"/>
    <s v="STEP-UP MARGIN: 12.5BPS/25BPS, STEP-UP EVENT: FAIL TO ACHIEVE EITHER SPT1 OR SPT2/FAIL TO ACHIEVE BOTH SPT1 AND SPT2 BY 12/31/2025."/>
    <n v="25"/>
    <m/>
    <x v="1"/>
    <x v="3"/>
    <x v="1"/>
    <x v="1"/>
  </r>
  <r>
    <n v="7"/>
    <s v="Aegea Finance Sarl"/>
    <s v="US00775CAB28"/>
    <s v="BW1911534"/>
    <s v="BBG01730QSH1"/>
    <s v="AEGEBZ"/>
    <s v="LU"/>
    <s v="LU"/>
    <s v="BR"/>
    <b v="0"/>
    <n v="6.75"/>
    <s v="2022-05-06"/>
    <s v="2029-05-20"/>
    <n v="7"/>
    <s v="CALLABLE"/>
    <s v="Y"/>
    <s v="144A"/>
    <s v="Sr Unsecured"/>
    <s v="USD"/>
    <s v="BB"/>
    <s v="N.S."/>
    <s v="FIXED"/>
    <s v="S/A"/>
    <x v="12"/>
    <s v="Utilities"/>
    <s v="Utilities"/>
    <s v="Corporate"/>
    <s v="Utility"/>
    <s v="Other Utility"/>
    <s v="Other Utility"/>
    <s v="N/A"/>
    <s v="n/a"/>
    <m/>
    <x v="1"/>
    <x v="1"/>
    <x v="0"/>
    <x v="3"/>
  </r>
  <r>
    <n v="8"/>
    <s v="Aegea Finance Sarl"/>
    <s v="USL01343AA79"/>
    <s v="BW1912169"/>
    <s v="BBG01730RH48"/>
    <s v="AEGEBZ"/>
    <s v="LU"/>
    <s v="LU"/>
    <s v="BR"/>
    <b v="0"/>
    <n v="6.75"/>
    <s v="2022-05-06"/>
    <s v="2029-05-20"/>
    <n v="7"/>
    <s v="CALLABLE"/>
    <s v="Y"/>
    <s v="REGS"/>
    <s v="Sr Unsecured"/>
    <s v="USD"/>
    <s v="BB"/>
    <s v="N.S."/>
    <s v="FIXED"/>
    <s v="S/A"/>
    <x v="12"/>
    <s v="Utilities"/>
    <s v="Utilities"/>
    <s v="Corporate"/>
    <s v="Utility"/>
    <s v="Other Utility"/>
    <s v="Other Utility"/>
    <s v="N/A"/>
    <s v="n/a"/>
    <m/>
    <x v="1"/>
    <x v="1"/>
    <x v="0"/>
    <x v="3"/>
  </r>
  <r>
    <n v="13"/>
    <s v="Arcadis NV"/>
    <s v="#N/A Field Not Applicable"/>
    <s v="ZO2068393"/>
    <s v="BBG00X02PN86"/>
    <s v="ARCAD"/>
    <s v="NL"/>
    <s v="NL"/>
    <s v="NL"/>
    <b v="1"/>
    <n v="0"/>
    <s v="2020-10-14"/>
    <s v="2027-10-14"/>
    <s v="N/A"/>
    <s v="AT MATURITY"/>
    <s v="N"/>
    <s v="7Y"/>
    <s v="Sr Unsecured"/>
    <s v="EUR"/>
    <s v="#N/A N/A"/>
    <s v="N.S."/>
    <s v="FLOATING"/>
    <s v="S/A"/>
    <x v="145"/>
    <s v="Industrials"/>
    <s v="Industrial Other"/>
    <s v="Corporate"/>
    <s v="Industrial"/>
    <s v="Other Industrial"/>
    <s v="Other Industrial"/>
    <s v="SUSTAINABILITY-LINKED SCHULDSCHEIN. SUSTAINABILITY PRICING ADJUSTMENT: +5BPS IF DEVELOPMENT OF MANAGEMENT SCORE &lt;=53.4; -5BPS IF SCORE &gt;=65."/>
    <n v="5"/>
    <n v="5"/>
    <x v="0"/>
    <x v="0"/>
    <x v="0"/>
    <x v="4"/>
  </r>
  <r>
    <n v="14"/>
    <s v="Arcadis NV"/>
    <s v="#N/A Field Not Applicable"/>
    <s v="ZO2076883"/>
    <s v="BBG00X02SWM7"/>
    <s v="ARCAD"/>
    <s v="NL"/>
    <s v="NL"/>
    <s v="NL"/>
    <b v="1"/>
    <n v="0"/>
    <s v="2020-10-14"/>
    <s v="2025-10-14"/>
    <s v="N/A"/>
    <s v="AT MATURITY"/>
    <s v="N"/>
    <s v="5Y"/>
    <s v="Sr Unsecured"/>
    <s v="EUR"/>
    <s v="#N/A N/A"/>
    <s v="N.S."/>
    <s v="FLOATING"/>
    <s v="S/A"/>
    <x v="145"/>
    <s v="Industrials"/>
    <s v="Industrial Other"/>
    <s v="Corporate"/>
    <s v="Industrial"/>
    <s v="Other Industrial"/>
    <s v="Other Industrial"/>
    <s v="SUSTAINABILITY-LINKED SCHULDSCHEIN. SUSTAINABILITY PRICING ADJUSTMENT: +5BPS IF DEVELOPMENT OF MANAGEMENT SCORE &lt;=53.4; -5BPS IF SCORE &gt;=65."/>
    <n v="5"/>
    <n v="5"/>
    <x v="0"/>
    <x v="0"/>
    <x v="0"/>
    <x v="4"/>
  </r>
  <r>
    <n v="12"/>
    <s v="Arcadis NV"/>
    <s v="#N/A Field Not Applicable"/>
    <s v="ZO2076966"/>
    <s v="BBG00X02SWZ3"/>
    <s v="ARCAD"/>
    <s v="NL"/>
    <s v="NL"/>
    <s v="NL"/>
    <b v="1"/>
    <n v="0"/>
    <s v="2020-10-14"/>
    <s v="2023-10-16"/>
    <s v="N/A"/>
    <s v="AT MATURITY"/>
    <s v="N"/>
    <s v="3Y"/>
    <s v="Sr Unsecured"/>
    <s v="EUR"/>
    <s v="#N/A N/A"/>
    <s v="N.S."/>
    <s v="FLOATING"/>
    <s v="S/A"/>
    <x v="145"/>
    <s v="Industrials"/>
    <s v="Industrial Other"/>
    <s v="Corporate"/>
    <s v="Industrial"/>
    <s v="Other Industrial"/>
    <s v="Other Industrial"/>
    <s v="SUSTAINABILITY-LINKED SCHULDSCHEIN. SUSTAINABILITY PRICING ADJUSTMENT: +5BPS IF DEVELOPMENT OF MANAGEMENT SCORE &lt;=53.4; -5BPS IF SCORE &gt;=65."/>
    <n v="5"/>
    <n v="5"/>
    <x v="0"/>
    <x v="0"/>
    <x v="0"/>
    <x v="4"/>
  </r>
  <r>
    <n v="232"/>
    <s v="Saria SE &amp; Co KG"/>
    <s v="#N/A Field Not Applicable"/>
    <s v="ZO4338356"/>
    <s v="BBG00X7YRF48"/>
    <s v="SARIAS"/>
    <s v="DE"/>
    <s v="DE"/>
    <s v="DE"/>
    <b v="1"/>
    <n v="0"/>
    <s v="2020-11-30"/>
    <s v="2023-11-30"/>
    <s v="N/A"/>
    <s v="AT MATURITY"/>
    <s v="N"/>
    <s v="3Y"/>
    <s v="Sr Unsecured"/>
    <s v="EUR"/>
    <s v="#N/A N/A"/>
    <s v="N.S."/>
    <s v="FLOATING"/>
    <s v="S/A"/>
    <x v="146"/>
    <s v="Industrials"/>
    <s v="Waste &amp; Environment Services &amp; Equipment"/>
    <s v="Corporate"/>
    <s v="Industrial"/>
    <s v="Capital Goods"/>
    <s v="Environmental"/>
    <s v="PRICING STEPS UP BY 50BPS IF NET DEBT/EBITDA &gt;3.75X. MARGIN INCREASES 2BPS IF ESG SCORE IS BELOW 45. DECREASES 2BPS WITH ESG SCORE ABOVE 53."/>
    <n v="2"/>
    <n v="2"/>
    <x v="0"/>
    <x v="0"/>
    <x v="0"/>
    <x v="0"/>
  </r>
  <r>
    <n v="233"/>
    <s v="Saria SE &amp; Co KG"/>
    <s v="#N/A Field Not Applicable"/>
    <s v="ZO4339248"/>
    <s v="BBG00X7YSFH3"/>
    <s v="SARIAS"/>
    <s v="DE"/>
    <s v="DE"/>
    <s v="DE"/>
    <b v="1"/>
    <n v="0"/>
    <s v="2020-11-30"/>
    <s v="2030-11-30"/>
    <s v="N/A"/>
    <s v="AT MATURITY"/>
    <s v="N"/>
    <s v="5Y"/>
    <s v="Sr Unsecured"/>
    <s v="EUR"/>
    <s v="#N/A N/A"/>
    <s v="N.S."/>
    <s v="FLOATING"/>
    <s v="S/A"/>
    <x v="146"/>
    <s v="Industrials"/>
    <s v="Waste &amp; Environment Services &amp; Equipment"/>
    <s v="Corporate"/>
    <s v="Industrial"/>
    <s v="Capital Goods"/>
    <s v="Environmental"/>
    <s v="PRICING STEPS UP BY 50BPS IF NET DEBT/EBITDA &gt;3.75X. MARGIN INCREASES 2BPS IF ESG SCORE IS BELOW 45. DECREASES 2BPS WITH ESG SCORE ABOVE 53."/>
    <n v="2"/>
    <n v="2"/>
    <x v="0"/>
    <x v="0"/>
    <x v="0"/>
    <x v="0"/>
  </r>
  <r>
    <n v="235"/>
    <s v="Saria SE &amp; Co KG"/>
    <s v="#N/A Field Not Applicable"/>
    <s v="ZO4339677"/>
    <s v="BBG00X7YT0S3"/>
    <s v="SARIAS"/>
    <s v="DE"/>
    <s v="DE"/>
    <s v="DE"/>
    <b v="1"/>
    <n v="0"/>
    <s v="2020-11-30"/>
    <s v="2027-11-30"/>
    <s v="N/A"/>
    <s v="AT MATURITY"/>
    <s v="N"/>
    <s v="7Y"/>
    <s v="Sr Unsecured"/>
    <s v="EUR"/>
    <s v="#N/A N/A"/>
    <s v="N.S."/>
    <s v="FLOATING"/>
    <s v="S/A"/>
    <x v="146"/>
    <s v="Industrials"/>
    <s v="Waste &amp; Environment Services &amp; Equipment"/>
    <s v="Corporate"/>
    <s v="Industrial"/>
    <s v="Capital Goods"/>
    <s v="Environmental"/>
    <s v="PRICING STEPS UP BY 50BPS IF NET DEBT/EBITDA &gt;3.75X. MARGIN INCREASES 2BPS IF ESG SCORE IS BELOW 45. DECREASES 2BPS WITH ESG SCORE ABOVE 53."/>
    <n v="2"/>
    <n v="2"/>
    <x v="0"/>
    <x v="0"/>
    <x v="0"/>
    <x v="0"/>
  </r>
  <r>
    <n v="234"/>
    <s v="Saria SE &amp; Co KG"/>
    <s v="#N/A Field Not Applicable"/>
    <s v="ZO4339917"/>
    <s v="BBG00X7YTD87"/>
    <s v="SARIAS"/>
    <s v="DE"/>
    <s v="DE"/>
    <s v="DE"/>
    <b v="1"/>
    <n v="0"/>
    <s v="2020-11-30"/>
    <s v="2030-11-30"/>
    <s v="N/A"/>
    <s v="AT MATURITY"/>
    <s v="N"/>
    <s v="10Y"/>
    <s v="Sr Unsecured"/>
    <s v="EUR"/>
    <s v="#N/A N/A"/>
    <s v="N.S."/>
    <s v="FLOATING"/>
    <s v="S/A"/>
    <x v="146"/>
    <s v="Industrials"/>
    <s v="Waste &amp; Environment Services &amp; Equipment"/>
    <s v="Corporate"/>
    <s v="Industrial"/>
    <s v="Capital Goods"/>
    <s v="Environmental"/>
    <s v="PRICING STEPS UP BY 50BPS IF NET DEBT/EBITDA &gt;3.75X. MARGIN INCREASES 2BPS IF ESG SCORE IS BELOW 45. DECREASES 2BPS WITH ESG SCORE ABOVE 53."/>
    <n v="2"/>
    <n v="2"/>
    <x v="0"/>
    <x v="0"/>
    <x v="0"/>
    <x v="0"/>
  </r>
  <r>
    <n v="244"/>
    <s v="Suzano Austria GmbH"/>
    <s v="US86964WAJ18"/>
    <s v="ZO4406484"/>
    <s v="BBG00X8QXQM3"/>
    <s v="SUZANO"/>
    <s v="AT"/>
    <s v="AT"/>
    <s v="BR"/>
    <b v="0"/>
    <n v="3.75"/>
    <s v="2020-09-14"/>
    <s v="2031-01-15"/>
    <n v="3.9499999999999997"/>
    <s v="CALLABLE"/>
    <s v="Y"/>
    <s v="#N/A Field Not Applicable"/>
    <s v="Sr Unsecured"/>
    <s v="USD"/>
    <s v="BBB-"/>
    <s v="N.S."/>
    <s v="FIXED"/>
    <s v="S/A"/>
    <x v="60"/>
    <s v="Materials"/>
    <s v="Forest &amp; Paper Products Manufacturing"/>
    <s v="Corporate"/>
    <s v="Industrial"/>
    <s v="Basic Industry"/>
    <s v="Paper"/>
    <s v="STEP-UP MARGIN: 25 BPS.STEP-UP EVENT: 09/16/2027. &lt;=15%. WOMEN ON BOARD&gt;=30% 12/31/2025."/>
    <n v="25"/>
    <m/>
    <x v="1"/>
    <x v="3"/>
    <x v="0"/>
    <x v="4"/>
  </r>
  <r>
    <n v="138"/>
    <s v="Indus Holding AG"/>
    <s v="#N/A Field Not Applicable"/>
    <s v="ZO4853784"/>
    <s v="BBG00XCC7X52"/>
    <s v="INHGR"/>
    <s v="DE"/>
    <s v="DE"/>
    <s v="DE"/>
    <b v="1"/>
    <n v="0"/>
    <s v="2020-09-15"/>
    <s v="2030-09-15"/>
    <s v="N/A"/>
    <s v="AT MATURITY"/>
    <s v="N"/>
    <s v="10Y"/>
    <s v="Sr Unsecured"/>
    <s v="EUR"/>
    <s v="#N/A N/A"/>
    <s v="N.S."/>
    <s v="FLOATING"/>
    <s v="S/A"/>
    <x v="147"/>
    <s v="Industrials"/>
    <s v="Manufactured Goods"/>
    <s v="Corporate"/>
    <s v="Industrial"/>
    <s v="Capital Goods"/>
    <s v="Diversified Manufacturing"/>
    <s v="N/A"/>
    <s v="n/a"/>
    <m/>
    <x v="1"/>
    <x v="1"/>
    <x v="0"/>
    <x v="0"/>
  </r>
  <r>
    <n v="139"/>
    <s v="Indus Holding AG"/>
    <s v="#N/A Field Not Applicable"/>
    <s v="ZO4854253"/>
    <s v="BBG00XCC88Z3"/>
    <s v="INHGR"/>
    <s v="DE"/>
    <s v="DE"/>
    <s v="DE"/>
    <b v="1"/>
    <n v="0"/>
    <s v="2020-09-15"/>
    <s v="2027-09-15"/>
    <s v="N/A"/>
    <s v="AT MATURITY"/>
    <s v="N"/>
    <s v="7Y"/>
    <s v="Sr Unsecured"/>
    <s v="EUR"/>
    <s v="#N/A N/A"/>
    <s v="N.S."/>
    <s v="FLOATING"/>
    <s v="S/A"/>
    <x v="147"/>
    <s v="Industrials"/>
    <s v="Manufactured Goods"/>
    <s v="Corporate"/>
    <s v="Industrial"/>
    <s v="Capital Goods"/>
    <s v="Diversified Manufacturing"/>
    <s v="N/A"/>
    <s v="n/a"/>
    <m/>
    <x v="1"/>
    <x v="1"/>
    <x v="0"/>
    <x v="0"/>
  </r>
  <r>
    <n v="137"/>
    <s v="Indus Holding AG"/>
    <s v="#N/A Field Not Applicable"/>
    <s v="ZO4854261"/>
    <s v="BBG00XCC8927"/>
    <s v="INHGR"/>
    <s v="DE"/>
    <s v="DE"/>
    <s v="DE"/>
    <b v="1"/>
    <n v="0"/>
    <s v="2020-09-15"/>
    <s v="2025-09-15"/>
    <s v="N/A"/>
    <s v="AT MATURITY"/>
    <s v="N"/>
    <s v="5Y"/>
    <s v="Sr Unsecured"/>
    <s v="EUR"/>
    <s v="#N/A N/A"/>
    <s v="N.S."/>
    <s v="FLOATING"/>
    <s v="S/A"/>
    <x v="147"/>
    <s v="Industrials"/>
    <s v="Manufactured Goods"/>
    <s v="Corporate"/>
    <s v="Industrial"/>
    <s v="Capital Goods"/>
    <s v="Diversified Manufacturing"/>
    <s v="N/A"/>
    <s v="n/a"/>
    <m/>
    <x v="1"/>
    <x v="1"/>
    <x v="0"/>
    <x v="0"/>
  </r>
  <r>
    <n v="188"/>
    <s v="Novartis Finance SA"/>
    <s v="XS2235996217"/>
    <s v="ZO5119995"/>
    <s v="BBG00XDG9M27"/>
    <s v="NOVNVX"/>
    <s v="LU"/>
    <s v="LU"/>
    <s v="CH"/>
    <b v="0"/>
    <n v="0"/>
    <s v="2020-09-23"/>
    <s v="2028-09-23"/>
    <n v="5.0900000000000001E-2"/>
    <s v="CALLABLE"/>
    <s v="Y"/>
    <s v="#N/A Field Not Applicable"/>
    <s v="Sr Unsecured"/>
    <s v="EUR"/>
    <s v="A+"/>
    <s v="N.S."/>
    <s v="FIXED"/>
    <s v="Annual"/>
    <x v="148"/>
    <s v="Health Care"/>
    <s v="Pharmaceuticals"/>
    <s v="Corporate"/>
    <s v="Industrial"/>
    <s v="Consumer Non-Cyclical"/>
    <s v="Pharmaceuticals"/>
    <s v="STEP-UP MARGIN: 25BP, STEP-UP EVENT: 2025 PATIENT ACCESS TARGETS"/>
    <n v="25"/>
    <m/>
    <x v="1"/>
    <x v="3"/>
    <x v="0"/>
    <x v="4"/>
  </r>
  <r>
    <n v="75"/>
    <s v="Enel Finance International NV"/>
    <s v="XS2244418609"/>
    <s v="ZO9275116"/>
    <s v="BBG00XV18BH9"/>
    <s v="ENELIM"/>
    <s v="NL"/>
    <s v="NL"/>
    <s v="IT"/>
    <b v="0"/>
    <n v="1"/>
    <s v="2020-10-20"/>
    <s v="2027-10-20"/>
    <n v="0.95030000000000003"/>
    <s v="CALLABLE"/>
    <s v="Y"/>
    <s v="EMTN"/>
    <s v="Sr Unsecured"/>
    <s v="GBP"/>
    <s v="BBB+"/>
    <s v="N.S."/>
    <s v="FIXED"/>
    <s v="Annual"/>
    <x v="149"/>
    <s v="Utilities"/>
    <s v="Utilities"/>
    <s v="Corporate"/>
    <s v="Utility"/>
    <s v="Electric"/>
    <s v="Electric"/>
    <s v="STEP-UP MARGIN: 25BP, STEP-UP EVENT: DEC 2022 RENEWABLES INSTALLED CAPACITY"/>
    <n v="25"/>
    <m/>
    <x v="1"/>
    <x v="3"/>
    <x v="0"/>
    <x v="1"/>
  </r>
  <r>
    <n v="52"/>
    <s v="Draegerwerk AG &amp; Co KGaA"/>
    <s v="#N/A Field Not Applicable"/>
    <s v="ZO9796350"/>
    <s v="BBG00XWYFNT9"/>
    <s v="DRAGER"/>
    <s v="DE"/>
    <s v="DE"/>
    <s v="DE"/>
    <b v="1"/>
    <n v="0"/>
    <s v="2021-01-04"/>
    <s v="2028-01-04"/>
    <s v="N/A"/>
    <s v="AT MATURITY"/>
    <s v="N"/>
    <s v="7Y"/>
    <s v="Sr Unsecured"/>
    <s v="EUR"/>
    <s v="#N/A N/A"/>
    <s v="N.S."/>
    <s v="FIXED"/>
    <s v="Annual"/>
    <x v="150"/>
    <s v="Health Care"/>
    <s v="Medical Equipment &amp; Devices Manufacturing"/>
    <s v="Corporate"/>
    <s v="Industrial"/>
    <s v="Consumer Non-Cyclical"/>
    <s v="Healthcare"/>
    <s v="ESG-LINKED SCHULDSCHEIN. TWO SETTLEMENT DATES: FIRST SETTLEMENT 01/04/21 FOR EUR 40MM; SECOND SETTLEMENT 03/10/21 FOR EUR 60MM."/>
    <s v="n/a"/>
    <m/>
    <x v="1"/>
    <x v="1"/>
    <x v="0"/>
    <x v="2"/>
  </r>
  <r>
    <n v="53"/>
    <s v="Draegerwerk AG &amp; Co KGaA"/>
    <s v="#N/A Field Not Applicable"/>
    <s v="ZO9796368"/>
    <s v="BBG00XWYFNX4"/>
    <s v="DRAGER"/>
    <s v="DE"/>
    <s v="DE"/>
    <s v="DE"/>
    <b v="1"/>
    <n v="0"/>
    <s v="2021-01-04"/>
    <s v="2026-01-04"/>
    <s v="N/A"/>
    <s v="AT MATURITY"/>
    <s v="N"/>
    <s v="5Y"/>
    <s v="Sr Unsecured"/>
    <s v="EUR"/>
    <s v="#N/A N/A"/>
    <s v="N.S."/>
    <s v="FIXED"/>
    <s v="Annual"/>
    <x v="150"/>
    <s v="Health Care"/>
    <s v="Medical Equipment &amp; Devices Manufacturing"/>
    <s v="Corporate"/>
    <s v="Industrial"/>
    <s v="Consumer Non-Cyclical"/>
    <s v="Healthcare"/>
    <s v="ESG-LINKED SCHULDSCHEIN. TWO SETTLEMENT DATES: FIRST SETTLEMENT 01/04/21 FOR EUR 40MM; SECOND SETTLEMENT 03/10/21 FOR EUR 60MM."/>
    <s v="n/a"/>
    <m/>
    <x v="1"/>
    <x v="1"/>
    <x v="0"/>
    <x v="2"/>
  </r>
  <r>
    <n v="102"/>
    <s v="Faber-Castell AG"/>
    <s v="#N/A Field Not Applicable"/>
    <s v="ZP4289051"/>
    <s v="BBG00RCG6FQ3"/>
    <s v="FABCAS"/>
    <s v="DE"/>
    <s v="DE"/>
    <s v="DE"/>
    <b v="1"/>
    <n v="0"/>
    <s v="2020-02-19"/>
    <s v="2027-02-19"/>
    <s v="N/A"/>
    <s v="AT MATURITY"/>
    <s v="N"/>
    <s v="7Y"/>
    <s v="Sr Unsecured"/>
    <s v="EUR"/>
    <s v="#N/A N/A"/>
    <s v="N.S."/>
    <s v="FLOATING"/>
    <s v="S/A"/>
    <x v="151"/>
    <s v="Consumer Discretionary"/>
    <s v="Home &amp; Office Products Manufacturing"/>
    <s v="Corporate"/>
    <s v="Industrial"/>
    <s v="Consumer Non-Cyclical"/>
    <s v="Consumer Products"/>
    <s v="ESG-LINKED SCHULDSCHEIN. SUSTAINABILITY PRICING ADJUSTMENT: +2BPS IF SUSTAINABILITY SCORE &lt;=49; -2BPS IF &gt;=69."/>
    <n v="2"/>
    <n v="2"/>
    <x v="0"/>
    <x v="0"/>
    <x v="0"/>
    <x v="0"/>
  </r>
  <r>
    <n v="103"/>
    <s v="Faber-Castell AG"/>
    <s v="#N/A Field Not Applicable"/>
    <s v="ZP4289689"/>
    <s v="BBG00RCG77L5"/>
    <s v="FABCAS"/>
    <s v="DE"/>
    <s v="DE"/>
    <s v="DE"/>
    <b v="1"/>
    <n v="0"/>
    <s v="2020-02-19"/>
    <s v="2025-02-19"/>
    <s v="N/A"/>
    <s v="AT MATURITY"/>
    <s v="N"/>
    <s v="5Y"/>
    <s v="Sr Unsecured"/>
    <s v="EUR"/>
    <s v="#N/A N/A"/>
    <s v="N.S."/>
    <s v="FLOATING"/>
    <s v="S/A"/>
    <x v="151"/>
    <s v="Consumer Discretionary"/>
    <s v="Home &amp; Office Products Manufacturing"/>
    <s v="Corporate"/>
    <s v="Industrial"/>
    <s v="Consumer Non-Cyclical"/>
    <s v="Consumer Products"/>
    <s v="ESG-LINKED SCHULDSCHEIN. SUSTAINABILITY PRICING ADJUSTMENT: +2BPS IF SUSTAINABILITY SCORE &lt;=49; -2BPS IF &gt;=69."/>
    <n v="2"/>
    <n v="2"/>
    <x v="0"/>
    <x v="0"/>
    <x v="0"/>
    <x v="0"/>
  </r>
  <r>
    <n v="273"/>
    <s v="Voith GmbH &amp; Co KGaA"/>
    <s v="#N/A Field Not Applicable"/>
    <s v="ZP5663015"/>
    <s v="BBG00RFBZ7G8"/>
    <s v="VOITGR"/>
    <s v="DE"/>
    <s v="DE"/>
    <s v="DE"/>
    <b v="1"/>
    <n v="0"/>
    <s v="2020-02-26"/>
    <s v="2030-02-26"/>
    <s v="N/A"/>
    <s v="AT MATURITY"/>
    <s v="N"/>
    <s v="10Y"/>
    <s v="Sr Unsecured"/>
    <s v="EUR"/>
    <s v="#N/A N/A"/>
    <s v="N.S."/>
    <s v="FLOATING"/>
    <s v="S/A"/>
    <x v="152"/>
    <s v="Industrials"/>
    <s v="Machinery Manufacturing"/>
    <s v="Corporate"/>
    <s v="Industrial"/>
    <s v="Capital Goods"/>
    <s v="Diversified Manufacturing"/>
    <s v="ESG-LINKED SCHULDSCHEIN. SUSTAINABILITY PRICING ADJUSTMENT: +2.5BPS IF ESG; RATING &lt;C+ BY ISS ESG; -2.5BPS IF &gt;C+."/>
    <n v="2.5"/>
    <n v="2.5"/>
    <x v="0"/>
    <x v="0"/>
    <x v="0"/>
    <x v="0"/>
  </r>
  <r>
    <n v="275"/>
    <s v="Voith GmbH &amp; Co KGaA"/>
    <s v="#N/A Field Not Applicable"/>
    <s v="ZP5670580"/>
    <s v="BBG00RFC2D88"/>
    <s v="VOITGR"/>
    <s v="DE"/>
    <s v="DE"/>
    <s v="DE"/>
    <b v="1"/>
    <n v="0"/>
    <s v="2020-02-26"/>
    <s v="2027-02-26"/>
    <s v="N/A"/>
    <s v="AT MATURITY"/>
    <s v="N"/>
    <s v="7Y"/>
    <s v="Sr Unsecured"/>
    <s v="EUR"/>
    <s v="#N/A N/A"/>
    <s v="N.S."/>
    <s v="FLOATING"/>
    <s v="S/A"/>
    <x v="152"/>
    <s v="Industrials"/>
    <s v="Machinery Manufacturing"/>
    <s v="Corporate"/>
    <s v="Industrial"/>
    <s v="Capital Goods"/>
    <s v="Diversified Manufacturing"/>
    <s v="ESG-LINKED SCHULDSCHEIN. SUSTAINABILITY PRICING ADJUSTMENT: +2.5BPS IF ESG; RATING &lt;C+ BY ISS ESG; -2.5BPS IF &gt;C+."/>
    <n v="2.5"/>
    <n v="2.5"/>
    <x v="0"/>
    <x v="0"/>
    <x v="0"/>
    <x v="0"/>
  </r>
  <r>
    <n v="274"/>
    <s v="Voith GmbH &amp; Co KGaA"/>
    <s v="#N/A Field Not Applicable"/>
    <s v="ZP5670671"/>
    <s v="BBG00RFC2F01"/>
    <s v="VOITGR"/>
    <s v="DE"/>
    <s v="DE"/>
    <s v="DE"/>
    <b v="1"/>
    <n v="0"/>
    <s v="2020-02-26"/>
    <s v="2025-02-26"/>
    <s v="N/A"/>
    <s v="AT MATURITY"/>
    <s v="N"/>
    <s v="5Y"/>
    <s v="Sr Unsecured"/>
    <s v="EUR"/>
    <s v="#N/A N/A"/>
    <s v="N.S."/>
    <s v="FLOATING"/>
    <s v="S/A"/>
    <x v="152"/>
    <s v="Industrials"/>
    <s v="Machinery Manufacturing"/>
    <s v="Corporate"/>
    <s v="Industrial"/>
    <s v="Capital Goods"/>
    <s v="Diversified Manufacturing"/>
    <s v="ESG-LINKED SCHULDSCHEIN. SUSTAINABILITY PRICING ADJUSTMENT: +2.5BPS IF ESG; RATING &lt;C+ BY ISS ESG; -2.5BPS IF &gt;C+."/>
    <n v="2.5"/>
    <n v="2.5"/>
    <x v="0"/>
    <x v="0"/>
    <x v="0"/>
    <x v="0"/>
  </r>
  <r>
    <n v="93"/>
    <s v="Enel Finance International NV"/>
    <s v="XS2066706818"/>
    <s v="ZQ0626247"/>
    <s v="BBG00QK2SJL0"/>
    <s v="ENELIM"/>
    <s v="NL"/>
    <s v="NL"/>
    <s v="IT"/>
    <b v="0"/>
    <n v="0"/>
    <s v="2019-10-17"/>
    <s v="2024-06-17"/>
    <n v="0.67630000000000001"/>
    <s v="CALLABLE"/>
    <s v="Y"/>
    <s v="EMTN"/>
    <s v="Sr Unsecured"/>
    <s v="EUR"/>
    <s v="BBB+"/>
    <s v="N.S."/>
    <s v="FIXED"/>
    <s v="Annual"/>
    <x v="153"/>
    <s v="Utilities"/>
    <s v="Utilities"/>
    <s v="Corporate"/>
    <s v="Utility"/>
    <s v="Electric"/>
    <s v="Electric"/>
    <s v="STEP-UP MARGIN: 25BP, STEP-UP EVENT: RENEWABLES INSTALLED CAPACITY"/>
    <n v="25"/>
    <m/>
    <x v="1"/>
    <x v="3"/>
    <x v="0"/>
    <x v="1"/>
  </r>
  <r>
    <n v="94"/>
    <s v="Enel Finance International NV"/>
    <s v="XS2066706909"/>
    <s v="ZQ0626254"/>
    <s v="BBG00QK2SJQ5"/>
    <s v="ENELIM"/>
    <s v="NL"/>
    <s v="NL"/>
    <s v="IT"/>
    <b v="0"/>
    <n v="0.375"/>
    <s v="2019-10-17"/>
    <s v="2027-06-17"/>
    <n v="0.88929999999999998"/>
    <s v="CALLABLE"/>
    <s v="Y"/>
    <s v="EMTN"/>
    <s v="Sr Unsecured"/>
    <s v="EUR"/>
    <s v="BBB+"/>
    <s v="N.S."/>
    <s v="FIXED"/>
    <s v="Annual"/>
    <x v="153"/>
    <s v="Utilities"/>
    <s v="Utilities"/>
    <s v="Corporate"/>
    <s v="Utility"/>
    <s v="Electric"/>
    <s v="Electric"/>
    <s v="STEP-UP MARGIN: 25BP, STEP-UP EVENT: RENEWABLES INSTALLED CAPACITY"/>
    <n v="25"/>
    <m/>
    <x v="1"/>
    <x v="3"/>
    <x v="0"/>
    <x v="1"/>
  </r>
  <r>
    <n v="95"/>
    <s v="Enel Finance International NV"/>
    <s v="XS2066706735"/>
    <s v="ZQ0626262"/>
    <s v="BBG00QK2SJW8"/>
    <s v="ENELIM"/>
    <s v="NL"/>
    <s v="NL"/>
    <s v="IT"/>
    <b v="0"/>
    <n v="1.125"/>
    <s v="2019-10-17"/>
    <s v="2034-10-17"/>
    <n v="1.3555999999999999"/>
    <s v="CALLABLE"/>
    <s v="Y"/>
    <s v="EMTN"/>
    <s v="Sr Unsecured"/>
    <s v="EUR"/>
    <s v="BBB+"/>
    <s v="N.S."/>
    <s v="FIXED"/>
    <s v="Annual"/>
    <x v="154"/>
    <s v="Utilities"/>
    <s v="Utilities"/>
    <s v="Corporate"/>
    <s v="Utility"/>
    <s v="Electric"/>
    <s v="Electric"/>
    <s v="STEP-UP MARGIN: 25BP, STEP-UP EVENT: DIRECT GREEN HOUSE GAS EMISSIONS"/>
    <n v="25"/>
    <m/>
    <x v="1"/>
    <x v="3"/>
    <x v="0"/>
    <x v="1"/>
  </r>
  <r>
    <n v="166"/>
    <s v="Lenzing AG"/>
    <s v="#N/A Field Not Applicable"/>
    <s v="ZQ3524308"/>
    <s v="BBG00QQ5FGN5"/>
    <s v="LNZAV"/>
    <s v="AT"/>
    <s v="AT"/>
    <s v="AT"/>
    <b v="1"/>
    <n v="0"/>
    <s v="2019-12-09"/>
    <s v="2029-12-09"/>
    <s v="N/A"/>
    <s v="AT MATURITY"/>
    <s v="N"/>
    <s v="10Y"/>
    <s v="Sr Unsecured"/>
    <s v="EUR"/>
    <s v="n/a"/>
    <s v="N.S."/>
    <s v="FLOATING"/>
    <s v="S/A"/>
    <x v="155"/>
    <s v="Materials"/>
    <s v="Chemicals"/>
    <s v="Corporate"/>
    <s v="Industrial"/>
    <s v="Basic Industry"/>
    <s v="Chemicals"/>
    <s v="MULTI-CURRENCY DEAL. TOTAL DEAL SIZE EQUIV TO EUR 500MM. CURRENCY SPLIT EUR 441MM AND USD 65MM. TWO SETTLEMENT DATES: 12/09/2019 AND 01/10/2020."/>
    <n v="2.5"/>
    <n v="2.5"/>
    <x v="0"/>
    <x v="0"/>
    <x v="0"/>
    <x v="0"/>
  </r>
  <r>
    <n v="167"/>
    <s v="Lenzing AG"/>
    <s v="#N/A Field Not Applicable"/>
    <s v="ZQ3724734"/>
    <s v="BBG00QQ85TV3"/>
    <s v="LNZAV"/>
    <s v="AT"/>
    <s v="AT"/>
    <s v="AT"/>
    <b v="1"/>
    <n v="0"/>
    <s v="2019-12-09"/>
    <s v="2026-12-09"/>
    <s v="N/A"/>
    <s v="AT MATURITY"/>
    <s v="N"/>
    <s v="7YEU"/>
    <s v="Sr Unsecured"/>
    <s v="EUR"/>
    <s v="n/a"/>
    <s v="N.S."/>
    <s v="FLOATING"/>
    <s v="S/A"/>
    <x v="156"/>
    <s v="Materials"/>
    <s v="Chemicals"/>
    <s v="Corporate"/>
    <s v="Industrial"/>
    <s v="Basic Industry"/>
    <s v="Chemicals"/>
    <s v="MULTI-CURRENCY DEAL. TOTAL DEAL SIZE EQUIV TO EUR 500MM. CURRENCY SPLIT EUR 441MM AND USD 65MM. TWO SETTLEMENT DATES: 12/09/2019 AND 01/10/2020."/>
    <n v="2.5"/>
    <n v="2.5"/>
    <x v="0"/>
    <x v="0"/>
    <x v="0"/>
    <x v="0"/>
  </r>
  <r>
    <n v="169"/>
    <s v="Lenzing AG"/>
    <s v="#N/A Field Not Applicable"/>
    <s v="ZQ3724742"/>
    <s v="BBG00QQ85TX1"/>
    <s v="LNZAV"/>
    <s v="AT"/>
    <s v="AT"/>
    <s v="AT"/>
    <b v="1"/>
    <n v="0"/>
    <s v="2019-12-09"/>
    <s v="2024-12-09"/>
    <s v="N/A"/>
    <s v="AT MATURITY"/>
    <s v="N"/>
    <s v="5YEU"/>
    <s v="Sr Unsecured"/>
    <s v="EUR"/>
    <s v="n/a"/>
    <s v="N.S."/>
    <s v="FLOATING"/>
    <s v="S/A"/>
    <x v="156"/>
    <s v="Materials"/>
    <s v="Chemicals"/>
    <s v="Corporate"/>
    <s v="Industrial"/>
    <s v="Basic Industry"/>
    <s v="Chemicals"/>
    <s v="MULTI-CURRENCY DEAL. TOTAL DEAL SIZE EQUIV TO EUR 500MM. CURRENCY SPLIT EUR 441MM AND USD 65MM. TWO SETTLEMENT DATES: 12/09/2019 AND 01/10/2020."/>
    <n v="2.5"/>
    <n v="2.5"/>
    <x v="0"/>
    <x v="0"/>
    <x v="0"/>
    <x v="0"/>
  </r>
  <r>
    <n v="168"/>
    <s v="Lenzing AG"/>
    <s v="#N/A Field Not Applicable"/>
    <s v="ZQ3724759"/>
    <s v="BBG00QQ85TZ9"/>
    <s v="LNZAV"/>
    <s v="AT"/>
    <s v="AT"/>
    <s v="AT"/>
    <b v="1"/>
    <n v="0"/>
    <s v="2019-12-09"/>
    <s v="2026-12-09"/>
    <s v="N/A"/>
    <s v="AT MATURITY"/>
    <s v="N"/>
    <s v="7YUS"/>
    <s v="Sr Unsecured"/>
    <s v="USD"/>
    <s v="n/a"/>
    <s v="N.S."/>
    <s v="FLOATING"/>
    <s v="Qtrly"/>
    <x v="157"/>
    <s v="Materials"/>
    <s v="Chemicals"/>
    <s v="Corporate"/>
    <s v="Industrial"/>
    <s v="Basic Industry"/>
    <s v="Chemicals"/>
    <s v="MULTI-CURRENCY DEAL. TOTAL DEAL SIZE EQUIV TO EUR 500MM. CURRENCY SPLIT EUR 441MM AND USD 65MM. TWO SETTLEMENT DATES: 12/09/2019 AND 01/10/2020."/>
    <n v="2.5"/>
    <n v="2.5"/>
    <x v="0"/>
    <x v="0"/>
    <x v="0"/>
    <x v="0"/>
  </r>
  <r>
    <n v="170"/>
    <s v="Lenzing AG"/>
    <s v="#N/A Field Not Applicable"/>
    <s v="ZQ3724767"/>
    <s v="BBG00QQ85V02"/>
    <s v="LNZAV"/>
    <s v="AT"/>
    <s v="AT"/>
    <s v="AT"/>
    <b v="1"/>
    <n v="0"/>
    <s v="2019-12-09"/>
    <s v="2024-12-09"/>
    <s v="N/A"/>
    <s v="AT MATURITY"/>
    <s v="N"/>
    <s v="5YUS"/>
    <s v="Sr Unsecured"/>
    <s v="USD"/>
    <s v="n/a"/>
    <s v="N.S."/>
    <s v="FLOATING"/>
    <s v="Qtrly"/>
    <x v="157"/>
    <s v="Materials"/>
    <s v="Chemicals"/>
    <s v="Corporate"/>
    <s v="Industrial"/>
    <s v="Basic Industry"/>
    <s v="Chemicals"/>
    <s v="MULTI-CURRENCY DEAL. TOTAL DEAL SIZE EQUIV TO EUR 500MM. CURRENCY SPLIT EUR 441MM AND USD 65MM. TWO SETTLEMENT DATES: 12/09/2019 AND 01/10/2020."/>
    <n v="2.5"/>
    <n v="2.5"/>
    <x v="0"/>
    <x v="0"/>
    <x v="0"/>
    <x v="0"/>
  </r>
  <r>
    <n v="181"/>
    <s v="Maire Tecnimont SpA"/>
    <s v="#N/A Field Not Applicable"/>
    <s v="ZQ3885113"/>
    <s v="BBG00QQFC3T9"/>
    <s v="MTIM"/>
    <s v="IT"/>
    <s v="IT"/>
    <s v="IT"/>
    <b v="1"/>
    <n v="0"/>
    <s v="2019-12-11"/>
    <s v="2024-12-11"/>
    <s v="N/A"/>
    <s v="AT MATURITY"/>
    <s v="N"/>
    <s v="5Y"/>
    <s v="Sr Unsecured"/>
    <s v="EUR"/>
    <s v="n/a"/>
    <s v="N.S."/>
    <s v="FLOATING"/>
    <s v="S/A"/>
    <x v="158"/>
    <s v="Industrials"/>
    <s v="Industrial Other"/>
    <s v="Corporate"/>
    <s v="Industrial"/>
    <s v="Energy"/>
    <s v="Refining"/>
    <s v="SUSTAINABILITY-LINKED SCHULDSCHEIN. STEPS UP BY 75BPS IF NET DEBT/EBITDA &gt;2.5X. SUSTAINABILITY-TIED PRICING REVISION."/>
    <n v="75"/>
    <m/>
    <x v="1"/>
    <x v="2"/>
    <x v="0"/>
    <x v="2"/>
  </r>
  <r>
    <n v="180"/>
    <s v="Maire Tecnimont SpA"/>
    <s v="#N/A Field Not Applicable"/>
    <s v="ZQ3885279"/>
    <s v="BBG00QQFC8P2"/>
    <s v="MTIM"/>
    <s v="IT"/>
    <s v="IT"/>
    <s v="IT"/>
    <b v="1"/>
    <n v="0"/>
    <s v="2019-12-11"/>
    <s v="2022-12-11"/>
    <s v="N/A"/>
    <s v="AT MATURITY"/>
    <s v="N"/>
    <s v="3Y"/>
    <s v="Sr Unsecured"/>
    <s v="EUR"/>
    <s v="n/a"/>
    <s v="N.S."/>
    <s v="FLOATING"/>
    <s v="S/A"/>
    <x v="158"/>
    <s v="Industrials"/>
    <s v="Industrial Other"/>
    <s v="Corporate"/>
    <s v="Industrial"/>
    <s v="Energy"/>
    <s v="Refining"/>
    <s v="SUSTAINABILITY-LINKED SCHULDSCHEIN. STEPS UP BY 75BPS IF NET DEBT/EBITDA &gt;2.5X. SUSTAINABILITY-TIED PRICING REVISION."/>
    <n v="75"/>
    <m/>
    <x v="1"/>
    <x v="2"/>
    <x v="0"/>
    <x v="2"/>
  </r>
  <r>
    <n v="91"/>
    <s v="Enel Finance International NV"/>
    <s v="US29278GAL23"/>
    <s v="ZR4855485"/>
    <s v="BBG00Q69ZX05"/>
    <s v="ENELIM"/>
    <s v="NL"/>
    <s v="NL"/>
    <s v="IT"/>
    <b v="0"/>
    <n v="2.65"/>
    <s v="2019-09-10"/>
    <s v="2024-09-10"/>
    <n v="2.6760000000000002"/>
    <s v="AT MATURITY"/>
    <s v="N"/>
    <s v="144A"/>
    <s v="Sr Unsecured"/>
    <s v="USD"/>
    <s v="BBB+"/>
    <s v="N.S."/>
    <s v="FIXED"/>
    <s v="S/A"/>
    <x v="159"/>
    <s v="Utilities"/>
    <s v="Utilities"/>
    <s v="Corporate"/>
    <s v="Utility"/>
    <s v="Electric"/>
    <s v="Electric"/>
    <s v="STEP-UP MARGIN: 25 BP, STEP-UP EVENT: RENEWABLES INSTALLED CAPACITY"/>
    <n v="25"/>
    <m/>
    <x v="1"/>
    <x v="3"/>
    <x v="0"/>
    <x v="1"/>
  </r>
  <r>
    <n v="92"/>
    <s v="Enel Finance International NV"/>
    <s v="USN30707AM05"/>
    <s v="ZR4855493"/>
    <s v="BBG00Q69ZX78"/>
    <s v="ENELIM"/>
    <s v="NL"/>
    <s v="NL"/>
    <s v="IT"/>
    <b v="0"/>
    <n v="2.65"/>
    <s v="2019-09-10"/>
    <s v="2024-09-10"/>
    <n v="2.6760000000000002"/>
    <s v="AT MATURITY"/>
    <s v="N"/>
    <s v="REGS"/>
    <s v="Sr Unsecured"/>
    <s v="USD"/>
    <s v="BBB+"/>
    <s v="N.S."/>
    <s v="FIXED"/>
    <s v="S/A"/>
    <x v="159"/>
    <s v="Utilities"/>
    <s v="Utilities"/>
    <s v="Corporate"/>
    <s v="Utility"/>
    <s v="Electric"/>
    <s v="Electric"/>
    <s v="STEP-UP MARGIN: 25 BP, STEP-UP EVENT: RENEWABLES INSTALLED CAPACITY"/>
    <n v="25"/>
    <m/>
    <x v="1"/>
    <x v="3"/>
    <x v="0"/>
    <x v="1"/>
  </r>
  <r>
    <n v="62"/>
    <s v="Duerr AG"/>
    <s v="#N/A Field Not Applicable"/>
    <s v="ZS6974621"/>
    <s v="BBG00P5B86Q4"/>
    <s v="DUEGR"/>
    <s v="DE"/>
    <s v="DE"/>
    <s v="DE"/>
    <b v="1"/>
    <n v="0"/>
    <s v="2019-07-04"/>
    <s v="2029-07-04"/>
    <s v="N/A"/>
    <s v="AT MATURITY"/>
    <s v="N"/>
    <s v="10Y"/>
    <s v="Sr Unsecured"/>
    <s v="EUR"/>
    <s v="#N/A N/A"/>
    <s v="N.S."/>
    <s v="FIXED"/>
    <s v="Annual"/>
    <x v="160"/>
    <s v="Industrials"/>
    <s v="Machinery Manufacturing"/>
    <s v="Corporate"/>
    <s v="Industrial"/>
    <s v="Other Industrial"/>
    <s v="Other Industrial"/>
    <s v="PRICING STEPS UP BY 2BPS IF SUSTAINABILITY SCORE &lt;=40. PRICING STEPS DOWN BY 2BPS IF &gt;=62"/>
    <n v="2"/>
    <n v="2"/>
    <x v="0"/>
    <x v="0"/>
    <x v="0"/>
    <x v="0"/>
  </r>
  <r>
    <n v="63"/>
    <s v="Duerr AG"/>
    <s v="#N/A Field Not Applicable"/>
    <s v="ZS6974936"/>
    <s v="BBG00P5B8G19"/>
    <s v="DUEGR"/>
    <s v="DE"/>
    <s v="DE"/>
    <s v="DE"/>
    <b v="1"/>
    <n v="0"/>
    <s v="2019-07-04"/>
    <s v="2027-07-04"/>
    <s v="N/A"/>
    <s v="AT MATURITY"/>
    <s v="N"/>
    <s v="8YFX"/>
    <s v="Sr Unsecured"/>
    <s v="EUR"/>
    <s v="#N/A N/A"/>
    <s v="N.S."/>
    <s v="FIXED"/>
    <s v="Annual"/>
    <x v="160"/>
    <s v="Industrials"/>
    <s v="Machinery Manufacturing"/>
    <s v="Corporate"/>
    <s v="Industrial"/>
    <s v="Other Industrial"/>
    <s v="Other Industrial"/>
    <s v="PRICING STEPS UP BY 2BPS IF SUSTAINABILITY SCORE &lt;=40. PRICING STEPS DOWN BY 2BPS IF &gt;=62"/>
    <n v="2"/>
    <n v="2"/>
    <x v="0"/>
    <x v="0"/>
    <x v="0"/>
    <x v="0"/>
  </r>
  <r>
    <n v="64"/>
    <s v="Duerr AG"/>
    <s v="#N/A Field Not Applicable"/>
    <s v="ZS6974944"/>
    <s v="BBG00P5B8G28"/>
    <s v="DUEGR"/>
    <s v="DE"/>
    <s v="DE"/>
    <s v="DE"/>
    <b v="1"/>
    <n v="0"/>
    <s v="2019-07-04"/>
    <s v="2025-07-04"/>
    <s v="N/A"/>
    <s v="AT MATURITY"/>
    <s v="N"/>
    <s v="6YFX"/>
    <s v="Sr Unsecured"/>
    <s v="EUR"/>
    <s v="#N/A N/A"/>
    <s v="N.S."/>
    <s v="FIXED"/>
    <s v="Annual"/>
    <x v="160"/>
    <s v="Industrials"/>
    <s v="Machinery Manufacturing"/>
    <s v="Corporate"/>
    <s v="Industrial"/>
    <s v="Other Industrial"/>
    <s v="Other Industrial"/>
    <s v="PRICING STEPS UP BY 2BPS IF SUSTAINABILITY SCORE &lt;=40. PRICING STEPS DOWN BY 2BPS IF &gt;=62"/>
    <n v="2"/>
    <n v="2"/>
    <x v="0"/>
    <x v="0"/>
    <x v="0"/>
    <x v="0"/>
  </r>
  <r>
    <n v="65"/>
    <s v="Duerr AG"/>
    <s v="#N/A Field Not Applicable"/>
    <s v="ZS6974969"/>
    <s v="BBG00P5B8G46"/>
    <s v="DUEGR"/>
    <s v="DE"/>
    <s v="DE"/>
    <s v="DE"/>
    <b v="1"/>
    <n v="0"/>
    <s v="2019-07-04"/>
    <s v="2024-07-04"/>
    <s v="N/A"/>
    <s v="AT MATURITY"/>
    <s v="N"/>
    <s v="5YFX"/>
    <s v="Sr Unsecured"/>
    <s v="EUR"/>
    <s v="#N/A N/A"/>
    <s v="N.S."/>
    <s v="FIXED"/>
    <s v="Annual"/>
    <x v="160"/>
    <s v="Industrials"/>
    <s v="Machinery Manufacturing"/>
    <s v="Corporate"/>
    <s v="Industrial"/>
    <s v="Other Industrial"/>
    <s v="Other Industrial"/>
    <s v="PRICING STEPS UP BY 2BPS IF SUSTAINABILITY SCORE &lt;=40. PRICING STEPS DOWN BY 2BPS IF &gt;=62"/>
    <n v="2"/>
    <n v="2"/>
    <x v="0"/>
    <x v="0"/>
    <x v="0"/>
    <x v="0"/>
  </r>
  <r>
    <n v="66"/>
    <s v="Duerr AG"/>
    <s v="#N/A Field Not Applicable"/>
    <s v="ZS6974977"/>
    <s v="BBG00P5B8G64"/>
    <s v="DUEGR"/>
    <s v="DE"/>
    <s v="DE"/>
    <s v="DE"/>
    <b v="1"/>
    <n v="0"/>
    <s v="2019-07-04"/>
    <s v="2025-07-04"/>
    <s v="N/A"/>
    <s v="AT MATURITY"/>
    <s v="N"/>
    <s v="6YFL"/>
    <s v="Sr Unsecured"/>
    <s v="EUR"/>
    <s v="#N/A N/A"/>
    <s v="N.S."/>
    <s v="FLOATING"/>
    <s v="S/A"/>
    <x v="160"/>
    <s v="Industrials"/>
    <s v="Machinery Manufacturing"/>
    <s v="Corporate"/>
    <s v="Industrial"/>
    <s v="Other Industrial"/>
    <s v="Other Industrial"/>
    <s v="PRICING STEPS UP BY 2BPS IF SUSTAINABILITY SCORE &lt;=40. PRICING STEPS DOWN BY 2BPS IF &gt;=62"/>
    <n v="2"/>
    <n v="2"/>
    <x v="0"/>
    <x v="0"/>
    <x v="0"/>
    <x v="0"/>
  </r>
  <r>
    <n v="67"/>
    <s v="Duerr AG"/>
    <s v="#N/A Field Not Applicable"/>
    <s v="ZS6974985"/>
    <s v="BBG00P5B8G73"/>
    <s v="DUEGR"/>
    <s v="DE"/>
    <s v="DE"/>
    <s v="DE"/>
    <b v="1"/>
    <n v="0"/>
    <s v="2019-07-04"/>
    <s v="2024-07-04"/>
    <s v="N/A"/>
    <s v="AT MATURITY"/>
    <s v="N"/>
    <s v="5YFL"/>
    <s v="Sr Unsecured"/>
    <s v="EUR"/>
    <s v="#N/A N/A"/>
    <s v="N.S."/>
    <s v="FLOATING"/>
    <s v="S/A"/>
    <x v="160"/>
    <s v="Industrials"/>
    <s v="Machinery Manufacturing"/>
    <s v="Corporate"/>
    <s v="Industrial"/>
    <s v="Other Industrial"/>
    <s v="Other Industrial"/>
    <s v="PRICING STEPS UP BY 2BPS IF SUSTAINABILITY SCORE &lt;=40. PRICING STEPS DOWN BY 2BPS IF &gt;=62"/>
    <n v="2"/>
    <n v="2"/>
    <x v="0"/>
    <x v="0"/>
    <x v="0"/>
    <x v="0"/>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r>
    <m/>
    <m/>
    <m/>
    <m/>
    <m/>
    <m/>
    <m/>
    <m/>
    <m/>
    <m/>
    <m/>
    <m/>
    <m/>
    <m/>
    <m/>
    <m/>
    <m/>
    <m/>
    <m/>
    <m/>
    <m/>
    <m/>
    <m/>
    <x v="161"/>
    <m/>
    <m/>
    <m/>
    <m/>
    <m/>
    <m/>
    <m/>
    <m/>
    <m/>
    <x v="2"/>
    <x v="4"/>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DD884B-DA36-054F-831A-E81DF50D8E2B}" name="PivotTable1" cacheId="4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9" firstHeaderRow="0" firstDataRow="1" firstDataCol="1"/>
  <pivotFields count="3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sortType="ascending"/>
    <pivotField showAll="0"/>
    <pivotField showAll="0"/>
    <pivotField showAll="0"/>
    <pivotField showAll="0"/>
    <pivotField showAll="0"/>
    <pivotField showAll="0"/>
    <pivotField showAll="0"/>
    <pivotField showAll="0"/>
    <pivotField dataField="1" showAll="0">
      <items count="163">
        <item x="106"/>
        <item x="9"/>
        <item x="18"/>
        <item x="89"/>
        <item x="73"/>
        <item x="114"/>
        <item x="144"/>
        <item x="116"/>
        <item x="104"/>
        <item x="99"/>
        <item x="135"/>
        <item x="53"/>
        <item x="22"/>
        <item x="151"/>
        <item x="10"/>
        <item x="157"/>
        <item x="69"/>
        <item x="158"/>
        <item x="147"/>
        <item x="78"/>
        <item x="65"/>
        <item x="129"/>
        <item x="105"/>
        <item x="43"/>
        <item x="74"/>
        <item x="38"/>
        <item x="146"/>
        <item x="7"/>
        <item x="11"/>
        <item x="83"/>
        <item x="150"/>
        <item x="0"/>
        <item x="113"/>
        <item x="30"/>
        <item x="107"/>
        <item x="111"/>
        <item x="142"/>
        <item x="108"/>
        <item x="98"/>
        <item x="137"/>
        <item x="145"/>
        <item x="17"/>
        <item x="36"/>
        <item x="80"/>
        <item x="160"/>
        <item x="81"/>
        <item x="50"/>
        <item x="4"/>
        <item x="97"/>
        <item x="2"/>
        <item x="25"/>
        <item x="8"/>
        <item x="131"/>
        <item x="84"/>
        <item x="77"/>
        <item x="3"/>
        <item x="115"/>
        <item x="82"/>
        <item x="75"/>
        <item x="34"/>
        <item x="26"/>
        <item x="15"/>
        <item x="40"/>
        <item x="56"/>
        <item x="41"/>
        <item x="117"/>
        <item x="37"/>
        <item x="128"/>
        <item x="21"/>
        <item x="45"/>
        <item x="29"/>
        <item x="152"/>
        <item x="76"/>
        <item x="127"/>
        <item x="1"/>
        <item x="118"/>
        <item x="20"/>
        <item x="51"/>
        <item x="33"/>
        <item x="28"/>
        <item x="49"/>
        <item x="156"/>
        <item x="12"/>
        <item x="112"/>
        <item x="91"/>
        <item x="64"/>
        <item x="66"/>
        <item x="130"/>
        <item x="132"/>
        <item x="155"/>
        <item x="154"/>
        <item x="35"/>
        <item x="126"/>
        <item x="96"/>
        <item x="94"/>
        <item x="79"/>
        <item x="67"/>
        <item x="27"/>
        <item x="62"/>
        <item x="59"/>
        <item x="68"/>
        <item x="32"/>
        <item x="31"/>
        <item x="39"/>
        <item x="19"/>
        <item x="52"/>
        <item x="14"/>
        <item x="149"/>
        <item x="139"/>
        <item x="133"/>
        <item x="109"/>
        <item x="92"/>
        <item x="72"/>
        <item x="58"/>
        <item x="140"/>
        <item x="24"/>
        <item x="125"/>
        <item x="61"/>
        <item x="88"/>
        <item x="55"/>
        <item x="57"/>
        <item x="6"/>
        <item x="100"/>
        <item x="90"/>
        <item x="95"/>
        <item x="121"/>
        <item x="16"/>
        <item x="141"/>
        <item x="138"/>
        <item x="63"/>
        <item x="136"/>
        <item x="101"/>
        <item x="13"/>
        <item x="42"/>
        <item x="110"/>
        <item x="119"/>
        <item x="123"/>
        <item x="54"/>
        <item x="87"/>
        <item x="23"/>
        <item x="124"/>
        <item x="143"/>
        <item x="48"/>
        <item x="5"/>
        <item x="153"/>
        <item x="103"/>
        <item x="71"/>
        <item x="46"/>
        <item x="44"/>
        <item x="60"/>
        <item x="85"/>
        <item x="93"/>
        <item x="134"/>
        <item x="102"/>
        <item x="122"/>
        <item x="70"/>
        <item x="47"/>
        <item x="159"/>
        <item x="120"/>
        <item x="86"/>
        <item x="148"/>
        <item x="161"/>
        <item t="default"/>
      </items>
    </pivotField>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6">
        <item x="3"/>
        <item x="0"/>
        <item x="2"/>
        <item h="1" x="4"/>
        <item x="1"/>
        <item t="default"/>
      </items>
    </pivotField>
    <pivotField showAll="0">
      <items count="4">
        <item x="2"/>
        <item x="1"/>
        <item x="0"/>
        <item t="default"/>
      </items>
    </pivotField>
    <pivotField axis="axisRow" dataField="1" showAll="0">
      <items count="8">
        <item m="1" x="6"/>
        <item x="1"/>
        <item x="3"/>
        <item x="0"/>
        <item x="4"/>
        <item h="1" x="5"/>
        <item x="2"/>
        <item t="default"/>
      </items>
    </pivotField>
  </pivotFields>
  <rowFields count="1">
    <field x="36"/>
  </rowFields>
  <rowItems count="6">
    <i>
      <x v="1"/>
    </i>
    <i>
      <x v="2"/>
    </i>
    <i>
      <x v="3"/>
    </i>
    <i>
      <x v="4"/>
    </i>
    <i>
      <x v="6"/>
    </i>
    <i t="grand">
      <x/>
    </i>
  </rowItems>
  <colFields count="1">
    <field x="-2"/>
  </colFields>
  <colItems count="2">
    <i>
      <x/>
    </i>
    <i i="1">
      <x v="1"/>
    </i>
  </colItems>
  <dataFields count="2">
    <dataField name="Count of SPT " fld="36" subtotal="count" baseField="0" baseItem="0"/>
    <dataField name="Sum of Amt Issued" fld="23" baseField="0" baseItem="0"/>
  </dataFields>
  <formats count="4">
    <format dxfId="11">
      <pivotArea type="all" dataOnly="0" outline="0" fieldPosition="0"/>
    </format>
    <format dxfId="12">
      <pivotArea outline="0" collapsedLevelsAreSubtotals="1" fieldPosition="0"/>
    </format>
    <format dxfId="13">
      <pivotArea field="36" type="button" dataOnly="0" labelOnly="1" outline="0" axis="axisRow" fieldPosition="0"/>
    </format>
    <format dxfId="1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All SLBs Pivot 2" cacheId="6" applyNumberFormats="0" applyBorderFormats="0" applyFontFormats="0" applyPatternFormats="0" applyAlignmentFormats="0" applyWidthHeightFormats="0" dataCaption="" updatedVersion="7" compact="0" compactData="0">
  <location ref="D55:E58" firstHeaderRow="1" firstDataRow="1" firstDataCol="1" rowPageCount="2" colPageCount="1"/>
  <pivotFields count="41">
    <pivotField name="ID" compact="0" outline="0" multipleItemSelectionAllowed="1" showAll="0"/>
    <pivotField name="Issuer Name" compact="0" outline="0" multipleItemSelectionAllowed="1" showAll="0"/>
    <pivotField name="ISIN" compact="0" outline="0" multipleItemSelectionAllowed="1" showAll="0"/>
    <pivotField name="Bloomberg ID" compact="0" outline="0" multipleItemSelectionAllowed="1" showAll="0"/>
    <pivotField name="FIGI" compact="0" outline="0" multipleItemSelectionAllowed="1" showAll="0"/>
    <pivotField name="Ticker" compact="0" outline="0" multipleItemSelectionAllowed="1" showAll="0"/>
    <pivotField name="Country/Region ISO Code" compact="0" outline="0" multipleItemSelectionAllowed="1" showAll="0"/>
    <pivotField name="Cntry of Incorp" compact="0" outline="0" multipleItemSelectionAllowed="1" showAll="0"/>
    <pivotField name="Cntry of Risk" compact="0" outline="0" multipleItemSelectionAllowed="1" showAll="0"/>
    <pivotField name="Cpn" compact="0" outline="0" multipleItemSelectionAllowed="1" showAll="0"/>
    <pivotField name="Issue Date" compact="0" outline="0" multipleItemSelectionAllowed="1" showAll="0"/>
    <pivotField name="Maturity" compact="0" outline="0" multipleItemSelectionAllowed="1" showAll="0"/>
    <pivotField name="Yield at Issue (manual)" compact="0" outline="0" multipleItemSelectionAllowed="1" showAll="0"/>
    <pivotField name="Mty Type" axis="axisRow" compact="0" outline="0" multipleItemSelectionAllowed="1" showAll="0" sortType="ascending">
      <items count="6">
        <item x="0"/>
        <item x="1"/>
        <item x="2"/>
        <item x="3"/>
        <item x="4"/>
        <item t="default"/>
      </items>
    </pivotField>
    <pivotField name="Has Call Provision" compact="0" outline="0" multipleItemSelectionAllowed="1" showAll="0"/>
    <pivotField name="Series" compact="0" outline="0" multipleItemSelectionAllowed="1" showAll="0"/>
    <pivotField name="Payment Rank" compact="0" outline="0" multipleItemSelectionAllowed="1" showAll="0"/>
    <pivotField name="Currency" compact="0" outline="0" multipleItemSelectionAllowed="1" showAll="0"/>
    <pivotField name="BBG Composite" compact="0" outline="0" multipleItemSelectionAllowed="1" showAll="0"/>
    <pivotField name="ESG Rating" compact="0" outline="0" multipleItemSelectionAllowed="1" showAll="0"/>
    <pivotField name="Coupon Type" compact="0" outline="0" multipleItemSelectionAllowed="1" showAll="0"/>
    <pivotField name="Cpn Freq Des" compact="0" outline="0" multipleItemSelectionAllowed="1" showAll="0"/>
    <pivotField name="Amt Issued" compact="0" outline="0" multipleItemSelectionAllowed="1" showAll="0"/>
    <pivotField name="BICS Level 1" compact="0" outline="0" multipleItemSelectionAllowed="1" showAll="0"/>
    <pivotField name="BICS Level 2" compact="0" outline="0" multipleItemSelectionAllowed="1" showAll="0"/>
    <pivotField name="BCLASS Level 1" compact="0" outline="0" multipleItemSelectionAllowed="1" showAll="0"/>
    <pivotField name="BCLASS Level 2" compact="0" outline="0" multipleItemSelectionAllowed="1" showAll="0"/>
    <pivotField name="BCLASS Level 3" compact="0" outline="0" multipleItemSelectionAllowed="1" showAll="0"/>
    <pivotField name="BCLASS Level 4" compact="0" outline="0" multipleItemSelectionAllowed="1" showAll="0"/>
    <pivotField name="Step up desc" compact="0" outline="0" multipleItemSelectionAllowed="1" showAll="0"/>
    <pivotField name="Step up" compact="0" outline="0" multipleItemSelectionAllowed="1" showAll="0"/>
    <pivotField name="Step down" compact="0" outline="0" multipleItemSelectionAllowed="1" showAll="0"/>
    <pivotField name="Step-up&amp;down?" compact="0" outline="0" multipleItemSelectionAllowed="1" showAll="0"/>
    <pivotField name="SPT " compact="0" outline="0" multipleItemSelectionAllowed="1" showAll="0"/>
    <pivotField name="Lead Manager(s)" compact="0" outline="0" multipleItemSelectionAllowed="1" showAll="0"/>
    <pivotField name="Yield at issue" compact="0" outline="0" multipleItemSelectionAllowed="1" showAll="0"/>
    <pivotField name="Yield ask" compact="0" outline="0" multipleItemSelectionAllowed="1" showAll="0"/>
    <pivotField name="Refinitiv" compact="0" outline="0" multipleItemSelectionAllowed="1" showAll="0"/>
    <pivotField name="Yield ask, at issue" axis="axisPage" dataField="1" compact="0" outline="0" multipleItemSelectionAllowed="1" showAll="0">
      <items count="162">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pivotField>
    <pivotField name="Issuer&amp;MTY&amp;CPN&amp;CURR&amp;Seniority" compact="0" outline="0" multipleItemSelectionAllowed="1" showAll="0"/>
    <pivotField name="Matched" axis="axisPage" compact="0" outline="0" multipleItemSelectionAllowed="1" showAll="0">
      <items count="3">
        <item h="1" x="0"/>
        <item x="1"/>
        <item t="default"/>
      </items>
    </pivotField>
  </pivotFields>
  <rowFields count="1">
    <field x="13"/>
  </rowFields>
  <rowItems count="3">
    <i>
      <x/>
    </i>
    <i>
      <x v="1"/>
    </i>
    <i t="grand">
      <x/>
    </i>
  </rowItems>
  <colItems count="1">
    <i/>
  </colItems>
  <pageFields count="2">
    <pageField fld="38" hier="0"/>
    <pageField fld="40" hier="0"/>
  </pageFields>
  <dataFields count="1">
    <dataField name="Mean Yield" fld="38"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BA26-1510-474D-B519-5E5ABB8BD4F6}">
  <dimension ref="A2:R22"/>
  <sheetViews>
    <sheetView topLeftCell="D1" zoomScale="120" zoomScaleNormal="120" workbookViewId="0">
      <selection activeCell="J13" sqref="J13"/>
    </sheetView>
  </sheetViews>
  <sheetFormatPr baseColWidth="10" defaultRowHeight="15" x14ac:dyDescent="0.2"/>
  <cols>
    <col min="1" max="1" width="12.33203125" style="99" bestFit="1" customWidth="1"/>
    <col min="2" max="2" width="11" style="99" bestFit="1" customWidth="1"/>
    <col min="3" max="3" width="15.1640625" style="99" bestFit="1" customWidth="1"/>
    <col min="4" max="4" width="9.83203125" style="99" customWidth="1"/>
    <col min="5" max="5" width="10.33203125" style="99" customWidth="1"/>
    <col min="6" max="6" width="14.5" style="99" customWidth="1"/>
    <col min="7" max="7" width="9.83203125" style="99" customWidth="1"/>
    <col min="8" max="8" width="11.5" style="99" customWidth="1"/>
    <col min="9" max="9" width="13.83203125" style="99" customWidth="1"/>
    <col min="10" max="10" width="14.6640625" style="99" customWidth="1"/>
    <col min="11" max="11" width="15.33203125" style="99" customWidth="1"/>
    <col min="12" max="12" width="10.83203125" style="99"/>
    <col min="13" max="13" width="13.6640625" style="99" customWidth="1"/>
    <col min="14" max="16" width="10.83203125" style="99"/>
    <col min="17" max="17" width="11.6640625" style="99" customWidth="1"/>
    <col min="18" max="18" width="12.83203125" style="99" customWidth="1"/>
    <col min="19" max="16384" width="10.83203125" style="99"/>
  </cols>
  <sheetData>
    <row r="2" spans="1:18" ht="16" thickBot="1" x14ac:dyDescent="0.25"/>
    <row r="3" spans="1:18" x14ac:dyDescent="0.2">
      <c r="A3" s="99" t="s">
        <v>5508</v>
      </c>
      <c r="B3" s="99" t="s">
        <v>3486</v>
      </c>
      <c r="C3" s="99" t="s">
        <v>5509</v>
      </c>
      <c r="F3" s="108"/>
      <c r="G3" s="120" t="s">
        <v>5512</v>
      </c>
      <c r="H3" s="107" t="s">
        <v>5513</v>
      </c>
      <c r="I3" s="121" t="s">
        <v>5514</v>
      </c>
      <c r="K3" s="106"/>
      <c r="L3" s="106" t="s">
        <v>5512</v>
      </c>
      <c r="M3" s="106" t="s">
        <v>193</v>
      </c>
      <c r="O3" s="106"/>
      <c r="P3" s="107" t="s">
        <v>5512</v>
      </c>
      <c r="Q3" s="107" t="s">
        <v>5513</v>
      </c>
      <c r="R3" s="112" t="s">
        <v>5514</v>
      </c>
    </row>
    <row r="4" spans="1:18" x14ac:dyDescent="0.2">
      <c r="A4" s="101" t="s">
        <v>125</v>
      </c>
      <c r="B4" s="102">
        <v>158</v>
      </c>
      <c r="C4" s="102">
        <v>100939808330</v>
      </c>
      <c r="D4" s="104">
        <f>C4/1000000000</f>
        <v>100.93980833000001</v>
      </c>
      <c r="F4" s="100" t="s">
        <v>5520</v>
      </c>
      <c r="G4" s="99">
        <v>113</v>
      </c>
      <c r="H4" s="104">
        <v>44.316495330287005</v>
      </c>
      <c r="I4" s="103">
        <v>0.29124941288731865</v>
      </c>
      <c r="K4" s="99" t="s">
        <v>115</v>
      </c>
      <c r="L4" s="99">
        <v>147</v>
      </c>
      <c r="M4" s="103">
        <v>0.50342465753424659</v>
      </c>
      <c r="O4" s="99" t="s">
        <v>45</v>
      </c>
      <c r="P4" s="99">
        <v>96</v>
      </c>
      <c r="Q4" s="104">
        <v>34.767033300000001</v>
      </c>
      <c r="R4" s="103">
        <v>0.22849004554605598</v>
      </c>
    </row>
    <row r="5" spans="1:18" x14ac:dyDescent="0.2">
      <c r="A5" s="101" t="s">
        <v>611</v>
      </c>
      <c r="B5" s="102">
        <v>36</v>
      </c>
      <c r="C5" s="102">
        <v>18418772753.582001</v>
      </c>
      <c r="D5" s="104">
        <f t="shared" ref="D5:D8" si="0">C5/1000000000</f>
        <v>18.418772753582001</v>
      </c>
      <c r="F5" s="100" t="s">
        <v>5521</v>
      </c>
      <c r="G5" s="99">
        <v>99</v>
      </c>
      <c r="H5" s="104">
        <v>72.976376180000003</v>
      </c>
      <c r="I5" s="103">
        <v>0.47960305883085852</v>
      </c>
      <c r="K5" s="99" t="s">
        <v>49</v>
      </c>
      <c r="L5" s="99">
        <v>140</v>
      </c>
      <c r="M5" s="103">
        <v>0.47945205479452052</v>
      </c>
      <c r="O5" s="99" t="s">
        <v>366</v>
      </c>
      <c r="P5" s="99">
        <v>48</v>
      </c>
      <c r="Q5" s="104">
        <v>43.387168299999999</v>
      </c>
      <c r="R5" s="103">
        <v>0.28514184616900851</v>
      </c>
    </row>
    <row r="6" spans="1:18" x14ac:dyDescent="0.2">
      <c r="A6" s="101" t="s">
        <v>64</v>
      </c>
      <c r="B6" s="102">
        <v>67</v>
      </c>
      <c r="C6" s="102">
        <v>18223201580.287003</v>
      </c>
      <c r="D6" s="104">
        <f t="shared" si="0"/>
        <v>18.223201580287004</v>
      </c>
      <c r="F6" s="100" t="s">
        <v>5519</v>
      </c>
      <c r="G6" s="99">
        <v>48</v>
      </c>
      <c r="H6" s="104">
        <v>22.034714730217001</v>
      </c>
      <c r="I6" s="103">
        <v>0.14481284407725503</v>
      </c>
      <c r="K6" s="99" t="s">
        <v>188</v>
      </c>
      <c r="L6" s="99">
        <v>2</v>
      </c>
      <c r="M6" s="103">
        <v>6.8493150684931503E-3</v>
      </c>
      <c r="O6" s="99" t="s">
        <v>184</v>
      </c>
      <c r="P6" s="99">
        <v>39</v>
      </c>
      <c r="Q6" s="104">
        <v>22.202922953582</v>
      </c>
      <c r="R6" s="103">
        <v>0.14591831385623352</v>
      </c>
    </row>
    <row r="7" spans="1:18" x14ac:dyDescent="0.2">
      <c r="A7" s="101" t="s">
        <v>251</v>
      </c>
      <c r="B7" s="102">
        <v>10</v>
      </c>
      <c r="C7" s="102">
        <v>5579202934.875</v>
      </c>
      <c r="D7" s="104">
        <f t="shared" si="0"/>
        <v>5.5792029348750001</v>
      </c>
      <c r="F7" s="100" t="s">
        <v>5522</v>
      </c>
      <c r="G7" s="99">
        <v>32</v>
      </c>
      <c r="H7" s="104">
        <v>12.832361108240001</v>
      </c>
      <c r="I7" s="103">
        <v>8.4334684204567884E-2</v>
      </c>
      <c r="K7" s="99" t="s">
        <v>5510</v>
      </c>
      <c r="L7" s="99">
        <v>2</v>
      </c>
      <c r="M7" s="103">
        <v>6.8493150684931503E-3</v>
      </c>
      <c r="O7" s="99" t="s">
        <v>169</v>
      </c>
      <c r="P7" s="99">
        <v>31</v>
      </c>
      <c r="Q7" s="104">
        <v>19.1162402</v>
      </c>
      <c r="R7" s="103">
        <v>0.12563253690004508</v>
      </c>
    </row>
    <row r="8" spans="1:18" ht="16" thickBot="1" x14ac:dyDescent="0.25">
      <c r="A8" s="101" t="s">
        <v>48</v>
      </c>
      <c r="B8" s="102">
        <v>21</v>
      </c>
      <c r="C8" s="102">
        <v>8998961750</v>
      </c>
      <c r="D8" s="104">
        <f t="shared" si="0"/>
        <v>8.9989617499999994</v>
      </c>
      <c r="F8" s="109" t="s">
        <v>5511</v>
      </c>
      <c r="G8" s="109">
        <v>292</v>
      </c>
      <c r="H8" s="110">
        <v>152.159947348744</v>
      </c>
      <c r="I8" s="111">
        <v>1</v>
      </c>
      <c r="K8" s="99" t="s">
        <v>1205</v>
      </c>
      <c r="L8" s="99">
        <v>1</v>
      </c>
      <c r="M8" s="103">
        <v>3.4246575342465752E-3</v>
      </c>
      <c r="O8" s="99" t="s">
        <v>257</v>
      </c>
      <c r="P8" s="99">
        <v>26</v>
      </c>
      <c r="Q8" s="104">
        <v>10.629936280287001</v>
      </c>
      <c r="R8" s="103">
        <v>6.986027838143008E-2</v>
      </c>
    </row>
    <row r="9" spans="1:18" ht="16" thickBot="1" x14ac:dyDescent="0.25">
      <c r="A9" s="101" t="s">
        <v>3492</v>
      </c>
      <c r="B9" s="102">
        <v>292</v>
      </c>
      <c r="C9" s="102">
        <v>152159947348.74402</v>
      </c>
      <c r="K9" s="109" t="s">
        <v>5511</v>
      </c>
      <c r="L9" s="109">
        <v>292</v>
      </c>
      <c r="M9" s="111">
        <v>1</v>
      </c>
      <c r="O9" s="99" t="s">
        <v>199</v>
      </c>
      <c r="P9" s="99">
        <v>21</v>
      </c>
      <c r="Q9" s="104">
        <v>12.47339375</v>
      </c>
      <c r="R9" s="103">
        <v>8.1975539340924719E-2</v>
      </c>
    </row>
    <row r="10" spans="1:18" x14ac:dyDescent="0.2">
      <c r="O10" s="99" t="s">
        <v>367</v>
      </c>
      <c r="P10" s="99">
        <v>16</v>
      </c>
      <c r="Q10" s="104">
        <v>3.8297526500000001</v>
      </c>
      <c r="R10" s="103">
        <v>2.5169255883234321E-2</v>
      </c>
    </row>
    <row r="11" spans="1:18" ht="16" thickBot="1" x14ac:dyDescent="0.25">
      <c r="J11" s="105"/>
      <c r="K11" s="105"/>
      <c r="L11" s="105"/>
      <c r="M11" s="105"/>
      <c r="O11" s="99" t="s">
        <v>222</v>
      </c>
      <c r="P11" s="99">
        <v>3</v>
      </c>
      <c r="Q11" s="104">
        <v>7.9774330000000004E-2</v>
      </c>
      <c r="R11" s="103">
        <v>5.2427942694512563E-4</v>
      </c>
    </row>
    <row r="12" spans="1:18" x14ac:dyDescent="0.2">
      <c r="J12" s="108"/>
      <c r="K12" s="120" t="s">
        <v>5512</v>
      </c>
      <c r="L12" s="107" t="s">
        <v>5513</v>
      </c>
      <c r="M12" s="121" t="s">
        <v>5514</v>
      </c>
      <c r="O12" s="99" t="s">
        <v>407</v>
      </c>
      <c r="P12" s="99">
        <v>3</v>
      </c>
      <c r="Q12" s="104">
        <v>1.85233475</v>
      </c>
      <c r="R12" s="103">
        <v>1.2173602727099588E-2</v>
      </c>
    </row>
    <row r="13" spans="1:18" x14ac:dyDescent="0.2">
      <c r="J13" s="99" t="s">
        <v>125</v>
      </c>
      <c r="K13" s="99">
        <v>158</v>
      </c>
      <c r="L13" s="104">
        <v>100.93980833000001</v>
      </c>
      <c r="M13" s="119">
        <v>0.66337962183077215</v>
      </c>
      <c r="O13" s="99" t="s">
        <v>594</v>
      </c>
      <c r="P13" s="99">
        <v>3</v>
      </c>
      <c r="Q13" s="104">
        <v>2.1976979999999999</v>
      </c>
      <c r="R13" s="103">
        <v>1.4443340959910896E-2</v>
      </c>
    </row>
    <row r="14" spans="1:18" x14ac:dyDescent="0.2">
      <c r="J14" s="99" t="s">
        <v>64</v>
      </c>
      <c r="K14" s="99">
        <v>67</v>
      </c>
      <c r="L14" s="104">
        <v>18.223201580287004</v>
      </c>
      <c r="M14" s="119">
        <v>0.11976345876697903</v>
      </c>
      <c r="O14" s="99" t="s">
        <v>112</v>
      </c>
      <c r="P14" s="99">
        <v>3</v>
      </c>
      <c r="Q14" s="104">
        <v>0.77647999999999995</v>
      </c>
      <c r="R14" s="103">
        <v>5.1030511874477803E-3</v>
      </c>
    </row>
    <row r="15" spans="1:18" x14ac:dyDescent="0.2">
      <c r="J15" s="99" t="s">
        <v>611</v>
      </c>
      <c r="K15" s="99">
        <v>36</v>
      </c>
      <c r="L15" s="104">
        <v>18.418772753582001</v>
      </c>
      <c r="M15" s="119">
        <v>0.12104875872076223</v>
      </c>
      <c r="O15" s="99" t="s">
        <v>1339</v>
      </c>
      <c r="P15" s="99">
        <v>1</v>
      </c>
      <c r="Q15" s="104">
        <v>0.65449199999999996</v>
      </c>
      <c r="R15" s="103">
        <v>4.3013421823808375E-3</v>
      </c>
    </row>
    <row r="16" spans="1:18" x14ac:dyDescent="0.2">
      <c r="J16" s="99" t="s">
        <v>251</v>
      </c>
      <c r="K16" s="99">
        <v>10</v>
      </c>
      <c r="L16" s="104">
        <v>5.5792029348750001</v>
      </c>
      <c r="M16" s="119">
        <v>3.6666698642368135E-2</v>
      </c>
      <c r="O16" s="99" t="s">
        <v>1554</v>
      </c>
      <c r="P16" s="99">
        <v>1</v>
      </c>
      <c r="Q16" s="104">
        <v>4.3528400000000002E-2</v>
      </c>
      <c r="R16" s="103">
        <v>2.8607002538082372E-4</v>
      </c>
    </row>
    <row r="17" spans="10:18" x14ac:dyDescent="0.2">
      <c r="J17" s="99" t="s">
        <v>48</v>
      </c>
      <c r="K17" s="99">
        <v>21</v>
      </c>
      <c r="L17" s="104">
        <v>8.9989617499999994</v>
      </c>
      <c r="M17" s="119">
        <v>5.9141462039118402E-2</v>
      </c>
      <c r="O17" s="99" t="s">
        <v>1202</v>
      </c>
      <c r="P17" s="99">
        <v>1</v>
      </c>
      <c r="Q17" s="104">
        <v>0.149192434875</v>
      </c>
      <c r="R17" s="103">
        <v>9.8049741390260456E-4</v>
      </c>
    </row>
    <row r="18" spans="10:18" ht="16" thickBot="1" x14ac:dyDescent="0.25">
      <c r="J18" s="109" t="s">
        <v>5511</v>
      </c>
      <c r="K18" s="109">
        <v>292</v>
      </c>
      <c r="L18" s="110">
        <v>152.15994734874403</v>
      </c>
      <c r="M18" s="111">
        <v>1</v>
      </c>
      <c r="O18" s="109" t="s">
        <v>5511</v>
      </c>
      <c r="P18" s="109">
        <v>292</v>
      </c>
      <c r="Q18" s="110">
        <v>152.15994734874403</v>
      </c>
      <c r="R18" s="111">
        <v>1</v>
      </c>
    </row>
    <row r="19" spans="10:18" ht="16" thickBot="1" x14ac:dyDescent="0.25">
      <c r="J19" s="117"/>
      <c r="K19" s="116"/>
      <c r="L19" s="116"/>
      <c r="M19" s="116"/>
    </row>
    <row r="20" spans="10:18" x14ac:dyDescent="0.2">
      <c r="J20" s="108"/>
      <c r="K20" s="125" t="s">
        <v>5512</v>
      </c>
      <c r="L20" s="112" t="s">
        <v>5525</v>
      </c>
    </row>
    <row r="21" spans="10:18" x14ac:dyDescent="0.2">
      <c r="J21" s="100" t="s">
        <v>5523</v>
      </c>
      <c r="K21" s="123">
        <v>73</v>
      </c>
      <c r="L21" s="103">
        <f>K21/292</f>
        <v>0.25</v>
      </c>
    </row>
    <row r="22" spans="10:18" ht="16" thickBot="1" x14ac:dyDescent="0.25">
      <c r="J22" s="118" t="s">
        <v>5524</v>
      </c>
      <c r="K22" s="124">
        <v>57</v>
      </c>
      <c r="L22" s="122">
        <f>K22/292</f>
        <v>0.1952054794520548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00"/>
  <sheetViews>
    <sheetView tabSelected="1" topLeftCell="AE1" workbookViewId="0">
      <selection activeCell="AF1" sqref="AF1:AF1048576"/>
    </sheetView>
  </sheetViews>
  <sheetFormatPr baseColWidth="10" defaultColWidth="14.5" defaultRowHeight="15" customHeight="1" x14ac:dyDescent="0.2"/>
  <cols>
    <col min="1" max="1" width="5" customWidth="1"/>
    <col min="2" max="2" width="31.33203125" customWidth="1"/>
    <col min="3" max="4" width="13.5" customWidth="1"/>
    <col min="5" max="5" width="16.1640625" customWidth="1"/>
    <col min="6" max="6" width="8.6640625" customWidth="1"/>
    <col min="7" max="7" width="23.33203125" customWidth="1"/>
    <col min="8" max="8" width="14.1640625" customWidth="1"/>
    <col min="9" max="10" width="12.1640625" customWidth="1"/>
    <col min="11" max="11" width="8.6640625" customWidth="1"/>
    <col min="12" max="12" width="11.33203125" customWidth="1"/>
    <col min="13" max="13" width="12.1640625" customWidth="1"/>
    <col min="14" max="14" width="10.5" customWidth="1"/>
    <col min="15" max="24" width="8.6640625" customWidth="1"/>
    <col min="25" max="25" width="10.5" customWidth="1"/>
    <col min="26" max="30" width="8.6640625" hidden="1" customWidth="1"/>
    <col min="31" max="31" width="142.5" customWidth="1"/>
    <col min="32" max="38" width="8.6640625" customWidth="1"/>
    <col min="39" max="39" width="13" customWidth="1"/>
    <col min="40" max="40" width="21.33203125" customWidth="1"/>
    <col min="41" max="41" width="20" customWidth="1"/>
    <col min="42" max="42" width="22.6640625" customWidth="1"/>
    <col min="43" max="43" width="42" customWidth="1"/>
    <col min="44" max="46" width="8.6640625" customWidth="1"/>
  </cols>
  <sheetData>
    <row r="1" spans="1:46" s="80" customFormat="1" x14ac:dyDescent="0.2">
      <c r="A1" s="78" t="s">
        <v>0</v>
      </c>
      <c r="B1" s="78" t="s">
        <v>1</v>
      </c>
      <c r="C1" s="78" t="s">
        <v>2</v>
      </c>
      <c r="D1" s="78" t="s">
        <v>3</v>
      </c>
      <c r="E1" s="78" t="s">
        <v>4</v>
      </c>
      <c r="F1" s="78" t="s">
        <v>5</v>
      </c>
      <c r="G1" s="78" t="s">
        <v>6</v>
      </c>
      <c r="H1" s="78" t="s">
        <v>7</v>
      </c>
      <c r="I1" s="78" t="s">
        <v>8</v>
      </c>
      <c r="J1" s="78">
        <v>2</v>
      </c>
      <c r="K1" s="78" t="s">
        <v>9</v>
      </c>
      <c r="L1" s="78" t="s">
        <v>10</v>
      </c>
      <c r="M1" s="78" t="s">
        <v>11</v>
      </c>
      <c r="N1" s="78" t="s">
        <v>12</v>
      </c>
      <c r="O1" s="78" t="s">
        <v>13</v>
      </c>
      <c r="P1" s="78" t="s">
        <v>14</v>
      </c>
      <c r="Q1" s="78" t="s">
        <v>15</v>
      </c>
      <c r="R1" s="78" t="s">
        <v>16</v>
      </c>
      <c r="S1" s="78" t="s">
        <v>17</v>
      </c>
      <c r="T1" s="78" t="s">
        <v>18</v>
      </c>
      <c r="U1" s="78" t="s">
        <v>19</v>
      </c>
      <c r="V1" s="78" t="s">
        <v>20</v>
      </c>
      <c r="W1" s="78" t="s">
        <v>21</v>
      </c>
      <c r="X1" s="78" t="s">
        <v>22</v>
      </c>
      <c r="Y1" s="78" t="s">
        <v>23</v>
      </c>
      <c r="Z1" s="78" t="s">
        <v>24</v>
      </c>
      <c r="AA1" s="78" t="s">
        <v>25</v>
      </c>
      <c r="AB1" s="78" t="s">
        <v>26</v>
      </c>
      <c r="AC1" s="78" t="s">
        <v>27</v>
      </c>
      <c r="AD1" s="78" t="s">
        <v>28</v>
      </c>
      <c r="AE1" s="78" t="s">
        <v>29</v>
      </c>
      <c r="AF1" s="79" t="s">
        <v>30</v>
      </c>
      <c r="AG1" s="79" t="s">
        <v>31</v>
      </c>
      <c r="AH1" s="78" t="s">
        <v>32</v>
      </c>
      <c r="AI1" s="78" t="s">
        <v>5518</v>
      </c>
      <c r="AJ1" s="78" t="s">
        <v>5516</v>
      </c>
      <c r="AK1" s="78" t="s">
        <v>33</v>
      </c>
      <c r="AL1" s="78" t="s">
        <v>34</v>
      </c>
      <c r="AM1" s="79" t="s">
        <v>35</v>
      </c>
      <c r="AN1" s="79" t="s">
        <v>36</v>
      </c>
      <c r="AO1" s="79" t="s">
        <v>37</v>
      </c>
      <c r="AP1" s="79" t="s">
        <v>38</v>
      </c>
      <c r="AQ1" s="79" t="s">
        <v>39</v>
      </c>
      <c r="AR1" s="79" t="s">
        <v>40</v>
      </c>
      <c r="AS1" s="79"/>
      <c r="AT1" s="79"/>
    </row>
    <row r="2" spans="1:46" x14ac:dyDescent="0.2">
      <c r="A2" s="2">
        <v>61</v>
      </c>
      <c r="B2" s="2" t="s">
        <v>41</v>
      </c>
      <c r="C2" s="2" t="str">
        <f>VLOOKUP(D2,'slb RAW'!$E:$F,2)</f>
        <v>#N/A Field Not Applicable</v>
      </c>
      <c r="D2" s="2" t="s">
        <v>42</v>
      </c>
      <c r="E2" s="2" t="s">
        <v>43</v>
      </c>
      <c r="F2" s="2" t="s">
        <v>44</v>
      </c>
      <c r="G2" s="2" t="s">
        <v>45</v>
      </c>
      <c r="H2" s="2" t="s">
        <v>45</v>
      </c>
      <c r="I2" s="2" t="s">
        <v>45</v>
      </c>
      <c r="J2" s="2" t="b">
        <f>H2=I2</f>
        <v>1</v>
      </c>
      <c r="K2" s="3">
        <v>0</v>
      </c>
      <c r="L2" s="2" t="s">
        <v>46</v>
      </c>
      <c r="M2" s="2" t="s">
        <v>47</v>
      </c>
      <c r="N2" s="4" t="s">
        <v>48</v>
      </c>
      <c r="O2" s="2" t="s">
        <v>49</v>
      </c>
      <c r="P2" s="2" t="s">
        <v>50</v>
      </c>
      <c r="Q2" s="2" t="s">
        <v>51</v>
      </c>
      <c r="R2" s="2" t="s">
        <v>52</v>
      </c>
      <c r="S2" s="2" t="s">
        <v>53</v>
      </c>
      <c r="T2" s="2" t="s">
        <v>54</v>
      </c>
      <c r="U2" s="2" t="s">
        <v>55</v>
      </c>
      <c r="V2" s="2" t="s">
        <v>56</v>
      </c>
      <c r="W2" s="2" t="s">
        <v>57</v>
      </c>
      <c r="X2" s="2">
        <v>124223000</v>
      </c>
      <c r="Y2" s="2" t="s">
        <v>58</v>
      </c>
      <c r="Z2" s="2" t="s">
        <v>59</v>
      </c>
      <c r="AA2" s="2" t="s">
        <v>60</v>
      </c>
      <c r="AB2" s="2" t="s">
        <v>61</v>
      </c>
      <c r="AC2" s="2" t="s">
        <v>62</v>
      </c>
      <c r="AD2" s="2" t="s">
        <v>62</v>
      </c>
      <c r="AE2" s="2" t="s">
        <v>63</v>
      </c>
      <c r="AF2" s="5">
        <v>2</v>
      </c>
      <c r="AG2" s="5">
        <v>2</v>
      </c>
      <c r="AH2" s="2" t="str">
        <f t="shared" ref="AH2:AI293" si="0">IF(AF2=AG2, "yes","")</f>
        <v>yes</v>
      </c>
      <c r="AI2" s="2" t="str" cm="1">
        <f t="array" ref="AI2">_xlfn.IFS(AF2&lt;25,"Less",AF2=25,"Equal",AF2&gt;25,"More")</f>
        <v>Less</v>
      </c>
      <c r="AJ2" s="6"/>
      <c r="AK2" s="6" t="s">
        <v>64</v>
      </c>
      <c r="AL2" s="2" t="s">
        <v>65</v>
      </c>
      <c r="AM2" s="5" t="str">
        <f>VLOOKUP(D2,'slb RAW'!$E$2:$AF$293,9)</f>
        <v>#N/A N/A</v>
      </c>
      <c r="AN2" s="2" t="str">
        <f>VLOOKUP(D2,'slb RAW'!$E$2:$AE$293,27)</f>
        <v>#N/A N/A</v>
      </c>
      <c r="AO2" s="2" t="e">
        <f>VLOOKUP(C2,'Refinitiv SLB'!F2:S179,14)</f>
        <v>#N/A</v>
      </c>
      <c r="AP2" s="2" t="str">
        <f t="shared" ref="AP2:AP293" si="1">IF(AN2="#N/A N/A",AM2,AN2)</f>
        <v>#N/A N/A</v>
      </c>
      <c r="AQ2" s="7" t="str">
        <f t="shared" ref="AQ2:AQ293" si="2">B2&amp;O2&amp;V2&amp;S2&amp;R2</f>
        <v>Duerr AGAT MATURITYFIXEDEURSr Unsecured</v>
      </c>
      <c r="AR2" s="5" t="b">
        <f ca="1">ISNUMBER( IFERROR(VLOOKUP(A2,Pairs!$E$2:$E$57,1,FALSE),FALSE))</f>
        <v>0</v>
      </c>
      <c r="AS2" s="5"/>
      <c r="AT2" s="5"/>
    </row>
    <row r="3" spans="1:46" x14ac:dyDescent="0.2">
      <c r="A3" s="2">
        <v>54</v>
      </c>
      <c r="B3" s="2" t="s">
        <v>41</v>
      </c>
      <c r="C3" s="2" t="str">
        <f>VLOOKUP(D3,'slb RAW'!$E:$F,2)</f>
        <v>#N/A Field Not Applicable</v>
      </c>
      <c r="D3" s="2" t="s">
        <v>66</v>
      </c>
      <c r="E3" s="2" t="s">
        <v>67</v>
      </c>
      <c r="F3" s="2" t="s">
        <v>44</v>
      </c>
      <c r="G3" s="2" t="s">
        <v>45</v>
      </c>
      <c r="H3" s="2" t="s">
        <v>45</v>
      </c>
      <c r="I3" s="2" t="s">
        <v>45</v>
      </c>
      <c r="J3" s="2" t="b">
        <f t="shared" ref="J3:J66" si="3">H3=I3</f>
        <v>1</v>
      </c>
      <c r="K3" s="3">
        <v>0</v>
      </c>
      <c r="L3" s="2" t="s">
        <v>46</v>
      </c>
      <c r="M3" s="2" t="s">
        <v>68</v>
      </c>
      <c r="N3" s="4" t="s">
        <v>48</v>
      </c>
      <c r="O3" s="2" t="s">
        <v>49</v>
      </c>
      <c r="P3" s="2" t="s">
        <v>50</v>
      </c>
      <c r="Q3" s="2" t="s">
        <v>69</v>
      </c>
      <c r="R3" s="2" t="s">
        <v>52</v>
      </c>
      <c r="S3" s="2" t="s">
        <v>53</v>
      </c>
      <c r="T3" s="2" t="s">
        <v>54</v>
      </c>
      <c r="U3" s="2" t="s">
        <v>55</v>
      </c>
      <c r="V3" s="2" t="s">
        <v>70</v>
      </c>
      <c r="W3" s="2" t="s">
        <v>71</v>
      </c>
      <c r="X3" s="2">
        <v>124223000</v>
      </c>
      <c r="Y3" s="2" t="s">
        <v>58</v>
      </c>
      <c r="Z3" s="2" t="s">
        <v>59</v>
      </c>
      <c r="AA3" s="2" t="s">
        <v>60</v>
      </c>
      <c r="AB3" s="2" t="s">
        <v>61</v>
      </c>
      <c r="AC3" s="2" t="s">
        <v>62</v>
      </c>
      <c r="AD3" s="2" t="s">
        <v>62</v>
      </c>
      <c r="AE3" s="2" t="s">
        <v>63</v>
      </c>
      <c r="AF3" s="5">
        <v>2</v>
      </c>
      <c r="AG3" s="5">
        <v>2</v>
      </c>
      <c r="AH3" s="2" t="str">
        <f t="shared" si="0"/>
        <v>yes</v>
      </c>
      <c r="AI3" s="2" t="str" cm="1">
        <f t="array" ref="AI3">_xlfn.IFS(AF3&lt;25,"Less",AF3=25,"Equal",AF3&gt;25,"More")</f>
        <v>Less</v>
      </c>
      <c r="AJ3" s="6"/>
      <c r="AK3" s="6" t="s">
        <v>64</v>
      </c>
      <c r="AL3" s="2" t="s">
        <v>72</v>
      </c>
      <c r="AM3" s="5" t="str">
        <f>VLOOKUP(D3,'slb RAW'!$E$2:$AF$293,9)</f>
        <v>#N/A N/A</v>
      </c>
      <c r="AN3" s="2" t="str">
        <f>VLOOKUP(D3,'slb RAW'!$E$2:$AE$293,27)</f>
        <v>#N/A N/A</v>
      </c>
      <c r="AO3" s="2" t="e">
        <f>VLOOKUP(C3,'Refinitiv SLB'!F3:S180,14)</f>
        <v>#N/A</v>
      </c>
      <c r="AP3" s="2" t="str">
        <f t="shared" si="1"/>
        <v>#N/A N/A</v>
      </c>
      <c r="AQ3" s="7" t="str">
        <f t="shared" si="2"/>
        <v>Duerr AGAT MATURITYFLOATINGEURSr Unsecured</v>
      </c>
      <c r="AR3" s="5" t="b">
        <f ca="1">ISNUMBER( IFERROR(VLOOKUP(A3,Pairs!$E$2:$E$57,1,FALSE),FALSE))</f>
        <v>0</v>
      </c>
      <c r="AS3" s="5"/>
      <c r="AT3" s="5"/>
    </row>
    <row r="4" spans="1:46" x14ac:dyDescent="0.2">
      <c r="A4" s="2">
        <v>55</v>
      </c>
      <c r="B4" s="2" t="s">
        <v>41</v>
      </c>
      <c r="C4" s="2" t="str">
        <f>VLOOKUP(D4,'slb RAW'!$E:$F,2)</f>
        <v>#N/A Field Not Applicable</v>
      </c>
      <c r="D4" s="2" t="s">
        <v>73</v>
      </c>
      <c r="E4" s="2" t="s">
        <v>74</v>
      </c>
      <c r="F4" s="2" t="s">
        <v>44</v>
      </c>
      <c r="G4" s="2" t="s">
        <v>45</v>
      </c>
      <c r="H4" s="2" t="s">
        <v>45</v>
      </c>
      <c r="I4" s="2" t="s">
        <v>45</v>
      </c>
      <c r="J4" s="2" t="b">
        <f t="shared" si="3"/>
        <v>1</v>
      </c>
      <c r="K4" s="3">
        <v>0</v>
      </c>
      <c r="L4" s="2" t="s">
        <v>46</v>
      </c>
      <c r="M4" s="2" t="s">
        <v>75</v>
      </c>
      <c r="N4" s="4" t="s">
        <v>48</v>
      </c>
      <c r="O4" s="2" t="s">
        <v>49</v>
      </c>
      <c r="P4" s="2" t="s">
        <v>50</v>
      </c>
      <c r="Q4" s="2" t="s">
        <v>76</v>
      </c>
      <c r="R4" s="2" t="s">
        <v>52</v>
      </c>
      <c r="S4" s="2" t="s">
        <v>53</v>
      </c>
      <c r="T4" s="2" t="s">
        <v>54</v>
      </c>
      <c r="U4" s="2" t="s">
        <v>55</v>
      </c>
      <c r="V4" s="2" t="s">
        <v>70</v>
      </c>
      <c r="W4" s="2" t="s">
        <v>71</v>
      </c>
      <c r="X4" s="2">
        <v>124223000</v>
      </c>
      <c r="Y4" s="2" t="s">
        <v>58</v>
      </c>
      <c r="Z4" s="2" t="s">
        <v>59</v>
      </c>
      <c r="AA4" s="2" t="s">
        <v>60</v>
      </c>
      <c r="AB4" s="2" t="s">
        <v>61</v>
      </c>
      <c r="AC4" s="2" t="s">
        <v>62</v>
      </c>
      <c r="AD4" s="2" t="s">
        <v>62</v>
      </c>
      <c r="AE4" s="2" t="s">
        <v>77</v>
      </c>
      <c r="AF4" s="5">
        <v>5</v>
      </c>
      <c r="AG4" s="5">
        <v>5</v>
      </c>
      <c r="AH4" s="2" t="str">
        <f t="shared" si="0"/>
        <v>yes</v>
      </c>
      <c r="AI4" s="2" t="str" cm="1">
        <f t="array" ref="AI4">_xlfn.IFS(AF4&lt;25,"Less",AF4=25,"Equal",AF4&gt;25,"More")</f>
        <v>Less</v>
      </c>
      <c r="AJ4" s="6"/>
      <c r="AK4" s="6" t="s">
        <v>64</v>
      </c>
      <c r="AL4" s="2" t="s">
        <v>72</v>
      </c>
      <c r="AM4" s="5" t="str">
        <f>VLOOKUP(D4,'slb RAW'!$E$2:$AF$293,9)</f>
        <v>#N/A N/A</v>
      </c>
      <c r="AN4" s="2" t="str">
        <f>VLOOKUP(D4,'slb RAW'!$E$2:$AE$293,27)</f>
        <v>#N/A N/A</v>
      </c>
      <c r="AO4" s="2" t="e">
        <f>VLOOKUP(C4,'Refinitiv SLB'!F4:S181,14)</f>
        <v>#N/A</v>
      </c>
      <c r="AP4" s="2" t="str">
        <f t="shared" si="1"/>
        <v>#N/A N/A</v>
      </c>
      <c r="AQ4" s="7" t="str">
        <f t="shared" si="2"/>
        <v>Duerr AGAT MATURITYFLOATINGEURSr Unsecured</v>
      </c>
      <c r="AR4" s="5" t="b">
        <f ca="1">ISNUMBER( IFERROR(VLOOKUP(A4,Pairs!$E$2:$E$57,1,FALSE),FALSE))</f>
        <v>0</v>
      </c>
      <c r="AS4" s="5"/>
      <c r="AT4" s="5"/>
    </row>
    <row r="5" spans="1:46" x14ac:dyDescent="0.2">
      <c r="A5" s="2">
        <v>22</v>
      </c>
      <c r="B5" s="2" t="s">
        <v>78</v>
      </c>
      <c r="C5" s="2" t="str">
        <f>VLOOKUP(D5,'slb RAW'!$E:$F,2)</f>
        <v>#N/A Field Not Applicable</v>
      </c>
      <c r="D5" s="2" t="s">
        <v>79</v>
      </c>
      <c r="E5" s="2" t="s">
        <v>80</v>
      </c>
      <c r="F5" s="2" t="s">
        <v>81</v>
      </c>
      <c r="G5" s="2" t="s">
        <v>45</v>
      </c>
      <c r="H5" s="2" t="s">
        <v>45</v>
      </c>
      <c r="I5" s="2" t="s">
        <v>45</v>
      </c>
      <c r="J5" s="2" t="b">
        <f t="shared" si="3"/>
        <v>1</v>
      </c>
      <c r="K5" s="3">
        <v>0</v>
      </c>
      <c r="L5" s="2" t="s">
        <v>82</v>
      </c>
      <c r="M5" s="2" t="s">
        <v>83</v>
      </c>
      <c r="N5" s="4" t="s">
        <v>48</v>
      </c>
      <c r="O5" s="2" t="s">
        <v>49</v>
      </c>
      <c r="P5" s="2" t="s">
        <v>50</v>
      </c>
      <c r="Q5" s="2" t="s">
        <v>84</v>
      </c>
      <c r="R5" s="2" t="s">
        <v>52</v>
      </c>
      <c r="S5" s="2" t="s">
        <v>53</v>
      </c>
      <c r="T5" s="2" t="s">
        <v>54</v>
      </c>
      <c r="U5" s="2" t="s">
        <v>55</v>
      </c>
      <c r="V5" s="2" t="s">
        <v>70</v>
      </c>
      <c r="W5" s="2" t="s">
        <v>71</v>
      </c>
      <c r="X5" s="2">
        <v>452352000</v>
      </c>
      <c r="Y5" s="2" t="s">
        <v>85</v>
      </c>
      <c r="Z5" s="2" t="s">
        <v>86</v>
      </c>
      <c r="AA5" s="2" t="s">
        <v>60</v>
      </c>
      <c r="AB5" s="2" t="s">
        <v>61</v>
      </c>
      <c r="AC5" s="2" t="s">
        <v>87</v>
      </c>
      <c r="AD5" s="2" t="s">
        <v>88</v>
      </c>
      <c r="AE5" s="2" t="s">
        <v>89</v>
      </c>
      <c r="AF5" s="5">
        <v>5</v>
      </c>
      <c r="AG5" s="5">
        <v>5</v>
      </c>
      <c r="AH5" s="2" t="str">
        <f t="shared" si="0"/>
        <v>yes</v>
      </c>
      <c r="AI5" s="2" t="str" cm="1">
        <f t="array" ref="AI5">_xlfn.IFS(AF5&lt;25,"Less",AF5=25,"Equal",AF5&gt;25,"More")</f>
        <v>Less</v>
      </c>
      <c r="AJ5" s="6"/>
      <c r="AK5" s="6" t="s">
        <v>64</v>
      </c>
      <c r="AL5" s="2" t="s">
        <v>90</v>
      </c>
      <c r="AM5" s="5" t="str">
        <f>VLOOKUP(D5,'slb RAW'!$E$2:$AF$293,9)</f>
        <v>#N/A N/A</v>
      </c>
      <c r="AN5" s="2" t="str">
        <f>VLOOKUP(D5,'slb RAW'!$E$2:$AE$293,27)</f>
        <v>#N/A N/A</v>
      </c>
      <c r="AO5" s="2" t="e">
        <f>VLOOKUP(C5,'Refinitiv SLB'!F5:S182,14)</f>
        <v>#N/A</v>
      </c>
      <c r="AP5" s="2" t="str">
        <f t="shared" si="1"/>
        <v>#N/A N/A</v>
      </c>
      <c r="AQ5" s="7" t="str">
        <f t="shared" si="2"/>
        <v>Aurubis AGAT MATURITYFLOATINGEURSr Unsecured</v>
      </c>
      <c r="AR5" s="5" t="b">
        <f ca="1">ISNUMBER( IFERROR(VLOOKUP(A5,Pairs!$E$2:$E$57,1,FALSE),FALSE))</f>
        <v>0</v>
      </c>
      <c r="AS5" s="5"/>
      <c r="AT5" s="5"/>
    </row>
    <row r="6" spans="1:46" x14ac:dyDescent="0.2">
      <c r="A6" s="2">
        <v>23</v>
      </c>
      <c r="B6" s="2" t="s">
        <v>78</v>
      </c>
      <c r="C6" s="2" t="str">
        <f>VLOOKUP(D6,'slb RAW'!$E:$F,2)</f>
        <v>#N/A Field Not Applicable</v>
      </c>
      <c r="D6" s="2" t="s">
        <v>91</v>
      </c>
      <c r="E6" s="2" t="s">
        <v>92</v>
      </c>
      <c r="F6" s="2" t="s">
        <v>81</v>
      </c>
      <c r="G6" s="2" t="s">
        <v>45</v>
      </c>
      <c r="H6" s="2" t="s">
        <v>45</v>
      </c>
      <c r="I6" s="2" t="s">
        <v>45</v>
      </c>
      <c r="J6" s="2" t="b">
        <f t="shared" si="3"/>
        <v>1</v>
      </c>
      <c r="K6" s="3">
        <v>0</v>
      </c>
      <c r="L6" s="2" t="s">
        <v>82</v>
      </c>
      <c r="M6" s="2" t="s">
        <v>93</v>
      </c>
      <c r="N6" s="4" t="s">
        <v>48</v>
      </c>
      <c r="O6" s="2" t="s">
        <v>49</v>
      </c>
      <c r="P6" s="2" t="s">
        <v>50</v>
      </c>
      <c r="Q6" s="2" t="s">
        <v>94</v>
      </c>
      <c r="R6" s="2" t="s">
        <v>52</v>
      </c>
      <c r="S6" s="2" t="s">
        <v>53</v>
      </c>
      <c r="T6" s="2" t="s">
        <v>54</v>
      </c>
      <c r="U6" s="2" t="s">
        <v>55</v>
      </c>
      <c r="V6" s="2" t="s">
        <v>70</v>
      </c>
      <c r="W6" s="2" t="s">
        <v>71</v>
      </c>
      <c r="X6" s="2">
        <v>452352000</v>
      </c>
      <c r="Y6" s="2" t="s">
        <v>85</v>
      </c>
      <c r="Z6" s="2" t="s">
        <v>86</v>
      </c>
      <c r="AA6" s="2" t="s">
        <v>60</v>
      </c>
      <c r="AB6" s="2" t="s">
        <v>61</v>
      </c>
      <c r="AC6" s="2" t="s">
        <v>87</v>
      </c>
      <c r="AD6" s="2" t="s">
        <v>88</v>
      </c>
      <c r="AE6" s="2" t="s">
        <v>89</v>
      </c>
      <c r="AF6" s="5">
        <v>5</v>
      </c>
      <c r="AG6" s="5">
        <v>5</v>
      </c>
      <c r="AH6" s="2" t="str">
        <f t="shared" si="0"/>
        <v>yes</v>
      </c>
      <c r="AI6" s="2" t="str" cm="1">
        <f t="array" ref="AI6">_xlfn.IFS(AF6&lt;25,"Less",AF6=25,"Equal",AF6&gt;25,"More")</f>
        <v>Less</v>
      </c>
      <c r="AJ6" s="6"/>
      <c r="AK6" s="6" t="s">
        <v>64</v>
      </c>
      <c r="AL6" s="2" t="s">
        <v>90</v>
      </c>
      <c r="AM6" s="5" t="str">
        <f>VLOOKUP(D6,'slb RAW'!$E$2:$AF$293,9)</f>
        <v>#N/A N/A</v>
      </c>
      <c r="AN6" s="2" t="str">
        <f>VLOOKUP(D6,'slb RAW'!$E$2:$AE$293,27)</f>
        <v>#N/A N/A</v>
      </c>
      <c r="AO6" s="2" t="e">
        <f>VLOOKUP(C6,'Refinitiv SLB'!F6:S183,14)</f>
        <v>#N/A</v>
      </c>
      <c r="AP6" s="2" t="str">
        <f t="shared" si="1"/>
        <v>#N/A N/A</v>
      </c>
      <c r="AQ6" s="7" t="str">
        <f t="shared" si="2"/>
        <v>Aurubis AGAT MATURITYFLOATINGEURSr Unsecured</v>
      </c>
      <c r="AR6" s="5" t="b">
        <f ca="1">ISNUMBER( IFERROR(VLOOKUP(A6,Pairs!$E$2:$E$57,1,FALSE),FALSE))</f>
        <v>0</v>
      </c>
      <c r="AS6" s="5"/>
      <c r="AT6" s="5"/>
    </row>
    <row r="7" spans="1:46" x14ac:dyDescent="0.2">
      <c r="A7" s="2">
        <v>24</v>
      </c>
      <c r="B7" s="2" t="s">
        <v>78</v>
      </c>
      <c r="C7" s="2" t="str">
        <f>VLOOKUP(D7,'slb RAW'!$E:$F,2)</f>
        <v>#N/A Field Not Applicable</v>
      </c>
      <c r="D7" s="2" t="s">
        <v>95</v>
      </c>
      <c r="E7" s="2" t="s">
        <v>96</v>
      </c>
      <c r="F7" s="2" t="s">
        <v>81</v>
      </c>
      <c r="G7" s="2" t="s">
        <v>45</v>
      </c>
      <c r="H7" s="2" t="s">
        <v>45</v>
      </c>
      <c r="I7" s="2" t="s">
        <v>45</v>
      </c>
      <c r="J7" s="2" t="b">
        <f t="shared" si="3"/>
        <v>1</v>
      </c>
      <c r="K7" s="3">
        <v>0</v>
      </c>
      <c r="L7" s="2" t="s">
        <v>82</v>
      </c>
      <c r="M7" s="2" t="s">
        <v>97</v>
      </c>
      <c r="N7" s="4" t="s">
        <v>48</v>
      </c>
      <c r="O7" s="2" t="s">
        <v>49</v>
      </c>
      <c r="P7" s="2" t="s">
        <v>50</v>
      </c>
      <c r="Q7" s="2" t="s">
        <v>98</v>
      </c>
      <c r="R7" s="2" t="s">
        <v>52</v>
      </c>
      <c r="S7" s="2" t="s">
        <v>53</v>
      </c>
      <c r="T7" s="2" t="s">
        <v>54</v>
      </c>
      <c r="U7" s="2" t="s">
        <v>55</v>
      </c>
      <c r="V7" s="2" t="s">
        <v>70</v>
      </c>
      <c r="W7" s="2" t="s">
        <v>71</v>
      </c>
      <c r="X7" s="2">
        <v>452352000</v>
      </c>
      <c r="Y7" s="2" t="s">
        <v>85</v>
      </c>
      <c r="Z7" s="2" t="s">
        <v>86</v>
      </c>
      <c r="AA7" s="2" t="s">
        <v>60</v>
      </c>
      <c r="AB7" s="2" t="s">
        <v>61</v>
      </c>
      <c r="AC7" s="2" t="s">
        <v>87</v>
      </c>
      <c r="AD7" s="2" t="s">
        <v>88</v>
      </c>
      <c r="AE7" s="2" t="s">
        <v>89</v>
      </c>
      <c r="AF7" s="5">
        <v>5</v>
      </c>
      <c r="AG7" s="5">
        <v>5</v>
      </c>
      <c r="AH7" s="2" t="str">
        <f t="shared" si="0"/>
        <v>yes</v>
      </c>
      <c r="AI7" s="2" t="str" cm="1">
        <f t="array" ref="AI7">_xlfn.IFS(AF7&lt;25,"Less",AF7=25,"Equal",AF7&gt;25,"More")</f>
        <v>Less</v>
      </c>
      <c r="AJ7" s="6"/>
      <c r="AK7" s="6" t="s">
        <v>64</v>
      </c>
      <c r="AL7" s="2" t="s">
        <v>90</v>
      </c>
      <c r="AM7" s="5" t="str">
        <f>VLOOKUP(D7,'slb RAW'!$E$2:$AF$293,9)</f>
        <v>#N/A N/A</v>
      </c>
      <c r="AN7" s="2" t="str">
        <f>VLOOKUP(D7,'slb RAW'!$E$2:$AE$293,27)</f>
        <v>#N/A N/A</v>
      </c>
      <c r="AO7" s="2" t="e">
        <f>VLOOKUP(C7,'Refinitiv SLB'!F7:S184,14)</f>
        <v>#N/A</v>
      </c>
      <c r="AP7" s="2" t="str">
        <f t="shared" si="1"/>
        <v>#N/A N/A</v>
      </c>
      <c r="AQ7" s="7" t="str">
        <f t="shared" si="2"/>
        <v>Aurubis AGAT MATURITYFLOATINGEURSr Unsecured</v>
      </c>
      <c r="AR7" s="5" t="b">
        <f ca="1">ISNUMBER( IFERROR(VLOOKUP(A7,Pairs!$E$2:$E$57,1,FALSE),FALSE))</f>
        <v>0</v>
      </c>
      <c r="AS7" s="5"/>
      <c r="AT7" s="5"/>
    </row>
    <row r="8" spans="1:46" x14ac:dyDescent="0.2">
      <c r="A8" s="2">
        <v>20</v>
      </c>
      <c r="B8" s="2" t="s">
        <v>78</v>
      </c>
      <c r="C8" s="2" t="str">
        <f>VLOOKUP(D8,'slb RAW'!$E:$F,2)</f>
        <v>#N/A Field Not Applicable</v>
      </c>
      <c r="D8" s="2" t="s">
        <v>99</v>
      </c>
      <c r="E8" s="2" t="s">
        <v>100</v>
      </c>
      <c r="F8" s="2" t="s">
        <v>81</v>
      </c>
      <c r="G8" s="2" t="s">
        <v>45</v>
      </c>
      <c r="H8" s="2" t="s">
        <v>45</v>
      </c>
      <c r="I8" s="2" t="s">
        <v>45</v>
      </c>
      <c r="J8" s="2" t="b">
        <f t="shared" si="3"/>
        <v>1</v>
      </c>
      <c r="K8" s="3">
        <v>0</v>
      </c>
      <c r="L8" s="2" t="s">
        <v>82</v>
      </c>
      <c r="M8" s="2" t="s">
        <v>83</v>
      </c>
      <c r="N8" s="4" t="s">
        <v>48</v>
      </c>
      <c r="O8" s="2" t="s">
        <v>49</v>
      </c>
      <c r="P8" s="2" t="s">
        <v>50</v>
      </c>
      <c r="Q8" s="2" t="s">
        <v>101</v>
      </c>
      <c r="R8" s="2" t="s">
        <v>52</v>
      </c>
      <c r="S8" s="2" t="s">
        <v>53</v>
      </c>
      <c r="T8" s="2" t="s">
        <v>54</v>
      </c>
      <c r="U8" s="2" t="s">
        <v>55</v>
      </c>
      <c r="V8" s="2" t="s">
        <v>56</v>
      </c>
      <c r="W8" s="2" t="s">
        <v>57</v>
      </c>
      <c r="X8" s="2">
        <v>452352000</v>
      </c>
      <c r="Y8" s="2" t="s">
        <v>85</v>
      </c>
      <c r="Z8" s="2" t="s">
        <v>86</v>
      </c>
      <c r="AA8" s="2" t="s">
        <v>60</v>
      </c>
      <c r="AB8" s="2" t="s">
        <v>61</v>
      </c>
      <c r="AC8" s="2" t="s">
        <v>87</v>
      </c>
      <c r="AD8" s="2" t="s">
        <v>88</v>
      </c>
      <c r="AE8" s="2" t="s">
        <v>89</v>
      </c>
      <c r="AF8" s="5">
        <v>5</v>
      </c>
      <c r="AG8" s="5">
        <v>5</v>
      </c>
      <c r="AH8" s="2" t="str">
        <f t="shared" si="0"/>
        <v>yes</v>
      </c>
      <c r="AI8" s="2" t="str" cm="1">
        <f t="array" ref="AI8">_xlfn.IFS(AF8&lt;25,"Less",AF8=25,"Equal",AF8&gt;25,"More")</f>
        <v>Less</v>
      </c>
      <c r="AJ8" s="6"/>
      <c r="AK8" s="6" t="s">
        <v>64</v>
      </c>
      <c r="AL8" s="2" t="s">
        <v>90</v>
      </c>
      <c r="AM8" s="5" t="str">
        <f>VLOOKUP(D8,'slb RAW'!$E$2:$AF$293,9)</f>
        <v>#N/A N/A</v>
      </c>
      <c r="AN8" s="2" t="str">
        <f>VLOOKUP(D8,'slb RAW'!$E$2:$AE$293,27)</f>
        <v>#N/A N/A</v>
      </c>
      <c r="AO8" s="2" t="e">
        <f>VLOOKUP(C8,'Refinitiv SLB'!F8:S185,14)</f>
        <v>#N/A</v>
      </c>
      <c r="AP8" s="2" t="str">
        <f t="shared" si="1"/>
        <v>#N/A N/A</v>
      </c>
      <c r="AQ8" s="7" t="str">
        <f t="shared" si="2"/>
        <v>Aurubis AGAT MATURITYFIXEDEURSr Unsecured</v>
      </c>
      <c r="AR8" s="5" t="b">
        <f ca="1">ISNUMBER( IFERROR(VLOOKUP(A8,Pairs!$E$2:$E$57,1,FALSE),FALSE))</f>
        <v>0</v>
      </c>
      <c r="AS8" s="5"/>
      <c r="AT8" s="5"/>
    </row>
    <row r="9" spans="1:46" x14ac:dyDescent="0.2">
      <c r="A9" s="2">
        <v>19</v>
      </c>
      <c r="B9" s="2" t="s">
        <v>78</v>
      </c>
      <c r="C9" s="2" t="str">
        <f>VLOOKUP(D9,'slb RAW'!$E:$F,2)</f>
        <v>#N/A Field Not Applicable</v>
      </c>
      <c r="D9" s="2" t="s">
        <v>102</v>
      </c>
      <c r="E9" s="2" t="s">
        <v>103</v>
      </c>
      <c r="F9" s="2" t="s">
        <v>81</v>
      </c>
      <c r="G9" s="2" t="s">
        <v>45</v>
      </c>
      <c r="H9" s="2" t="s">
        <v>45</v>
      </c>
      <c r="I9" s="2" t="s">
        <v>45</v>
      </c>
      <c r="J9" s="2" t="b">
        <f t="shared" si="3"/>
        <v>1</v>
      </c>
      <c r="K9" s="3">
        <v>0</v>
      </c>
      <c r="L9" s="2" t="s">
        <v>82</v>
      </c>
      <c r="M9" s="2" t="s">
        <v>93</v>
      </c>
      <c r="N9" s="4" t="s">
        <v>48</v>
      </c>
      <c r="O9" s="2" t="s">
        <v>49</v>
      </c>
      <c r="P9" s="2" t="s">
        <v>50</v>
      </c>
      <c r="Q9" s="2" t="s">
        <v>104</v>
      </c>
      <c r="R9" s="2" t="s">
        <v>52</v>
      </c>
      <c r="S9" s="2" t="s">
        <v>53</v>
      </c>
      <c r="T9" s="2" t="s">
        <v>54</v>
      </c>
      <c r="U9" s="2" t="s">
        <v>55</v>
      </c>
      <c r="V9" s="2" t="s">
        <v>56</v>
      </c>
      <c r="W9" s="2" t="s">
        <v>57</v>
      </c>
      <c r="X9" s="2">
        <v>452352000</v>
      </c>
      <c r="Y9" s="2" t="s">
        <v>85</v>
      </c>
      <c r="Z9" s="2" t="s">
        <v>86</v>
      </c>
      <c r="AA9" s="2" t="s">
        <v>60</v>
      </c>
      <c r="AB9" s="2" t="s">
        <v>61</v>
      </c>
      <c r="AC9" s="2" t="s">
        <v>87</v>
      </c>
      <c r="AD9" s="2" t="s">
        <v>88</v>
      </c>
      <c r="AE9" s="2" t="s">
        <v>89</v>
      </c>
      <c r="AF9" s="5">
        <v>5</v>
      </c>
      <c r="AG9" s="5">
        <v>5</v>
      </c>
      <c r="AH9" s="2" t="str">
        <f t="shared" si="0"/>
        <v>yes</v>
      </c>
      <c r="AI9" s="2" t="str" cm="1">
        <f t="array" ref="AI9">_xlfn.IFS(AF9&lt;25,"Less",AF9=25,"Equal",AF9&gt;25,"More")</f>
        <v>Less</v>
      </c>
      <c r="AJ9" s="6"/>
      <c r="AK9" s="6" t="s">
        <v>64</v>
      </c>
      <c r="AL9" s="2" t="s">
        <v>90</v>
      </c>
      <c r="AM9" s="5" t="str">
        <f>VLOOKUP(D9,'slb RAW'!$E$2:$AF$293,9)</f>
        <v>#N/A N/A</v>
      </c>
      <c r="AN9" s="2" t="str">
        <f>VLOOKUP(D9,'slb RAW'!$E$2:$AE$293,27)</f>
        <v>#N/A N/A</v>
      </c>
      <c r="AO9" s="2" t="e">
        <f>VLOOKUP(C9,'Refinitiv SLB'!F9:S186,14)</f>
        <v>#N/A</v>
      </c>
      <c r="AP9" s="2" t="str">
        <f t="shared" si="1"/>
        <v>#N/A N/A</v>
      </c>
      <c r="AQ9" s="7" t="str">
        <f t="shared" si="2"/>
        <v>Aurubis AGAT MATURITYFIXEDEURSr Unsecured</v>
      </c>
      <c r="AR9" s="5" t="b">
        <f ca="1">ISNUMBER( IFERROR(VLOOKUP(A9,Pairs!$E$2:$E$57,1,FALSE),FALSE))</f>
        <v>0</v>
      </c>
      <c r="AS9" s="5"/>
      <c r="AT9" s="5"/>
    </row>
    <row r="10" spans="1:46" x14ac:dyDescent="0.2">
      <c r="A10" s="2">
        <v>21</v>
      </c>
      <c r="B10" s="2" t="s">
        <v>78</v>
      </c>
      <c r="C10" s="2" t="str">
        <f>VLOOKUP(D10,'slb RAW'!$E:$F,2)</f>
        <v>#N/A Field Not Applicable</v>
      </c>
      <c r="D10" s="2" t="s">
        <v>105</v>
      </c>
      <c r="E10" s="2" t="s">
        <v>106</v>
      </c>
      <c r="F10" s="2" t="s">
        <v>81</v>
      </c>
      <c r="G10" s="2" t="s">
        <v>45</v>
      </c>
      <c r="H10" s="2" t="s">
        <v>45</v>
      </c>
      <c r="I10" s="2" t="s">
        <v>45</v>
      </c>
      <c r="J10" s="2" t="b">
        <f t="shared" si="3"/>
        <v>1</v>
      </c>
      <c r="K10" s="3">
        <v>0</v>
      </c>
      <c r="L10" s="2" t="s">
        <v>82</v>
      </c>
      <c r="M10" s="2" t="s">
        <v>97</v>
      </c>
      <c r="N10" s="4" t="s">
        <v>48</v>
      </c>
      <c r="O10" s="2" t="s">
        <v>49</v>
      </c>
      <c r="P10" s="2" t="s">
        <v>50</v>
      </c>
      <c r="Q10" s="2" t="s">
        <v>107</v>
      </c>
      <c r="R10" s="2" t="s">
        <v>52</v>
      </c>
      <c r="S10" s="2" t="s">
        <v>53</v>
      </c>
      <c r="T10" s="2" t="s">
        <v>54</v>
      </c>
      <c r="U10" s="2" t="s">
        <v>55</v>
      </c>
      <c r="V10" s="2" t="s">
        <v>56</v>
      </c>
      <c r="W10" s="2" t="s">
        <v>57</v>
      </c>
      <c r="X10" s="2">
        <v>452352000</v>
      </c>
      <c r="Y10" s="2" t="s">
        <v>85</v>
      </c>
      <c r="Z10" s="2" t="s">
        <v>86</v>
      </c>
      <c r="AA10" s="2" t="s">
        <v>60</v>
      </c>
      <c r="AB10" s="2" t="s">
        <v>61</v>
      </c>
      <c r="AC10" s="2" t="s">
        <v>87</v>
      </c>
      <c r="AD10" s="2" t="s">
        <v>88</v>
      </c>
      <c r="AE10" s="2" t="s">
        <v>89</v>
      </c>
      <c r="AF10" s="5">
        <v>5</v>
      </c>
      <c r="AG10" s="5">
        <v>5</v>
      </c>
      <c r="AH10" s="2" t="str">
        <f t="shared" si="0"/>
        <v>yes</v>
      </c>
      <c r="AI10" s="2" t="str" cm="1">
        <f t="array" ref="AI10">_xlfn.IFS(AF10&lt;25,"Less",AF10=25,"Equal",AF10&gt;25,"More")</f>
        <v>Less</v>
      </c>
      <c r="AJ10" s="6"/>
      <c r="AK10" s="6" t="s">
        <v>64</v>
      </c>
      <c r="AL10" s="2" t="s">
        <v>90</v>
      </c>
      <c r="AM10" s="5" t="str">
        <f>VLOOKUP(D10,'slb RAW'!$E$2:$AF$293,9)</f>
        <v>#N/A N/A</v>
      </c>
      <c r="AN10" s="2" t="str">
        <f>VLOOKUP(D10,'slb RAW'!$E$2:$AE$293,27)</f>
        <v>#N/A N/A</v>
      </c>
      <c r="AO10" s="2" t="e">
        <f>VLOOKUP(C10,'Refinitiv SLB'!F10:S187,14)</f>
        <v>#N/A</v>
      </c>
      <c r="AP10" s="2" t="str">
        <f t="shared" si="1"/>
        <v>#N/A N/A</v>
      </c>
      <c r="AQ10" s="7" t="str">
        <f t="shared" si="2"/>
        <v>Aurubis AGAT MATURITYFIXEDEURSr Unsecured</v>
      </c>
      <c r="AR10" s="5" t="b">
        <f ca="1">ISNUMBER( IFERROR(VLOOKUP(A10,Pairs!$E$2:$E$57,1,FALSE),FALSE))</f>
        <v>0</v>
      </c>
      <c r="AS10" s="5"/>
      <c r="AT10" s="5"/>
    </row>
    <row r="11" spans="1:46" x14ac:dyDescent="0.2">
      <c r="A11" s="2">
        <v>245</v>
      </c>
      <c r="B11" s="2" t="s">
        <v>108</v>
      </c>
      <c r="C11" s="2" t="str">
        <f>VLOOKUP(D11,'slb RAW'!$E:$F,2)</f>
        <v>PLO144500017</v>
      </c>
      <c r="D11" s="2" t="s">
        <v>109</v>
      </c>
      <c r="E11" s="2" t="s">
        <v>110</v>
      </c>
      <c r="F11" s="2" t="s">
        <v>111</v>
      </c>
      <c r="G11" s="2" t="s">
        <v>112</v>
      </c>
      <c r="H11" s="2" t="s">
        <v>112</v>
      </c>
      <c r="I11" s="2" t="s">
        <v>112</v>
      </c>
      <c r="J11" s="2" t="b">
        <f t="shared" si="3"/>
        <v>1</v>
      </c>
      <c r="K11" s="2">
        <v>7.45</v>
      </c>
      <c r="L11" s="2" t="s">
        <v>113</v>
      </c>
      <c r="M11" s="2" t="s">
        <v>114</v>
      </c>
      <c r="N11" s="8">
        <v>1.5762</v>
      </c>
      <c r="O11" s="2" t="s">
        <v>115</v>
      </c>
      <c r="P11" s="2" t="s">
        <v>116</v>
      </c>
      <c r="Q11" s="2" t="s">
        <v>117</v>
      </c>
      <c r="R11" s="2" t="s">
        <v>118</v>
      </c>
      <c r="S11" s="2" t="s">
        <v>119</v>
      </c>
      <c r="T11" s="2" t="s">
        <v>54</v>
      </c>
      <c r="U11" s="2" t="s">
        <v>55</v>
      </c>
      <c r="V11" s="2" t="s">
        <v>70</v>
      </c>
      <c r="W11" s="2" t="s">
        <v>71</v>
      </c>
      <c r="X11" s="2">
        <v>252336000</v>
      </c>
      <c r="Y11" s="2" t="s">
        <v>120</v>
      </c>
      <c r="Z11" s="2" t="s">
        <v>120</v>
      </c>
      <c r="AA11" s="2" t="s">
        <v>60</v>
      </c>
      <c r="AB11" s="2" t="s">
        <v>121</v>
      </c>
      <c r="AC11" s="2" t="s">
        <v>122</v>
      </c>
      <c r="AD11" s="2" t="s">
        <v>122</v>
      </c>
      <c r="AE11" s="2" t="s">
        <v>123</v>
      </c>
      <c r="AF11" s="6">
        <v>10</v>
      </c>
      <c r="AG11" s="6"/>
      <c r="AH11" s="2" t="str">
        <f t="shared" si="0"/>
        <v/>
      </c>
      <c r="AI11" s="2" t="str" cm="1">
        <f t="array" ref="AI11">_xlfn.IFS(AF11&lt;25,"Less",AF11=25,"Equal",AF11&gt;25,"More")</f>
        <v>Less</v>
      </c>
      <c r="AJ11" s="6" t="s">
        <v>5517</v>
      </c>
      <c r="AK11" s="6" t="s">
        <v>125</v>
      </c>
      <c r="AL11" s="2" t="s">
        <v>126</v>
      </c>
      <c r="AM11" s="5" t="str">
        <f>VLOOKUP(D11,'slb RAW'!$E$2:$AF$293,9)</f>
        <v>#N/A N/A</v>
      </c>
      <c r="AN11" s="2" t="str">
        <f>VLOOKUP(D11,'slb RAW'!$E$2:$AE$293,27)</f>
        <v>#N/A N/A</v>
      </c>
      <c r="AO11" s="2">
        <f>VLOOKUP(C11,'Refinitiv SLB'!F11:S188,14)</f>
        <v>1.008</v>
      </c>
      <c r="AP11" s="2" t="str">
        <f t="shared" si="1"/>
        <v>#N/A N/A</v>
      </c>
      <c r="AQ11" s="7" t="str">
        <f t="shared" si="2"/>
        <v>Tauron Polska Energia SACALLABLEFLOATINGPLNUnsecured</v>
      </c>
      <c r="AR11" s="5" t="b">
        <f ca="1">ISNUMBER( IFERROR(VLOOKUP(A11,Pairs!$E$2:$E$57,1,FALSE),FALSE))</f>
        <v>0</v>
      </c>
      <c r="AS11" s="5"/>
      <c r="AT11" s="5"/>
    </row>
    <row r="12" spans="1:46" s="90" customFormat="1" x14ac:dyDescent="0.2">
      <c r="A12" s="85">
        <v>204</v>
      </c>
      <c r="B12" s="85" t="s">
        <v>127</v>
      </c>
      <c r="C12" s="85" t="str">
        <f>VLOOKUP(D12,'slb RAW'!$E:$F,2)</f>
        <v>#N/A Field Not Applicable</v>
      </c>
      <c r="D12" s="85" t="s">
        <v>128</v>
      </c>
      <c r="E12" s="85" t="s">
        <v>129</v>
      </c>
      <c r="F12" s="85" t="s">
        <v>130</v>
      </c>
      <c r="G12" s="85" t="s">
        <v>45</v>
      </c>
      <c r="H12" s="85" t="s">
        <v>45</v>
      </c>
      <c r="I12" s="85" t="s">
        <v>45</v>
      </c>
      <c r="J12" s="2" t="b">
        <f t="shared" si="3"/>
        <v>1</v>
      </c>
      <c r="K12" s="85">
        <v>0</v>
      </c>
      <c r="L12" s="85" t="s">
        <v>131</v>
      </c>
      <c r="M12" s="85" t="s">
        <v>132</v>
      </c>
      <c r="N12" s="86" t="s">
        <v>48</v>
      </c>
      <c r="O12" s="85" t="s">
        <v>49</v>
      </c>
      <c r="P12" s="85" t="s">
        <v>50</v>
      </c>
      <c r="Q12" s="85" t="s">
        <v>76</v>
      </c>
      <c r="R12" s="85" t="s">
        <v>52</v>
      </c>
      <c r="S12" s="85" t="s">
        <v>53</v>
      </c>
      <c r="T12" s="85" t="s">
        <v>54</v>
      </c>
      <c r="U12" s="85" t="s">
        <v>133</v>
      </c>
      <c r="V12" s="85" t="s">
        <v>70</v>
      </c>
      <c r="W12" s="85" t="s">
        <v>71</v>
      </c>
      <c r="X12" s="85">
        <v>304220000</v>
      </c>
      <c r="Y12" s="85" t="s">
        <v>134</v>
      </c>
      <c r="Z12" s="85" t="s">
        <v>135</v>
      </c>
      <c r="AA12" s="85" t="s">
        <v>60</v>
      </c>
      <c r="AB12" s="85" t="s">
        <v>61</v>
      </c>
      <c r="AC12" s="85" t="s">
        <v>136</v>
      </c>
      <c r="AD12" s="85" t="s">
        <v>137</v>
      </c>
      <c r="AE12" s="85" t="s">
        <v>138</v>
      </c>
      <c r="AF12" s="87" t="s">
        <v>139</v>
      </c>
      <c r="AG12" s="87"/>
      <c r="AH12" s="85" t="str">
        <f t="shared" si="0"/>
        <v/>
      </c>
      <c r="AI12" s="87" t="s">
        <v>139</v>
      </c>
      <c r="AJ12" s="85" t="str">
        <f t="shared" ref="AI12:AJ12" si="4">IF(AH12=AI12, "yes","")</f>
        <v/>
      </c>
      <c r="AK12" s="87" t="s">
        <v>48</v>
      </c>
      <c r="AL12" s="85" t="s">
        <v>140</v>
      </c>
      <c r="AM12" s="88" t="str">
        <f>VLOOKUP(D12,'slb RAW'!$E$2:$AF$293,9)</f>
        <v>#N/A N/A</v>
      </c>
      <c r="AN12" s="85" t="str">
        <f>VLOOKUP(D12,'slb RAW'!$E$2:$AE$293,27)</f>
        <v>#N/A N/A</v>
      </c>
      <c r="AO12" s="85" t="e">
        <f>VLOOKUP(C12,'Refinitiv SLB'!F12:S189,14)</f>
        <v>#N/A</v>
      </c>
      <c r="AP12" s="85" t="str">
        <f t="shared" si="1"/>
        <v>#N/A N/A</v>
      </c>
      <c r="AQ12" s="89" t="str">
        <f t="shared" si="2"/>
        <v>Puma SEAT MATURITYFLOATINGEURSr Unsecured</v>
      </c>
      <c r="AR12" s="88" t="b">
        <f ca="1">ISNUMBER( IFERROR(VLOOKUP(A12,Pairs!$E$2:$E$57,1,FALSE),FALSE))</f>
        <v>1</v>
      </c>
      <c r="AS12" s="88"/>
      <c r="AT12" s="88"/>
    </row>
    <row r="13" spans="1:46" s="90" customFormat="1" x14ac:dyDescent="0.2">
      <c r="A13" s="85">
        <v>205</v>
      </c>
      <c r="B13" s="85" t="s">
        <v>127</v>
      </c>
      <c r="C13" s="85" t="str">
        <f>VLOOKUP(D13,'slb RAW'!$E:$F,2)</f>
        <v>#N/A Field Not Applicable</v>
      </c>
      <c r="D13" s="85" t="s">
        <v>141</v>
      </c>
      <c r="E13" s="85" t="s">
        <v>142</v>
      </c>
      <c r="F13" s="85" t="s">
        <v>130</v>
      </c>
      <c r="G13" s="85" t="s">
        <v>45</v>
      </c>
      <c r="H13" s="85" t="s">
        <v>45</v>
      </c>
      <c r="I13" s="85" t="s">
        <v>45</v>
      </c>
      <c r="J13" s="2" t="b">
        <f t="shared" si="3"/>
        <v>1</v>
      </c>
      <c r="K13" s="85">
        <v>0</v>
      </c>
      <c r="L13" s="85" t="s">
        <v>131</v>
      </c>
      <c r="M13" s="85" t="s">
        <v>143</v>
      </c>
      <c r="N13" s="86" t="s">
        <v>48</v>
      </c>
      <c r="O13" s="85" t="s">
        <v>49</v>
      </c>
      <c r="P13" s="85" t="s">
        <v>50</v>
      </c>
      <c r="Q13" s="85" t="s">
        <v>144</v>
      </c>
      <c r="R13" s="85" t="s">
        <v>52</v>
      </c>
      <c r="S13" s="85" t="s">
        <v>53</v>
      </c>
      <c r="T13" s="85" t="s">
        <v>54</v>
      </c>
      <c r="U13" s="85" t="s">
        <v>133</v>
      </c>
      <c r="V13" s="85" t="s">
        <v>70</v>
      </c>
      <c r="W13" s="85" t="s">
        <v>71</v>
      </c>
      <c r="X13" s="85">
        <v>304220000</v>
      </c>
      <c r="Y13" s="85" t="s">
        <v>134</v>
      </c>
      <c r="Z13" s="85" t="s">
        <v>135</v>
      </c>
      <c r="AA13" s="85" t="s">
        <v>60</v>
      </c>
      <c r="AB13" s="85" t="s">
        <v>61</v>
      </c>
      <c r="AC13" s="85" t="s">
        <v>136</v>
      </c>
      <c r="AD13" s="85" t="s">
        <v>137</v>
      </c>
      <c r="AE13" s="85" t="s">
        <v>145</v>
      </c>
      <c r="AF13" s="87" t="s">
        <v>139</v>
      </c>
      <c r="AG13" s="87"/>
      <c r="AH13" s="85" t="str">
        <f t="shared" si="0"/>
        <v/>
      </c>
      <c r="AI13" s="87" t="s">
        <v>139</v>
      </c>
      <c r="AJ13" s="87"/>
      <c r="AK13" s="87" t="s">
        <v>48</v>
      </c>
      <c r="AL13" s="85" t="s">
        <v>140</v>
      </c>
      <c r="AM13" s="88" t="str">
        <f>VLOOKUP(D13,'slb RAW'!$E$2:$AF$293,9)</f>
        <v>#N/A N/A</v>
      </c>
      <c r="AN13" s="85" t="str">
        <f>VLOOKUP(D13,'slb RAW'!$E$2:$AE$293,27)</f>
        <v>#N/A N/A</v>
      </c>
      <c r="AO13" s="85" t="e">
        <f>VLOOKUP(C13,'Refinitiv SLB'!F13:S190,14)</f>
        <v>#N/A</v>
      </c>
      <c r="AP13" s="85" t="str">
        <f t="shared" si="1"/>
        <v>#N/A N/A</v>
      </c>
      <c r="AQ13" s="89" t="str">
        <f t="shared" si="2"/>
        <v>Puma SEAT MATURITYFLOATINGEURSr Unsecured</v>
      </c>
      <c r="AR13" s="88" t="b">
        <f ca="1">ISNUMBER( IFERROR(VLOOKUP(A13,Pairs!$E$2:$E$57,1,FALSE),FALSE))</f>
        <v>1</v>
      </c>
      <c r="AS13" s="88"/>
      <c r="AT13" s="88"/>
    </row>
    <row r="14" spans="1:46" x14ac:dyDescent="0.2">
      <c r="A14" s="2">
        <v>56</v>
      </c>
      <c r="B14" s="2" t="s">
        <v>41</v>
      </c>
      <c r="C14" s="2" t="str">
        <f>VLOOKUP(D14,'slb RAW'!$E:$F,2)</f>
        <v>#N/A Field Not Applicable</v>
      </c>
      <c r="D14" s="2" t="s">
        <v>146</v>
      </c>
      <c r="E14" s="2" t="s">
        <v>147</v>
      </c>
      <c r="F14" s="2" t="s">
        <v>44</v>
      </c>
      <c r="G14" s="2" t="s">
        <v>45</v>
      </c>
      <c r="H14" s="2" t="s">
        <v>45</v>
      </c>
      <c r="I14" s="2" t="s">
        <v>45</v>
      </c>
      <c r="J14" s="2" t="b">
        <f t="shared" si="3"/>
        <v>1</v>
      </c>
      <c r="K14" s="3">
        <v>0</v>
      </c>
      <c r="L14" s="2" t="s">
        <v>148</v>
      </c>
      <c r="M14" s="2" t="s">
        <v>149</v>
      </c>
      <c r="N14" s="4" t="s">
        <v>48</v>
      </c>
      <c r="O14" s="2" t="s">
        <v>49</v>
      </c>
      <c r="P14" s="2" t="s">
        <v>50</v>
      </c>
      <c r="Q14" s="2" t="s">
        <v>51</v>
      </c>
      <c r="R14" s="2" t="s">
        <v>52</v>
      </c>
      <c r="S14" s="2" t="s">
        <v>53</v>
      </c>
      <c r="T14" s="2" t="s">
        <v>54</v>
      </c>
      <c r="U14" s="2" t="s">
        <v>55</v>
      </c>
      <c r="V14" s="2" t="s">
        <v>56</v>
      </c>
      <c r="W14" s="2" t="s">
        <v>57</v>
      </c>
      <c r="X14" s="2">
        <v>243312000</v>
      </c>
      <c r="Y14" s="2" t="s">
        <v>58</v>
      </c>
      <c r="Z14" s="2" t="s">
        <v>59</v>
      </c>
      <c r="AA14" s="2" t="s">
        <v>60</v>
      </c>
      <c r="AB14" s="2" t="s">
        <v>61</v>
      </c>
      <c r="AC14" s="2" t="s">
        <v>62</v>
      </c>
      <c r="AD14" s="2" t="s">
        <v>62</v>
      </c>
      <c r="AE14" s="2" t="s">
        <v>77</v>
      </c>
      <c r="AF14" s="5">
        <v>5</v>
      </c>
      <c r="AG14" s="5">
        <v>5</v>
      </c>
      <c r="AH14" s="2" t="str">
        <f t="shared" si="0"/>
        <v>yes</v>
      </c>
      <c r="AI14" s="2" t="str" cm="1">
        <f t="array" ref="AI14">_xlfn.IFS(AF14&lt;25,"Less",AF14=25,"Equal",AF14&gt;25,"More")</f>
        <v>Less</v>
      </c>
      <c r="AJ14" s="6"/>
      <c r="AK14" s="6" t="s">
        <v>64</v>
      </c>
      <c r="AL14" s="2" t="s">
        <v>150</v>
      </c>
      <c r="AM14" s="5" t="str">
        <f>VLOOKUP(D14,'slb RAW'!$E$2:$AF$293,9)</f>
        <v>#N/A N/A</v>
      </c>
      <c r="AN14" s="2" t="str">
        <f>VLOOKUP(D14,'slb RAW'!$E$2:$AE$293,27)</f>
        <v>#N/A N/A</v>
      </c>
      <c r="AO14" s="2" t="e">
        <f>VLOOKUP(C14,'Refinitiv SLB'!F14:S191,14)</f>
        <v>#N/A</v>
      </c>
      <c r="AP14" s="2" t="str">
        <f t="shared" si="1"/>
        <v>#N/A N/A</v>
      </c>
      <c r="AQ14" s="7" t="str">
        <f t="shared" si="2"/>
        <v>Duerr AGAT MATURITYFIXEDEURSr Unsecured</v>
      </c>
      <c r="AR14" s="5" t="b">
        <f ca="1">ISNUMBER( IFERROR(VLOOKUP(A14,Pairs!$E$2:$E$57,1,FALSE),FALSE))</f>
        <v>0</v>
      </c>
      <c r="AS14" s="5"/>
      <c r="AT14" s="5"/>
    </row>
    <row r="15" spans="1:46" x14ac:dyDescent="0.2">
      <c r="A15" s="2">
        <v>57</v>
      </c>
      <c r="B15" s="2" t="s">
        <v>41</v>
      </c>
      <c r="C15" s="2" t="str">
        <f>VLOOKUP(D15,'slb RAW'!$E:$F,2)</f>
        <v>#N/A Field Not Applicable</v>
      </c>
      <c r="D15" s="2" t="s">
        <v>151</v>
      </c>
      <c r="E15" s="2" t="s">
        <v>152</v>
      </c>
      <c r="F15" s="2" t="s">
        <v>44</v>
      </c>
      <c r="G15" s="2" t="s">
        <v>45</v>
      </c>
      <c r="H15" s="2" t="s">
        <v>45</v>
      </c>
      <c r="I15" s="2" t="s">
        <v>45</v>
      </c>
      <c r="J15" s="2" t="b">
        <f t="shared" si="3"/>
        <v>1</v>
      </c>
      <c r="K15" s="3">
        <v>0</v>
      </c>
      <c r="L15" s="2" t="s">
        <v>148</v>
      </c>
      <c r="M15" s="2" t="s">
        <v>153</v>
      </c>
      <c r="N15" s="4" t="s">
        <v>48</v>
      </c>
      <c r="O15" s="2" t="s">
        <v>49</v>
      </c>
      <c r="P15" s="2" t="s">
        <v>50</v>
      </c>
      <c r="Q15" s="2" t="s">
        <v>69</v>
      </c>
      <c r="R15" s="2" t="s">
        <v>52</v>
      </c>
      <c r="S15" s="2" t="s">
        <v>53</v>
      </c>
      <c r="T15" s="2" t="s">
        <v>54</v>
      </c>
      <c r="U15" s="2" t="s">
        <v>55</v>
      </c>
      <c r="V15" s="2" t="s">
        <v>70</v>
      </c>
      <c r="W15" s="2" t="s">
        <v>71</v>
      </c>
      <c r="X15" s="2">
        <v>243312000</v>
      </c>
      <c r="Y15" s="2" t="s">
        <v>58</v>
      </c>
      <c r="Z15" s="2" t="s">
        <v>59</v>
      </c>
      <c r="AA15" s="2" t="s">
        <v>60</v>
      </c>
      <c r="AB15" s="2" t="s">
        <v>61</v>
      </c>
      <c r="AC15" s="2" t="s">
        <v>62</v>
      </c>
      <c r="AD15" s="2" t="s">
        <v>62</v>
      </c>
      <c r="AE15" s="2" t="s">
        <v>77</v>
      </c>
      <c r="AF15" s="5">
        <v>5</v>
      </c>
      <c r="AG15" s="5">
        <v>5</v>
      </c>
      <c r="AH15" s="2" t="str">
        <f t="shared" si="0"/>
        <v>yes</v>
      </c>
      <c r="AI15" s="2" t="str" cm="1">
        <f t="array" ref="AI15">_xlfn.IFS(AF15&lt;25,"Less",AF15=25,"Equal",AF15&gt;25,"More")</f>
        <v>Less</v>
      </c>
      <c r="AJ15" s="6"/>
      <c r="AK15" s="6" t="s">
        <v>64</v>
      </c>
      <c r="AL15" s="2" t="s">
        <v>150</v>
      </c>
      <c r="AM15" s="5" t="str">
        <f>VLOOKUP(D15,'slb RAW'!$E$2:$AF$293,9)</f>
        <v>#N/A N/A</v>
      </c>
      <c r="AN15" s="2" t="str">
        <f>VLOOKUP(D15,'slb RAW'!$E$2:$AE$293,27)</f>
        <v>#N/A N/A</v>
      </c>
      <c r="AO15" s="2" t="e">
        <f>VLOOKUP(C15,'Refinitiv SLB'!F15:S192,14)</f>
        <v>#N/A</v>
      </c>
      <c r="AP15" s="2" t="str">
        <f t="shared" si="1"/>
        <v>#N/A N/A</v>
      </c>
      <c r="AQ15" s="7" t="str">
        <f t="shared" si="2"/>
        <v>Duerr AGAT MATURITYFLOATINGEURSr Unsecured</v>
      </c>
      <c r="AR15" s="5" t="b">
        <f ca="1">ISNUMBER( IFERROR(VLOOKUP(A15,Pairs!$E$2:$E$57,1,FALSE),FALSE))</f>
        <v>0</v>
      </c>
      <c r="AS15" s="5"/>
      <c r="AT15" s="5"/>
    </row>
    <row r="16" spans="1:46" x14ac:dyDescent="0.2">
      <c r="A16" s="2">
        <v>58</v>
      </c>
      <c r="B16" s="2" t="s">
        <v>41</v>
      </c>
      <c r="C16" s="2" t="str">
        <f>VLOOKUP(D16,'slb RAW'!$E:$F,2)</f>
        <v>#N/A Field Not Applicable</v>
      </c>
      <c r="D16" s="2" t="s">
        <v>154</v>
      </c>
      <c r="E16" s="2" t="s">
        <v>155</v>
      </c>
      <c r="F16" s="2" t="s">
        <v>44</v>
      </c>
      <c r="G16" s="2" t="s">
        <v>45</v>
      </c>
      <c r="H16" s="2" t="s">
        <v>45</v>
      </c>
      <c r="I16" s="2" t="s">
        <v>45</v>
      </c>
      <c r="J16" s="2" t="b">
        <f t="shared" si="3"/>
        <v>1</v>
      </c>
      <c r="K16" s="3">
        <v>0</v>
      </c>
      <c r="L16" s="2" t="s">
        <v>148</v>
      </c>
      <c r="M16" s="2" t="s">
        <v>156</v>
      </c>
      <c r="N16" s="4" t="s">
        <v>48</v>
      </c>
      <c r="O16" s="2" t="s">
        <v>49</v>
      </c>
      <c r="P16" s="2" t="s">
        <v>50</v>
      </c>
      <c r="Q16" s="2" t="s">
        <v>157</v>
      </c>
      <c r="R16" s="2" t="s">
        <v>52</v>
      </c>
      <c r="S16" s="2" t="s">
        <v>53</v>
      </c>
      <c r="T16" s="2" t="s">
        <v>54</v>
      </c>
      <c r="U16" s="2" t="s">
        <v>55</v>
      </c>
      <c r="V16" s="2" t="s">
        <v>70</v>
      </c>
      <c r="W16" s="2" t="s">
        <v>71</v>
      </c>
      <c r="X16" s="2">
        <v>243312000</v>
      </c>
      <c r="Y16" s="2" t="s">
        <v>58</v>
      </c>
      <c r="Z16" s="2" t="s">
        <v>59</v>
      </c>
      <c r="AA16" s="2" t="s">
        <v>60</v>
      </c>
      <c r="AB16" s="2" t="s">
        <v>61</v>
      </c>
      <c r="AC16" s="2" t="s">
        <v>62</v>
      </c>
      <c r="AD16" s="2" t="s">
        <v>62</v>
      </c>
      <c r="AE16" s="2" t="s">
        <v>77</v>
      </c>
      <c r="AF16" s="5">
        <v>5</v>
      </c>
      <c r="AG16" s="5">
        <v>5</v>
      </c>
      <c r="AH16" s="2" t="str">
        <f t="shared" si="0"/>
        <v>yes</v>
      </c>
      <c r="AI16" s="2" t="str" cm="1">
        <f t="array" ref="AI16">_xlfn.IFS(AF16&lt;25,"Less",AF16=25,"Equal",AF16&gt;25,"More")</f>
        <v>Less</v>
      </c>
      <c r="AJ16" s="6"/>
      <c r="AK16" s="6" t="s">
        <v>64</v>
      </c>
      <c r="AL16" s="2" t="s">
        <v>150</v>
      </c>
      <c r="AM16" s="5" t="str">
        <f>VLOOKUP(D16,'slb RAW'!$E$2:$AF$293,9)</f>
        <v>#N/A N/A</v>
      </c>
      <c r="AN16" s="2" t="str">
        <f>VLOOKUP(D16,'slb RAW'!$E$2:$AE$293,27)</f>
        <v>#N/A N/A</v>
      </c>
      <c r="AO16" s="2" t="e">
        <f>VLOOKUP(C16,'Refinitiv SLB'!F16:S193,14)</f>
        <v>#N/A</v>
      </c>
      <c r="AP16" s="2" t="str">
        <f t="shared" si="1"/>
        <v>#N/A N/A</v>
      </c>
      <c r="AQ16" s="7" t="str">
        <f t="shared" si="2"/>
        <v>Duerr AGAT MATURITYFLOATINGEURSr Unsecured</v>
      </c>
      <c r="AR16" s="5" t="b">
        <f ca="1">ISNUMBER( IFERROR(VLOOKUP(A16,Pairs!$E$2:$E$57,1,FALSE),FALSE))</f>
        <v>0</v>
      </c>
      <c r="AS16" s="5"/>
      <c r="AT16" s="5"/>
    </row>
    <row r="17" spans="1:46" x14ac:dyDescent="0.2">
      <c r="A17" s="2">
        <v>59</v>
      </c>
      <c r="B17" s="2" t="s">
        <v>41</v>
      </c>
      <c r="C17" s="2" t="str">
        <f>VLOOKUP(D17,'slb RAW'!$E:$F,2)</f>
        <v>#N/A Field Not Applicable</v>
      </c>
      <c r="D17" s="2" t="s">
        <v>158</v>
      </c>
      <c r="E17" s="2" t="s">
        <v>159</v>
      </c>
      <c r="F17" s="2" t="s">
        <v>44</v>
      </c>
      <c r="G17" s="2" t="s">
        <v>45</v>
      </c>
      <c r="H17" s="2" t="s">
        <v>45</v>
      </c>
      <c r="I17" s="2" t="s">
        <v>45</v>
      </c>
      <c r="J17" s="2" t="b">
        <f t="shared" si="3"/>
        <v>1</v>
      </c>
      <c r="K17" s="3">
        <v>0</v>
      </c>
      <c r="L17" s="2" t="s">
        <v>148</v>
      </c>
      <c r="M17" s="2" t="s">
        <v>160</v>
      </c>
      <c r="N17" s="4" t="s">
        <v>48</v>
      </c>
      <c r="O17" s="2" t="s">
        <v>49</v>
      </c>
      <c r="P17" s="2" t="s">
        <v>50</v>
      </c>
      <c r="Q17" s="2" t="s">
        <v>161</v>
      </c>
      <c r="R17" s="2" t="s">
        <v>52</v>
      </c>
      <c r="S17" s="2" t="s">
        <v>53</v>
      </c>
      <c r="T17" s="2" t="s">
        <v>54</v>
      </c>
      <c r="U17" s="2" t="s">
        <v>55</v>
      </c>
      <c r="V17" s="2" t="s">
        <v>70</v>
      </c>
      <c r="W17" s="2" t="s">
        <v>71</v>
      </c>
      <c r="X17" s="2">
        <v>243312000</v>
      </c>
      <c r="Y17" s="2" t="s">
        <v>58</v>
      </c>
      <c r="Z17" s="2" t="s">
        <v>59</v>
      </c>
      <c r="AA17" s="2" t="s">
        <v>60</v>
      </c>
      <c r="AB17" s="2" t="s">
        <v>61</v>
      </c>
      <c r="AC17" s="2" t="s">
        <v>62</v>
      </c>
      <c r="AD17" s="2" t="s">
        <v>62</v>
      </c>
      <c r="AE17" s="2" t="s">
        <v>77</v>
      </c>
      <c r="AF17" s="5">
        <v>5</v>
      </c>
      <c r="AG17" s="5">
        <v>5</v>
      </c>
      <c r="AH17" s="2" t="str">
        <f t="shared" si="0"/>
        <v>yes</v>
      </c>
      <c r="AI17" s="2" t="str" cm="1">
        <f t="array" ref="AI17">_xlfn.IFS(AF17&lt;25,"Less",AF17=25,"Equal",AF17&gt;25,"More")</f>
        <v>Less</v>
      </c>
      <c r="AJ17" s="6"/>
      <c r="AK17" s="6" t="s">
        <v>64</v>
      </c>
      <c r="AL17" s="2" t="s">
        <v>150</v>
      </c>
      <c r="AM17" s="5" t="str">
        <f>VLOOKUP(D17,'slb RAW'!$E$2:$AF$293,9)</f>
        <v>#N/A N/A</v>
      </c>
      <c r="AN17" s="2" t="str">
        <f>VLOOKUP(D17,'slb RAW'!$E$2:$AE$293,27)</f>
        <v>#N/A N/A</v>
      </c>
      <c r="AO17" s="2" t="e">
        <f>VLOOKUP(C17,'Refinitiv SLB'!F17:S194,14)</f>
        <v>#N/A</v>
      </c>
      <c r="AP17" s="2" t="str">
        <f t="shared" si="1"/>
        <v>#N/A N/A</v>
      </c>
      <c r="AQ17" s="7" t="str">
        <f t="shared" si="2"/>
        <v>Duerr AGAT MATURITYFLOATINGEURSr Unsecured</v>
      </c>
      <c r="AR17" s="5" t="b">
        <f ca="1">ISNUMBER( IFERROR(VLOOKUP(A17,Pairs!$E$2:$E$57,1,FALSE),FALSE))</f>
        <v>0</v>
      </c>
      <c r="AS17" s="5"/>
      <c r="AT17" s="5"/>
    </row>
    <row r="18" spans="1:46" x14ac:dyDescent="0.2">
      <c r="A18" s="2">
        <v>60</v>
      </c>
      <c r="B18" s="2" t="s">
        <v>41</v>
      </c>
      <c r="C18" s="2" t="str">
        <f>VLOOKUP(D18,'slb RAW'!$E:$F,2)</f>
        <v>#N/A Field Not Applicable</v>
      </c>
      <c r="D18" s="2" t="s">
        <v>162</v>
      </c>
      <c r="E18" s="2" t="s">
        <v>163</v>
      </c>
      <c r="F18" s="2" t="s">
        <v>44</v>
      </c>
      <c r="G18" s="2" t="s">
        <v>45</v>
      </c>
      <c r="H18" s="2" t="s">
        <v>45</v>
      </c>
      <c r="I18" s="2" t="s">
        <v>45</v>
      </c>
      <c r="J18" s="2" t="b">
        <f t="shared" si="3"/>
        <v>1</v>
      </c>
      <c r="K18" s="3">
        <v>0</v>
      </c>
      <c r="L18" s="2" t="s">
        <v>148</v>
      </c>
      <c r="M18" s="2" t="s">
        <v>164</v>
      </c>
      <c r="N18" s="4" t="s">
        <v>48</v>
      </c>
      <c r="O18" s="2" t="s">
        <v>49</v>
      </c>
      <c r="P18" s="2" t="s">
        <v>50</v>
      </c>
      <c r="Q18" s="2" t="s">
        <v>144</v>
      </c>
      <c r="R18" s="2" t="s">
        <v>52</v>
      </c>
      <c r="S18" s="2" t="s">
        <v>53</v>
      </c>
      <c r="T18" s="2" t="s">
        <v>54</v>
      </c>
      <c r="U18" s="2" t="s">
        <v>55</v>
      </c>
      <c r="V18" s="2" t="s">
        <v>70</v>
      </c>
      <c r="W18" s="2" t="s">
        <v>71</v>
      </c>
      <c r="X18" s="2">
        <v>243312000</v>
      </c>
      <c r="Y18" s="2" t="s">
        <v>58</v>
      </c>
      <c r="Z18" s="2" t="s">
        <v>59</v>
      </c>
      <c r="AA18" s="2" t="s">
        <v>60</v>
      </c>
      <c r="AB18" s="2" t="s">
        <v>61</v>
      </c>
      <c r="AC18" s="2" t="s">
        <v>62</v>
      </c>
      <c r="AD18" s="2" t="s">
        <v>62</v>
      </c>
      <c r="AE18" s="2" t="s">
        <v>77</v>
      </c>
      <c r="AF18" s="5">
        <v>5</v>
      </c>
      <c r="AG18" s="5">
        <v>5</v>
      </c>
      <c r="AH18" s="2" t="str">
        <f t="shared" si="0"/>
        <v>yes</v>
      </c>
      <c r="AI18" s="2" t="str" cm="1">
        <f t="array" ref="AI18">_xlfn.IFS(AF18&lt;25,"Less",AF18=25,"Equal",AF18&gt;25,"More")</f>
        <v>Less</v>
      </c>
      <c r="AJ18" s="6"/>
      <c r="AK18" s="6" t="s">
        <v>64</v>
      </c>
      <c r="AL18" s="2" t="s">
        <v>150</v>
      </c>
      <c r="AM18" s="5" t="str">
        <f>VLOOKUP(D18,'slb RAW'!$E$2:$AF$293,9)</f>
        <v>#N/A N/A</v>
      </c>
      <c r="AN18" s="2" t="str">
        <f>VLOOKUP(D18,'slb RAW'!$E$2:$AE$293,27)</f>
        <v>#N/A N/A</v>
      </c>
      <c r="AO18" s="2" t="e">
        <f>VLOOKUP(C18,'Refinitiv SLB'!F18:S195,14)</f>
        <v>#N/A</v>
      </c>
      <c r="AP18" s="2" t="str">
        <f t="shared" si="1"/>
        <v>#N/A N/A</v>
      </c>
      <c r="AQ18" s="7" t="str">
        <f t="shared" si="2"/>
        <v>Duerr AGAT MATURITYFLOATINGEURSr Unsecured</v>
      </c>
      <c r="AR18" s="5" t="b">
        <f ca="1">ISNUMBER( IFERROR(VLOOKUP(A18,Pairs!$E$2:$E$57,1,FALSE),FALSE))</f>
        <v>0</v>
      </c>
      <c r="AS18" s="5"/>
      <c r="AT18" s="5"/>
    </row>
    <row r="19" spans="1:46" x14ac:dyDescent="0.2">
      <c r="A19" s="2">
        <v>131</v>
      </c>
      <c r="B19" s="2" t="s">
        <v>165</v>
      </c>
      <c r="C19" s="2" t="str">
        <f>VLOOKUP(D19,'slb RAW'!$E:$F,2)</f>
        <v>XS2261215011</v>
      </c>
      <c r="D19" s="2" t="s">
        <v>166</v>
      </c>
      <c r="E19" s="2" t="s">
        <v>167</v>
      </c>
      <c r="F19" s="2" t="s">
        <v>168</v>
      </c>
      <c r="G19" s="2" t="s">
        <v>169</v>
      </c>
      <c r="H19" s="2" t="s">
        <v>169</v>
      </c>
      <c r="I19" s="2" t="s">
        <v>170</v>
      </c>
      <c r="J19" s="2" t="b">
        <f t="shared" si="3"/>
        <v>0</v>
      </c>
      <c r="K19" s="2">
        <v>0.5</v>
      </c>
      <c r="L19" s="2" t="s">
        <v>171</v>
      </c>
      <c r="M19" s="2" t="s">
        <v>172</v>
      </c>
      <c r="N19" s="8">
        <v>0.51559999999999995</v>
      </c>
      <c r="O19" s="2" t="s">
        <v>115</v>
      </c>
      <c r="P19" s="2" t="s">
        <v>116</v>
      </c>
      <c r="Q19" s="2" t="s">
        <v>173</v>
      </c>
      <c r="R19" s="2" t="s">
        <v>52</v>
      </c>
      <c r="S19" s="2" t="s">
        <v>53</v>
      </c>
      <c r="T19" s="2" t="s">
        <v>174</v>
      </c>
      <c r="U19" s="2" t="s">
        <v>55</v>
      </c>
      <c r="V19" s="2" t="s">
        <v>56</v>
      </c>
      <c r="W19" s="2" t="s">
        <v>57</v>
      </c>
      <c r="X19" s="2">
        <v>1006510500</v>
      </c>
      <c r="Y19" s="2" t="s">
        <v>85</v>
      </c>
      <c r="Z19" s="2" t="s">
        <v>175</v>
      </c>
      <c r="AA19" s="2" t="s">
        <v>60</v>
      </c>
      <c r="AB19" s="2" t="s">
        <v>61</v>
      </c>
      <c r="AC19" s="2" t="s">
        <v>176</v>
      </c>
      <c r="AD19" s="2" t="s">
        <v>177</v>
      </c>
      <c r="AE19" s="2" t="s">
        <v>178</v>
      </c>
      <c r="AF19" s="5">
        <v>75</v>
      </c>
      <c r="AG19" s="6"/>
      <c r="AH19" s="2" t="str">
        <f t="shared" si="0"/>
        <v/>
      </c>
      <c r="AI19" s="2" t="str" cm="1">
        <f t="array" ref="AI19">_xlfn.IFS(AF19&lt;25,"Less",AF19=25,"Equal",AF19&gt;25,"More")</f>
        <v>More</v>
      </c>
      <c r="AJ19" s="6"/>
      <c r="AK19" s="6" t="s">
        <v>125</v>
      </c>
      <c r="AL19" s="2" t="s">
        <v>179</v>
      </c>
      <c r="AM19" s="5" t="str">
        <f>VLOOKUP(D19,'slb RAW'!$E$2:$AF$293,9)</f>
        <v>#N/A N/A</v>
      </c>
      <c r="AN19" s="2">
        <f>VLOOKUP(D19,'slb RAW'!$E$2:$AE$293,27)</f>
        <v>0.47699999999999998</v>
      </c>
      <c r="AO19" s="2" t="str">
        <f>VLOOKUP(C19,'Refinitiv SLB'!F19:S196,14)</f>
        <v/>
      </c>
      <c r="AP19" s="2">
        <f t="shared" si="1"/>
        <v>0.47699999999999998</v>
      </c>
      <c r="AQ19" s="7" t="str">
        <f t="shared" si="2"/>
        <v>Holcim Finance Luxembourg SACALLABLEFIXEDEURSr Unsecured</v>
      </c>
      <c r="AR19" s="5" t="b">
        <f ca="1">ISNUMBER( IFERROR(VLOOKUP(A19,Pairs!$E$2:$E$57,1,FALSE),FALSE))</f>
        <v>1</v>
      </c>
      <c r="AS19" s="5"/>
      <c r="AT19" s="5"/>
    </row>
    <row r="20" spans="1:46" s="80" customFormat="1" x14ac:dyDescent="0.2">
      <c r="A20" s="79">
        <v>236</v>
      </c>
      <c r="B20" s="79" t="s">
        <v>180</v>
      </c>
      <c r="C20" s="79" t="str">
        <f>VLOOKUP(D20,'slb RAW'!$E:$F,2)</f>
        <v>FR0014000OG2</v>
      </c>
      <c r="D20" s="79" t="s">
        <v>181</v>
      </c>
      <c r="E20" s="79" t="s">
        <v>182</v>
      </c>
      <c r="F20" s="79" t="s">
        <v>183</v>
      </c>
      <c r="G20" s="79" t="s">
        <v>184</v>
      </c>
      <c r="H20" s="79" t="s">
        <v>184</v>
      </c>
      <c r="I20" s="79" t="s">
        <v>185</v>
      </c>
      <c r="J20" s="2" t="b">
        <f t="shared" si="3"/>
        <v>0</v>
      </c>
      <c r="K20" s="79">
        <v>0</v>
      </c>
      <c r="L20" s="79" t="s">
        <v>186</v>
      </c>
      <c r="M20" s="79" t="s">
        <v>187</v>
      </c>
      <c r="N20" s="81">
        <v>-1.5367999999999999</v>
      </c>
      <c r="O20" s="79" t="s">
        <v>188</v>
      </c>
      <c r="P20" s="79" t="s">
        <v>50</v>
      </c>
      <c r="Q20" s="79" t="s">
        <v>173</v>
      </c>
      <c r="R20" s="79" t="s">
        <v>52</v>
      </c>
      <c r="S20" s="79" t="s">
        <v>53</v>
      </c>
      <c r="T20" s="79" t="s">
        <v>189</v>
      </c>
      <c r="U20" s="79" t="s">
        <v>133</v>
      </c>
      <c r="V20" s="79" t="s">
        <v>56</v>
      </c>
      <c r="W20" s="79" t="s">
        <v>57</v>
      </c>
      <c r="X20" s="79">
        <v>771725523.36500001</v>
      </c>
      <c r="Y20" s="79" t="s">
        <v>58</v>
      </c>
      <c r="Z20" s="79" t="s">
        <v>190</v>
      </c>
      <c r="AA20" s="79" t="s">
        <v>60</v>
      </c>
      <c r="AB20" s="79" t="s">
        <v>61</v>
      </c>
      <c r="AC20" s="79" t="s">
        <v>176</v>
      </c>
      <c r="AD20" s="79" t="s">
        <v>191</v>
      </c>
      <c r="AE20" s="79" t="s">
        <v>192</v>
      </c>
      <c r="AF20" s="82" t="s">
        <v>139</v>
      </c>
      <c r="AG20" s="82"/>
      <c r="AH20" s="79" t="str">
        <f t="shared" si="0"/>
        <v/>
      </c>
      <c r="AI20" s="82" t="s">
        <v>139</v>
      </c>
      <c r="AJ20" s="82"/>
      <c r="AK20" s="82" t="s">
        <v>611</v>
      </c>
      <c r="AL20" s="79" t="s">
        <v>194</v>
      </c>
      <c r="AM20" s="83" t="str">
        <f>VLOOKUP(D20,'slb RAW'!$E$2:$AF$293,9)</f>
        <v>#N/A N/A</v>
      </c>
      <c r="AN20" s="79">
        <f>VLOOKUP(D20,'slb RAW'!$E$2:$AE$293,27)</f>
        <v>-1.472</v>
      </c>
      <c r="AO20" s="79" t="str">
        <f>VLOOKUP(C20,'Refinitiv SLB'!F20:S197,14)</f>
        <v/>
      </c>
      <c r="AP20" s="79">
        <f t="shared" si="1"/>
        <v>-1.472</v>
      </c>
      <c r="AQ20" s="84" t="str">
        <f t="shared" si="2"/>
        <v>Schneider Electric SECONVERTIBLEFIXEDEURSr Unsecured</v>
      </c>
      <c r="AR20" s="83" t="b">
        <f ca="1">ISNUMBER( IFERROR(VLOOKUP(A20,Pairs!$E$2:$E$57,1,FALSE),FALSE))</f>
        <v>0</v>
      </c>
      <c r="AS20" s="83"/>
      <c r="AT20" s="83"/>
    </row>
    <row r="21" spans="1:46" ht="15.75" customHeight="1" x14ac:dyDescent="0.2">
      <c r="A21" s="2">
        <v>265</v>
      </c>
      <c r="B21" s="2" t="s">
        <v>195</v>
      </c>
      <c r="C21" s="2" t="str">
        <f>VLOOKUP(D21,'slb RAW'!$E:$F,2)</f>
        <v>XS2254184547</v>
      </c>
      <c r="D21" s="2" t="s">
        <v>196</v>
      </c>
      <c r="E21" s="2" t="s">
        <v>197</v>
      </c>
      <c r="F21" s="2" t="s">
        <v>198</v>
      </c>
      <c r="G21" s="2" t="s">
        <v>199</v>
      </c>
      <c r="H21" s="2" t="s">
        <v>199</v>
      </c>
      <c r="I21" s="2" t="s">
        <v>199</v>
      </c>
      <c r="J21" s="2" t="b">
        <f t="shared" si="3"/>
        <v>1</v>
      </c>
      <c r="K21" s="2">
        <v>3.25</v>
      </c>
      <c r="L21" s="2" t="s">
        <v>200</v>
      </c>
      <c r="M21" s="2" t="s">
        <v>201</v>
      </c>
      <c r="N21" s="8">
        <v>3.4586999999999999</v>
      </c>
      <c r="O21" s="2" t="s">
        <v>49</v>
      </c>
      <c r="P21" s="2" t="s">
        <v>50</v>
      </c>
      <c r="Q21" s="2" t="s">
        <v>173</v>
      </c>
      <c r="R21" s="2" t="s">
        <v>52</v>
      </c>
      <c r="S21" s="2" t="s">
        <v>53</v>
      </c>
      <c r="T21" s="2" t="s">
        <v>54</v>
      </c>
      <c r="U21" s="2" t="s">
        <v>55</v>
      </c>
      <c r="V21" s="2" t="s">
        <v>56</v>
      </c>
      <c r="W21" s="2" t="s">
        <v>57</v>
      </c>
      <c r="X21" s="2">
        <v>120724000</v>
      </c>
      <c r="Y21" s="2" t="s">
        <v>120</v>
      </c>
      <c r="Z21" s="2" t="s">
        <v>120</v>
      </c>
      <c r="AA21" s="2" t="s">
        <v>202</v>
      </c>
      <c r="AB21" s="2" t="s">
        <v>203</v>
      </c>
      <c r="AC21" s="2" t="s">
        <v>203</v>
      </c>
      <c r="AD21" s="2" t="s">
        <v>203</v>
      </c>
      <c r="AE21" s="2" t="s">
        <v>204</v>
      </c>
      <c r="AF21" s="5">
        <v>10</v>
      </c>
      <c r="AG21" s="6"/>
      <c r="AH21" s="2" t="str">
        <f t="shared" si="0"/>
        <v/>
      </c>
      <c r="AI21" s="2" t="str" cm="1">
        <f t="array" ref="AI21">_xlfn.IFS(AF21&lt;25,"Less",AF21=25,"Equal",AF21&gt;25,"More")</f>
        <v>Less</v>
      </c>
      <c r="AJ21" s="6"/>
      <c r="AK21" s="6" t="s">
        <v>64</v>
      </c>
      <c r="AL21" s="2" t="s">
        <v>205</v>
      </c>
      <c r="AM21" s="5" t="str">
        <f>VLOOKUP(D21,'slb RAW'!$E$2:$AF$293,9)</f>
        <v>#N/A N/A</v>
      </c>
      <c r="AN21" s="2" t="str">
        <f>VLOOKUP(D21,'slb RAW'!$E$2:$AE$293,27)</f>
        <v>#N/A N/A</v>
      </c>
      <c r="AO21" s="2">
        <f>VLOOKUP(C21,'Refinitiv SLB'!F21:S198,14)</f>
        <v>4.8710000000000004</v>
      </c>
      <c r="AP21" s="2" t="str">
        <f t="shared" si="1"/>
        <v>#N/A N/A</v>
      </c>
      <c r="AQ21" s="7" t="str">
        <f t="shared" si="2"/>
        <v>Veneziana Energia Risorse Idriche Territorio Ambiente Servizi SpAAT MATURITYFIXEDEURSr Unsecured</v>
      </c>
      <c r="AR21" s="5" t="b">
        <f ca="1">ISNUMBER( IFERROR(VLOOKUP(A21,Pairs!$E$2:$E$57,1,FALSE),FALSE))</f>
        <v>0</v>
      </c>
      <c r="AS21" s="5"/>
      <c r="AT21" s="5"/>
    </row>
    <row r="22" spans="1:46" ht="15.75" customHeight="1" x14ac:dyDescent="0.2">
      <c r="A22" s="2">
        <v>200</v>
      </c>
      <c r="B22" s="2" t="s">
        <v>206</v>
      </c>
      <c r="C22" s="2" t="str">
        <f>VLOOKUP(D22,'slb RAW'!$E:$F,2)</f>
        <v>PLPKN0000208</v>
      </c>
      <c r="D22" s="2" t="s">
        <v>207</v>
      </c>
      <c r="E22" s="2" t="s">
        <v>208</v>
      </c>
      <c r="F22" s="2" t="s">
        <v>209</v>
      </c>
      <c r="G22" s="2" t="s">
        <v>112</v>
      </c>
      <c r="H22" s="2" t="s">
        <v>112</v>
      </c>
      <c r="I22" s="2" t="s">
        <v>112</v>
      </c>
      <c r="J22" s="2" t="b">
        <f t="shared" si="3"/>
        <v>1</v>
      </c>
      <c r="K22" s="2">
        <v>3.56</v>
      </c>
      <c r="L22" s="2" t="s">
        <v>210</v>
      </c>
      <c r="M22" s="2" t="s">
        <v>211</v>
      </c>
      <c r="N22" s="8">
        <v>1.1267</v>
      </c>
      <c r="O22" s="2" t="s">
        <v>49</v>
      </c>
      <c r="P22" s="2" t="s">
        <v>50</v>
      </c>
      <c r="Q22" s="2" t="s">
        <v>212</v>
      </c>
      <c r="R22" s="2" t="s">
        <v>52</v>
      </c>
      <c r="S22" s="2" t="s">
        <v>119</v>
      </c>
      <c r="T22" s="2" t="s">
        <v>189</v>
      </c>
      <c r="U22" s="2" t="s">
        <v>174</v>
      </c>
      <c r="V22" s="2" t="s">
        <v>70</v>
      </c>
      <c r="W22" s="2" t="s">
        <v>71</v>
      </c>
      <c r="X22" s="2">
        <v>270133000</v>
      </c>
      <c r="Y22" s="2" t="s">
        <v>213</v>
      </c>
      <c r="Z22" s="2" t="s">
        <v>214</v>
      </c>
      <c r="AA22" s="2" t="s">
        <v>60</v>
      </c>
      <c r="AB22" s="2" t="s">
        <v>61</v>
      </c>
      <c r="AC22" s="2" t="s">
        <v>213</v>
      </c>
      <c r="AD22" s="2" t="s">
        <v>215</v>
      </c>
      <c r="AE22" s="2" t="s">
        <v>216</v>
      </c>
      <c r="AF22" s="6">
        <v>10</v>
      </c>
      <c r="AG22" s="6"/>
      <c r="AH22" s="2" t="str">
        <f t="shared" si="0"/>
        <v/>
      </c>
      <c r="AI22" s="2" t="str" cm="1">
        <f t="array" ref="AI22">_xlfn.IFS(AF22&lt;25,"Less",AF22=25,"Equal",AF22&gt;25,"More")</f>
        <v>Less</v>
      </c>
      <c r="AJ22" s="6" t="s">
        <v>5517</v>
      </c>
      <c r="AK22" s="6" t="s">
        <v>64</v>
      </c>
      <c r="AL22" s="2" t="s">
        <v>217</v>
      </c>
      <c r="AM22" s="5" t="str">
        <f>VLOOKUP(D22,'slb RAW'!$E$2:$AF$293,9)</f>
        <v>#N/A N/A</v>
      </c>
      <c r="AN22" s="2">
        <f>VLOOKUP(D22,'slb RAW'!$E$2:$AE$293,27)</f>
        <v>1.149</v>
      </c>
      <c r="AO22" s="2">
        <f>VLOOKUP(C22,'Refinitiv SLB'!F22:S199,14)</f>
        <v>1.867</v>
      </c>
      <c r="AP22" s="2">
        <f t="shared" si="1"/>
        <v>1.149</v>
      </c>
      <c r="AQ22" s="7" t="str">
        <f t="shared" si="2"/>
        <v>Polski Koncern Naftowy ORLEN SAAT MATURITYFLOATINGPLNSr Unsecured</v>
      </c>
      <c r="AR22" s="5" t="b">
        <f ca="1">ISNUMBER( IFERROR(VLOOKUP(A22,Pairs!$E$2:$E$57,1,FALSE),FALSE))</f>
        <v>0</v>
      </c>
      <c r="AS22" s="5"/>
      <c r="AT22" s="5"/>
    </row>
    <row r="23" spans="1:46" ht="15.75" customHeight="1" x14ac:dyDescent="0.2">
      <c r="A23" s="2">
        <v>199</v>
      </c>
      <c r="B23" s="2" t="s">
        <v>218</v>
      </c>
      <c r="C23" s="2" t="str">
        <f>VLOOKUP(D23,'slb RAW'!$E:$F,2)</f>
        <v>ES0205072020</v>
      </c>
      <c r="D23" s="2" t="s">
        <v>219</v>
      </c>
      <c r="E23" s="2" t="s">
        <v>220</v>
      </c>
      <c r="F23" s="2" t="s">
        <v>221</v>
      </c>
      <c r="G23" s="2" t="s">
        <v>222</v>
      </c>
      <c r="H23" s="2" t="s">
        <v>222</v>
      </c>
      <c r="I23" s="2" t="s">
        <v>222</v>
      </c>
      <c r="J23" s="2" t="b">
        <f t="shared" si="3"/>
        <v>1</v>
      </c>
      <c r="K23" s="2">
        <v>5.15</v>
      </c>
      <c r="L23" s="2" t="s">
        <v>223</v>
      </c>
      <c r="M23" s="2" t="s">
        <v>224</v>
      </c>
      <c r="N23" s="8">
        <v>4.8480999999999996</v>
      </c>
      <c r="O23" s="2" t="s">
        <v>49</v>
      </c>
      <c r="P23" s="2" t="s">
        <v>50</v>
      </c>
      <c r="Q23" s="2" t="s">
        <v>225</v>
      </c>
      <c r="R23" s="2" t="s">
        <v>52</v>
      </c>
      <c r="S23" s="2" t="s">
        <v>53</v>
      </c>
      <c r="T23" s="2" t="s">
        <v>54</v>
      </c>
      <c r="U23" s="2" t="s">
        <v>55</v>
      </c>
      <c r="V23" s="2" t="s">
        <v>56</v>
      </c>
      <c r="W23" s="2" t="s">
        <v>57</v>
      </c>
      <c r="X23" s="2">
        <v>21858480</v>
      </c>
      <c r="Y23" s="2" t="s">
        <v>134</v>
      </c>
      <c r="Z23" s="2" t="s">
        <v>226</v>
      </c>
      <c r="AA23" s="2" t="s">
        <v>60</v>
      </c>
      <c r="AB23" s="2" t="s">
        <v>61</v>
      </c>
      <c r="AC23" s="2" t="s">
        <v>227</v>
      </c>
      <c r="AD23" s="2" t="s">
        <v>228</v>
      </c>
      <c r="AE23" s="2" t="s">
        <v>229</v>
      </c>
      <c r="AF23" s="5">
        <v>25</v>
      </c>
      <c r="AG23" s="6"/>
      <c r="AH23" s="2" t="str">
        <f t="shared" si="0"/>
        <v/>
      </c>
      <c r="AI23" s="2" t="str" cm="1">
        <f t="array" ref="AI23">_xlfn.IFS(AF23&lt;25,"Less",AF23=25,"Equal",AF23&gt;25,"More")</f>
        <v>Equal</v>
      </c>
      <c r="AJ23" s="6"/>
      <c r="AK23" s="6" t="s">
        <v>125</v>
      </c>
      <c r="AL23" s="2" t="s">
        <v>230</v>
      </c>
      <c r="AM23" s="5" t="str">
        <f>VLOOKUP(D23,'slb RAW'!$E$2:$AF$293,9)</f>
        <v>#N/A N/A</v>
      </c>
      <c r="AN23" s="2" t="str">
        <f>VLOOKUP(D23,'slb RAW'!$E$2:$AE$293,27)</f>
        <v>#N/A N/A</v>
      </c>
      <c r="AO23" s="2" t="e">
        <f>VLOOKUP(C23,'Refinitiv SLB'!F23:S200,14)</f>
        <v>#N/A</v>
      </c>
      <c r="AP23" s="2" t="str">
        <f t="shared" si="1"/>
        <v>#N/A N/A</v>
      </c>
      <c r="AQ23" s="7" t="str">
        <f t="shared" si="2"/>
        <v>Pikolin SLAT MATURITYFIXEDEURSr Unsecured</v>
      </c>
      <c r="AR23" s="5" t="b">
        <f ca="1">ISNUMBER( IFERROR(VLOOKUP(A23,Pairs!$E$2:$E$57,1,FALSE),FALSE))</f>
        <v>0</v>
      </c>
      <c r="AS23" s="5"/>
      <c r="AT23" s="5"/>
    </row>
    <row r="24" spans="1:46" s="80" customFormat="1" ht="15.75" customHeight="1" x14ac:dyDescent="0.2">
      <c r="A24" s="79">
        <v>10</v>
      </c>
      <c r="B24" s="81" t="s">
        <v>231</v>
      </c>
      <c r="C24" s="79" t="str">
        <f>VLOOKUP(D24,'slb RAW'!$E:$F,2)</f>
        <v>FR0014000X03</v>
      </c>
      <c r="D24" s="79" t="s">
        <v>232</v>
      </c>
      <c r="E24" s="79" t="s">
        <v>233</v>
      </c>
      <c r="F24" s="79" t="s">
        <v>234</v>
      </c>
      <c r="G24" s="79" t="s">
        <v>184</v>
      </c>
      <c r="H24" s="79" t="s">
        <v>184</v>
      </c>
      <c r="I24" s="79" t="s">
        <v>184</v>
      </c>
      <c r="J24" s="2" t="b">
        <f t="shared" si="3"/>
        <v>1</v>
      </c>
      <c r="K24" s="79">
        <v>2.85</v>
      </c>
      <c r="L24" s="79" t="s">
        <v>235</v>
      </c>
      <c r="M24" s="79" t="s">
        <v>236</v>
      </c>
      <c r="N24" s="81" t="s">
        <v>48</v>
      </c>
      <c r="O24" s="79" t="s">
        <v>49</v>
      </c>
      <c r="P24" s="79" t="s">
        <v>50</v>
      </c>
      <c r="Q24" s="79" t="s">
        <v>173</v>
      </c>
      <c r="R24" s="79" t="s">
        <v>52</v>
      </c>
      <c r="S24" s="79" t="s">
        <v>53</v>
      </c>
      <c r="T24" s="79" t="s">
        <v>54</v>
      </c>
      <c r="U24" s="79" t="s">
        <v>55</v>
      </c>
      <c r="V24" s="79" t="s">
        <v>56</v>
      </c>
      <c r="W24" s="79" t="s">
        <v>57</v>
      </c>
      <c r="X24" s="79">
        <v>60665500</v>
      </c>
      <c r="Y24" s="79" t="s">
        <v>120</v>
      </c>
      <c r="Z24" s="79" t="s">
        <v>237</v>
      </c>
      <c r="AA24" s="79" t="s">
        <v>60</v>
      </c>
      <c r="AB24" s="79" t="s">
        <v>121</v>
      </c>
      <c r="AC24" s="79" t="s">
        <v>122</v>
      </c>
      <c r="AD24" s="79" t="s">
        <v>122</v>
      </c>
      <c r="AE24" s="79" t="s">
        <v>5504</v>
      </c>
      <c r="AF24" s="82">
        <v>25</v>
      </c>
      <c r="AG24" s="82"/>
      <c r="AH24" s="79" t="str">
        <f t="shared" si="0"/>
        <v/>
      </c>
      <c r="AI24" s="2" t="str" cm="1">
        <f t="array" ref="AI24">_xlfn.IFS(AF24&lt;25,"Less",AF24=25,"Equal",AF24&gt;25,"More")</f>
        <v>Equal</v>
      </c>
      <c r="AJ24" s="82" t="s">
        <v>5517</v>
      </c>
      <c r="AK24" s="82" t="s">
        <v>125</v>
      </c>
      <c r="AL24" s="79" t="s">
        <v>239</v>
      </c>
      <c r="AM24" s="83" t="str">
        <f>VLOOKUP(D24,'slb RAW'!$E$2:$AF$293,9)</f>
        <v>#N/A N/A</v>
      </c>
      <c r="AN24" s="79" t="str">
        <f>VLOOKUP(D24,'slb RAW'!$E$2:$AE$293,27)</f>
        <v>#N/A N/A</v>
      </c>
      <c r="AO24" s="79" t="str">
        <f>VLOOKUP(C24,'Refinitiv SLB'!F24:S201,14)</f>
        <v/>
      </c>
      <c r="AP24" s="79" t="str">
        <f t="shared" si="1"/>
        <v>#N/A N/A</v>
      </c>
      <c r="AQ24" s="84" t="str">
        <f t="shared" si="2"/>
        <v>Albioma SAAT MATURITYFIXEDEURSr Unsecured</v>
      </c>
      <c r="AR24" s="83" t="b">
        <f ca="1">ISNUMBER( IFERROR(VLOOKUP(A24,Pairs!$E$2:$E$57,1,FALSE),FALSE))</f>
        <v>0</v>
      </c>
      <c r="AS24" s="83"/>
      <c r="AT24" s="83"/>
    </row>
    <row r="25" spans="1:46" s="80" customFormat="1" ht="15.75" customHeight="1" x14ac:dyDescent="0.2">
      <c r="A25" s="79">
        <v>11</v>
      </c>
      <c r="B25" s="81" t="s">
        <v>231</v>
      </c>
      <c r="C25" s="79" t="str">
        <f>VLOOKUP(D25,'slb RAW'!$E:$F,2)</f>
        <v>FR0014000X11</v>
      </c>
      <c r="D25" s="79" t="s">
        <v>240</v>
      </c>
      <c r="E25" s="79" t="s">
        <v>241</v>
      </c>
      <c r="F25" s="79" t="s">
        <v>234</v>
      </c>
      <c r="G25" s="79" t="s">
        <v>184</v>
      </c>
      <c r="H25" s="79" t="s">
        <v>184</v>
      </c>
      <c r="I25" s="79" t="s">
        <v>184</v>
      </c>
      <c r="J25" s="2" t="b">
        <f t="shared" si="3"/>
        <v>1</v>
      </c>
      <c r="K25" s="79">
        <v>3</v>
      </c>
      <c r="L25" s="79" t="s">
        <v>235</v>
      </c>
      <c r="M25" s="79" t="s">
        <v>242</v>
      </c>
      <c r="N25" s="81" t="s">
        <v>48</v>
      </c>
      <c r="O25" s="79" t="s">
        <v>49</v>
      </c>
      <c r="P25" s="79" t="s">
        <v>50</v>
      </c>
      <c r="Q25" s="79" t="s">
        <v>173</v>
      </c>
      <c r="R25" s="79" t="s">
        <v>52</v>
      </c>
      <c r="S25" s="79" t="s">
        <v>53</v>
      </c>
      <c r="T25" s="79" t="s">
        <v>54</v>
      </c>
      <c r="U25" s="79" t="s">
        <v>55</v>
      </c>
      <c r="V25" s="79" t="s">
        <v>56</v>
      </c>
      <c r="W25" s="79" t="s">
        <v>57</v>
      </c>
      <c r="X25" s="79">
        <v>60665500</v>
      </c>
      <c r="Y25" s="79" t="s">
        <v>120</v>
      </c>
      <c r="Z25" s="79" t="s">
        <v>237</v>
      </c>
      <c r="AA25" s="79" t="s">
        <v>60</v>
      </c>
      <c r="AB25" s="79" t="s">
        <v>121</v>
      </c>
      <c r="AC25" s="79" t="s">
        <v>122</v>
      </c>
      <c r="AD25" s="79" t="s">
        <v>122</v>
      </c>
      <c r="AE25" s="79" t="s">
        <v>5504</v>
      </c>
      <c r="AF25" s="82">
        <v>25</v>
      </c>
      <c r="AG25" s="82"/>
      <c r="AH25" s="79" t="str">
        <f t="shared" si="0"/>
        <v/>
      </c>
      <c r="AI25" s="2" t="str" cm="1">
        <f t="array" ref="AI25">_xlfn.IFS(AF25&lt;25,"Less",AF25=25,"Equal",AF25&gt;25,"More")</f>
        <v>Equal</v>
      </c>
      <c r="AJ25" s="82" t="s">
        <v>5517</v>
      </c>
      <c r="AK25" s="82" t="s">
        <v>125</v>
      </c>
      <c r="AL25" s="79" t="s">
        <v>243</v>
      </c>
      <c r="AM25" s="83" t="str">
        <f>VLOOKUP(D25,'slb RAW'!$E$2:$AF$293,9)</f>
        <v>#N/A N/A</v>
      </c>
      <c r="AN25" s="79" t="str">
        <f>VLOOKUP(D25,'slb RAW'!$E$2:$AE$293,27)</f>
        <v>#N/A N/A</v>
      </c>
      <c r="AO25" s="79" t="e">
        <f>VLOOKUP(C25,'Refinitiv SLB'!F25:S202,14)</f>
        <v>#N/A</v>
      </c>
      <c r="AP25" s="79" t="str">
        <f t="shared" si="1"/>
        <v>#N/A N/A</v>
      </c>
      <c r="AQ25" s="84" t="str">
        <f t="shared" si="2"/>
        <v>Albioma SAAT MATURITYFIXEDEURSr Unsecured</v>
      </c>
      <c r="AR25" s="83" t="b">
        <f ca="1">ISNUMBER( IFERROR(VLOOKUP(A25,Pairs!$E$2:$E$57,1,FALSE),FALSE))</f>
        <v>0</v>
      </c>
      <c r="AS25" s="83"/>
      <c r="AT25" s="83"/>
    </row>
    <row r="26" spans="1:46" ht="15.75" customHeight="1" x14ac:dyDescent="0.2">
      <c r="A26" s="2">
        <v>40</v>
      </c>
      <c r="B26" s="2" t="s">
        <v>244</v>
      </c>
      <c r="C26" s="2" t="str">
        <f>VLOOKUP(D26,'slb RAW'!$E:$F,2)</f>
        <v>FR0014000SC2</v>
      </c>
      <c r="D26" s="2" t="s">
        <v>245</v>
      </c>
      <c r="E26" s="2" t="s">
        <v>246</v>
      </c>
      <c r="F26" s="2" t="s">
        <v>247</v>
      </c>
      <c r="G26" s="2" t="s">
        <v>184</v>
      </c>
      <c r="H26" s="2" t="s">
        <v>184</v>
      </c>
      <c r="I26" s="2" t="s">
        <v>184</v>
      </c>
      <c r="J26" s="2" t="b">
        <f t="shared" si="3"/>
        <v>1</v>
      </c>
      <c r="K26" s="2">
        <v>3.25</v>
      </c>
      <c r="L26" s="2" t="s">
        <v>248</v>
      </c>
      <c r="M26" s="2" t="s">
        <v>249</v>
      </c>
      <c r="N26" s="4" t="s">
        <v>48</v>
      </c>
      <c r="O26" s="2" t="s">
        <v>49</v>
      </c>
      <c r="P26" s="2" t="s">
        <v>50</v>
      </c>
      <c r="Q26" s="2" t="s">
        <v>173</v>
      </c>
      <c r="R26" s="2" t="s">
        <v>52</v>
      </c>
      <c r="S26" s="2" t="s">
        <v>53</v>
      </c>
      <c r="T26" s="2" t="s">
        <v>54</v>
      </c>
      <c r="U26" s="2" t="s">
        <v>55</v>
      </c>
      <c r="V26" s="2" t="s">
        <v>56</v>
      </c>
      <c r="W26" s="2" t="s">
        <v>57</v>
      </c>
      <c r="X26" s="2">
        <v>121575000</v>
      </c>
      <c r="Y26" s="2" t="s">
        <v>134</v>
      </c>
      <c r="Z26" s="2" t="s">
        <v>135</v>
      </c>
      <c r="AA26" s="2" t="s">
        <v>60</v>
      </c>
      <c r="AB26" s="2" t="s">
        <v>61</v>
      </c>
      <c r="AC26" s="2" t="s">
        <v>136</v>
      </c>
      <c r="AD26" s="2" t="s">
        <v>137</v>
      </c>
      <c r="AE26" s="2" t="s">
        <v>250</v>
      </c>
      <c r="AF26" s="2" t="s">
        <v>139</v>
      </c>
      <c r="AG26" s="6"/>
      <c r="AH26" s="2" t="str">
        <f t="shared" si="0"/>
        <v/>
      </c>
      <c r="AI26" s="2" t="s">
        <v>139</v>
      </c>
      <c r="AJ26" s="6"/>
      <c r="AK26" s="6" t="s">
        <v>251</v>
      </c>
      <c r="AL26" s="2" t="s">
        <v>252</v>
      </c>
      <c r="AM26" s="5" t="str">
        <f>VLOOKUP(D26,'slb RAW'!$E$2:$AF$293,9)</f>
        <v>#N/A N/A</v>
      </c>
      <c r="AN26" s="2" t="str">
        <f>VLOOKUP(D26,'slb RAW'!$E$2:$AE$293,27)</f>
        <v>#N/A N/A</v>
      </c>
      <c r="AO26" s="2" t="e">
        <f>VLOOKUP(C26,'Refinitiv SLB'!F26:S203,14)</f>
        <v>#N/A</v>
      </c>
      <c r="AP26" s="2" t="str">
        <f t="shared" si="1"/>
        <v>#N/A N/A</v>
      </c>
      <c r="AQ26" s="7" t="str">
        <f t="shared" si="2"/>
        <v>Chargeurs SAAT MATURITYFIXEDEURSr Unsecured</v>
      </c>
      <c r="AR26" s="5" t="b">
        <f ca="1">ISNUMBER( IFERROR(VLOOKUP(A26,Pairs!$E$2:$E$57,1,FALSE),FALSE))</f>
        <v>0</v>
      </c>
      <c r="AS26" s="5"/>
      <c r="AT26" s="5"/>
    </row>
    <row r="27" spans="1:46" ht="15.75" customHeight="1" x14ac:dyDescent="0.2">
      <c r="A27" s="2">
        <v>157</v>
      </c>
      <c r="B27" s="2" t="s">
        <v>253</v>
      </c>
      <c r="C27" s="2" t="str">
        <f>VLOOKUP(D27,'slb RAW'!$E:$F,2)</f>
        <v>US49836AAC80</v>
      </c>
      <c r="D27" s="2" t="s">
        <v>254</v>
      </c>
      <c r="E27" s="2" t="s">
        <v>255</v>
      </c>
      <c r="F27" s="2" t="s">
        <v>256</v>
      </c>
      <c r="G27" s="2" t="s">
        <v>257</v>
      </c>
      <c r="H27" s="2" t="s">
        <v>257</v>
      </c>
      <c r="I27" s="2" t="s">
        <v>258</v>
      </c>
      <c r="J27" s="2" t="b">
        <f t="shared" si="3"/>
        <v>0</v>
      </c>
      <c r="K27" s="2">
        <v>3.2</v>
      </c>
      <c r="L27" s="2" t="s">
        <v>259</v>
      </c>
      <c r="M27" s="2" t="s">
        <v>260</v>
      </c>
      <c r="N27" s="2">
        <v>3.1999999999999997</v>
      </c>
      <c r="O27" s="2" t="s">
        <v>115</v>
      </c>
      <c r="P27" s="2" t="s">
        <v>116</v>
      </c>
      <c r="Q27" s="2" t="s">
        <v>261</v>
      </c>
      <c r="R27" s="2" t="s">
        <v>52</v>
      </c>
      <c r="S27" s="2" t="s">
        <v>262</v>
      </c>
      <c r="T27" s="2" t="s">
        <v>263</v>
      </c>
      <c r="U27" s="2" t="s">
        <v>55</v>
      </c>
      <c r="V27" s="2" t="s">
        <v>56</v>
      </c>
      <c r="W27" s="2" t="s">
        <v>71</v>
      </c>
      <c r="X27" s="2">
        <v>500000000</v>
      </c>
      <c r="Y27" s="2" t="s">
        <v>85</v>
      </c>
      <c r="Z27" s="2" t="s">
        <v>264</v>
      </c>
      <c r="AA27" s="2" t="s">
        <v>60</v>
      </c>
      <c r="AB27" s="2" t="s">
        <v>61</v>
      </c>
      <c r="AC27" s="2" t="s">
        <v>87</v>
      </c>
      <c r="AD27" s="2" t="s">
        <v>265</v>
      </c>
      <c r="AE27" s="2" t="s">
        <v>266</v>
      </c>
      <c r="AF27" s="6">
        <v>12.5</v>
      </c>
      <c r="AG27" s="6"/>
      <c r="AH27" s="2" t="str">
        <f t="shared" si="0"/>
        <v/>
      </c>
      <c r="AI27" s="2" t="str" cm="1">
        <f t="array" ref="AI27">_xlfn.IFS(AF27&lt;25,"Less",AF27=25,"Equal",AF27&gt;25,"More")</f>
        <v>Less</v>
      </c>
      <c r="AJ27" s="6" t="s">
        <v>5517</v>
      </c>
      <c r="AK27" s="6" t="s">
        <v>125</v>
      </c>
      <c r="AL27" s="2" t="s">
        <v>267</v>
      </c>
      <c r="AM27" s="5">
        <f>VLOOKUP(D27,'slb RAW'!$E$2:$AF$293,9)</f>
        <v>3.1999999999999997</v>
      </c>
      <c r="AN27" s="2">
        <f>VLOOKUP(D27,'slb RAW'!$E$2:$AE$293,27)</f>
        <v>3.1509999999999998</v>
      </c>
      <c r="AO27" s="2">
        <f>VLOOKUP(C27,'Refinitiv SLB'!F27:S204,14)</f>
        <v>0.73699999999999999</v>
      </c>
      <c r="AP27" s="2">
        <f t="shared" si="1"/>
        <v>3.1509999999999998</v>
      </c>
      <c r="AQ27" s="7" t="str">
        <f t="shared" si="2"/>
        <v>Klabin Austria GmbHCALLABLEFIXEDUSDSr Unsecured</v>
      </c>
      <c r="AR27" s="5" t="b">
        <f ca="1">ISNUMBER( IFERROR(VLOOKUP(A27,Pairs!$E$2:$E$57,1,FALSE),FALSE))</f>
        <v>1</v>
      </c>
      <c r="AS27" s="5"/>
      <c r="AT27" s="5"/>
    </row>
    <row r="28" spans="1:46" ht="15.75" customHeight="1" x14ac:dyDescent="0.2">
      <c r="A28" s="2">
        <v>158</v>
      </c>
      <c r="B28" s="2" t="s">
        <v>253</v>
      </c>
      <c r="C28" s="2" t="str">
        <f>VLOOKUP(D28,'slb RAW'!$E:$F,2)</f>
        <v>USA35155AE99</v>
      </c>
      <c r="D28" s="2" t="s">
        <v>268</v>
      </c>
      <c r="E28" s="2" t="s">
        <v>269</v>
      </c>
      <c r="F28" s="2" t="s">
        <v>256</v>
      </c>
      <c r="G28" s="2" t="s">
        <v>257</v>
      </c>
      <c r="H28" s="2" t="s">
        <v>257</v>
      </c>
      <c r="I28" s="2" t="s">
        <v>258</v>
      </c>
      <c r="J28" s="2" t="b">
        <f t="shared" si="3"/>
        <v>0</v>
      </c>
      <c r="K28" s="2">
        <v>3.2</v>
      </c>
      <c r="L28" s="2" t="s">
        <v>259</v>
      </c>
      <c r="M28" s="2" t="s">
        <v>260</v>
      </c>
      <c r="N28" s="2">
        <v>3.1999999999999997</v>
      </c>
      <c r="O28" s="2" t="s">
        <v>115</v>
      </c>
      <c r="P28" s="2" t="s">
        <v>116</v>
      </c>
      <c r="Q28" s="2" t="s">
        <v>270</v>
      </c>
      <c r="R28" s="2" t="s">
        <v>52</v>
      </c>
      <c r="S28" s="2" t="s">
        <v>262</v>
      </c>
      <c r="T28" s="2" t="s">
        <v>263</v>
      </c>
      <c r="U28" s="2" t="s">
        <v>55</v>
      </c>
      <c r="V28" s="2" t="s">
        <v>56</v>
      </c>
      <c r="W28" s="2" t="s">
        <v>71</v>
      </c>
      <c r="X28" s="2">
        <v>500000000</v>
      </c>
      <c r="Y28" s="2" t="s">
        <v>85</v>
      </c>
      <c r="Z28" s="2" t="s">
        <v>264</v>
      </c>
      <c r="AA28" s="2" t="s">
        <v>60</v>
      </c>
      <c r="AB28" s="2" t="s">
        <v>61</v>
      </c>
      <c r="AC28" s="2" t="s">
        <v>87</v>
      </c>
      <c r="AD28" s="2" t="s">
        <v>265</v>
      </c>
      <c r="AE28" s="2" t="s">
        <v>266</v>
      </c>
      <c r="AF28" s="6">
        <v>12.5</v>
      </c>
      <c r="AG28" s="6"/>
      <c r="AH28" s="2" t="str">
        <f t="shared" si="0"/>
        <v/>
      </c>
      <c r="AI28" s="2" t="str" cm="1">
        <f t="array" ref="AI28">_xlfn.IFS(AF28&lt;25,"Less",AF28=25,"Equal",AF28&gt;25,"More")</f>
        <v>Less</v>
      </c>
      <c r="AJ28" s="6" t="s">
        <v>5517</v>
      </c>
      <c r="AK28" s="6" t="s">
        <v>125</v>
      </c>
      <c r="AL28" s="2" t="s">
        <v>271</v>
      </c>
      <c r="AM28" s="5">
        <f>VLOOKUP(D28,'slb RAW'!$E$2:$AF$293,9)</f>
        <v>3.1999999999999997</v>
      </c>
      <c r="AN28" s="2">
        <f>VLOOKUP(D28,'slb RAW'!$E$2:$AE$293,27)</f>
        <v>3.1549999999999998</v>
      </c>
      <c r="AO28" s="2" t="str">
        <f>VLOOKUP(C28,'Refinitiv SLB'!F28:S205,14)</f>
        <v/>
      </c>
      <c r="AP28" s="2">
        <f t="shared" si="1"/>
        <v>3.1549999999999998</v>
      </c>
      <c r="AQ28" s="7" t="str">
        <f t="shared" si="2"/>
        <v>Klabin Austria GmbHCALLABLEFIXEDUSDSr Unsecured</v>
      </c>
      <c r="AR28" s="5" t="b">
        <f ca="1">ISNUMBER( IFERROR(VLOOKUP(A28,Pairs!$E$2:$E$57,1,FALSE),FALSE))</f>
        <v>1</v>
      </c>
      <c r="AS28" s="5"/>
      <c r="AT28" s="5"/>
    </row>
    <row r="29" spans="1:46" s="90" customFormat="1" ht="15.75" customHeight="1" x14ac:dyDescent="0.2">
      <c r="A29" s="85">
        <v>250</v>
      </c>
      <c r="B29" s="85" t="s">
        <v>272</v>
      </c>
      <c r="C29" s="85" t="str">
        <f>VLOOKUP(D29,'slb RAW'!$E:$F,2)</f>
        <v>#N/A Field Not Applicable</v>
      </c>
      <c r="D29" s="85" t="s">
        <v>273</v>
      </c>
      <c r="E29" s="85" t="s">
        <v>274</v>
      </c>
      <c r="F29" s="85" t="s">
        <v>275</v>
      </c>
      <c r="G29" s="85" t="s">
        <v>45</v>
      </c>
      <c r="H29" s="85" t="s">
        <v>45</v>
      </c>
      <c r="I29" s="85" t="s">
        <v>45</v>
      </c>
      <c r="J29" s="2" t="b">
        <f t="shared" si="3"/>
        <v>1</v>
      </c>
      <c r="K29" s="85">
        <v>0</v>
      </c>
      <c r="L29" s="85" t="s">
        <v>276</v>
      </c>
      <c r="M29" s="85" t="s">
        <v>277</v>
      </c>
      <c r="N29" s="91" t="s">
        <v>48</v>
      </c>
      <c r="O29" s="85" t="s">
        <v>49</v>
      </c>
      <c r="P29" s="85" t="s">
        <v>50</v>
      </c>
      <c r="Q29" s="85" t="s">
        <v>84</v>
      </c>
      <c r="R29" s="85" t="s">
        <v>52</v>
      </c>
      <c r="S29" s="85" t="s">
        <v>53</v>
      </c>
      <c r="T29" s="85" t="s">
        <v>54</v>
      </c>
      <c r="U29" s="85" t="s">
        <v>55</v>
      </c>
      <c r="V29" s="85" t="s">
        <v>70</v>
      </c>
      <c r="W29" s="85" t="s">
        <v>71</v>
      </c>
      <c r="X29" s="85">
        <v>844921000</v>
      </c>
      <c r="Y29" s="85" t="s">
        <v>58</v>
      </c>
      <c r="Z29" s="85" t="s">
        <v>278</v>
      </c>
      <c r="AA29" s="85" t="s">
        <v>60</v>
      </c>
      <c r="AB29" s="85" t="s">
        <v>61</v>
      </c>
      <c r="AC29" s="85" t="s">
        <v>279</v>
      </c>
      <c r="AD29" s="85" t="s">
        <v>280</v>
      </c>
      <c r="AE29" s="85" t="s">
        <v>281</v>
      </c>
      <c r="AF29" s="87" t="s">
        <v>139</v>
      </c>
      <c r="AG29" s="87"/>
      <c r="AH29" s="85" t="str">
        <f t="shared" si="0"/>
        <v/>
      </c>
      <c r="AI29" s="87" t="s">
        <v>139</v>
      </c>
      <c r="AJ29" s="87"/>
      <c r="AK29" s="87" t="s">
        <v>48</v>
      </c>
      <c r="AL29" s="85" t="s">
        <v>282</v>
      </c>
      <c r="AM29" s="88" t="str">
        <f>VLOOKUP(D29,'slb RAW'!$E$2:$AF$293,9)</f>
        <v>#N/A N/A</v>
      </c>
      <c r="AN29" s="85" t="str">
        <f>VLOOKUP(D29,'slb RAW'!$E$2:$AE$293,27)</f>
        <v>#N/A N/A</v>
      </c>
      <c r="AO29" s="85" t="e">
        <f>VLOOKUP(C29,'Refinitiv SLB'!F29:S206,14)</f>
        <v>#N/A</v>
      </c>
      <c r="AP29" s="85" t="str">
        <f t="shared" si="1"/>
        <v>#N/A N/A</v>
      </c>
      <c r="AQ29" s="89" t="str">
        <f t="shared" si="2"/>
        <v>Traton SEAT MATURITYFLOATINGEURSr Unsecured</v>
      </c>
      <c r="AR29" s="88" t="b">
        <f ca="1">ISNUMBER( IFERROR(VLOOKUP(A29,Pairs!$E$2:$E$57,1,FALSE),FALSE))</f>
        <v>0</v>
      </c>
      <c r="AS29" s="88"/>
      <c r="AT29" s="88"/>
    </row>
    <row r="30" spans="1:46" s="90" customFormat="1" ht="15.75" customHeight="1" x14ac:dyDescent="0.2">
      <c r="A30" s="85">
        <v>251</v>
      </c>
      <c r="B30" s="85" t="s">
        <v>272</v>
      </c>
      <c r="C30" s="85" t="str">
        <f>VLOOKUP(D30,'slb RAW'!$E:$F,2)</f>
        <v>#N/A Field Not Applicable</v>
      </c>
      <c r="D30" s="85" t="s">
        <v>283</v>
      </c>
      <c r="E30" s="85" t="s">
        <v>284</v>
      </c>
      <c r="F30" s="85" t="s">
        <v>275</v>
      </c>
      <c r="G30" s="85" t="s">
        <v>45</v>
      </c>
      <c r="H30" s="85" t="s">
        <v>45</v>
      </c>
      <c r="I30" s="85" t="s">
        <v>45</v>
      </c>
      <c r="J30" s="2" t="b">
        <f t="shared" si="3"/>
        <v>1</v>
      </c>
      <c r="K30" s="85">
        <v>0</v>
      </c>
      <c r="L30" s="85" t="s">
        <v>276</v>
      </c>
      <c r="M30" s="85" t="s">
        <v>285</v>
      </c>
      <c r="N30" s="91" t="s">
        <v>48</v>
      </c>
      <c r="O30" s="85" t="s">
        <v>49</v>
      </c>
      <c r="P30" s="85" t="s">
        <v>50</v>
      </c>
      <c r="Q30" s="85" t="s">
        <v>94</v>
      </c>
      <c r="R30" s="85" t="s">
        <v>52</v>
      </c>
      <c r="S30" s="85" t="s">
        <v>53</v>
      </c>
      <c r="T30" s="85" t="s">
        <v>54</v>
      </c>
      <c r="U30" s="85" t="s">
        <v>55</v>
      </c>
      <c r="V30" s="85" t="s">
        <v>70</v>
      </c>
      <c r="W30" s="85" t="s">
        <v>71</v>
      </c>
      <c r="X30" s="85">
        <v>844921000</v>
      </c>
      <c r="Y30" s="85" t="s">
        <v>58</v>
      </c>
      <c r="Z30" s="85" t="s">
        <v>278</v>
      </c>
      <c r="AA30" s="85" t="s">
        <v>60</v>
      </c>
      <c r="AB30" s="85" t="s">
        <v>61</v>
      </c>
      <c r="AC30" s="85" t="s">
        <v>279</v>
      </c>
      <c r="AD30" s="85" t="s">
        <v>280</v>
      </c>
      <c r="AE30" s="85" t="s">
        <v>286</v>
      </c>
      <c r="AF30" s="87" t="s">
        <v>139</v>
      </c>
      <c r="AG30" s="87"/>
      <c r="AH30" s="85" t="str">
        <f t="shared" si="0"/>
        <v/>
      </c>
      <c r="AI30" s="87" t="s">
        <v>139</v>
      </c>
      <c r="AJ30" s="87"/>
      <c r="AK30" s="87" t="s">
        <v>48</v>
      </c>
      <c r="AL30" s="85" t="s">
        <v>282</v>
      </c>
      <c r="AM30" s="88" t="str">
        <f>VLOOKUP(D30,'slb RAW'!$E$2:$AF$293,9)</f>
        <v>#N/A N/A</v>
      </c>
      <c r="AN30" s="85" t="str">
        <f>VLOOKUP(D30,'slb RAW'!$E$2:$AE$293,27)</f>
        <v>#N/A N/A</v>
      </c>
      <c r="AO30" s="85" t="e">
        <f>VLOOKUP(C30,'Refinitiv SLB'!F30:S207,14)</f>
        <v>#N/A</v>
      </c>
      <c r="AP30" s="85" t="str">
        <f t="shared" si="1"/>
        <v>#N/A N/A</v>
      </c>
      <c r="AQ30" s="89" t="str">
        <f t="shared" si="2"/>
        <v>Traton SEAT MATURITYFLOATINGEURSr Unsecured</v>
      </c>
      <c r="AR30" s="88" t="b">
        <f ca="1">ISNUMBER( IFERROR(VLOOKUP(A30,Pairs!$E$2:$E$57,1,FALSE),FALSE))</f>
        <v>0</v>
      </c>
      <c r="AS30" s="88"/>
      <c r="AT30" s="88"/>
    </row>
    <row r="31" spans="1:46" s="90" customFormat="1" ht="15.75" customHeight="1" x14ac:dyDescent="0.2">
      <c r="A31" s="85">
        <v>252</v>
      </c>
      <c r="B31" s="85" t="s">
        <v>272</v>
      </c>
      <c r="C31" s="85" t="str">
        <f>VLOOKUP(D31,'slb RAW'!$E:$F,2)</f>
        <v>#N/A Field Not Applicable</v>
      </c>
      <c r="D31" s="85" t="s">
        <v>287</v>
      </c>
      <c r="E31" s="85" t="s">
        <v>288</v>
      </c>
      <c r="F31" s="85" t="s">
        <v>275</v>
      </c>
      <c r="G31" s="85" t="s">
        <v>45</v>
      </c>
      <c r="H31" s="85" t="s">
        <v>45</v>
      </c>
      <c r="I31" s="85" t="s">
        <v>45</v>
      </c>
      <c r="J31" s="2" t="b">
        <f t="shared" si="3"/>
        <v>1</v>
      </c>
      <c r="K31" s="85">
        <v>0</v>
      </c>
      <c r="L31" s="85" t="s">
        <v>276</v>
      </c>
      <c r="M31" s="85" t="s">
        <v>289</v>
      </c>
      <c r="N31" s="91" t="s">
        <v>48</v>
      </c>
      <c r="O31" s="85" t="s">
        <v>49</v>
      </c>
      <c r="P31" s="85" t="s">
        <v>50</v>
      </c>
      <c r="Q31" s="85" t="s">
        <v>98</v>
      </c>
      <c r="R31" s="85" t="s">
        <v>52</v>
      </c>
      <c r="S31" s="85" t="s">
        <v>53</v>
      </c>
      <c r="T31" s="85" t="s">
        <v>54</v>
      </c>
      <c r="U31" s="85" t="s">
        <v>55</v>
      </c>
      <c r="V31" s="85" t="s">
        <v>70</v>
      </c>
      <c r="W31" s="85" t="s">
        <v>71</v>
      </c>
      <c r="X31" s="85">
        <v>844921000</v>
      </c>
      <c r="Y31" s="85" t="s">
        <v>58</v>
      </c>
      <c r="Z31" s="85" t="s">
        <v>278</v>
      </c>
      <c r="AA31" s="85" t="s">
        <v>60</v>
      </c>
      <c r="AB31" s="85" t="s">
        <v>61</v>
      </c>
      <c r="AC31" s="85" t="s">
        <v>279</v>
      </c>
      <c r="AD31" s="85" t="s">
        <v>280</v>
      </c>
      <c r="AE31" s="85" t="s">
        <v>286</v>
      </c>
      <c r="AF31" s="87" t="s">
        <v>139</v>
      </c>
      <c r="AG31" s="87"/>
      <c r="AH31" s="85" t="str">
        <f t="shared" si="0"/>
        <v/>
      </c>
      <c r="AI31" s="87" t="s">
        <v>139</v>
      </c>
      <c r="AJ31" s="87"/>
      <c r="AK31" s="87" t="s">
        <v>48</v>
      </c>
      <c r="AL31" s="85" t="s">
        <v>282</v>
      </c>
      <c r="AM31" s="88" t="str">
        <f>VLOOKUP(D31,'slb RAW'!$E$2:$AF$293,9)</f>
        <v>#N/A N/A</v>
      </c>
      <c r="AN31" s="85" t="str">
        <f>VLOOKUP(D31,'slb RAW'!$E$2:$AE$293,27)</f>
        <v>#N/A N/A</v>
      </c>
      <c r="AO31" s="85" t="e">
        <f>VLOOKUP(C31,'Refinitiv SLB'!F31:S208,14)</f>
        <v>#N/A</v>
      </c>
      <c r="AP31" s="85" t="str">
        <f t="shared" si="1"/>
        <v>#N/A N/A</v>
      </c>
      <c r="AQ31" s="89" t="str">
        <f t="shared" si="2"/>
        <v>Traton SEAT MATURITYFLOATINGEURSr Unsecured</v>
      </c>
      <c r="AR31" s="88" t="b">
        <f ca="1">ISNUMBER( IFERROR(VLOOKUP(A31,Pairs!$E$2:$E$57,1,FALSE),FALSE))</f>
        <v>0</v>
      </c>
      <c r="AS31" s="88"/>
      <c r="AT31" s="88"/>
    </row>
    <row r="32" spans="1:46" ht="15.75" customHeight="1" x14ac:dyDescent="0.2">
      <c r="A32" s="2">
        <v>239</v>
      </c>
      <c r="B32" s="2" t="s">
        <v>290</v>
      </c>
      <c r="C32" s="2" t="str">
        <f>VLOOKUP(D32,'slb RAW'!$E:$F,2)</f>
        <v>US82883PAA21</v>
      </c>
      <c r="D32" s="2" t="s">
        <v>291</v>
      </c>
      <c r="E32" s="2" t="s">
        <v>292</v>
      </c>
      <c r="F32" s="2" t="s">
        <v>293</v>
      </c>
      <c r="G32" s="2" t="s">
        <v>169</v>
      </c>
      <c r="H32" s="2" t="s">
        <v>169</v>
      </c>
      <c r="I32" s="2" t="s">
        <v>258</v>
      </c>
      <c r="J32" s="2" t="b">
        <f t="shared" si="3"/>
        <v>0</v>
      </c>
      <c r="K32" s="2">
        <v>5.2</v>
      </c>
      <c r="L32" s="2" t="s">
        <v>294</v>
      </c>
      <c r="M32" s="2" t="s">
        <v>295</v>
      </c>
      <c r="N32" s="2">
        <v>5.2</v>
      </c>
      <c r="O32" s="2" t="s">
        <v>115</v>
      </c>
      <c r="P32" s="2" t="s">
        <v>116</v>
      </c>
      <c r="Q32" s="2" t="s">
        <v>261</v>
      </c>
      <c r="R32" s="2" t="s">
        <v>52</v>
      </c>
      <c r="S32" s="2" t="s">
        <v>262</v>
      </c>
      <c r="T32" s="2" t="s">
        <v>296</v>
      </c>
      <c r="U32" s="2" t="s">
        <v>55</v>
      </c>
      <c r="V32" s="2" t="s">
        <v>56</v>
      </c>
      <c r="W32" s="2" t="s">
        <v>71</v>
      </c>
      <c r="X32" s="2">
        <v>625000000</v>
      </c>
      <c r="Y32" s="2" t="s">
        <v>58</v>
      </c>
      <c r="Z32" s="2" t="s">
        <v>278</v>
      </c>
      <c r="AA32" s="2" t="s">
        <v>60</v>
      </c>
      <c r="AB32" s="2" t="s">
        <v>61</v>
      </c>
      <c r="AC32" s="2" t="s">
        <v>279</v>
      </c>
      <c r="AD32" s="2" t="s">
        <v>280</v>
      </c>
      <c r="AE32" s="2" t="s">
        <v>297</v>
      </c>
      <c r="AF32" s="5">
        <v>25</v>
      </c>
      <c r="AG32" s="6"/>
      <c r="AH32" s="2" t="str">
        <f t="shared" si="0"/>
        <v/>
      </c>
      <c r="AI32" s="2" t="str" cm="1">
        <f t="array" ref="AI32">_xlfn.IFS(AF32&lt;25,"Less",AF32=25,"Equal",AF32&gt;25,"More")</f>
        <v>Equal</v>
      </c>
      <c r="AJ32" s="6"/>
      <c r="AK32" s="6" t="s">
        <v>125</v>
      </c>
      <c r="AL32" s="2" t="s">
        <v>298</v>
      </c>
      <c r="AM32" s="5">
        <f>VLOOKUP(D32,'slb RAW'!$E$2:$AF$293,9)</f>
        <v>5.2</v>
      </c>
      <c r="AN32" s="2">
        <f>VLOOKUP(D32,'slb RAW'!$E$2:$AE$293,27)</f>
        <v>5.0640000000000001</v>
      </c>
      <c r="AO32" s="2">
        <f>VLOOKUP(C32,'Refinitiv SLB'!F32:S209,14)</f>
        <v>1.1240000000000001</v>
      </c>
      <c r="AP32" s="2">
        <f t="shared" si="1"/>
        <v>5.0640000000000001</v>
      </c>
      <c r="AQ32" s="7" t="str">
        <f t="shared" si="2"/>
        <v>Simpar Europe SACALLABLEFIXEDUSDSr Unsecured</v>
      </c>
      <c r="AR32" s="5" t="b">
        <f ca="1">ISNUMBER( IFERROR(VLOOKUP(A32,Pairs!$E$2:$E$57,1,FALSE),FALSE))</f>
        <v>0</v>
      </c>
      <c r="AS32" s="5"/>
      <c r="AT32" s="5"/>
    </row>
    <row r="33" spans="1:46" s="80" customFormat="1" ht="15.75" customHeight="1" x14ac:dyDescent="0.2">
      <c r="A33" s="79">
        <v>238</v>
      </c>
      <c r="B33" s="79" t="s">
        <v>290</v>
      </c>
      <c r="C33" s="79" t="str">
        <f>VLOOKUP(D33,'slb RAW'!$E:$F,2)</f>
        <v>USL8449RAA79</v>
      </c>
      <c r="D33" s="79" t="s">
        <v>299</v>
      </c>
      <c r="E33" s="79" t="s">
        <v>300</v>
      </c>
      <c r="F33" s="79" t="s">
        <v>293</v>
      </c>
      <c r="G33" s="79" t="s">
        <v>169</v>
      </c>
      <c r="H33" s="79" t="s">
        <v>169</v>
      </c>
      <c r="I33" s="79" t="s">
        <v>258</v>
      </c>
      <c r="J33" s="2" t="b">
        <f t="shared" si="3"/>
        <v>0</v>
      </c>
      <c r="K33" s="79">
        <v>5.2</v>
      </c>
      <c r="L33" s="79" t="s">
        <v>294</v>
      </c>
      <c r="M33" s="79" t="s">
        <v>295</v>
      </c>
      <c r="N33" s="79">
        <v>5.2</v>
      </c>
      <c r="O33" s="79" t="s">
        <v>115</v>
      </c>
      <c r="P33" s="79" t="s">
        <v>116</v>
      </c>
      <c r="Q33" s="79" t="s">
        <v>270</v>
      </c>
      <c r="R33" s="79" t="s">
        <v>52</v>
      </c>
      <c r="S33" s="79" t="s">
        <v>262</v>
      </c>
      <c r="T33" s="79" t="s">
        <v>296</v>
      </c>
      <c r="U33" s="79" t="s">
        <v>55</v>
      </c>
      <c r="V33" s="79" t="s">
        <v>56</v>
      </c>
      <c r="W33" s="79" t="s">
        <v>71</v>
      </c>
      <c r="X33" s="79">
        <v>625000000</v>
      </c>
      <c r="Y33" s="79" t="s">
        <v>58</v>
      </c>
      <c r="Z33" s="79" t="s">
        <v>278</v>
      </c>
      <c r="AA33" s="79" t="s">
        <v>60</v>
      </c>
      <c r="AB33" s="79" t="s">
        <v>61</v>
      </c>
      <c r="AC33" s="79" t="s">
        <v>279</v>
      </c>
      <c r="AD33" s="79" t="s">
        <v>280</v>
      </c>
      <c r="AE33" s="79" t="s">
        <v>301</v>
      </c>
      <c r="AF33" s="83">
        <v>25</v>
      </c>
      <c r="AG33" s="82"/>
      <c r="AH33" s="79" t="str">
        <f t="shared" si="0"/>
        <v/>
      </c>
      <c r="AI33" s="2" t="str" cm="1">
        <f t="array" ref="AI33">_xlfn.IFS(AF33&lt;25,"Less",AF33=25,"Equal",AF33&gt;25,"More")</f>
        <v>Equal</v>
      </c>
      <c r="AJ33" s="82"/>
      <c r="AK33" s="82" t="s">
        <v>125</v>
      </c>
      <c r="AL33" s="79" t="s">
        <v>298</v>
      </c>
      <c r="AM33" s="83">
        <f>VLOOKUP(D33,'slb RAW'!$E$2:$AF$293,9)</f>
        <v>5.2</v>
      </c>
      <c r="AN33" s="79">
        <f>VLOOKUP(D33,'slb RAW'!$E$2:$AE$293,27)</f>
        <v>5.0339999999999998</v>
      </c>
      <c r="AO33" s="79">
        <f>VLOOKUP(C33,'Refinitiv SLB'!F33:S210,14)</f>
        <v>2.3144</v>
      </c>
      <c r="AP33" s="79">
        <f t="shared" si="1"/>
        <v>5.0339999999999998</v>
      </c>
      <c r="AQ33" s="84" t="str">
        <f t="shared" si="2"/>
        <v>Simpar Europe SACALLABLEFIXEDUSDSr Unsecured</v>
      </c>
      <c r="AR33" s="83" t="b">
        <f ca="1">ISNUMBER( IFERROR(VLOOKUP(A33,Pairs!$E$2:$E$57,1,FALSE),FALSE))</f>
        <v>0</v>
      </c>
      <c r="AS33" s="83"/>
      <c r="AT33" s="83"/>
    </row>
    <row r="34" spans="1:46" ht="15.75" customHeight="1" x14ac:dyDescent="0.2">
      <c r="A34" s="2">
        <v>214</v>
      </c>
      <c r="B34" s="2" t="s">
        <v>302</v>
      </c>
      <c r="C34" s="2" t="str">
        <f>VLOOKUP(D34,'slb RAW'!$E:$F,2)</f>
        <v>#N/A Field Not Applicable</v>
      </c>
      <c r="D34" s="2" t="s">
        <v>303</v>
      </c>
      <c r="E34" s="2" t="s">
        <v>304</v>
      </c>
      <c r="F34" s="2" t="s">
        <v>305</v>
      </c>
      <c r="G34" s="2" t="s">
        <v>45</v>
      </c>
      <c r="H34" s="2" t="s">
        <v>45</v>
      </c>
      <c r="I34" s="2" t="s">
        <v>45</v>
      </c>
      <c r="J34" s="2" t="b">
        <f t="shared" si="3"/>
        <v>1</v>
      </c>
      <c r="K34" s="2">
        <v>0</v>
      </c>
      <c r="L34" s="2" t="s">
        <v>306</v>
      </c>
      <c r="M34" s="2" t="s">
        <v>307</v>
      </c>
      <c r="N34" s="4" t="s">
        <v>48</v>
      </c>
      <c r="O34" s="2" t="s">
        <v>49</v>
      </c>
      <c r="P34" s="2" t="s">
        <v>50</v>
      </c>
      <c r="Q34" s="2" t="s">
        <v>51</v>
      </c>
      <c r="R34" s="2" t="s">
        <v>52</v>
      </c>
      <c r="S34" s="2" t="s">
        <v>53</v>
      </c>
      <c r="T34" s="2" t="s">
        <v>54</v>
      </c>
      <c r="U34" s="2" t="s">
        <v>55</v>
      </c>
      <c r="V34" s="2" t="s">
        <v>56</v>
      </c>
      <c r="W34" s="2" t="s">
        <v>57</v>
      </c>
      <c r="X34" s="2">
        <v>359820000</v>
      </c>
      <c r="Y34" s="2" t="s">
        <v>308</v>
      </c>
      <c r="Z34" s="2" t="s">
        <v>309</v>
      </c>
      <c r="AA34" s="2" t="s">
        <v>60</v>
      </c>
      <c r="AB34" s="2" t="s">
        <v>61</v>
      </c>
      <c r="AC34" s="2" t="s">
        <v>136</v>
      </c>
      <c r="AD34" s="2" t="s">
        <v>310</v>
      </c>
      <c r="AE34" s="2" t="s">
        <v>311</v>
      </c>
      <c r="AF34" s="5">
        <v>5</v>
      </c>
      <c r="AG34" s="5">
        <v>5</v>
      </c>
      <c r="AH34" s="2" t="str">
        <f t="shared" si="0"/>
        <v>yes</v>
      </c>
      <c r="AI34" s="2" t="str" cm="1">
        <f t="array" ref="AI34">_xlfn.IFS(AF34&lt;25,"Less",AF34=25,"Equal",AF34&gt;25,"More")</f>
        <v>Less</v>
      </c>
      <c r="AJ34" s="6"/>
      <c r="AK34" s="6" t="s">
        <v>64</v>
      </c>
      <c r="AL34" s="2" t="s">
        <v>312</v>
      </c>
      <c r="AM34" s="5" t="str">
        <f>VLOOKUP(D34,'slb RAW'!$E$2:$AF$293,9)</f>
        <v>#N/A N/A</v>
      </c>
      <c r="AN34" s="2" t="str">
        <f>VLOOKUP(D34,'slb RAW'!$E$2:$AE$293,27)</f>
        <v>#N/A N/A</v>
      </c>
      <c r="AO34" s="2" t="e">
        <f>VLOOKUP(C34,'Refinitiv SLB'!F34:S211,14)</f>
        <v>#N/A</v>
      </c>
      <c r="AP34" s="2" t="str">
        <f t="shared" si="1"/>
        <v>#N/A N/A</v>
      </c>
      <c r="AQ34" s="7" t="str">
        <f t="shared" si="2"/>
        <v>Regit Eins GmbHAT MATURITYFIXEDEURSr Unsecured</v>
      </c>
      <c r="AR34" s="5" t="b">
        <f ca="1">ISNUMBER( IFERROR(VLOOKUP(A34,Pairs!$E$2:$E$57,1,FALSE),FALSE))</f>
        <v>0</v>
      </c>
      <c r="AS34" s="5"/>
      <c r="AT34" s="5"/>
    </row>
    <row r="35" spans="1:46" ht="15.75" customHeight="1" x14ac:dyDescent="0.2">
      <c r="A35" s="2">
        <v>213</v>
      </c>
      <c r="B35" s="2" t="s">
        <v>302</v>
      </c>
      <c r="C35" s="2" t="str">
        <f>VLOOKUP(D35,'slb RAW'!$E:$F,2)</f>
        <v>#N/A Field Not Applicable</v>
      </c>
      <c r="D35" s="2" t="s">
        <v>313</v>
      </c>
      <c r="E35" s="2" t="s">
        <v>314</v>
      </c>
      <c r="F35" s="2" t="s">
        <v>305</v>
      </c>
      <c r="G35" s="2" t="s">
        <v>45</v>
      </c>
      <c r="H35" s="2" t="s">
        <v>45</v>
      </c>
      <c r="I35" s="2" t="s">
        <v>45</v>
      </c>
      <c r="J35" s="2" t="b">
        <f t="shared" si="3"/>
        <v>1</v>
      </c>
      <c r="K35" s="2">
        <v>0</v>
      </c>
      <c r="L35" s="2" t="s">
        <v>306</v>
      </c>
      <c r="M35" s="2" t="s">
        <v>315</v>
      </c>
      <c r="N35" s="4" t="s">
        <v>48</v>
      </c>
      <c r="O35" s="2" t="s">
        <v>49</v>
      </c>
      <c r="P35" s="2" t="s">
        <v>50</v>
      </c>
      <c r="Q35" s="2" t="s">
        <v>69</v>
      </c>
      <c r="R35" s="2" t="s">
        <v>52</v>
      </c>
      <c r="S35" s="2" t="s">
        <v>53</v>
      </c>
      <c r="T35" s="2" t="s">
        <v>54</v>
      </c>
      <c r="U35" s="2" t="s">
        <v>55</v>
      </c>
      <c r="V35" s="2" t="s">
        <v>70</v>
      </c>
      <c r="W35" s="2" t="s">
        <v>71</v>
      </c>
      <c r="X35" s="2">
        <v>359820000</v>
      </c>
      <c r="Y35" s="2" t="s">
        <v>308</v>
      </c>
      <c r="Z35" s="2" t="s">
        <v>309</v>
      </c>
      <c r="AA35" s="2" t="s">
        <v>60</v>
      </c>
      <c r="AB35" s="2" t="s">
        <v>61</v>
      </c>
      <c r="AC35" s="2" t="s">
        <v>136</v>
      </c>
      <c r="AD35" s="2" t="s">
        <v>310</v>
      </c>
      <c r="AE35" s="2" t="s">
        <v>311</v>
      </c>
      <c r="AF35" s="5">
        <v>5</v>
      </c>
      <c r="AG35" s="5">
        <v>5</v>
      </c>
      <c r="AH35" s="2" t="str">
        <f t="shared" si="0"/>
        <v>yes</v>
      </c>
      <c r="AI35" s="2" t="str" cm="1">
        <f t="array" ref="AI35">_xlfn.IFS(AF35&lt;25,"Less",AF35=25,"Equal",AF35&gt;25,"More")</f>
        <v>Less</v>
      </c>
      <c r="AJ35" s="6"/>
      <c r="AK35" s="6" t="s">
        <v>64</v>
      </c>
      <c r="AL35" s="2" t="s">
        <v>316</v>
      </c>
      <c r="AM35" s="5" t="str">
        <f>VLOOKUP(D35,'slb RAW'!$E$2:$AF$293,9)</f>
        <v>#N/A N/A</v>
      </c>
      <c r="AN35" s="2" t="str">
        <f>VLOOKUP(D35,'slb RAW'!$E$2:$AE$293,27)</f>
        <v>#N/A N/A</v>
      </c>
      <c r="AO35" s="2" t="e">
        <f>VLOOKUP(C35,'Refinitiv SLB'!F35:S212,14)</f>
        <v>#N/A</v>
      </c>
      <c r="AP35" s="2" t="str">
        <f t="shared" si="1"/>
        <v>#N/A N/A</v>
      </c>
      <c r="AQ35" s="7" t="str">
        <f t="shared" si="2"/>
        <v>Regit Eins GmbHAT MATURITYFLOATINGEURSr Unsecured</v>
      </c>
      <c r="AR35" s="5" t="b">
        <f ca="1">ISNUMBER( IFERROR(VLOOKUP(A35,Pairs!$E$2:$E$57,1,FALSE),FALSE))</f>
        <v>0</v>
      </c>
      <c r="AS35" s="5"/>
      <c r="AT35" s="5"/>
    </row>
    <row r="36" spans="1:46" ht="15.75" customHeight="1" x14ac:dyDescent="0.2">
      <c r="A36" s="2">
        <v>216</v>
      </c>
      <c r="B36" s="2" t="s">
        <v>302</v>
      </c>
      <c r="C36" s="2" t="str">
        <f>VLOOKUP(D36,'slb RAW'!$E:$F,2)</f>
        <v>#N/A Field Not Applicable</v>
      </c>
      <c r="D36" s="2" t="s">
        <v>317</v>
      </c>
      <c r="E36" s="2" t="s">
        <v>318</v>
      </c>
      <c r="F36" s="2" t="s">
        <v>305</v>
      </c>
      <c r="G36" s="2" t="s">
        <v>45</v>
      </c>
      <c r="H36" s="2" t="s">
        <v>45</v>
      </c>
      <c r="I36" s="2" t="s">
        <v>45</v>
      </c>
      <c r="J36" s="2" t="b">
        <f t="shared" si="3"/>
        <v>1</v>
      </c>
      <c r="K36" s="2">
        <v>0</v>
      </c>
      <c r="L36" s="2" t="s">
        <v>306</v>
      </c>
      <c r="M36" s="2" t="s">
        <v>319</v>
      </c>
      <c r="N36" s="4" t="s">
        <v>48</v>
      </c>
      <c r="O36" s="2" t="s">
        <v>49</v>
      </c>
      <c r="P36" s="2" t="s">
        <v>50</v>
      </c>
      <c r="Q36" s="2" t="s">
        <v>76</v>
      </c>
      <c r="R36" s="2" t="s">
        <v>52</v>
      </c>
      <c r="S36" s="2" t="s">
        <v>53</v>
      </c>
      <c r="T36" s="2" t="s">
        <v>54</v>
      </c>
      <c r="U36" s="2" t="s">
        <v>55</v>
      </c>
      <c r="V36" s="2" t="s">
        <v>70</v>
      </c>
      <c r="W36" s="2" t="s">
        <v>71</v>
      </c>
      <c r="X36" s="2">
        <v>359820000</v>
      </c>
      <c r="Y36" s="2" t="s">
        <v>308</v>
      </c>
      <c r="Z36" s="2" t="s">
        <v>309</v>
      </c>
      <c r="AA36" s="2" t="s">
        <v>60</v>
      </c>
      <c r="AB36" s="2" t="s">
        <v>61</v>
      </c>
      <c r="AC36" s="2" t="s">
        <v>136</v>
      </c>
      <c r="AD36" s="2" t="s">
        <v>310</v>
      </c>
      <c r="AE36" s="2" t="s">
        <v>311</v>
      </c>
      <c r="AF36" s="5">
        <v>5</v>
      </c>
      <c r="AG36" s="5">
        <v>5</v>
      </c>
      <c r="AH36" s="2" t="str">
        <f t="shared" si="0"/>
        <v>yes</v>
      </c>
      <c r="AI36" s="2" t="str" cm="1">
        <f t="array" ref="AI36">_xlfn.IFS(AF36&lt;25,"Less",AF36=25,"Equal",AF36&gt;25,"More")</f>
        <v>Less</v>
      </c>
      <c r="AJ36" s="6"/>
      <c r="AK36" s="6" t="s">
        <v>64</v>
      </c>
      <c r="AL36" s="2" t="s">
        <v>316</v>
      </c>
      <c r="AM36" s="5" t="str">
        <f>VLOOKUP(D36,'slb RAW'!$E$2:$AF$293,9)</f>
        <v>#N/A N/A</v>
      </c>
      <c r="AN36" s="2" t="str">
        <f>VLOOKUP(D36,'slb RAW'!$E$2:$AE$293,27)</f>
        <v>#N/A N/A</v>
      </c>
      <c r="AO36" s="2" t="e">
        <f>VLOOKUP(C36,'Refinitiv SLB'!F36:S213,14)</f>
        <v>#N/A</v>
      </c>
      <c r="AP36" s="2" t="str">
        <f t="shared" si="1"/>
        <v>#N/A N/A</v>
      </c>
      <c r="AQ36" s="7" t="str">
        <f t="shared" si="2"/>
        <v>Regit Eins GmbHAT MATURITYFLOATINGEURSr Unsecured</v>
      </c>
      <c r="AR36" s="5" t="b">
        <f ca="1">ISNUMBER( IFERROR(VLOOKUP(A36,Pairs!$E$2:$E$57,1,FALSE),FALSE))</f>
        <v>0</v>
      </c>
      <c r="AS36" s="5"/>
      <c r="AT36" s="5"/>
    </row>
    <row r="37" spans="1:46" ht="15.75" customHeight="1" x14ac:dyDescent="0.2">
      <c r="A37" s="2">
        <v>215</v>
      </c>
      <c r="B37" s="2" t="s">
        <v>302</v>
      </c>
      <c r="C37" s="2" t="str">
        <f>VLOOKUP(D37,'slb RAW'!$E:$F,2)</f>
        <v>#N/A Field Not Applicable</v>
      </c>
      <c r="D37" s="2" t="s">
        <v>320</v>
      </c>
      <c r="E37" s="2" t="s">
        <v>321</v>
      </c>
      <c r="F37" s="2" t="s">
        <v>305</v>
      </c>
      <c r="G37" s="2" t="s">
        <v>45</v>
      </c>
      <c r="H37" s="2" t="s">
        <v>45</v>
      </c>
      <c r="I37" s="2" t="s">
        <v>45</v>
      </c>
      <c r="J37" s="2" t="b">
        <f t="shared" si="3"/>
        <v>1</v>
      </c>
      <c r="K37" s="2">
        <v>0</v>
      </c>
      <c r="L37" s="2" t="s">
        <v>306</v>
      </c>
      <c r="M37" s="2" t="s">
        <v>322</v>
      </c>
      <c r="N37" s="4" t="s">
        <v>48</v>
      </c>
      <c r="O37" s="2" t="s">
        <v>49</v>
      </c>
      <c r="P37" s="2" t="s">
        <v>50</v>
      </c>
      <c r="Q37" s="2" t="s">
        <v>144</v>
      </c>
      <c r="R37" s="2" t="s">
        <v>52</v>
      </c>
      <c r="S37" s="2" t="s">
        <v>53</v>
      </c>
      <c r="T37" s="2" t="s">
        <v>54</v>
      </c>
      <c r="U37" s="2" t="s">
        <v>55</v>
      </c>
      <c r="V37" s="2" t="s">
        <v>70</v>
      </c>
      <c r="W37" s="2" t="s">
        <v>71</v>
      </c>
      <c r="X37" s="2">
        <v>359820000</v>
      </c>
      <c r="Y37" s="2" t="s">
        <v>308</v>
      </c>
      <c r="Z37" s="2" t="s">
        <v>309</v>
      </c>
      <c r="AA37" s="2" t="s">
        <v>60</v>
      </c>
      <c r="AB37" s="2" t="s">
        <v>61</v>
      </c>
      <c r="AC37" s="2" t="s">
        <v>136</v>
      </c>
      <c r="AD37" s="2" t="s">
        <v>310</v>
      </c>
      <c r="AE37" s="2" t="s">
        <v>311</v>
      </c>
      <c r="AF37" s="5">
        <v>5</v>
      </c>
      <c r="AG37" s="5">
        <v>5</v>
      </c>
      <c r="AH37" s="2" t="str">
        <f t="shared" si="0"/>
        <v>yes</v>
      </c>
      <c r="AI37" s="2" t="str" cm="1">
        <f t="array" ref="AI37">_xlfn.IFS(AF37&lt;25,"Less",AF37=25,"Equal",AF37&gt;25,"More")</f>
        <v>Less</v>
      </c>
      <c r="AJ37" s="6"/>
      <c r="AK37" s="6" t="s">
        <v>64</v>
      </c>
      <c r="AL37" s="2" t="s">
        <v>316</v>
      </c>
      <c r="AM37" s="5" t="str">
        <f>VLOOKUP(D37,'slb RAW'!$E$2:$AF$293,9)</f>
        <v>#N/A N/A</v>
      </c>
      <c r="AN37" s="2" t="str">
        <f>VLOOKUP(D37,'slb RAW'!$E$2:$AE$293,27)</f>
        <v>#N/A N/A</v>
      </c>
      <c r="AO37" s="2" t="e">
        <f>VLOOKUP(C37,'Refinitiv SLB'!F37:S214,14)</f>
        <v>#N/A</v>
      </c>
      <c r="AP37" s="2" t="str">
        <f t="shared" si="1"/>
        <v>#N/A N/A</v>
      </c>
      <c r="AQ37" s="7" t="str">
        <f t="shared" si="2"/>
        <v>Regit Eins GmbHAT MATURITYFLOATINGEURSr Unsecured</v>
      </c>
      <c r="AR37" s="5" t="b">
        <f ca="1">ISNUMBER( IFERROR(VLOOKUP(A37,Pairs!$E$2:$E$57,1,FALSE),FALSE))</f>
        <v>0</v>
      </c>
      <c r="AS37" s="5"/>
      <c r="AT37" s="5"/>
    </row>
    <row r="38" spans="1:46" ht="15.75" customHeight="1" x14ac:dyDescent="0.2">
      <c r="A38" s="2">
        <v>183</v>
      </c>
      <c r="B38" s="2" t="s">
        <v>323</v>
      </c>
      <c r="C38" s="2" t="str">
        <f>VLOOKUP(D38,'slb RAW'!$E:$F,2)</f>
        <v>US62459LAA70</v>
      </c>
      <c r="D38" s="2" t="s">
        <v>324</v>
      </c>
      <c r="E38" s="2" t="s">
        <v>325</v>
      </c>
      <c r="F38" s="2" t="s">
        <v>326</v>
      </c>
      <c r="G38" s="2" t="s">
        <v>169</v>
      </c>
      <c r="H38" s="2" t="s">
        <v>169</v>
      </c>
      <c r="I38" s="2" t="s">
        <v>258</v>
      </c>
      <c r="J38" s="2" t="b">
        <f t="shared" si="3"/>
        <v>0</v>
      </c>
      <c r="K38" s="2">
        <v>5.25</v>
      </c>
      <c r="L38" s="2" t="s">
        <v>327</v>
      </c>
      <c r="M38" s="2" t="s">
        <v>328</v>
      </c>
      <c r="N38" s="2">
        <v>5.25</v>
      </c>
      <c r="O38" s="2" t="s">
        <v>115</v>
      </c>
      <c r="P38" s="2" t="s">
        <v>116</v>
      </c>
      <c r="Q38" s="2" t="s">
        <v>261</v>
      </c>
      <c r="R38" s="2" t="s">
        <v>52</v>
      </c>
      <c r="S38" s="2" t="s">
        <v>262</v>
      </c>
      <c r="T38" s="2" t="s">
        <v>296</v>
      </c>
      <c r="U38" s="2" t="s">
        <v>55</v>
      </c>
      <c r="V38" s="2" t="s">
        <v>56</v>
      </c>
      <c r="W38" s="2" t="s">
        <v>71</v>
      </c>
      <c r="X38" s="2">
        <v>800000000</v>
      </c>
      <c r="Y38" s="2" t="s">
        <v>134</v>
      </c>
      <c r="Z38" s="2" t="s">
        <v>329</v>
      </c>
      <c r="AA38" s="2" t="s">
        <v>60</v>
      </c>
      <c r="AB38" s="2" t="s">
        <v>61</v>
      </c>
      <c r="AC38" s="2" t="s">
        <v>279</v>
      </c>
      <c r="AD38" s="2" t="s">
        <v>280</v>
      </c>
      <c r="AE38" s="2" t="s">
        <v>330</v>
      </c>
      <c r="AF38" s="5">
        <v>25</v>
      </c>
      <c r="AG38" s="6"/>
      <c r="AH38" s="2" t="str">
        <f t="shared" si="0"/>
        <v/>
      </c>
      <c r="AI38" s="2" t="str" cm="1">
        <f t="array" ref="AI38">_xlfn.IFS(AF38&lt;25,"Less",AF38=25,"Equal",AF38&gt;25,"More")</f>
        <v>Equal</v>
      </c>
      <c r="AJ38" s="6"/>
      <c r="AK38" s="6" t="s">
        <v>125</v>
      </c>
      <c r="AL38" s="2" t="s">
        <v>331</v>
      </c>
      <c r="AM38" s="5">
        <f>VLOOKUP(D38,'slb RAW'!$E$2:$AF$293,9)</f>
        <v>5.25</v>
      </c>
      <c r="AN38" s="2">
        <f>VLOOKUP(D38,'slb RAW'!$E$2:$AE$293,27)</f>
        <v>5.2119999999999997</v>
      </c>
      <c r="AO38" s="2">
        <f>VLOOKUP(C38,'Refinitiv SLB'!F38:S215,14)</f>
        <v>0.73699999999999999</v>
      </c>
      <c r="AP38" s="2">
        <f t="shared" si="1"/>
        <v>5.2119999999999997</v>
      </c>
      <c r="AQ38" s="7" t="str">
        <f t="shared" si="2"/>
        <v>Movida Europe SACALLABLEFIXEDUSDSr Unsecured</v>
      </c>
      <c r="AR38" s="5" t="b">
        <f ca="1">ISNUMBER( IFERROR(VLOOKUP(A38,Pairs!$E$2:$E$57,1,FALSE),FALSE))</f>
        <v>0</v>
      </c>
      <c r="AS38" s="5"/>
      <c r="AT38" s="5"/>
    </row>
    <row r="39" spans="1:46" ht="15.75" customHeight="1" x14ac:dyDescent="0.2">
      <c r="A39" s="2">
        <v>184</v>
      </c>
      <c r="B39" s="2" t="s">
        <v>323</v>
      </c>
      <c r="C39" s="2" t="str">
        <f>VLOOKUP(D39,'slb RAW'!$E:$F,2)</f>
        <v>USL65266AA36</v>
      </c>
      <c r="D39" s="2" t="s">
        <v>332</v>
      </c>
      <c r="E39" s="2" t="s">
        <v>333</v>
      </c>
      <c r="F39" s="2" t="s">
        <v>326</v>
      </c>
      <c r="G39" s="2" t="s">
        <v>169</v>
      </c>
      <c r="H39" s="2" t="s">
        <v>169</v>
      </c>
      <c r="I39" s="2" t="s">
        <v>258</v>
      </c>
      <c r="J39" s="2" t="b">
        <f t="shared" si="3"/>
        <v>0</v>
      </c>
      <c r="K39" s="2">
        <v>5.25</v>
      </c>
      <c r="L39" s="2" t="s">
        <v>327</v>
      </c>
      <c r="M39" s="2" t="s">
        <v>328</v>
      </c>
      <c r="N39" s="2">
        <v>5.25</v>
      </c>
      <c r="O39" s="2" t="s">
        <v>115</v>
      </c>
      <c r="P39" s="2" t="s">
        <v>116</v>
      </c>
      <c r="Q39" s="2" t="s">
        <v>270</v>
      </c>
      <c r="R39" s="2" t="s">
        <v>52</v>
      </c>
      <c r="S39" s="2" t="s">
        <v>262</v>
      </c>
      <c r="T39" s="2" t="s">
        <v>296</v>
      </c>
      <c r="U39" s="2" t="s">
        <v>55</v>
      </c>
      <c r="V39" s="2" t="s">
        <v>56</v>
      </c>
      <c r="W39" s="2" t="s">
        <v>71</v>
      </c>
      <c r="X39" s="2">
        <v>800000000</v>
      </c>
      <c r="Y39" s="2" t="s">
        <v>134</v>
      </c>
      <c r="Z39" s="2" t="s">
        <v>329</v>
      </c>
      <c r="AA39" s="2" t="s">
        <v>60</v>
      </c>
      <c r="AB39" s="2" t="s">
        <v>61</v>
      </c>
      <c r="AC39" s="2" t="s">
        <v>279</v>
      </c>
      <c r="AD39" s="2" t="s">
        <v>280</v>
      </c>
      <c r="AE39" s="2" t="s">
        <v>330</v>
      </c>
      <c r="AF39" s="5">
        <v>25</v>
      </c>
      <c r="AG39" s="6"/>
      <c r="AH39" s="2" t="str">
        <f t="shared" si="0"/>
        <v/>
      </c>
      <c r="AI39" s="2" t="str" cm="1">
        <f t="array" ref="AI39">_xlfn.IFS(AF39&lt;25,"Less",AF39=25,"Equal",AF39&gt;25,"More")</f>
        <v>Equal</v>
      </c>
      <c r="AJ39" s="6"/>
      <c r="AK39" s="6" t="s">
        <v>125</v>
      </c>
      <c r="AL39" s="2" t="s">
        <v>334</v>
      </c>
      <c r="AM39" s="5">
        <f>VLOOKUP(D39,'slb RAW'!$E$2:$AF$293,9)</f>
        <v>5.25</v>
      </c>
      <c r="AN39" s="2">
        <f>VLOOKUP(D39,'slb RAW'!$E$2:$AE$293,27)</f>
        <v>5.1870000000000003</v>
      </c>
      <c r="AO39" s="2">
        <f>VLOOKUP(C39,'Refinitiv SLB'!F39:S216,14)</f>
        <v>6.3234000000000004</v>
      </c>
      <c r="AP39" s="2">
        <f t="shared" si="1"/>
        <v>5.1870000000000003</v>
      </c>
      <c r="AQ39" s="7" t="str">
        <f t="shared" si="2"/>
        <v>Movida Europe SACALLABLEFIXEDUSDSr Unsecured</v>
      </c>
      <c r="AR39" s="5" t="b">
        <f ca="1">ISNUMBER( IFERROR(VLOOKUP(A39,Pairs!$E$2:$E$57,1,FALSE),FALSE))</f>
        <v>0</v>
      </c>
      <c r="AS39" s="5"/>
      <c r="AT39" s="5"/>
    </row>
    <row r="40" spans="1:46" s="80" customFormat="1" ht="15.75" customHeight="1" x14ac:dyDescent="0.2">
      <c r="A40" s="79">
        <v>276</v>
      </c>
      <c r="B40" s="79" t="s">
        <v>335</v>
      </c>
      <c r="C40" s="79" t="str">
        <f>VLOOKUP(D40,'slb RAW'!$E:$F,2)</f>
        <v>DE000A3H2VA6</v>
      </c>
      <c r="D40" s="79" t="s">
        <v>336</v>
      </c>
      <c r="E40" s="79" t="s">
        <v>337</v>
      </c>
      <c r="F40" s="79" t="s">
        <v>338</v>
      </c>
      <c r="G40" s="79" t="s">
        <v>45</v>
      </c>
      <c r="H40" s="79" t="s">
        <v>45</v>
      </c>
      <c r="I40" s="79" t="s">
        <v>45</v>
      </c>
      <c r="J40" s="2" t="b">
        <f t="shared" si="3"/>
        <v>1</v>
      </c>
      <c r="K40" s="79">
        <v>4</v>
      </c>
      <c r="L40" s="79" t="s">
        <v>339</v>
      </c>
      <c r="M40" s="79" t="s">
        <v>173</v>
      </c>
      <c r="N40" s="93">
        <v>4</v>
      </c>
      <c r="O40" s="79" t="s">
        <v>5510</v>
      </c>
      <c r="P40" s="79" t="s">
        <v>116</v>
      </c>
      <c r="Q40" s="79" t="s">
        <v>173</v>
      </c>
      <c r="R40" s="79" t="s">
        <v>341</v>
      </c>
      <c r="S40" s="79" t="s">
        <v>53</v>
      </c>
      <c r="T40" s="79" t="s">
        <v>54</v>
      </c>
      <c r="U40" s="79" t="s">
        <v>55</v>
      </c>
      <c r="V40" s="79" t="s">
        <v>342</v>
      </c>
      <c r="W40" s="79" t="s">
        <v>57</v>
      </c>
      <c r="X40" s="79">
        <v>182193000</v>
      </c>
      <c r="Y40" s="79" t="s">
        <v>58</v>
      </c>
      <c r="Z40" s="79" t="s">
        <v>59</v>
      </c>
      <c r="AA40" s="79" t="s">
        <v>60</v>
      </c>
      <c r="AB40" s="79" t="s">
        <v>61</v>
      </c>
      <c r="AC40" s="79" t="s">
        <v>176</v>
      </c>
      <c r="AD40" s="79" t="s">
        <v>191</v>
      </c>
      <c r="AE40" s="81" t="s">
        <v>48</v>
      </c>
      <c r="AF40" s="82" t="s">
        <v>139</v>
      </c>
      <c r="AG40" s="82"/>
      <c r="AH40" s="79" t="str">
        <f t="shared" si="0"/>
        <v/>
      </c>
      <c r="AI40" s="82" t="s">
        <v>139</v>
      </c>
      <c r="AJ40" s="82"/>
      <c r="AK40" s="82" t="s">
        <v>611</v>
      </c>
      <c r="AL40" s="79" t="s">
        <v>343</v>
      </c>
      <c r="AM40" s="83">
        <f>VLOOKUP(D40,'slb RAW'!$E$2:$AF$293,9)</f>
        <v>4</v>
      </c>
      <c r="AN40" s="79">
        <f>VLOOKUP(D40,'slb RAW'!$E$2:$AE$293,27)</f>
        <v>8.4369999999999994</v>
      </c>
      <c r="AO40" s="79" t="e">
        <f>VLOOKUP(C40,'Refinitiv SLB'!F40:S217,14)</f>
        <v>#N/A</v>
      </c>
      <c r="AP40" s="79">
        <f t="shared" si="1"/>
        <v>8.4369999999999994</v>
      </c>
      <c r="AQ40" s="84" t="str">
        <f t="shared" si="2"/>
        <v>Vossloh AGPERPETUAL/CALLVARIABLEEURSubordinated</v>
      </c>
      <c r="AR40" s="83" t="b">
        <f ca="1">ISNUMBER( IFERROR(VLOOKUP(A40,Pairs!$E$2:$E$57,1,FALSE),FALSE))</f>
        <v>0</v>
      </c>
      <c r="AS40" s="83"/>
      <c r="AT40" s="83"/>
    </row>
    <row r="41" spans="1:46" s="80" customFormat="1" ht="15.75" customHeight="1" x14ac:dyDescent="0.2">
      <c r="A41" s="79">
        <v>46</v>
      </c>
      <c r="B41" s="79" t="s">
        <v>344</v>
      </c>
      <c r="C41" s="79" t="str">
        <f>VLOOKUP(D41,'slb RAW'!$E:$F,2)</f>
        <v>US21039CAB00</v>
      </c>
      <c r="D41" s="79" t="s">
        <v>345</v>
      </c>
      <c r="E41" s="79" t="s">
        <v>346</v>
      </c>
      <c r="F41" s="79" t="s">
        <v>347</v>
      </c>
      <c r="G41" s="79" t="s">
        <v>184</v>
      </c>
      <c r="H41" s="79" t="s">
        <v>184</v>
      </c>
      <c r="I41" s="79" t="s">
        <v>185</v>
      </c>
      <c r="J41" s="2" t="b">
        <f t="shared" si="3"/>
        <v>0</v>
      </c>
      <c r="K41" s="79">
        <v>3.75</v>
      </c>
      <c r="L41" s="79" t="s">
        <v>348</v>
      </c>
      <c r="M41" s="79" t="s">
        <v>349</v>
      </c>
      <c r="N41" s="79">
        <v>3.75</v>
      </c>
      <c r="O41" s="79" t="s">
        <v>115</v>
      </c>
      <c r="P41" s="79" t="s">
        <v>116</v>
      </c>
      <c r="Q41" s="79" t="s">
        <v>261</v>
      </c>
      <c r="R41" s="79" t="s">
        <v>52</v>
      </c>
      <c r="S41" s="79" t="s">
        <v>262</v>
      </c>
      <c r="T41" s="79" t="s">
        <v>350</v>
      </c>
      <c r="U41" s="79" t="s">
        <v>55</v>
      </c>
      <c r="V41" s="79" t="s">
        <v>56</v>
      </c>
      <c r="W41" s="79" t="s">
        <v>71</v>
      </c>
      <c r="X41" s="79">
        <v>500000000</v>
      </c>
      <c r="Y41" s="79" t="s">
        <v>85</v>
      </c>
      <c r="Z41" s="79" t="s">
        <v>86</v>
      </c>
      <c r="AA41" s="79" t="s">
        <v>60</v>
      </c>
      <c r="AB41" s="79" t="s">
        <v>61</v>
      </c>
      <c r="AC41" s="79" t="s">
        <v>87</v>
      </c>
      <c r="AD41" s="79" t="s">
        <v>88</v>
      </c>
      <c r="AE41" s="79" t="s">
        <v>351</v>
      </c>
      <c r="AF41" s="83">
        <v>12.5</v>
      </c>
      <c r="AG41" s="82"/>
      <c r="AH41" s="79" t="str">
        <f t="shared" si="0"/>
        <v/>
      </c>
      <c r="AI41" s="2" t="str" cm="1">
        <f t="array" ref="AI41">_xlfn.IFS(AF41&lt;25,"Less",AF41=25,"Equal",AF41&gt;25,"More")</f>
        <v>Less</v>
      </c>
      <c r="AJ41" s="82"/>
      <c r="AK41" s="82" t="s">
        <v>125</v>
      </c>
      <c r="AL41" s="79" t="s">
        <v>352</v>
      </c>
      <c r="AM41" s="83">
        <f>VLOOKUP(D41,'slb RAW'!$E$2:$AF$293,9)</f>
        <v>3.75</v>
      </c>
      <c r="AN41" s="79">
        <f>VLOOKUP(D41,'slb RAW'!$E$2:$AE$293,27)</f>
        <v>3.6859999999999999</v>
      </c>
      <c r="AO41" s="79" t="str">
        <f>VLOOKUP(C41,'Refinitiv SLB'!F41:S218,14)</f>
        <v/>
      </c>
      <c r="AP41" s="79">
        <f t="shared" si="1"/>
        <v>3.6859999999999999</v>
      </c>
      <c r="AQ41" s="84" t="str">
        <f t="shared" si="2"/>
        <v>Constellium SECALLABLEFIXEDUSDSr Unsecured</v>
      </c>
      <c r="AR41" s="83" t="b">
        <f ca="1">ISNUMBER( IFERROR(VLOOKUP(A41,Pairs!$E$2:$E$57,1,FALSE),FALSE))</f>
        <v>1</v>
      </c>
      <c r="AS41" s="83"/>
      <c r="AT41" s="83"/>
    </row>
    <row r="42" spans="1:46" s="80" customFormat="1" ht="15.75" customHeight="1" x14ac:dyDescent="0.2">
      <c r="A42" s="79">
        <v>47</v>
      </c>
      <c r="B42" s="79" t="s">
        <v>344</v>
      </c>
      <c r="C42" s="79" t="str">
        <f>VLOOKUP(D42,'slb RAW'!$E:$F,2)</f>
        <v>USF21107AB74</v>
      </c>
      <c r="D42" s="79" t="s">
        <v>353</v>
      </c>
      <c r="E42" s="79" t="s">
        <v>354</v>
      </c>
      <c r="F42" s="79" t="s">
        <v>347</v>
      </c>
      <c r="G42" s="79" t="s">
        <v>184</v>
      </c>
      <c r="H42" s="79" t="s">
        <v>184</v>
      </c>
      <c r="I42" s="79" t="s">
        <v>185</v>
      </c>
      <c r="J42" s="2" t="b">
        <f t="shared" si="3"/>
        <v>0</v>
      </c>
      <c r="K42" s="79">
        <v>3.75</v>
      </c>
      <c r="L42" s="79" t="s">
        <v>348</v>
      </c>
      <c r="M42" s="79" t="s">
        <v>349</v>
      </c>
      <c r="N42" s="79">
        <v>3.75</v>
      </c>
      <c r="O42" s="79" t="s">
        <v>115</v>
      </c>
      <c r="P42" s="79" t="s">
        <v>116</v>
      </c>
      <c r="Q42" s="79" t="s">
        <v>270</v>
      </c>
      <c r="R42" s="79" t="s">
        <v>52</v>
      </c>
      <c r="S42" s="79" t="s">
        <v>262</v>
      </c>
      <c r="T42" s="79" t="s">
        <v>350</v>
      </c>
      <c r="U42" s="79" t="s">
        <v>55</v>
      </c>
      <c r="V42" s="79" t="s">
        <v>56</v>
      </c>
      <c r="W42" s="79" t="s">
        <v>71</v>
      </c>
      <c r="X42" s="79">
        <v>500000000</v>
      </c>
      <c r="Y42" s="79" t="s">
        <v>85</v>
      </c>
      <c r="Z42" s="79" t="s">
        <v>86</v>
      </c>
      <c r="AA42" s="79" t="s">
        <v>60</v>
      </c>
      <c r="AB42" s="79" t="s">
        <v>61</v>
      </c>
      <c r="AC42" s="79" t="s">
        <v>87</v>
      </c>
      <c r="AD42" s="79" t="s">
        <v>88</v>
      </c>
      <c r="AE42" s="79" t="s">
        <v>351</v>
      </c>
      <c r="AF42" s="83">
        <v>12.5</v>
      </c>
      <c r="AG42" s="82"/>
      <c r="AH42" s="79" t="str">
        <f t="shared" si="0"/>
        <v/>
      </c>
      <c r="AI42" s="2" t="str" cm="1">
        <f t="array" ref="AI42">_xlfn.IFS(AF42&lt;25,"Less",AF42=25,"Equal",AF42&gt;25,"More")</f>
        <v>Less</v>
      </c>
      <c r="AJ42" s="82"/>
      <c r="AK42" s="82" t="s">
        <v>125</v>
      </c>
      <c r="AL42" s="79" t="s">
        <v>355</v>
      </c>
      <c r="AM42" s="83">
        <f>VLOOKUP(D42,'slb RAW'!$E$2:$AF$293,9)</f>
        <v>3.75</v>
      </c>
      <c r="AN42" s="79">
        <f>VLOOKUP(D42,'slb RAW'!$E$2:$AE$293,27)</f>
        <v>3.7160000000000002</v>
      </c>
      <c r="AO42" s="79">
        <f>VLOOKUP(C42,'Refinitiv SLB'!F42:S219,14)</f>
        <v>4.8730000000000002</v>
      </c>
      <c r="AP42" s="79">
        <f t="shared" si="1"/>
        <v>3.7160000000000002</v>
      </c>
      <c r="AQ42" s="84" t="str">
        <f t="shared" si="2"/>
        <v>Constellium SECALLABLEFIXEDUSDSr Unsecured</v>
      </c>
      <c r="AR42" s="83" t="b">
        <f ca="1">ISNUMBER( IFERROR(VLOOKUP(A42,Pairs!$E$2:$E$57,1,FALSE),FALSE))</f>
        <v>1</v>
      </c>
      <c r="AS42" s="83"/>
      <c r="AT42" s="83"/>
    </row>
    <row r="43" spans="1:46" s="80" customFormat="1" ht="15.75" customHeight="1" x14ac:dyDescent="0.2">
      <c r="A43" s="79">
        <v>119</v>
      </c>
      <c r="B43" s="79" t="s">
        <v>356</v>
      </c>
      <c r="C43" s="79" t="str">
        <f>VLOOKUP(D43,'slb RAW'!$E:$F,2)</f>
        <v>ES0305072011</v>
      </c>
      <c r="D43" s="79" t="s">
        <v>357</v>
      </c>
      <c r="E43" s="79" t="s">
        <v>358</v>
      </c>
      <c r="F43" s="79" t="s">
        <v>221</v>
      </c>
      <c r="G43" s="79" t="s">
        <v>222</v>
      </c>
      <c r="H43" s="79" t="s">
        <v>222</v>
      </c>
      <c r="I43" s="79" t="s">
        <v>222</v>
      </c>
      <c r="J43" s="2" t="b">
        <f t="shared" si="3"/>
        <v>1</v>
      </c>
      <c r="K43" s="79">
        <v>4</v>
      </c>
      <c r="L43" s="79" t="s">
        <v>359</v>
      </c>
      <c r="M43" s="79" t="s">
        <v>360</v>
      </c>
      <c r="N43" s="81">
        <v>1.9300000000000001E-2</v>
      </c>
      <c r="O43" s="79" t="s">
        <v>49</v>
      </c>
      <c r="P43" s="79" t="s">
        <v>50</v>
      </c>
      <c r="Q43" s="79" t="s">
        <v>225</v>
      </c>
      <c r="R43" s="79" t="s">
        <v>52</v>
      </c>
      <c r="S43" s="79" t="s">
        <v>53</v>
      </c>
      <c r="T43" s="79" t="s">
        <v>54</v>
      </c>
      <c r="U43" s="79" t="s">
        <v>55</v>
      </c>
      <c r="V43" s="79" t="s">
        <v>56</v>
      </c>
      <c r="W43" s="79" t="s">
        <v>57</v>
      </c>
      <c r="X43" s="79">
        <v>23203750</v>
      </c>
      <c r="Y43" s="79" t="s">
        <v>134</v>
      </c>
      <c r="Z43" s="79" t="s">
        <v>226</v>
      </c>
      <c r="AA43" s="79" t="s">
        <v>60</v>
      </c>
      <c r="AB43" s="79" t="s">
        <v>61</v>
      </c>
      <c r="AC43" s="79" t="s">
        <v>227</v>
      </c>
      <c r="AD43" s="79" t="s">
        <v>228</v>
      </c>
      <c r="AE43" s="81" t="s">
        <v>48</v>
      </c>
      <c r="AF43" s="82" t="s">
        <v>139</v>
      </c>
      <c r="AG43" s="82"/>
      <c r="AH43" s="79" t="str">
        <f t="shared" si="0"/>
        <v/>
      </c>
      <c r="AI43" s="82" t="s">
        <v>139</v>
      </c>
      <c r="AJ43" s="82"/>
      <c r="AK43" s="82" t="s">
        <v>125</v>
      </c>
      <c r="AL43" s="79" t="s">
        <v>361</v>
      </c>
      <c r="AM43" s="83" t="str">
        <f>VLOOKUP(D43,'slb RAW'!$E$2:$AF$293,9)</f>
        <v>#N/A N/A</v>
      </c>
      <c r="AN43" s="79" t="str">
        <f>VLOOKUP(D43,'slb RAW'!$E$2:$AE$293,27)</f>
        <v>#N/A N/A</v>
      </c>
      <c r="AO43" s="79" t="e">
        <f>VLOOKUP(C43,'Refinitiv SLB'!F43:S220,14)</f>
        <v>#N/A</v>
      </c>
      <c r="AP43" s="79" t="str">
        <f t="shared" si="1"/>
        <v>#N/A N/A</v>
      </c>
      <c r="AQ43" s="84" t="str">
        <f t="shared" si="2"/>
        <v>Grupo Pikolin SLAT MATURITYFIXEDEURSr Unsecured</v>
      </c>
      <c r="AR43" s="83" t="b">
        <f ca="1">ISNUMBER( IFERROR(VLOOKUP(A43,Pairs!$E$2:$E$57,1,FALSE),FALSE))</f>
        <v>0</v>
      </c>
      <c r="AS43" s="83"/>
      <c r="AT43" s="83"/>
    </row>
    <row r="44" spans="1:46" ht="15.75" customHeight="1" x14ac:dyDescent="0.2">
      <c r="A44" s="2">
        <v>120</v>
      </c>
      <c r="B44" s="2" t="s">
        <v>362</v>
      </c>
      <c r="C44" s="2" t="str">
        <f>VLOOKUP(D44,'slb RAW'!$E:$F,2)</f>
        <v>XS2303070911</v>
      </c>
      <c r="D44" s="2" t="s">
        <v>363</v>
      </c>
      <c r="E44" s="2" t="s">
        <v>364</v>
      </c>
      <c r="F44" s="2" t="s">
        <v>365</v>
      </c>
      <c r="G44" s="2" t="s">
        <v>366</v>
      </c>
      <c r="H44" s="2" t="s">
        <v>366</v>
      </c>
      <c r="I44" s="2" t="s">
        <v>367</v>
      </c>
      <c r="J44" s="2" t="b">
        <f t="shared" si="3"/>
        <v>0</v>
      </c>
      <c r="K44" s="2">
        <v>0.25</v>
      </c>
      <c r="L44" s="2" t="s">
        <v>359</v>
      </c>
      <c r="M44" s="2" t="s">
        <v>368</v>
      </c>
      <c r="N44" s="8">
        <v>0.4834</v>
      </c>
      <c r="O44" s="2" t="s">
        <v>115</v>
      </c>
      <c r="P44" s="2" t="s">
        <v>116</v>
      </c>
      <c r="Q44" s="2" t="s">
        <v>225</v>
      </c>
      <c r="R44" s="2" t="s">
        <v>52</v>
      </c>
      <c r="S44" s="2" t="s">
        <v>53</v>
      </c>
      <c r="T44" s="2" t="s">
        <v>189</v>
      </c>
      <c r="U44" s="2" t="s">
        <v>55</v>
      </c>
      <c r="V44" s="2" t="s">
        <v>56</v>
      </c>
      <c r="W44" s="2" t="s">
        <v>57</v>
      </c>
      <c r="X44" s="2">
        <v>610625000</v>
      </c>
      <c r="Y44" s="2" t="s">
        <v>134</v>
      </c>
      <c r="Z44" s="2" t="s">
        <v>329</v>
      </c>
      <c r="AA44" s="2" t="s">
        <v>60</v>
      </c>
      <c r="AB44" s="2" t="s">
        <v>61</v>
      </c>
      <c r="AC44" s="2" t="s">
        <v>136</v>
      </c>
      <c r="AD44" s="2" t="s">
        <v>137</v>
      </c>
      <c r="AE44" s="2" t="s">
        <v>369</v>
      </c>
      <c r="AF44" s="115">
        <v>25</v>
      </c>
      <c r="AG44" s="6"/>
      <c r="AH44" s="2" t="str">
        <f t="shared" si="0"/>
        <v/>
      </c>
      <c r="AI44" s="2" t="str" cm="1">
        <f t="array" ref="AI44">_xlfn.IFS(AF44&lt;25,"Less",AF44=25,"Equal",AF44&gt;25,"More")</f>
        <v>Equal</v>
      </c>
      <c r="AJ44" s="6"/>
      <c r="AK44" s="6" t="s">
        <v>125</v>
      </c>
      <c r="AL44" s="2" t="s">
        <v>370</v>
      </c>
      <c r="AM44" s="5" t="str">
        <f>VLOOKUP(D44,'slb RAW'!$E$2:$AF$293,9)</f>
        <v>#N/A N/A</v>
      </c>
      <c r="AN44" s="2">
        <f>VLOOKUP(D44,'slb RAW'!$E$2:$AE$293,27)</f>
        <v>0.46899999999999997</v>
      </c>
      <c r="AO44" s="2">
        <f>VLOOKUP(C44,'Refinitiv SLB'!F44:S221,14)</f>
        <v>4.8710000000000004</v>
      </c>
      <c r="AP44" s="2">
        <f t="shared" si="1"/>
        <v>0.46899999999999997</v>
      </c>
      <c r="AQ44" s="7" t="str">
        <f t="shared" si="2"/>
        <v>H&amp;M Finance BVCALLABLEFIXEDEURSr Unsecured</v>
      </c>
      <c r="AR44" s="5" t="b">
        <f ca="1">ISNUMBER( IFERROR(VLOOKUP(A44,Pairs!$E$2:$E$57,1,FALSE),FALSE))</f>
        <v>0</v>
      </c>
      <c r="AS44" s="5"/>
      <c r="AT44" s="5"/>
    </row>
    <row r="45" spans="1:46" s="90" customFormat="1" ht="15.75" customHeight="1" x14ac:dyDescent="0.2">
      <c r="A45" s="85">
        <v>147</v>
      </c>
      <c r="B45" s="85" t="s">
        <v>371</v>
      </c>
      <c r="C45" s="85" t="str">
        <f>VLOOKUP(D45,'slb RAW'!$E:$F,2)</f>
        <v>#N/A Field Not Applicable</v>
      </c>
      <c r="D45" s="85" t="s">
        <v>372</v>
      </c>
      <c r="E45" s="85" t="s">
        <v>373</v>
      </c>
      <c r="F45" s="85" t="s">
        <v>374</v>
      </c>
      <c r="G45" s="85" t="s">
        <v>45</v>
      </c>
      <c r="H45" s="85" t="s">
        <v>45</v>
      </c>
      <c r="I45" s="85" t="s">
        <v>45</v>
      </c>
      <c r="J45" s="2" t="b">
        <f t="shared" si="3"/>
        <v>1</v>
      </c>
      <c r="K45" s="85">
        <v>0</v>
      </c>
      <c r="L45" s="85" t="s">
        <v>375</v>
      </c>
      <c r="M45" s="85" t="s">
        <v>376</v>
      </c>
      <c r="N45" s="91" t="s">
        <v>48</v>
      </c>
      <c r="O45" s="85" t="s">
        <v>49</v>
      </c>
      <c r="P45" s="85" t="s">
        <v>50</v>
      </c>
      <c r="Q45" s="85" t="s">
        <v>51</v>
      </c>
      <c r="R45" s="85" t="s">
        <v>52</v>
      </c>
      <c r="S45" s="85" t="s">
        <v>53</v>
      </c>
      <c r="T45" s="85" t="s">
        <v>54</v>
      </c>
      <c r="U45" s="85" t="s">
        <v>55</v>
      </c>
      <c r="V45" s="85" t="s">
        <v>70</v>
      </c>
      <c r="W45" s="85" t="s">
        <v>71</v>
      </c>
      <c r="X45" s="85">
        <v>470000000</v>
      </c>
      <c r="Y45" s="85" t="s">
        <v>377</v>
      </c>
      <c r="Z45" s="85" t="s">
        <v>378</v>
      </c>
      <c r="AA45" s="85" t="s">
        <v>60</v>
      </c>
      <c r="AB45" s="85" t="s">
        <v>61</v>
      </c>
      <c r="AC45" s="85" t="s">
        <v>377</v>
      </c>
      <c r="AD45" s="85" t="s">
        <v>377</v>
      </c>
      <c r="AE45" s="85" t="s">
        <v>379</v>
      </c>
      <c r="AF45" s="87" t="s">
        <v>139</v>
      </c>
      <c r="AG45" s="87"/>
      <c r="AH45" s="85" t="str">
        <f t="shared" si="0"/>
        <v/>
      </c>
      <c r="AI45" s="87" t="s">
        <v>139</v>
      </c>
      <c r="AJ45" s="87"/>
      <c r="AK45" s="87" t="s">
        <v>48</v>
      </c>
      <c r="AL45" s="85" t="s">
        <v>380</v>
      </c>
      <c r="AM45" s="88" t="str">
        <f>VLOOKUP(D45,'slb RAW'!$E$2:$AF$293,9)</f>
        <v>#N/A N/A</v>
      </c>
      <c r="AN45" s="85" t="str">
        <f>VLOOKUP(D45,'slb RAW'!$E$2:$AE$293,27)</f>
        <v>#N/A N/A</v>
      </c>
      <c r="AO45" s="85" t="e">
        <f>VLOOKUP(C45,'Refinitiv SLB'!F45:S222,14)</f>
        <v>#N/A</v>
      </c>
      <c r="AP45" s="85" t="str">
        <f t="shared" si="1"/>
        <v>#N/A N/A</v>
      </c>
      <c r="AQ45" s="89" t="str">
        <f t="shared" si="2"/>
        <v>Jenoptik AGAT MATURITYFLOATINGEURSr Unsecured</v>
      </c>
      <c r="AR45" s="88" t="b">
        <f ca="1">ISNUMBER( IFERROR(VLOOKUP(A45,Pairs!$E$2:$E$57,1,FALSE),FALSE))</f>
        <v>0</v>
      </c>
      <c r="AS45" s="88"/>
      <c r="AT45" s="88"/>
    </row>
    <row r="46" spans="1:46" s="90" customFormat="1" ht="15.75" customHeight="1" x14ac:dyDescent="0.2">
      <c r="A46" s="85">
        <v>146</v>
      </c>
      <c r="B46" s="85" t="s">
        <v>371</v>
      </c>
      <c r="C46" s="85" t="str">
        <f>VLOOKUP(D46,'slb RAW'!$E:$F,2)</f>
        <v>#N/A Field Not Applicable</v>
      </c>
      <c r="D46" s="85" t="s">
        <v>381</v>
      </c>
      <c r="E46" s="85" t="s">
        <v>382</v>
      </c>
      <c r="F46" s="85" t="s">
        <v>374</v>
      </c>
      <c r="G46" s="85" t="s">
        <v>45</v>
      </c>
      <c r="H46" s="85" t="s">
        <v>45</v>
      </c>
      <c r="I46" s="85" t="s">
        <v>45</v>
      </c>
      <c r="J46" s="2" t="b">
        <f t="shared" si="3"/>
        <v>1</v>
      </c>
      <c r="K46" s="85">
        <v>0</v>
      </c>
      <c r="L46" s="85" t="s">
        <v>375</v>
      </c>
      <c r="M46" s="85" t="s">
        <v>383</v>
      </c>
      <c r="N46" s="91" t="s">
        <v>48</v>
      </c>
      <c r="O46" s="85" t="s">
        <v>49</v>
      </c>
      <c r="P46" s="85" t="s">
        <v>50</v>
      </c>
      <c r="Q46" s="85" t="s">
        <v>69</v>
      </c>
      <c r="R46" s="85" t="s">
        <v>52</v>
      </c>
      <c r="S46" s="85" t="s">
        <v>53</v>
      </c>
      <c r="T46" s="85" t="s">
        <v>54</v>
      </c>
      <c r="U46" s="85" t="s">
        <v>55</v>
      </c>
      <c r="V46" s="85" t="s">
        <v>70</v>
      </c>
      <c r="W46" s="85" t="s">
        <v>71</v>
      </c>
      <c r="X46" s="85">
        <v>411250000</v>
      </c>
      <c r="Y46" s="85" t="s">
        <v>377</v>
      </c>
      <c r="Z46" s="85" t="s">
        <v>378</v>
      </c>
      <c r="AA46" s="85" t="s">
        <v>60</v>
      </c>
      <c r="AB46" s="85" t="s">
        <v>61</v>
      </c>
      <c r="AC46" s="85" t="s">
        <v>377</v>
      </c>
      <c r="AD46" s="85" t="s">
        <v>377</v>
      </c>
      <c r="AE46" s="85" t="s">
        <v>379</v>
      </c>
      <c r="AF46" s="87" t="s">
        <v>139</v>
      </c>
      <c r="AG46" s="87"/>
      <c r="AH46" s="85" t="str">
        <f t="shared" si="0"/>
        <v/>
      </c>
      <c r="AI46" s="87" t="s">
        <v>139</v>
      </c>
      <c r="AJ46" s="87"/>
      <c r="AK46" s="87" t="s">
        <v>48</v>
      </c>
      <c r="AL46" s="85" t="s">
        <v>380</v>
      </c>
      <c r="AM46" s="88" t="str">
        <f>VLOOKUP(D46,'slb RAW'!$E$2:$AF$293,9)</f>
        <v>#N/A N/A</v>
      </c>
      <c r="AN46" s="85" t="str">
        <f>VLOOKUP(D46,'slb RAW'!$E$2:$AE$293,27)</f>
        <v>#N/A N/A</v>
      </c>
      <c r="AO46" s="85" t="e">
        <f>VLOOKUP(C46,'Refinitiv SLB'!F46:S223,14)</f>
        <v>#N/A</v>
      </c>
      <c r="AP46" s="85" t="str">
        <f t="shared" si="1"/>
        <v>#N/A N/A</v>
      </c>
      <c r="AQ46" s="89" t="str">
        <f t="shared" si="2"/>
        <v>Jenoptik AGAT MATURITYFLOATINGEURSr Unsecured</v>
      </c>
      <c r="AR46" s="88" t="b">
        <f ca="1">ISNUMBER( IFERROR(VLOOKUP(A46,Pairs!$E$2:$E$57,1,FALSE),FALSE))</f>
        <v>0</v>
      </c>
      <c r="AS46" s="88"/>
      <c r="AT46" s="88"/>
    </row>
    <row r="47" spans="1:46" s="90" customFormat="1" ht="15.75" customHeight="1" x14ac:dyDescent="0.2">
      <c r="A47" s="85">
        <v>150</v>
      </c>
      <c r="B47" s="85" t="s">
        <v>371</v>
      </c>
      <c r="C47" s="85" t="str">
        <f>VLOOKUP(D47,'slb RAW'!$E:$F,2)</f>
        <v>#N/A Field Not Applicable</v>
      </c>
      <c r="D47" s="85" t="s">
        <v>384</v>
      </c>
      <c r="E47" s="85" t="s">
        <v>385</v>
      </c>
      <c r="F47" s="85" t="s">
        <v>374</v>
      </c>
      <c r="G47" s="85" t="s">
        <v>45</v>
      </c>
      <c r="H47" s="85" t="s">
        <v>45</v>
      </c>
      <c r="I47" s="85" t="s">
        <v>45</v>
      </c>
      <c r="J47" s="2" t="b">
        <f t="shared" si="3"/>
        <v>1</v>
      </c>
      <c r="K47" s="85">
        <v>0</v>
      </c>
      <c r="L47" s="85" t="s">
        <v>375</v>
      </c>
      <c r="M47" s="85" t="s">
        <v>386</v>
      </c>
      <c r="N47" s="91" t="s">
        <v>48</v>
      </c>
      <c r="O47" s="85" t="s">
        <v>49</v>
      </c>
      <c r="P47" s="85" t="s">
        <v>50</v>
      </c>
      <c r="Q47" s="85" t="s">
        <v>76</v>
      </c>
      <c r="R47" s="85" t="s">
        <v>52</v>
      </c>
      <c r="S47" s="85" t="s">
        <v>53</v>
      </c>
      <c r="T47" s="85" t="s">
        <v>54</v>
      </c>
      <c r="U47" s="85" t="s">
        <v>55</v>
      </c>
      <c r="V47" s="85" t="s">
        <v>70</v>
      </c>
      <c r="W47" s="85" t="s">
        <v>71</v>
      </c>
      <c r="X47" s="85">
        <v>411250000</v>
      </c>
      <c r="Y47" s="85" t="s">
        <v>377</v>
      </c>
      <c r="Z47" s="85" t="s">
        <v>378</v>
      </c>
      <c r="AA47" s="85" t="s">
        <v>60</v>
      </c>
      <c r="AB47" s="85" t="s">
        <v>61</v>
      </c>
      <c r="AC47" s="85" t="s">
        <v>377</v>
      </c>
      <c r="AD47" s="85" t="s">
        <v>377</v>
      </c>
      <c r="AE47" s="85" t="s">
        <v>387</v>
      </c>
      <c r="AF47" s="87" t="s">
        <v>139</v>
      </c>
      <c r="AG47" s="87"/>
      <c r="AH47" s="85" t="str">
        <f t="shared" si="0"/>
        <v/>
      </c>
      <c r="AI47" s="87" t="s">
        <v>139</v>
      </c>
      <c r="AJ47" s="87"/>
      <c r="AK47" s="87" t="s">
        <v>48</v>
      </c>
      <c r="AL47" s="85" t="s">
        <v>380</v>
      </c>
      <c r="AM47" s="88" t="str">
        <f>VLOOKUP(D47,'slb RAW'!$E$2:$AF$293,9)</f>
        <v>#N/A N/A</v>
      </c>
      <c r="AN47" s="85" t="str">
        <f>VLOOKUP(D47,'slb RAW'!$E$2:$AE$293,27)</f>
        <v>#N/A N/A</v>
      </c>
      <c r="AO47" s="85" t="e">
        <f>VLOOKUP(C47,'Refinitiv SLB'!F47:S224,14)</f>
        <v>#N/A</v>
      </c>
      <c r="AP47" s="85" t="str">
        <f t="shared" si="1"/>
        <v>#N/A N/A</v>
      </c>
      <c r="AQ47" s="89" t="str">
        <f t="shared" si="2"/>
        <v>Jenoptik AGAT MATURITYFLOATINGEURSr Unsecured</v>
      </c>
      <c r="AR47" s="88" t="b">
        <f ca="1">ISNUMBER( IFERROR(VLOOKUP(A47,Pairs!$E$2:$E$57,1,FALSE),FALSE))</f>
        <v>0</v>
      </c>
      <c r="AS47" s="88"/>
      <c r="AT47" s="88"/>
    </row>
    <row r="48" spans="1:46" s="90" customFormat="1" ht="15.75" customHeight="1" x14ac:dyDescent="0.2">
      <c r="A48" s="85">
        <v>148</v>
      </c>
      <c r="B48" s="85" t="s">
        <v>371</v>
      </c>
      <c r="C48" s="85" t="str">
        <f>VLOOKUP(D48,'slb RAW'!$E:$F,2)</f>
        <v>#N/A Field Not Applicable</v>
      </c>
      <c r="D48" s="85" t="s">
        <v>388</v>
      </c>
      <c r="E48" s="85" t="s">
        <v>389</v>
      </c>
      <c r="F48" s="85" t="s">
        <v>374</v>
      </c>
      <c r="G48" s="85" t="s">
        <v>45</v>
      </c>
      <c r="H48" s="85" t="s">
        <v>45</v>
      </c>
      <c r="I48" s="85" t="s">
        <v>45</v>
      </c>
      <c r="J48" s="2" t="b">
        <f t="shared" si="3"/>
        <v>1</v>
      </c>
      <c r="K48" s="85">
        <v>0</v>
      </c>
      <c r="L48" s="85" t="s">
        <v>375</v>
      </c>
      <c r="M48" s="85" t="s">
        <v>386</v>
      </c>
      <c r="N48" s="91" t="s">
        <v>48</v>
      </c>
      <c r="O48" s="85" t="s">
        <v>49</v>
      </c>
      <c r="P48" s="85" t="s">
        <v>50</v>
      </c>
      <c r="Q48" s="85" t="s">
        <v>390</v>
      </c>
      <c r="R48" s="85" t="s">
        <v>52</v>
      </c>
      <c r="S48" s="85" t="s">
        <v>262</v>
      </c>
      <c r="T48" s="85" t="s">
        <v>54</v>
      </c>
      <c r="U48" s="85" t="s">
        <v>55</v>
      </c>
      <c r="V48" s="85" t="s">
        <v>70</v>
      </c>
      <c r="W48" s="85" t="s">
        <v>391</v>
      </c>
      <c r="X48" s="85">
        <v>59000000</v>
      </c>
      <c r="Y48" s="85" t="s">
        <v>377</v>
      </c>
      <c r="Z48" s="85" t="s">
        <v>378</v>
      </c>
      <c r="AA48" s="85" t="s">
        <v>60</v>
      </c>
      <c r="AB48" s="85" t="s">
        <v>61</v>
      </c>
      <c r="AC48" s="85" t="s">
        <v>377</v>
      </c>
      <c r="AD48" s="85" t="s">
        <v>377</v>
      </c>
      <c r="AE48" s="85" t="s">
        <v>387</v>
      </c>
      <c r="AF48" s="87" t="s">
        <v>139</v>
      </c>
      <c r="AG48" s="87"/>
      <c r="AH48" s="85" t="str">
        <f t="shared" si="0"/>
        <v/>
      </c>
      <c r="AI48" s="87" t="s">
        <v>139</v>
      </c>
      <c r="AJ48" s="87"/>
      <c r="AK48" s="87" t="s">
        <v>48</v>
      </c>
      <c r="AL48" s="85" t="s">
        <v>392</v>
      </c>
      <c r="AM48" s="88" t="str">
        <f>VLOOKUP(D48,'slb RAW'!$E$2:$AF$293,9)</f>
        <v>#N/A N/A</v>
      </c>
      <c r="AN48" s="85" t="str">
        <f>VLOOKUP(D48,'slb RAW'!$E$2:$AE$293,27)</f>
        <v>#N/A N/A</v>
      </c>
      <c r="AO48" s="85" t="e">
        <f>VLOOKUP(C48,'Refinitiv SLB'!F48:S225,14)</f>
        <v>#N/A</v>
      </c>
      <c r="AP48" s="85" t="str">
        <f t="shared" si="1"/>
        <v>#N/A N/A</v>
      </c>
      <c r="AQ48" s="89" t="str">
        <f t="shared" si="2"/>
        <v>Jenoptik AGAT MATURITYFLOATINGUSDSr Unsecured</v>
      </c>
      <c r="AR48" s="88" t="b">
        <f ca="1">ISNUMBER( IFERROR(VLOOKUP(A48,Pairs!$E$2:$E$57,1,FALSE),FALSE))</f>
        <v>0</v>
      </c>
      <c r="AS48" s="88"/>
      <c r="AT48" s="88"/>
    </row>
    <row r="49" spans="1:46" s="90" customFormat="1" ht="15.75" customHeight="1" x14ac:dyDescent="0.2">
      <c r="A49" s="85">
        <v>149</v>
      </c>
      <c r="B49" s="85" t="s">
        <v>371</v>
      </c>
      <c r="C49" s="85" t="str">
        <f>VLOOKUP(D49,'slb RAW'!$E:$F,2)</f>
        <v>#N/A Field Not Applicable</v>
      </c>
      <c r="D49" s="85" t="s">
        <v>393</v>
      </c>
      <c r="E49" s="85" t="s">
        <v>394</v>
      </c>
      <c r="F49" s="85" t="s">
        <v>374</v>
      </c>
      <c r="G49" s="85" t="s">
        <v>45</v>
      </c>
      <c r="H49" s="85" t="s">
        <v>45</v>
      </c>
      <c r="I49" s="85" t="s">
        <v>45</v>
      </c>
      <c r="J49" s="2" t="b">
        <f t="shared" si="3"/>
        <v>1</v>
      </c>
      <c r="K49" s="85">
        <v>0</v>
      </c>
      <c r="L49" s="85" t="s">
        <v>375</v>
      </c>
      <c r="M49" s="85" t="s">
        <v>395</v>
      </c>
      <c r="N49" s="91" t="s">
        <v>48</v>
      </c>
      <c r="O49" s="85" t="s">
        <v>49</v>
      </c>
      <c r="P49" s="85" t="s">
        <v>50</v>
      </c>
      <c r="Q49" s="85" t="s">
        <v>144</v>
      </c>
      <c r="R49" s="85" t="s">
        <v>52</v>
      </c>
      <c r="S49" s="85" t="s">
        <v>53</v>
      </c>
      <c r="T49" s="85" t="s">
        <v>54</v>
      </c>
      <c r="U49" s="85" t="s">
        <v>55</v>
      </c>
      <c r="V49" s="85" t="s">
        <v>70</v>
      </c>
      <c r="W49" s="85" t="s">
        <v>71</v>
      </c>
      <c r="X49" s="85">
        <v>411250000</v>
      </c>
      <c r="Y49" s="85" t="s">
        <v>377</v>
      </c>
      <c r="Z49" s="85" t="s">
        <v>378</v>
      </c>
      <c r="AA49" s="85" t="s">
        <v>60</v>
      </c>
      <c r="AB49" s="85" t="s">
        <v>61</v>
      </c>
      <c r="AC49" s="85" t="s">
        <v>377</v>
      </c>
      <c r="AD49" s="85" t="s">
        <v>377</v>
      </c>
      <c r="AE49" s="85" t="s">
        <v>387</v>
      </c>
      <c r="AF49" s="87" t="s">
        <v>139</v>
      </c>
      <c r="AG49" s="87"/>
      <c r="AH49" s="85" t="str">
        <f t="shared" si="0"/>
        <v/>
      </c>
      <c r="AI49" s="87" t="s">
        <v>139</v>
      </c>
      <c r="AJ49" s="87"/>
      <c r="AK49" s="87" t="s">
        <v>48</v>
      </c>
      <c r="AL49" s="85" t="s">
        <v>380</v>
      </c>
      <c r="AM49" s="88" t="str">
        <f>VLOOKUP(D49,'slb RAW'!$E$2:$AF$293,9)</f>
        <v>#N/A N/A</v>
      </c>
      <c r="AN49" s="85" t="str">
        <f>VLOOKUP(D49,'slb RAW'!$E$2:$AE$293,27)</f>
        <v>#N/A N/A</v>
      </c>
      <c r="AO49" s="85" t="e">
        <f>VLOOKUP(C49,'Refinitiv SLB'!F49:S226,14)</f>
        <v>#N/A</v>
      </c>
      <c r="AP49" s="85" t="str">
        <f t="shared" si="1"/>
        <v>#N/A N/A</v>
      </c>
      <c r="AQ49" s="89" t="str">
        <f t="shared" si="2"/>
        <v>Jenoptik AGAT MATURITYFLOATINGEURSr Unsecured</v>
      </c>
      <c r="AR49" s="88" t="b">
        <f ca="1">ISNUMBER( IFERROR(VLOOKUP(A49,Pairs!$E$2:$E$57,1,FALSE),FALSE))</f>
        <v>0</v>
      </c>
      <c r="AS49" s="88"/>
      <c r="AT49" s="88"/>
    </row>
    <row r="50" spans="1:46" s="90" customFormat="1" ht="15.75" customHeight="1" x14ac:dyDescent="0.2">
      <c r="A50" s="85">
        <v>253</v>
      </c>
      <c r="B50" s="85" t="s">
        <v>272</v>
      </c>
      <c r="C50" s="85" t="str">
        <f>VLOOKUP(D50,'slb RAW'!$E:$F,2)</f>
        <v>#N/A Field Not Applicable</v>
      </c>
      <c r="D50" s="85" t="s">
        <v>396</v>
      </c>
      <c r="E50" s="85" t="s">
        <v>397</v>
      </c>
      <c r="F50" s="85" t="s">
        <v>275</v>
      </c>
      <c r="G50" s="85" t="s">
        <v>45</v>
      </c>
      <c r="H50" s="85" t="s">
        <v>45</v>
      </c>
      <c r="I50" s="85" t="s">
        <v>45</v>
      </c>
      <c r="J50" s="2" t="b">
        <f t="shared" si="3"/>
        <v>1</v>
      </c>
      <c r="K50" s="85">
        <v>0</v>
      </c>
      <c r="L50" s="85" t="s">
        <v>276</v>
      </c>
      <c r="M50" s="85" t="s">
        <v>277</v>
      </c>
      <c r="N50" s="91" t="s">
        <v>48</v>
      </c>
      <c r="O50" s="85" t="s">
        <v>49</v>
      </c>
      <c r="P50" s="85" t="s">
        <v>50</v>
      </c>
      <c r="Q50" s="85" t="s">
        <v>101</v>
      </c>
      <c r="R50" s="85" t="s">
        <v>52</v>
      </c>
      <c r="S50" s="85" t="s">
        <v>53</v>
      </c>
      <c r="T50" s="85" t="s">
        <v>54</v>
      </c>
      <c r="U50" s="85" t="s">
        <v>55</v>
      </c>
      <c r="V50" s="85" t="s">
        <v>56</v>
      </c>
      <c r="W50" s="85" t="s">
        <v>57</v>
      </c>
      <c r="X50" s="85">
        <v>844921000</v>
      </c>
      <c r="Y50" s="85" t="s">
        <v>58</v>
      </c>
      <c r="Z50" s="85" t="s">
        <v>278</v>
      </c>
      <c r="AA50" s="85" t="s">
        <v>60</v>
      </c>
      <c r="AB50" s="85" t="s">
        <v>61</v>
      </c>
      <c r="AC50" s="85" t="s">
        <v>279</v>
      </c>
      <c r="AD50" s="85" t="s">
        <v>280</v>
      </c>
      <c r="AE50" s="85" t="s">
        <v>286</v>
      </c>
      <c r="AF50" s="87" t="s">
        <v>139</v>
      </c>
      <c r="AG50" s="87"/>
      <c r="AH50" s="85" t="str">
        <f t="shared" si="0"/>
        <v/>
      </c>
      <c r="AI50" s="87" t="s">
        <v>139</v>
      </c>
      <c r="AJ50" s="87"/>
      <c r="AK50" s="87" t="s">
        <v>48</v>
      </c>
      <c r="AL50" s="85" t="s">
        <v>282</v>
      </c>
      <c r="AM50" s="88" t="str">
        <f>VLOOKUP(D50,'slb RAW'!$E$2:$AF$293,9)</f>
        <v>#N/A N/A</v>
      </c>
      <c r="AN50" s="85" t="str">
        <f>VLOOKUP(D50,'slb RAW'!$E$2:$AE$293,27)</f>
        <v>#N/A N/A</v>
      </c>
      <c r="AO50" s="85" t="e">
        <f>VLOOKUP(C50,'Refinitiv SLB'!F50:S227,14)</f>
        <v>#N/A</v>
      </c>
      <c r="AP50" s="85" t="str">
        <f t="shared" si="1"/>
        <v>#N/A N/A</v>
      </c>
      <c r="AQ50" s="89" t="str">
        <f t="shared" si="2"/>
        <v>Traton SEAT MATURITYFIXEDEURSr Unsecured</v>
      </c>
      <c r="AR50" s="88" t="b">
        <f ca="1">ISNUMBER( IFERROR(VLOOKUP(A50,Pairs!$E$2:$E$57,1,FALSE),FALSE))</f>
        <v>0</v>
      </c>
      <c r="AS50" s="88"/>
      <c r="AT50" s="88"/>
    </row>
    <row r="51" spans="1:46" s="90" customFormat="1" ht="15.75" customHeight="1" x14ac:dyDescent="0.2">
      <c r="A51" s="85">
        <v>255</v>
      </c>
      <c r="B51" s="85" t="s">
        <v>272</v>
      </c>
      <c r="C51" s="85" t="str">
        <f>VLOOKUP(D51,'slb RAW'!$E:$F,2)</f>
        <v>#N/A Field Not Applicable</v>
      </c>
      <c r="D51" s="85" t="s">
        <v>398</v>
      </c>
      <c r="E51" s="85" t="s">
        <v>399</v>
      </c>
      <c r="F51" s="85" t="s">
        <v>275</v>
      </c>
      <c r="G51" s="85" t="s">
        <v>45</v>
      </c>
      <c r="H51" s="85" t="s">
        <v>45</v>
      </c>
      <c r="I51" s="85" t="s">
        <v>45</v>
      </c>
      <c r="J51" s="2" t="b">
        <f t="shared" si="3"/>
        <v>1</v>
      </c>
      <c r="K51" s="85">
        <v>0</v>
      </c>
      <c r="L51" s="85" t="s">
        <v>276</v>
      </c>
      <c r="M51" s="85" t="s">
        <v>277</v>
      </c>
      <c r="N51" s="91" t="s">
        <v>48</v>
      </c>
      <c r="O51" s="85" t="s">
        <v>49</v>
      </c>
      <c r="P51" s="85" t="s">
        <v>50</v>
      </c>
      <c r="Q51" s="85" t="s">
        <v>104</v>
      </c>
      <c r="R51" s="85" t="s">
        <v>52</v>
      </c>
      <c r="S51" s="85" t="s">
        <v>53</v>
      </c>
      <c r="T51" s="85" t="s">
        <v>54</v>
      </c>
      <c r="U51" s="85" t="s">
        <v>55</v>
      </c>
      <c r="V51" s="85" t="s">
        <v>56</v>
      </c>
      <c r="W51" s="85" t="s">
        <v>57</v>
      </c>
      <c r="X51" s="85">
        <v>844921000</v>
      </c>
      <c r="Y51" s="85" t="s">
        <v>58</v>
      </c>
      <c r="Z51" s="85" t="s">
        <v>278</v>
      </c>
      <c r="AA51" s="85" t="s">
        <v>60</v>
      </c>
      <c r="AB51" s="85" t="s">
        <v>61</v>
      </c>
      <c r="AC51" s="85" t="s">
        <v>279</v>
      </c>
      <c r="AD51" s="85" t="s">
        <v>280</v>
      </c>
      <c r="AE51" s="85" t="s">
        <v>286</v>
      </c>
      <c r="AF51" s="87" t="s">
        <v>139</v>
      </c>
      <c r="AG51" s="87"/>
      <c r="AH51" s="85" t="str">
        <f t="shared" si="0"/>
        <v/>
      </c>
      <c r="AI51" s="87" t="s">
        <v>139</v>
      </c>
      <c r="AJ51" s="87"/>
      <c r="AK51" s="87" t="s">
        <v>48</v>
      </c>
      <c r="AL51" s="85" t="s">
        <v>282</v>
      </c>
      <c r="AM51" s="88" t="str">
        <f>VLOOKUP(D51,'slb RAW'!$E$2:$AF$293,9)</f>
        <v>#N/A N/A</v>
      </c>
      <c r="AN51" s="85" t="str">
        <f>VLOOKUP(D51,'slb RAW'!$E$2:$AE$293,27)</f>
        <v>#N/A N/A</v>
      </c>
      <c r="AO51" s="85" t="e">
        <f>VLOOKUP(C51,'Refinitiv SLB'!F51:S228,14)</f>
        <v>#N/A</v>
      </c>
      <c r="AP51" s="85" t="str">
        <f t="shared" si="1"/>
        <v>#N/A N/A</v>
      </c>
      <c r="AQ51" s="89" t="str">
        <f t="shared" si="2"/>
        <v>Traton SEAT MATURITYFIXEDEURSr Unsecured</v>
      </c>
      <c r="AR51" s="88" t="b">
        <f ca="1">ISNUMBER( IFERROR(VLOOKUP(A51,Pairs!$E$2:$E$57,1,FALSE),FALSE))</f>
        <v>0</v>
      </c>
      <c r="AS51" s="88"/>
      <c r="AT51" s="88"/>
    </row>
    <row r="52" spans="1:46" s="90" customFormat="1" ht="15.75" customHeight="1" x14ac:dyDescent="0.2">
      <c r="A52" s="85">
        <v>254</v>
      </c>
      <c r="B52" s="85" t="s">
        <v>272</v>
      </c>
      <c r="C52" s="85" t="str">
        <f>VLOOKUP(D52,'slb RAW'!$E:$F,2)</f>
        <v>#N/A Field Not Applicable</v>
      </c>
      <c r="D52" s="85" t="s">
        <v>400</v>
      </c>
      <c r="E52" s="85" t="s">
        <v>401</v>
      </c>
      <c r="F52" s="85" t="s">
        <v>275</v>
      </c>
      <c r="G52" s="85" t="s">
        <v>45</v>
      </c>
      <c r="H52" s="85" t="s">
        <v>45</v>
      </c>
      <c r="I52" s="85" t="s">
        <v>45</v>
      </c>
      <c r="J52" s="2" t="b">
        <f t="shared" si="3"/>
        <v>1</v>
      </c>
      <c r="K52" s="85">
        <v>0</v>
      </c>
      <c r="L52" s="85" t="s">
        <v>276</v>
      </c>
      <c r="M52" s="85" t="s">
        <v>277</v>
      </c>
      <c r="N52" s="91" t="s">
        <v>48</v>
      </c>
      <c r="O52" s="85" t="s">
        <v>49</v>
      </c>
      <c r="P52" s="85" t="s">
        <v>50</v>
      </c>
      <c r="Q52" s="85" t="s">
        <v>107</v>
      </c>
      <c r="R52" s="85" t="s">
        <v>52</v>
      </c>
      <c r="S52" s="85" t="s">
        <v>53</v>
      </c>
      <c r="T52" s="85" t="s">
        <v>54</v>
      </c>
      <c r="U52" s="85" t="s">
        <v>55</v>
      </c>
      <c r="V52" s="85" t="s">
        <v>56</v>
      </c>
      <c r="W52" s="85" t="s">
        <v>57</v>
      </c>
      <c r="X52" s="85">
        <v>844921000</v>
      </c>
      <c r="Y52" s="85" t="s">
        <v>58</v>
      </c>
      <c r="Z52" s="85" t="s">
        <v>278</v>
      </c>
      <c r="AA52" s="85" t="s">
        <v>60</v>
      </c>
      <c r="AB52" s="85" t="s">
        <v>61</v>
      </c>
      <c r="AC52" s="85" t="s">
        <v>279</v>
      </c>
      <c r="AD52" s="85" t="s">
        <v>280</v>
      </c>
      <c r="AE52" s="85" t="s">
        <v>402</v>
      </c>
      <c r="AF52" s="87" t="s">
        <v>139</v>
      </c>
      <c r="AG52" s="87"/>
      <c r="AH52" s="85" t="str">
        <f t="shared" si="0"/>
        <v/>
      </c>
      <c r="AI52" s="87" t="s">
        <v>139</v>
      </c>
      <c r="AJ52" s="87"/>
      <c r="AK52" s="87" t="s">
        <v>48</v>
      </c>
      <c r="AL52" s="85" t="s">
        <v>282</v>
      </c>
      <c r="AM52" s="88" t="str">
        <f>VLOOKUP(D52,'slb RAW'!$E$2:$AF$293,9)</f>
        <v>#N/A N/A</v>
      </c>
      <c r="AN52" s="85" t="str">
        <f>VLOOKUP(D52,'slb RAW'!$E$2:$AE$293,27)</f>
        <v>#N/A N/A</v>
      </c>
      <c r="AO52" s="85" t="e">
        <f>VLOOKUP(C52,'Refinitiv SLB'!F52:S229,14)</f>
        <v>#N/A</v>
      </c>
      <c r="AP52" s="85" t="str">
        <f t="shared" si="1"/>
        <v>#N/A N/A</v>
      </c>
      <c r="AQ52" s="89" t="str">
        <f t="shared" si="2"/>
        <v>Traton SEAT MATURITYFIXEDEURSr Unsecured</v>
      </c>
      <c r="AR52" s="88" t="b">
        <f ca="1">ISNUMBER( IFERROR(VLOOKUP(A52,Pairs!$E$2:$E$57,1,FALSE),FALSE))</f>
        <v>0</v>
      </c>
      <c r="AS52" s="88"/>
      <c r="AT52" s="88"/>
    </row>
    <row r="53" spans="1:46" ht="15.75" customHeight="1" x14ac:dyDescent="0.2">
      <c r="A53" s="2">
        <v>202</v>
      </c>
      <c r="B53" s="2" t="s">
        <v>403</v>
      </c>
      <c r="C53" s="2" t="str">
        <f>VLOOKUP(D53,'slb RAW'!$E:$F,2)</f>
        <v>XS2314265237</v>
      </c>
      <c r="D53" s="2" t="s">
        <v>404</v>
      </c>
      <c r="E53" s="2" t="s">
        <v>405</v>
      </c>
      <c r="F53" s="2" t="s">
        <v>406</v>
      </c>
      <c r="G53" s="2" t="s">
        <v>407</v>
      </c>
      <c r="H53" s="2" t="s">
        <v>407</v>
      </c>
      <c r="I53" s="2" t="s">
        <v>407</v>
      </c>
      <c r="J53" s="2" t="b">
        <f t="shared" si="3"/>
        <v>1</v>
      </c>
      <c r="K53" s="2">
        <v>3.875</v>
      </c>
      <c r="L53" s="2" t="s">
        <v>408</v>
      </c>
      <c r="M53" s="2" t="s">
        <v>409</v>
      </c>
      <c r="N53" s="2">
        <v>3.875</v>
      </c>
      <c r="O53" s="2" t="s">
        <v>115</v>
      </c>
      <c r="P53" s="2" t="s">
        <v>116</v>
      </c>
      <c r="Q53" s="2" t="s">
        <v>173</v>
      </c>
      <c r="R53" s="2" t="s">
        <v>52</v>
      </c>
      <c r="S53" s="2" t="s">
        <v>53</v>
      </c>
      <c r="T53" s="2" t="s">
        <v>410</v>
      </c>
      <c r="U53" s="2" t="s">
        <v>174</v>
      </c>
      <c r="V53" s="2" t="s">
        <v>56</v>
      </c>
      <c r="W53" s="2" t="s">
        <v>71</v>
      </c>
      <c r="X53" s="2">
        <v>924520750</v>
      </c>
      <c r="Y53" s="2" t="s">
        <v>120</v>
      </c>
      <c r="Z53" s="2" t="s">
        <v>120</v>
      </c>
      <c r="AA53" s="2" t="s">
        <v>202</v>
      </c>
      <c r="AB53" s="2" t="s">
        <v>411</v>
      </c>
      <c r="AC53" s="2" t="s">
        <v>412</v>
      </c>
      <c r="AD53" s="2" t="s">
        <v>412</v>
      </c>
      <c r="AE53" s="2" t="s">
        <v>413</v>
      </c>
      <c r="AF53" s="5">
        <v>50</v>
      </c>
      <c r="AG53" s="6"/>
      <c r="AH53" s="2" t="str">
        <f t="shared" si="0"/>
        <v/>
      </c>
      <c r="AI53" s="2" t="str" cm="1">
        <f t="array" ref="AI53">_xlfn.IFS(AF53&lt;25,"Less",AF53=25,"Equal",AF53&gt;25,"More")</f>
        <v>More</v>
      </c>
      <c r="AJ53" s="6"/>
      <c r="AK53" s="6" t="s">
        <v>125</v>
      </c>
      <c r="AL53" s="2" t="s">
        <v>414</v>
      </c>
      <c r="AM53" s="5">
        <f>VLOOKUP(D53,'slb RAW'!$E$2:$AF$293,9)</f>
        <v>3.875</v>
      </c>
      <c r="AN53" s="2">
        <f>VLOOKUP(D53,'slb RAW'!$E$2:$AE$293,27)</f>
        <v>3.4489999999999998</v>
      </c>
      <c r="AO53" s="2">
        <f>VLOOKUP(C53,'Refinitiv SLB'!F53:S230,14)</f>
        <v>4.2309999999999999</v>
      </c>
      <c r="AP53" s="2">
        <f t="shared" si="1"/>
        <v>3.4489999999999998</v>
      </c>
      <c r="AQ53" s="7" t="str">
        <f t="shared" si="2"/>
        <v>Public Power Corp SACALLABLEFIXEDEURSr Unsecured</v>
      </c>
      <c r="AR53" s="5" t="b">
        <f ca="1">ISNUMBER( IFERROR(VLOOKUP(A53,Pairs!$E$2:$E$57,1,FALSE),FALSE))</f>
        <v>0</v>
      </c>
      <c r="AS53" s="5"/>
      <c r="AT53" s="5"/>
    </row>
    <row r="54" spans="1:46" ht="15.75" customHeight="1" x14ac:dyDescent="0.2">
      <c r="A54" s="2">
        <v>159</v>
      </c>
      <c r="B54" s="2" t="s">
        <v>415</v>
      </c>
      <c r="C54" s="2" t="str">
        <f>VLOOKUP(D54,'slb RAW'!$E:$F,2)</f>
        <v>XS2317288301</v>
      </c>
      <c r="D54" s="2" t="s">
        <v>416</v>
      </c>
      <c r="E54" s="2" t="s">
        <v>417</v>
      </c>
      <c r="F54" s="2" t="s">
        <v>418</v>
      </c>
      <c r="G54" s="2" t="s">
        <v>366</v>
      </c>
      <c r="H54" s="2" t="s">
        <v>366</v>
      </c>
      <c r="I54" s="2" t="s">
        <v>366</v>
      </c>
      <c r="J54" s="2" t="b">
        <f t="shared" si="3"/>
        <v>1</v>
      </c>
      <c r="K54" s="2">
        <v>0.375</v>
      </c>
      <c r="L54" s="2" t="s">
        <v>408</v>
      </c>
      <c r="M54" s="2" t="s">
        <v>419</v>
      </c>
      <c r="N54" s="8">
        <v>0.40460000000000002</v>
      </c>
      <c r="O54" s="2" t="s">
        <v>115</v>
      </c>
      <c r="P54" s="2" t="s">
        <v>116</v>
      </c>
      <c r="Q54" s="2" t="s">
        <v>173</v>
      </c>
      <c r="R54" s="2" t="s">
        <v>52</v>
      </c>
      <c r="S54" s="2" t="s">
        <v>53</v>
      </c>
      <c r="T54" s="2" t="s">
        <v>174</v>
      </c>
      <c r="U54" s="2" t="s">
        <v>420</v>
      </c>
      <c r="V54" s="2" t="s">
        <v>56</v>
      </c>
      <c r="W54" s="2" t="s">
        <v>57</v>
      </c>
      <c r="X54" s="2">
        <v>715758000</v>
      </c>
      <c r="Y54" s="2" t="s">
        <v>421</v>
      </c>
      <c r="Z54" s="2" t="s">
        <v>422</v>
      </c>
      <c r="AA54" s="2" t="s">
        <v>60</v>
      </c>
      <c r="AB54" s="2" t="s">
        <v>61</v>
      </c>
      <c r="AC54" s="2" t="s">
        <v>227</v>
      </c>
      <c r="AD54" s="2" t="s">
        <v>423</v>
      </c>
      <c r="AE54" s="2" t="s">
        <v>424</v>
      </c>
      <c r="AF54" s="5">
        <v>25</v>
      </c>
      <c r="AG54" s="6"/>
      <c r="AH54" s="2" t="str">
        <f t="shared" si="0"/>
        <v/>
      </c>
      <c r="AI54" s="2" t="str" cm="1">
        <f t="array" ref="AI54">_xlfn.IFS(AF54&lt;25,"Less",AF54=25,"Equal",AF54&gt;25,"More")</f>
        <v>Equal</v>
      </c>
      <c r="AJ54" s="6"/>
      <c r="AK54" s="6" t="s">
        <v>125</v>
      </c>
      <c r="AL54" s="2" t="s">
        <v>425</v>
      </c>
      <c r="AM54" s="5" t="str">
        <f>VLOOKUP(D54,'slb RAW'!$E$2:$AF$293,9)</f>
        <v>#N/A N/A</v>
      </c>
      <c r="AN54" s="2">
        <f>VLOOKUP(D54,'slb RAW'!$E$2:$AE$293,27)</f>
        <v>0.46700000000000003</v>
      </c>
      <c r="AO54" s="2">
        <f>VLOOKUP(C54,'Refinitiv SLB'!F54:S231,14)</f>
        <v>4.2309999999999999</v>
      </c>
      <c r="AP54" s="2">
        <f t="shared" si="1"/>
        <v>0.46700000000000003</v>
      </c>
      <c r="AQ54" s="7" t="str">
        <f t="shared" si="2"/>
        <v>Koninklijke Ahold Delhaize NVCALLABLEFIXEDEURSr Unsecured</v>
      </c>
      <c r="AR54" s="5" t="b">
        <f ca="1">ISNUMBER( IFERROR(VLOOKUP(A54,Pairs!$E$2:$E$57,1,FALSE),FALSE))</f>
        <v>1</v>
      </c>
      <c r="AS54" s="5"/>
      <c r="AT54" s="5"/>
    </row>
    <row r="55" spans="1:46" ht="15.75" customHeight="1" x14ac:dyDescent="0.2">
      <c r="A55" s="2">
        <v>201</v>
      </c>
      <c r="B55" s="2" t="s">
        <v>206</v>
      </c>
      <c r="C55" s="2" t="str">
        <f>VLOOKUP(D55,'slb RAW'!$E:$F,2)</f>
        <v>PLO037100016</v>
      </c>
      <c r="D55" s="2" t="s">
        <v>426</v>
      </c>
      <c r="E55" s="2" t="s">
        <v>427</v>
      </c>
      <c r="F55" s="2" t="s">
        <v>209</v>
      </c>
      <c r="G55" s="2" t="s">
        <v>112</v>
      </c>
      <c r="H55" s="2" t="s">
        <v>112</v>
      </c>
      <c r="I55" s="2" t="s">
        <v>112</v>
      </c>
      <c r="J55" s="2" t="b">
        <f t="shared" si="3"/>
        <v>1</v>
      </c>
      <c r="K55" s="2">
        <v>2.875</v>
      </c>
      <c r="L55" s="2" t="s">
        <v>428</v>
      </c>
      <c r="M55" s="2" t="s">
        <v>429</v>
      </c>
      <c r="N55" s="8">
        <v>2.9098000000000002</v>
      </c>
      <c r="O55" s="2" t="s">
        <v>49</v>
      </c>
      <c r="P55" s="2" t="s">
        <v>50</v>
      </c>
      <c r="Q55" s="2" t="s">
        <v>430</v>
      </c>
      <c r="R55" s="2" t="s">
        <v>52</v>
      </c>
      <c r="S55" s="2" t="s">
        <v>119</v>
      </c>
      <c r="T55" s="2" t="s">
        <v>54</v>
      </c>
      <c r="U55" s="2" t="s">
        <v>174</v>
      </c>
      <c r="V55" s="2" t="s">
        <v>56</v>
      </c>
      <c r="W55" s="2" t="s">
        <v>71</v>
      </c>
      <c r="X55" s="2">
        <v>254011000</v>
      </c>
      <c r="Y55" s="2" t="s">
        <v>213</v>
      </c>
      <c r="Z55" s="2" t="s">
        <v>214</v>
      </c>
      <c r="AA55" s="2" t="s">
        <v>60</v>
      </c>
      <c r="AB55" s="2" t="s">
        <v>61</v>
      </c>
      <c r="AC55" s="2" t="s">
        <v>213</v>
      </c>
      <c r="AD55" s="2" t="s">
        <v>215</v>
      </c>
      <c r="AE55" s="2" t="s">
        <v>431</v>
      </c>
      <c r="AF55" s="6">
        <v>20</v>
      </c>
      <c r="AG55" s="6"/>
      <c r="AH55" s="2" t="str">
        <f t="shared" si="0"/>
        <v/>
      </c>
      <c r="AI55" s="2" t="str" cm="1">
        <f t="array" ref="AI55">_xlfn.IFS(AF55&lt;25,"Less",AF55=25,"Equal",AF55&gt;25,"More")</f>
        <v>Less</v>
      </c>
      <c r="AJ55" s="6" t="s">
        <v>5517</v>
      </c>
      <c r="AK55" s="6" t="s">
        <v>64</v>
      </c>
      <c r="AL55" s="2" t="s">
        <v>432</v>
      </c>
      <c r="AM55" s="5" t="str">
        <f>VLOOKUP(D55,'slb RAW'!$E$2:$AF$293,9)</f>
        <v>#N/A N/A</v>
      </c>
      <c r="AN55" s="2">
        <f>VLOOKUP(D55,'slb RAW'!$E$2:$AE$293,27)</f>
        <v>2.875</v>
      </c>
      <c r="AO55" s="2" t="e">
        <f>VLOOKUP(C55,'Refinitiv SLB'!F55:S232,14)</f>
        <v>#N/A</v>
      </c>
      <c r="AP55" s="2">
        <f t="shared" si="1"/>
        <v>2.875</v>
      </c>
      <c r="AQ55" s="7" t="str">
        <f t="shared" si="2"/>
        <v>Polski Koncern Naftowy ORLEN SAAT MATURITYFIXEDPLNSr Unsecured</v>
      </c>
      <c r="AR55" s="5" t="b">
        <f ca="1">ISNUMBER( IFERROR(VLOOKUP(A55,Pairs!$E$2:$E$57,1,FALSE),FALSE))</f>
        <v>0</v>
      </c>
      <c r="AS55" s="5"/>
      <c r="AT55" s="5"/>
    </row>
    <row r="56" spans="1:46" s="80" customFormat="1" ht="15.75" customHeight="1" x14ac:dyDescent="0.2">
      <c r="A56" s="79">
        <v>122</v>
      </c>
      <c r="B56" s="79" t="s">
        <v>433</v>
      </c>
      <c r="C56" s="79" t="str">
        <f>VLOOKUP(D56,'slb RAW'!$E:$F,2)</f>
        <v>XS2326550899</v>
      </c>
      <c r="D56" s="79" t="s">
        <v>434</v>
      </c>
      <c r="E56" s="79" t="s">
        <v>435</v>
      </c>
      <c r="F56" s="79" t="s">
        <v>436</v>
      </c>
      <c r="G56" s="79" t="s">
        <v>45</v>
      </c>
      <c r="H56" s="79" t="s">
        <v>45</v>
      </c>
      <c r="I56" s="79" t="s">
        <v>45</v>
      </c>
      <c r="J56" s="2" t="b">
        <f t="shared" si="3"/>
        <v>1</v>
      </c>
      <c r="K56" s="79">
        <v>2.5</v>
      </c>
      <c r="L56" s="79" t="s">
        <v>437</v>
      </c>
      <c r="M56" s="79" t="s">
        <v>438</v>
      </c>
      <c r="N56" s="79">
        <v>2.5</v>
      </c>
      <c r="O56" s="79" t="s">
        <v>115</v>
      </c>
      <c r="P56" s="79" t="s">
        <v>116</v>
      </c>
      <c r="Q56" s="79" t="s">
        <v>261</v>
      </c>
      <c r="R56" s="79" t="s">
        <v>52</v>
      </c>
      <c r="S56" s="79" t="s">
        <v>53</v>
      </c>
      <c r="T56" s="79" t="s">
        <v>296</v>
      </c>
      <c r="U56" s="79" t="s">
        <v>55</v>
      </c>
      <c r="V56" s="79" t="s">
        <v>56</v>
      </c>
      <c r="W56" s="79" t="s">
        <v>71</v>
      </c>
      <c r="X56" s="79">
        <v>355671000</v>
      </c>
      <c r="Y56" s="79" t="s">
        <v>58</v>
      </c>
      <c r="Z56" s="79" t="s">
        <v>278</v>
      </c>
      <c r="AA56" s="79" t="s">
        <v>60</v>
      </c>
      <c r="AB56" s="79" t="s">
        <v>61</v>
      </c>
      <c r="AC56" s="79" t="s">
        <v>279</v>
      </c>
      <c r="AD56" s="79" t="s">
        <v>280</v>
      </c>
      <c r="AE56" s="94" t="s">
        <v>5505</v>
      </c>
      <c r="AF56" s="82">
        <v>25</v>
      </c>
      <c r="AG56" s="82"/>
      <c r="AH56" s="79" t="str">
        <f t="shared" si="0"/>
        <v/>
      </c>
      <c r="AI56" s="2" t="str" cm="1">
        <f t="array" ref="AI56">_xlfn.IFS(AF56&lt;25,"Less",AF56=25,"Equal",AF56&gt;25,"More")</f>
        <v>Equal</v>
      </c>
      <c r="AJ56" s="82"/>
      <c r="AK56" s="82" t="s">
        <v>125</v>
      </c>
      <c r="AL56" s="79" t="s">
        <v>439</v>
      </c>
      <c r="AM56" s="83">
        <f>VLOOKUP(D56,'slb RAW'!$E$2:$AF$293,9)</f>
        <v>2.5</v>
      </c>
      <c r="AN56" s="79">
        <f>VLOOKUP(D56,'slb RAW'!$E$2:$AE$293,27)</f>
        <v>2.4489999999999998</v>
      </c>
      <c r="AO56" s="79">
        <f>VLOOKUP(C56,'Refinitiv SLB'!F56:S233,14)</f>
        <v>1.1240000000000001</v>
      </c>
      <c r="AP56" s="79">
        <f t="shared" si="1"/>
        <v>2.4489999999999998</v>
      </c>
      <c r="AQ56" s="84" t="str">
        <f t="shared" si="2"/>
        <v>Hapag-Lloyd AGCALLABLEFIXEDEURSr Unsecured</v>
      </c>
      <c r="AR56" s="83" t="b">
        <f ca="1">ISNUMBER( IFERROR(VLOOKUP(A56,Pairs!$E$2:$E$57,1,FALSE),FALSE))</f>
        <v>0</v>
      </c>
      <c r="AS56" s="83"/>
      <c r="AT56" s="83"/>
    </row>
    <row r="57" spans="1:46" ht="15.75" customHeight="1" x14ac:dyDescent="0.2">
      <c r="A57" s="2">
        <v>268</v>
      </c>
      <c r="B57" s="2" t="s">
        <v>440</v>
      </c>
      <c r="C57" s="2" t="str">
        <f>VLOOKUP(D57,'slb RAW'!$E:$F,2)</f>
        <v>XS2320746394</v>
      </c>
      <c r="D57" s="2" t="s">
        <v>441</v>
      </c>
      <c r="E57" s="2" t="s">
        <v>442</v>
      </c>
      <c r="F57" s="2" t="s">
        <v>443</v>
      </c>
      <c r="G57" s="2" t="s">
        <v>257</v>
      </c>
      <c r="H57" s="2" t="s">
        <v>257</v>
      </c>
      <c r="I57" s="2" t="s">
        <v>257</v>
      </c>
      <c r="J57" s="2" t="b">
        <f t="shared" si="3"/>
        <v>1</v>
      </c>
      <c r="K57" s="2">
        <v>0.9</v>
      </c>
      <c r="L57" s="2" t="s">
        <v>444</v>
      </c>
      <c r="M57" s="2" t="s">
        <v>445</v>
      </c>
      <c r="N57" s="8">
        <v>0.90010000000000001</v>
      </c>
      <c r="O57" s="2" t="s">
        <v>115</v>
      </c>
      <c r="P57" s="2" t="s">
        <v>116</v>
      </c>
      <c r="Q57" s="2" t="s">
        <v>173</v>
      </c>
      <c r="R57" s="2" t="s">
        <v>52</v>
      </c>
      <c r="S57" s="2" t="s">
        <v>53</v>
      </c>
      <c r="T57" s="2" t="s">
        <v>446</v>
      </c>
      <c r="U57" s="2" t="s">
        <v>133</v>
      </c>
      <c r="V57" s="2" t="s">
        <v>56</v>
      </c>
      <c r="W57" s="2" t="s">
        <v>57</v>
      </c>
      <c r="X57" s="2">
        <v>588655000</v>
      </c>
      <c r="Y57" s="2" t="s">
        <v>120</v>
      </c>
      <c r="Z57" s="2" t="s">
        <v>237</v>
      </c>
      <c r="AA57" s="2" t="s">
        <v>202</v>
      </c>
      <c r="AB57" s="2" t="s">
        <v>411</v>
      </c>
      <c r="AC57" s="2" t="s">
        <v>412</v>
      </c>
      <c r="AD57" s="2" t="s">
        <v>412</v>
      </c>
      <c r="AE57" s="2" t="s">
        <v>447</v>
      </c>
      <c r="AF57" s="5">
        <v>25</v>
      </c>
      <c r="AG57" s="6"/>
      <c r="AH57" s="2" t="str">
        <f t="shared" si="0"/>
        <v/>
      </c>
      <c r="AI57" s="2" t="str" cm="1">
        <f t="array" ref="AI57">_xlfn.IFS(AF57&lt;25,"Less",AF57=25,"Equal",AF57&gt;25,"More")</f>
        <v>Equal</v>
      </c>
      <c r="AJ57" s="6"/>
      <c r="AK57" s="6" t="s">
        <v>125</v>
      </c>
      <c r="AL57" s="2" t="s">
        <v>448</v>
      </c>
      <c r="AM57" s="5" t="str">
        <f>VLOOKUP(D57,'slb RAW'!$E$2:$AF$293,9)</f>
        <v>#N/A N/A</v>
      </c>
      <c r="AN57" s="2">
        <f>VLOOKUP(D57,'slb RAW'!$E$2:$AE$293,27)</f>
        <v>0.88300000000000001</v>
      </c>
      <c r="AO57" s="2">
        <f>VLOOKUP(C57,'Refinitiv SLB'!F57:S234,14)</f>
        <v>5.1289999999999996</v>
      </c>
      <c r="AP57" s="2">
        <f t="shared" si="1"/>
        <v>0.88300000000000001</v>
      </c>
      <c r="AQ57" s="7" t="str">
        <f t="shared" si="2"/>
        <v>Verbund AGCALLABLEFIXEDEURSr Unsecured</v>
      </c>
      <c r="AR57" s="5" t="b">
        <f ca="1">ISNUMBER( IFERROR(VLOOKUP(A57,Pairs!$E$2:$E$57,1,FALSE),FALSE))</f>
        <v>0</v>
      </c>
      <c r="AS57" s="5"/>
      <c r="AT57" s="5"/>
    </row>
    <row r="58" spans="1:46" s="80" customFormat="1" ht="15.75" customHeight="1" x14ac:dyDescent="0.2">
      <c r="A58" s="79">
        <v>123</v>
      </c>
      <c r="B58" s="79" t="s">
        <v>433</v>
      </c>
      <c r="C58" s="79" t="str">
        <f>VLOOKUP(D58,'slb RAW'!$E:$F,2)</f>
        <v>XS2326548562</v>
      </c>
      <c r="D58" s="79" t="s">
        <v>449</v>
      </c>
      <c r="E58" s="79" t="s">
        <v>450</v>
      </c>
      <c r="F58" s="79" t="s">
        <v>436</v>
      </c>
      <c r="G58" s="79" t="s">
        <v>45</v>
      </c>
      <c r="H58" s="79" t="s">
        <v>45</v>
      </c>
      <c r="I58" s="79" t="s">
        <v>45</v>
      </c>
      <c r="J58" s="2" t="b">
        <f t="shared" si="3"/>
        <v>1</v>
      </c>
      <c r="K58" s="79">
        <v>2.5</v>
      </c>
      <c r="L58" s="79" t="s">
        <v>437</v>
      </c>
      <c r="M58" s="79" t="s">
        <v>438</v>
      </c>
      <c r="N58" s="79">
        <v>2.5</v>
      </c>
      <c r="O58" s="79" t="s">
        <v>115</v>
      </c>
      <c r="P58" s="79" t="s">
        <v>116</v>
      </c>
      <c r="Q58" s="79" t="s">
        <v>270</v>
      </c>
      <c r="R58" s="79" t="s">
        <v>52</v>
      </c>
      <c r="S58" s="79" t="s">
        <v>53</v>
      </c>
      <c r="T58" s="79" t="s">
        <v>296</v>
      </c>
      <c r="U58" s="79" t="s">
        <v>55</v>
      </c>
      <c r="V58" s="79" t="s">
        <v>56</v>
      </c>
      <c r="W58" s="79" t="s">
        <v>71</v>
      </c>
      <c r="X58" s="79">
        <v>355671000</v>
      </c>
      <c r="Y58" s="79" t="s">
        <v>58</v>
      </c>
      <c r="Z58" s="79" t="s">
        <v>278</v>
      </c>
      <c r="AA58" s="79" t="s">
        <v>60</v>
      </c>
      <c r="AB58" s="79" t="s">
        <v>61</v>
      </c>
      <c r="AC58" s="79" t="s">
        <v>279</v>
      </c>
      <c r="AD58" s="79" t="s">
        <v>280</v>
      </c>
      <c r="AE58" s="94" t="s">
        <v>5505</v>
      </c>
      <c r="AF58" s="82">
        <v>25</v>
      </c>
      <c r="AG58" s="82"/>
      <c r="AH58" s="79" t="str">
        <f t="shared" si="0"/>
        <v/>
      </c>
      <c r="AI58" s="2" t="str" cm="1">
        <f t="array" ref="AI58">_xlfn.IFS(AF58&lt;25,"Less",AF58=25,"Equal",AF58&gt;25,"More")</f>
        <v>Equal</v>
      </c>
      <c r="AJ58" s="82"/>
      <c r="AK58" s="82" t="s">
        <v>125</v>
      </c>
      <c r="AL58" s="79" t="s">
        <v>451</v>
      </c>
      <c r="AM58" s="83">
        <f>VLOOKUP(D58,'slb RAW'!$E$2:$AF$293,9)</f>
        <v>2.5</v>
      </c>
      <c r="AN58" s="79">
        <f>VLOOKUP(D58,'slb RAW'!$E$2:$AE$293,27)</f>
        <v>2.431</v>
      </c>
      <c r="AO58" s="79">
        <f>VLOOKUP(C58,'Refinitiv SLB'!F58:S235,14)</f>
        <v>4.8710000000000004</v>
      </c>
      <c r="AP58" s="79">
        <f t="shared" si="1"/>
        <v>2.431</v>
      </c>
      <c r="AQ58" s="84" t="str">
        <f t="shared" si="2"/>
        <v>Hapag-Lloyd AGCALLABLEFIXEDEURSr Unsecured</v>
      </c>
      <c r="AR58" s="83" t="b">
        <f ca="1">ISNUMBER( IFERROR(VLOOKUP(A58,Pairs!$E$2:$E$57,1,FALSE),FALSE))</f>
        <v>0</v>
      </c>
      <c r="AS58" s="83"/>
      <c r="AT58" s="83"/>
    </row>
    <row r="59" spans="1:46" ht="15.75" customHeight="1" x14ac:dyDescent="0.2">
      <c r="A59" s="2">
        <v>190</v>
      </c>
      <c r="B59" s="2" t="s">
        <v>452</v>
      </c>
      <c r="C59" s="2" t="str">
        <f>VLOOKUP(D59,'slb RAW'!$E:$F,2)</f>
        <v>XS2333301757</v>
      </c>
      <c r="D59" s="2" t="s">
        <v>453</v>
      </c>
      <c r="E59" s="2" t="s">
        <v>454</v>
      </c>
      <c r="F59" s="2" t="s">
        <v>455</v>
      </c>
      <c r="G59" s="2" t="s">
        <v>45</v>
      </c>
      <c r="H59" s="2" t="s">
        <v>45</v>
      </c>
      <c r="I59" s="2" t="s">
        <v>45</v>
      </c>
      <c r="J59" s="2" t="b">
        <f t="shared" si="3"/>
        <v>1</v>
      </c>
      <c r="K59" s="2">
        <v>4.75</v>
      </c>
      <c r="L59" s="2" t="s">
        <v>456</v>
      </c>
      <c r="M59" s="2" t="s">
        <v>457</v>
      </c>
      <c r="N59" s="8">
        <v>4.7591000000000001</v>
      </c>
      <c r="O59" s="2" t="s">
        <v>115</v>
      </c>
      <c r="P59" s="2" t="s">
        <v>116</v>
      </c>
      <c r="Q59" s="2" t="s">
        <v>261</v>
      </c>
      <c r="R59" s="2" t="s">
        <v>458</v>
      </c>
      <c r="S59" s="2" t="s">
        <v>53</v>
      </c>
      <c r="T59" s="2" t="s">
        <v>350</v>
      </c>
      <c r="U59" s="2" t="s">
        <v>55</v>
      </c>
      <c r="V59" s="2" t="s">
        <v>56</v>
      </c>
      <c r="W59" s="2" t="s">
        <v>71</v>
      </c>
      <c r="X59" s="2">
        <v>480348000</v>
      </c>
      <c r="Y59" s="2" t="s">
        <v>85</v>
      </c>
      <c r="Z59" s="2" t="s">
        <v>175</v>
      </c>
      <c r="AA59" s="2" t="s">
        <v>60</v>
      </c>
      <c r="AB59" s="2" t="s">
        <v>61</v>
      </c>
      <c r="AC59" s="2" t="s">
        <v>176</v>
      </c>
      <c r="AD59" s="2" t="s">
        <v>177</v>
      </c>
      <c r="AE59" s="2" t="s">
        <v>459</v>
      </c>
      <c r="AF59" s="5">
        <v>25</v>
      </c>
      <c r="AG59" s="6"/>
      <c r="AH59" s="2" t="str">
        <f t="shared" si="0"/>
        <v/>
      </c>
      <c r="AI59" s="2" t="str" cm="1">
        <f t="array" ref="AI59">_xlfn.IFS(AF59&lt;25,"Less",AF59=25,"Equal",AF59&gt;25,"More")</f>
        <v>Equal</v>
      </c>
      <c r="AJ59" s="6" t="s">
        <v>5517</v>
      </c>
      <c r="AK59" s="6" t="s">
        <v>125</v>
      </c>
      <c r="AL59" s="2" t="s">
        <v>460</v>
      </c>
      <c r="AM59" s="5" t="str">
        <f>VLOOKUP(D59,'slb RAW'!$E$2:$AF$293,9)</f>
        <v>#N/A N/A</v>
      </c>
      <c r="AN59" s="2">
        <f>VLOOKUP(D59,'slb RAW'!$E$2:$AE$293,27)</f>
        <v>4.5949999999999998</v>
      </c>
      <c r="AO59" s="2">
        <f>VLOOKUP(C59,'Refinitiv SLB'!F59:S236,14)</f>
        <v>5.0011000000000001</v>
      </c>
      <c r="AP59" s="2">
        <f t="shared" si="1"/>
        <v>4.5949999999999998</v>
      </c>
      <c r="AQ59" s="7" t="str">
        <f t="shared" si="2"/>
        <v>PCF GmbHCALLABLEFIXEDEURSecured</v>
      </c>
      <c r="AR59" s="5" t="b">
        <f ca="1">ISNUMBER( IFERROR(VLOOKUP(A59,Pairs!$E$2:$E$57,1,FALSE),FALSE))</f>
        <v>0</v>
      </c>
      <c r="AS59" s="5"/>
      <c r="AT59" s="5"/>
    </row>
    <row r="60" spans="1:46" ht="15.75" customHeight="1" x14ac:dyDescent="0.2">
      <c r="A60" s="2">
        <v>191</v>
      </c>
      <c r="B60" s="2" t="s">
        <v>452</v>
      </c>
      <c r="C60" s="2" t="str">
        <f>VLOOKUP(D60,'slb RAW'!$E:$F,2)</f>
        <v>XS2333302722</v>
      </c>
      <c r="D60" s="2" t="s">
        <v>461</v>
      </c>
      <c r="E60" s="2" t="s">
        <v>462</v>
      </c>
      <c r="F60" s="2" t="s">
        <v>455</v>
      </c>
      <c r="G60" s="2" t="s">
        <v>45</v>
      </c>
      <c r="H60" s="2" t="s">
        <v>45</v>
      </c>
      <c r="I60" s="2" t="s">
        <v>45</v>
      </c>
      <c r="J60" s="2" t="b">
        <f t="shared" si="3"/>
        <v>1</v>
      </c>
      <c r="K60" s="2">
        <v>4.75</v>
      </c>
      <c r="L60" s="2" t="s">
        <v>456</v>
      </c>
      <c r="M60" s="2" t="s">
        <v>457</v>
      </c>
      <c r="N60" s="8">
        <v>4.6886000000000001</v>
      </c>
      <c r="O60" s="2" t="s">
        <v>115</v>
      </c>
      <c r="P60" s="2" t="s">
        <v>116</v>
      </c>
      <c r="Q60" s="2" t="s">
        <v>261</v>
      </c>
      <c r="R60" s="2" t="s">
        <v>458</v>
      </c>
      <c r="S60" s="2" t="s">
        <v>53</v>
      </c>
      <c r="T60" s="2" t="s">
        <v>350</v>
      </c>
      <c r="U60" s="2" t="s">
        <v>55</v>
      </c>
      <c r="V60" s="2" t="s">
        <v>70</v>
      </c>
      <c r="W60" s="2" t="s">
        <v>391</v>
      </c>
      <c r="X60" s="2">
        <v>420304500</v>
      </c>
      <c r="Y60" s="2" t="s">
        <v>85</v>
      </c>
      <c r="Z60" s="2" t="s">
        <v>175</v>
      </c>
      <c r="AA60" s="2" t="s">
        <v>60</v>
      </c>
      <c r="AB60" s="2" t="s">
        <v>61</v>
      </c>
      <c r="AC60" s="2" t="s">
        <v>176</v>
      </c>
      <c r="AD60" s="2" t="s">
        <v>177</v>
      </c>
      <c r="AE60" s="2" t="s">
        <v>459</v>
      </c>
      <c r="AF60" s="5">
        <v>25</v>
      </c>
      <c r="AG60" s="6"/>
      <c r="AH60" s="2" t="str">
        <f t="shared" si="0"/>
        <v/>
      </c>
      <c r="AI60" s="2" t="str" cm="1">
        <f t="array" ref="AI60">_xlfn.IFS(AF60&lt;25,"Less",AF60=25,"Equal",AF60&gt;25,"More")</f>
        <v>Equal</v>
      </c>
      <c r="AJ60" s="6" t="s">
        <v>5517</v>
      </c>
      <c r="AK60" s="6" t="s">
        <v>125</v>
      </c>
      <c r="AL60" s="2" t="s">
        <v>460</v>
      </c>
      <c r="AM60" s="5" t="str">
        <f>VLOOKUP(D60,'slb RAW'!$E$2:$AF$293,9)</f>
        <v>#N/A N/A</v>
      </c>
      <c r="AN60" s="2">
        <f>VLOOKUP(D60,'slb RAW'!$E$2:$AE$293,27)</f>
        <v>4.57</v>
      </c>
      <c r="AO60" s="2">
        <f>VLOOKUP(C60,'Refinitiv SLB'!F60:S237,14)</f>
        <v>4.8710000000000004</v>
      </c>
      <c r="AP60" s="2">
        <f t="shared" si="1"/>
        <v>4.57</v>
      </c>
      <c r="AQ60" s="7" t="str">
        <f t="shared" si="2"/>
        <v>PCF GmbHCALLABLEFLOATINGEURSecured</v>
      </c>
      <c r="AR60" s="5" t="b">
        <f ca="1">ISNUMBER( IFERROR(VLOOKUP(A60,Pairs!$E$2:$E$57,1,FALSE),FALSE))</f>
        <v>0</v>
      </c>
      <c r="AS60" s="5"/>
      <c r="AT60" s="5"/>
    </row>
    <row r="61" spans="1:46" ht="15.75" customHeight="1" x14ac:dyDescent="0.2">
      <c r="A61" s="2">
        <v>192</v>
      </c>
      <c r="B61" s="2" t="s">
        <v>452</v>
      </c>
      <c r="C61" s="2" t="str">
        <f>VLOOKUP(D61,'slb RAW'!$E:$F,2)</f>
        <v>XS2333301674</v>
      </c>
      <c r="D61" s="2" t="s">
        <v>463</v>
      </c>
      <c r="E61" s="2" t="s">
        <v>464</v>
      </c>
      <c r="F61" s="2" t="s">
        <v>455</v>
      </c>
      <c r="G61" s="2" t="s">
        <v>45</v>
      </c>
      <c r="H61" s="2" t="s">
        <v>45</v>
      </c>
      <c r="I61" s="2" t="s">
        <v>45</v>
      </c>
      <c r="J61" s="2" t="b">
        <f t="shared" si="3"/>
        <v>1</v>
      </c>
      <c r="K61" s="2">
        <v>4.75</v>
      </c>
      <c r="L61" s="2" t="s">
        <v>456</v>
      </c>
      <c r="M61" s="2" t="s">
        <v>457</v>
      </c>
      <c r="N61" s="8">
        <v>4.6368999999999998</v>
      </c>
      <c r="O61" s="2" t="s">
        <v>115</v>
      </c>
      <c r="P61" s="2" t="s">
        <v>116</v>
      </c>
      <c r="Q61" s="2" t="s">
        <v>270</v>
      </c>
      <c r="R61" s="2" t="s">
        <v>458</v>
      </c>
      <c r="S61" s="2" t="s">
        <v>53</v>
      </c>
      <c r="T61" s="2" t="s">
        <v>350</v>
      </c>
      <c r="U61" s="2" t="s">
        <v>55</v>
      </c>
      <c r="V61" s="2" t="s">
        <v>56</v>
      </c>
      <c r="W61" s="2" t="s">
        <v>71</v>
      </c>
      <c r="X61" s="2">
        <v>480348000</v>
      </c>
      <c r="Y61" s="2" t="s">
        <v>85</v>
      </c>
      <c r="Z61" s="2" t="s">
        <v>175</v>
      </c>
      <c r="AA61" s="2" t="s">
        <v>60</v>
      </c>
      <c r="AB61" s="2" t="s">
        <v>61</v>
      </c>
      <c r="AC61" s="2" t="s">
        <v>176</v>
      </c>
      <c r="AD61" s="2" t="s">
        <v>177</v>
      </c>
      <c r="AE61" s="2" t="s">
        <v>459</v>
      </c>
      <c r="AF61" s="5">
        <v>25</v>
      </c>
      <c r="AG61" s="6"/>
      <c r="AH61" s="2" t="str">
        <f t="shared" si="0"/>
        <v/>
      </c>
      <c r="AI61" s="2" t="str" cm="1">
        <f t="array" ref="AI61">_xlfn.IFS(AF61&lt;25,"Less",AF61=25,"Equal",AF61&gt;25,"More")</f>
        <v>Equal</v>
      </c>
      <c r="AJ61" s="6" t="s">
        <v>5517</v>
      </c>
      <c r="AK61" s="6" t="s">
        <v>125</v>
      </c>
      <c r="AL61" s="2" t="s">
        <v>465</v>
      </c>
      <c r="AM61" s="5" t="str">
        <f>VLOOKUP(D61,'slb RAW'!$E$2:$AF$293,9)</f>
        <v>#N/A N/A</v>
      </c>
      <c r="AN61" s="2">
        <f>VLOOKUP(D61,'slb RAW'!$E$2:$AE$293,27)</f>
        <v>4.6289999999999996</v>
      </c>
      <c r="AO61" s="2">
        <f>VLOOKUP(C61,'Refinitiv SLB'!F61:S238,14)</f>
        <v>6.3234000000000004</v>
      </c>
      <c r="AP61" s="2">
        <f t="shared" si="1"/>
        <v>4.6289999999999996</v>
      </c>
      <c r="AQ61" s="7" t="str">
        <f t="shared" si="2"/>
        <v>PCF GmbHCALLABLEFIXEDEURSecured</v>
      </c>
      <c r="AR61" s="5" t="b">
        <f ca="1">ISNUMBER( IFERROR(VLOOKUP(A61,Pairs!$E$2:$E$57,1,FALSE),FALSE))</f>
        <v>0</v>
      </c>
      <c r="AS61" s="5"/>
      <c r="AT61" s="5"/>
    </row>
    <row r="62" spans="1:46" ht="15.75" customHeight="1" x14ac:dyDescent="0.2">
      <c r="A62" s="2">
        <v>193</v>
      </c>
      <c r="B62" s="2" t="s">
        <v>452</v>
      </c>
      <c r="C62" s="2" t="str">
        <f>VLOOKUP(D62,'slb RAW'!$E:$F,2)</f>
        <v>XS2333302052</v>
      </c>
      <c r="D62" s="2" t="s">
        <v>466</v>
      </c>
      <c r="E62" s="2" t="s">
        <v>467</v>
      </c>
      <c r="F62" s="2" t="s">
        <v>455</v>
      </c>
      <c r="G62" s="2" t="s">
        <v>45</v>
      </c>
      <c r="H62" s="2" t="s">
        <v>45</v>
      </c>
      <c r="I62" s="2" t="s">
        <v>45</v>
      </c>
      <c r="J62" s="2" t="b">
        <f t="shared" si="3"/>
        <v>1</v>
      </c>
      <c r="K62" s="2">
        <v>4.75</v>
      </c>
      <c r="L62" s="2" t="s">
        <v>456</v>
      </c>
      <c r="M62" s="2" t="s">
        <v>457</v>
      </c>
      <c r="N62" s="8">
        <v>4.6186999999999996</v>
      </c>
      <c r="O62" s="2" t="s">
        <v>115</v>
      </c>
      <c r="P62" s="2" t="s">
        <v>116</v>
      </c>
      <c r="Q62" s="2" t="s">
        <v>270</v>
      </c>
      <c r="R62" s="2" t="s">
        <v>458</v>
      </c>
      <c r="S62" s="2" t="s">
        <v>53</v>
      </c>
      <c r="T62" s="2" t="s">
        <v>350</v>
      </c>
      <c r="U62" s="2" t="s">
        <v>55</v>
      </c>
      <c r="V62" s="2" t="s">
        <v>70</v>
      </c>
      <c r="W62" s="2" t="s">
        <v>391</v>
      </c>
      <c r="X62" s="2">
        <v>420304500</v>
      </c>
      <c r="Y62" s="2" t="s">
        <v>85</v>
      </c>
      <c r="Z62" s="2" t="s">
        <v>175</v>
      </c>
      <c r="AA62" s="2" t="s">
        <v>60</v>
      </c>
      <c r="AB62" s="2" t="s">
        <v>61</v>
      </c>
      <c r="AC62" s="2" t="s">
        <v>176</v>
      </c>
      <c r="AD62" s="2" t="s">
        <v>177</v>
      </c>
      <c r="AE62" s="2" t="s">
        <v>459</v>
      </c>
      <c r="AF62" s="5">
        <v>25</v>
      </c>
      <c r="AG62" s="6"/>
      <c r="AH62" s="2" t="str">
        <f t="shared" si="0"/>
        <v/>
      </c>
      <c r="AI62" s="2" t="str" cm="1">
        <f t="array" ref="AI62">_xlfn.IFS(AF62&lt;25,"Less",AF62=25,"Equal",AF62&gt;25,"More")</f>
        <v>Equal</v>
      </c>
      <c r="AJ62" s="6" t="s">
        <v>5517</v>
      </c>
      <c r="AK62" s="6" t="s">
        <v>125</v>
      </c>
      <c r="AL62" s="2" t="s">
        <v>465</v>
      </c>
      <c r="AM62" s="5" t="str">
        <f>VLOOKUP(D62,'slb RAW'!$E$2:$AF$293,9)</f>
        <v>#N/A N/A</v>
      </c>
      <c r="AN62" s="2">
        <f>VLOOKUP(D62,'slb RAW'!$E$2:$AE$293,27)</f>
        <v>4.6139999999999999</v>
      </c>
      <c r="AO62" s="2">
        <f>VLOOKUP(C62,'Refinitiv SLB'!F62:S239,14)</f>
        <v>5.1289999999999996</v>
      </c>
      <c r="AP62" s="2">
        <f t="shared" si="1"/>
        <v>4.6139999999999999</v>
      </c>
      <c r="AQ62" s="7" t="str">
        <f t="shared" si="2"/>
        <v>PCF GmbHCALLABLEFLOATINGEURSecured</v>
      </c>
      <c r="AR62" s="5" t="b">
        <f ca="1">ISNUMBER( IFERROR(VLOOKUP(A62,Pairs!$E$2:$E$57,1,FALSE),FALSE))</f>
        <v>0</v>
      </c>
      <c r="AS62" s="5"/>
      <c r="AT62" s="5"/>
    </row>
    <row r="63" spans="1:46" s="80" customFormat="1" ht="15.75" customHeight="1" x14ac:dyDescent="0.2">
      <c r="A63" s="79">
        <v>153</v>
      </c>
      <c r="B63" s="79" t="s">
        <v>468</v>
      </c>
      <c r="C63" s="79" t="str">
        <f>VLOOKUP(D63,'slb RAW'!$E:$F,2)</f>
        <v>XS2328873463</v>
      </c>
      <c r="D63" s="79" t="s">
        <v>469</v>
      </c>
      <c r="E63" s="79" t="s">
        <v>470</v>
      </c>
      <c r="F63" s="79" t="s">
        <v>471</v>
      </c>
      <c r="G63" s="79" t="s">
        <v>257</v>
      </c>
      <c r="H63" s="79" t="s">
        <v>257</v>
      </c>
      <c r="I63" s="79" t="s">
        <v>257</v>
      </c>
      <c r="J63" s="2" t="b">
        <f t="shared" si="3"/>
        <v>1</v>
      </c>
      <c r="K63" s="79">
        <v>1.1499999999999999</v>
      </c>
      <c r="L63" s="79" t="s">
        <v>472</v>
      </c>
      <c r="M63" s="79" t="s">
        <v>473</v>
      </c>
      <c r="N63" s="79">
        <v>1.224</v>
      </c>
      <c r="O63" s="79" t="s">
        <v>49</v>
      </c>
      <c r="P63" s="79" t="s">
        <v>50</v>
      </c>
      <c r="Q63" s="79" t="s">
        <v>173</v>
      </c>
      <c r="R63" s="79" t="s">
        <v>52</v>
      </c>
      <c r="S63" s="79" t="s">
        <v>53</v>
      </c>
      <c r="T63" s="79" t="s">
        <v>54</v>
      </c>
      <c r="U63" s="79" t="s">
        <v>55</v>
      </c>
      <c r="V63" s="79" t="s">
        <v>56</v>
      </c>
      <c r="W63" s="79" t="s">
        <v>57</v>
      </c>
      <c r="X63" s="79">
        <v>143767200</v>
      </c>
      <c r="Y63" s="79" t="s">
        <v>120</v>
      </c>
      <c r="Z63" s="79" t="s">
        <v>120</v>
      </c>
      <c r="AA63" s="79" t="s">
        <v>202</v>
      </c>
      <c r="AB63" s="79" t="s">
        <v>203</v>
      </c>
      <c r="AC63" s="79" t="s">
        <v>203</v>
      </c>
      <c r="AD63" s="79" t="s">
        <v>203</v>
      </c>
      <c r="AE63" s="79" t="s">
        <v>474</v>
      </c>
      <c r="AF63" s="83">
        <v>50</v>
      </c>
      <c r="AG63" s="82"/>
      <c r="AH63" s="79" t="str">
        <f t="shared" si="0"/>
        <v/>
      </c>
      <c r="AI63" s="2" t="str" cm="1">
        <f t="array" ref="AI63">_xlfn.IFS(AF63&lt;25,"Less",AF63=25,"Equal",AF63&gt;25,"More")</f>
        <v>More</v>
      </c>
      <c r="AJ63" s="82"/>
      <c r="AK63" s="82" t="s">
        <v>64</v>
      </c>
      <c r="AL63" s="79" t="s">
        <v>475</v>
      </c>
      <c r="AM63" s="83">
        <f>VLOOKUP(D63,'slb RAW'!$E$2:$AF$293,9)</f>
        <v>1.224</v>
      </c>
      <c r="AN63" s="79">
        <f>VLOOKUP(D63,'slb RAW'!$E$2:$AE$293,27)</f>
        <v>1.296</v>
      </c>
      <c r="AO63" s="79">
        <f>VLOOKUP(C63,'Refinitiv SLB'!F63:S240,14)</f>
        <v>4.8710000000000004</v>
      </c>
      <c r="AP63" s="79">
        <f t="shared" si="1"/>
        <v>1.296</v>
      </c>
      <c r="AQ63" s="84" t="str">
        <f t="shared" si="2"/>
        <v>Kelag-Kaerntner Elektrizitaets AGAT MATURITYFIXEDEURSr Unsecured</v>
      </c>
      <c r="AR63" s="83" t="b">
        <f ca="1">ISNUMBER( IFERROR(VLOOKUP(A63,Pairs!$E$2:$E$57,1,FALSE),FALSE))</f>
        <v>0</v>
      </c>
      <c r="AS63" s="83"/>
      <c r="AT63" s="83"/>
    </row>
    <row r="64" spans="1:46" ht="15.75" customHeight="1" x14ac:dyDescent="0.2">
      <c r="A64" s="2">
        <v>30</v>
      </c>
      <c r="B64" s="2" t="s">
        <v>476</v>
      </c>
      <c r="C64" s="2" t="str">
        <f>VLOOKUP(D64,'slb RAW'!$E:$F,2)</f>
        <v>DE000BHY0SL9</v>
      </c>
      <c r="D64" s="2" t="s">
        <v>477</v>
      </c>
      <c r="E64" s="2" t="s">
        <v>478</v>
      </c>
      <c r="F64" s="2" t="s">
        <v>479</v>
      </c>
      <c r="G64" s="2" t="s">
        <v>45</v>
      </c>
      <c r="H64" s="2" t="s">
        <v>45</v>
      </c>
      <c r="I64" s="2" t="s">
        <v>45</v>
      </c>
      <c r="J64" s="2" t="b">
        <f t="shared" si="3"/>
        <v>1</v>
      </c>
      <c r="K64" s="2">
        <v>0.375</v>
      </c>
      <c r="L64" s="2" t="s">
        <v>480</v>
      </c>
      <c r="M64" s="2" t="s">
        <v>481</v>
      </c>
      <c r="N64" s="9">
        <v>0.41539999999999999</v>
      </c>
      <c r="O64" s="2" t="s">
        <v>49</v>
      </c>
      <c r="P64" s="2" t="s">
        <v>50</v>
      </c>
      <c r="Q64" s="2" t="s">
        <v>225</v>
      </c>
      <c r="R64" s="2" t="s">
        <v>482</v>
      </c>
      <c r="S64" s="2" t="s">
        <v>53</v>
      </c>
      <c r="T64" s="2" t="s">
        <v>483</v>
      </c>
      <c r="U64" s="2" t="s">
        <v>55</v>
      </c>
      <c r="V64" s="2" t="s">
        <v>56</v>
      </c>
      <c r="W64" s="2" t="s">
        <v>57</v>
      </c>
      <c r="X64" s="2">
        <v>601385000</v>
      </c>
      <c r="Y64" s="2" t="s">
        <v>484</v>
      </c>
      <c r="Z64" s="2" t="s">
        <v>485</v>
      </c>
      <c r="AA64" s="2" t="s">
        <v>60</v>
      </c>
      <c r="AB64" s="2" t="s">
        <v>486</v>
      </c>
      <c r="AC64" s="2" t="s">
        <v>487</v>
      </c>
      <c r="AD64" s="2" t="s">
        <v>487</v>
      </c>
      <c r="AE64" s="2" t="s">
        <v>488</v>
      </c>
      <c r="AF64" s="5">
        <v>25</v>
      </c>
      <c r="AG64" s="6"/>
      <c r="AH64" s="2" t="str">
        <f t="shared" si="0"/>
        <v/>
      </c>
      <c r="AI64" s="2" t="str" cm="1">
        <f t="array" ref="AI64">_xlfn.IFS(AF64&lt;25,"Less",AF64=25,"Equal",AF64&gt;25,"More")</f>
        <v>Equal</v>
      </c>
      <c r="AJ64" s="6"/>
      <c r="AK64" s="6" t="s">
        <v>125</v>
      </c>
      <c r="AL64" s="2" t="s">
        <v>489</v>
      </c>
      <c r="AM64" s="5" t="str">
        <f>VLOOKUP(D64,'slb RAW'!$E$2:$AF$293,9)</f>
        <v>#N/A N/A</v>
      </c>
      <c r="AN64" s="2">
        <f>VLOOKUP(D64,'slb RAW'!$E$2:$AE$293,27)</f>
        <v>0.39200000000000002</v>
      </c>
      <c r="AO64" s="2" t="e">
        <f>VLOOKUP(C64,'Refinitiv SLB'!F64:S241,14)</f>
        <v>#N/A</v>
      </c>
      <c r="AP64" s="2">
        <f t="shared" si="1"/>
        <v>0.39200000000000002</v>
      </c>
      <c r="AQ64" s="7" t="str">
        <f t="shared" si="2"/>
        <v>Berlin Hyp AGAT MATURITYFIXEDEURSr Preferred</v>
      </c>
      <c r="AR64" s="5" t="b">
        <f ca="1">ISNUMBER( IFERROR(VLOOKUP(A64,Pairs!$E$2:$E$57,1,FALSE),FALSE))</f>
        <v>0</v>
      </c>
      <c r="AS64" s="5"/>
      <c r="AT64" s="5"/>
    </row>
    <row r="65" spans="1:46" ht="15.75" customHeight="1" x14ac:dyDescent="0.2">
      <c r="A65" s="2">
        <v>9</v>
      </c>
      <c r="B65" s="2" t="s">
        <v>490</v>
      </c>
      <c r="C65" s="2" t="str">
        <f>VLOOKUP(D65,'slb RAW'!$E:$F,2)</f>
        <v>XS2337326727</v>
      </c>
      <c r="D65" s="2" t="s">
        <v>491</v>
      </c>
      <c r="E65" s="2" t="s">
        <v>492</v>
      </c>
      <c r="F65" s="2" t="s">
        <v>493</v>
      </c>
      <c r="G65" s="2" t="s">
        <v>199</v>
      </c>
      <c r="H65" s="2" t="s">
        <v>199</v>
      </c>
      <c r="I65" s="2" t="s">
        <v>199</v>
      </c>
      <c r="J65" s="2" t="b">
        <f t="shared" si="3"/>
        <v>1</v>
      </c>
      <c r="K65" s="2">
        <v>1.75</v>
      </c>
      <c r="L65" s="2" t="s">
        <v>494</v>
      </c>
      <c r="M65" s="2" t="s">
        <v>495</v>
      </c>
      <c r="N65" s="9">
        <v>1.8186</v>
      </c>
      <c r="O65" s="2" t="s">
        <v>115</v>
      </c>
      <c r="P65" s="2" t="s">
        <v>116</v>
      </c>
      <c r="Q65" s="2" t="s">
        <v>225</v>
      </c>
      <c r="R65" s="2" t="s">
        <v>52</v>
      </c>
      <c r="S65" s="2" t="s">
        <v>53</v>
      </c>
      <c r="T65" s="2" t="s">
        <v>496</v>
      </c>
      <c r="U65" s="2" t="s">
        <v>55</v>
      </c>
      <c r="V65" s="2" t="s">
        <v>56</v>
      </c>
      <c r="W65" s="2" t="s">
        <v>57</v>
      </c>
      <c r="X65" s="2">
        <v>601335000</v>
      </c>
      <c r="Y65" s="2" t="s">
        <v>58</v>
      </c>
      <c r="Z65" s="2" t="s">
        <v>278</v>
      </c>
      <c r="AA65" s="2" t="s">
        <v>60</v>
      </c>
      <c r="AB65" s="2" t="s">
        <v>61</v>
      </c>
      <c r="AC65" s="2" t="s">
        <v>279</v>
      </c>
      <c r="AD65" s="2" t="s">
        <v>280</v>
      </c>
      <c r="AE65" s="2" t="s">
        <v>497</v>
      </c>
      <c r="AF65" s="6">
        <v>25</v>
      </c>
      <c r="AG65" s="6"/>
      <c r="AH65" s="2" t="str">
        <f t="shared" si="0"/>
        <v/>
      </c>
      <c r="AI65" s="2" t="str" cm="1">
        <f t="array" ref="AI65">_xlfn.IFS(AF65&lt;25,"Less",AF65=25,"Equal",AF65&gt;25,"More")</f>
        <v>Equal</v>
      </c>
      <c r="AJ65" s="6" t="s">
        <v>5517</v>
      </c>
      <c r="AK65" s="6" t="s">
        <v>125</v>
      </c>
      <c r="AL65" s="2" t="s">
        <v>498</v>
      </c>
      <c r="AM65" s="5" t="str">
        <f>VLOOKUP(D65,'slb RAW'!$E$2:$AF$293,9)</f>
        <v>#N/A N/A</v>
      </c>
      <c r="AN65" s="2">
        <f>VLOOKUP(D65,'slb RAW'!$E$2:$AE$293,27)</f>
        <v>1.7629999999999999</v>
      </c>
      <c r="AO65" s="2">
        <f>VLOOKUP(C65,'Refinitiv SLB'!F65:S242,14)</f>
        <v>4.8710000000000004</v>
      </c>
      <c r="AP65" s="2">
        <f t="shared" si="1"/>
        <v>1.7629999999999999</v>
      </c>
      <c r="AQ65" s="7" t="str">
        <f t="shared" si="2"/>
        <v>Aeroporti di Roma SpACALLABLEFIXEDEURSr Unsecured</v>
      </c>
      <c r="AR65" s="5" t="b">
        <f ca="1">ISNUMBER( IFERROR(VLOOKUP(A65,Pairs!$E$2:$E$57,1,FALSE),FALSE))</f>
        <v>0</v>
      </c>
      <c r="AS65" s="5"/>
      <c r="AT65" s="5"/>
    </row>
    <row r="66" spans="1:46" ht="15.75" customHeight="1" x14ac:dyDescent="0.2">
      <c r="A66" s="2">
        <v>224</v>
      </c>
      <c r="B66" s="2" t="s">
        <v>499</v>
      </c>
      <c r="C66" s="2" t="str">
        <f>VLOOKUP(D66,'slb RAW'!$E:$F,2)</f>
        <v>XS2332306344</v>
      </c>
      <c r="D66" s="2" t="s">
        <v>500</v>
      </c>
      <c r="E66" s="2" t="s">
        <v>501</v>
      </c>
      <c r="F66" s="2" t="s">
        <v>502</v>
      </c>
      <c r="G66" s="2" t="s">
        <v>184</v>
      </c>
      <c r="H66" s="2" t="s">
        <v>184</v>
      </c>
      <c r="I66" s="2" t="s">
        <v>184</v>
      </c>
      <c r="J66" s="2" t="b">
        <f t="shared" si="3"/>
        <v>1</v>
      </c>
      <c r="K66" s="2">
        <v>2.125</v>
      </c>
      <c r="L66" s="2" t="s">
        <v>503</v>
      </c>
      <c r="M66" s="2" t="s">
        <v>504</v>
      </c>
      <c r="N66" s="8">
        <v>2.1088</v>
      </c>
      <c r="O66" s="2" t="s">
        <v>115</v>
      </c>
      <c r="P66" s="2" t="s">
        <v>116</v>
      </c>
      <c r="Q66" s="2" t="s">
        <v>173</v>
      </c>
      <c r="R66" s="2" t="s">
        <v>52</v>
      </c>
      <c r="S66" s="2" t="s">
        <v>53</v>
      </c>
      <c r="T66" s="2" t="s">
        <v>296</v>
      </c>
      <c r="U66" s="2" t="s">
        <v>55</v>
      </c>
      <c r="V66" s="2" t="s">
        <v>56</v>
      </c>
      <c r="W66" s="2" t="s">
        <v>71</v>
      </c>
      <c r="X66" s="2">
        <v>479752000</v>
      </c>
      <c r="Y66" s="2" t="s">
        <v>58</v>
      </c>
      <c r="Z66" s="2" t="s">
        <v>505</v>
      </c>
      <c r="AA66" s="2" t="s">
        <v>60</v>
      </c>
      <c r="AB66" s="2" t="s">
        <v>61</v>
      </c>
      <c r="AC66" s="2" t="s">
        <v>176</v>
      </c>
      <c r="AD66" s="2" t="s">
        <v>191</v>
      </c>
      <c r="AE66" s="2" t="s">
        <v>506</v>
      </c>
      <c r="AF66" s="5">
        <v>25</v>
      </c>
      <c r="AG66" s="6"/>
      <c r="AH66" s="2" t="str">
        <f t="shared" si="0"/>
        <v/>
      </c>
      <c r="AI66" s="2" t="str" cm="1">
        <f t="array" ref="AI66">_xlfn.IFS(AF66&lt;25,"Less",AF66=25,"Equal",AF66&gt;25,"More")</f>
        <v>Equal</v>
      </c>
      <c r="AJ66" s="6"/>
      <c r="AK66" s="6" t="s">
        <v>125</v>
      </c>
      <c r="AL66" s="2" t="s">
        <v>507</v>
      </c>
      <c r="AM66" s="5" t="str">
        <f>VLOOKUP(D66,'slb RAW'!$E$2:$AF$293,9)</f>
        <v>#N/A N/A</v>
      </c>
      <c r="AN66" s="2">
        <f>VLOOKUP(D66,'slb RAW'!$E$2:$AE$293,27)</f>
        <v>1.859</v>
      </c>
      <c r="AO66" s="2">
        <f>VLOOKUP(C66,'Refinitiv SLB'!F66:S243,14)</f>
        <v>4.8710000000000004</v>
      </c>
      <c r="AP66" s="2">
        <f t="shared" si="1"/>
        <v>1.859</v>
      </c>
      <c r="AQ66" s="7" t="str">
        <f t="shared" si="2"/>
        <v>Rexel SACALLABLEFIXEDEURSr Unsecured</v>
      </c>
      <c r="AR66" s="5" t="b">
        <f ca="1">ISNUMBER( IFERROR(VLOOKUP(A66,Pairs!$E$2:$E$57,1,FALSE),FALSE))</f>
        <v>0</v>
      </c>
      <c r="AS66" s="5"/>
      <c r="AT66" s="5"/>
    </row>
    <row r="67" spans="1:46" ht="15.75" customHeight="1" x14ac:dyDescent="0.2">
      <c r="A67" s="2">
        <v>127</v>
      </c>
      <c r="B67" s="2" t="s">
        <v>508</v>
      </c>
      <c r="C67" s="2" t="str">
        <f>VLOOKUP(D67,'slb RAW'!$E:$F,2)</f>
        <v>US427169AA59</v>
      </c>
      <c r="D67" s="2" t="s">
        <v>509</v>
      </c>
      <c r="E67" s="2" t="s">
        <v>510</v>
      </c>
      <c r="F67" s="2" t="s">
        <v>511</v>
      </c>
      <c r="G67" s="2" t="s">
        <v>169</v>
      </c>
      <c r="H67" s="2" t="s">
        <v>169</v>
      </c>
      <c r="I67" s="2" t="s">
        <v>169</v>
      </c>
      <c r="J67" s="2" t="b">
        <f t="shared" ref="J67:J130" si="5">H67=I67</f>
        <v>1</v>
      </c>
      <c r="K67" s="2">
        <v>4.75</v>
      </c>
      <c r="L67" s="2" t="s">
        <v>512</v>
      </c>
      <c r="M67" s="2" t="s">
        <v>513</v>
      </c>
      <c r="N67" s="2">
        <v>4.75</v>
      </c>
      <c r="O67" s="2" t="s">
        <v>115</v>
      </c>
      <c r="P67" s="2" t="s">
        <v>116</v>
      </c>
      <c r="Q67" s="2" t="s">
        <v>261</v>
      </c>
      <c r="R67" s="2" t="s">
        <v>458</v>
      </c>
      <c r="S67" s="2" t="s">
        <v>262</v>
      </c>
      <c r="T67" s="2" t="s">
        <v>350</v>
      </c>
      <c r="U67" s="2" t="s">
        <v>55</v>
      </c>
      <c r="V67" s="2" t="s">
        <v>56</v>
      </c>
      <c r="W67" s="2" t="s">
        <v>71</v>
      </c>
      <c r="X67" s="2">
        <v>350000000</v>
      </c>
      <c r="Y67" s="2" t="s">
        <v>85</v>
      </c>
      <c r="Z67" s="2" t="s">
        <v>514</v>
      </c>
      <c r="AA67" s="2" t="s">
        <v>60</v>
      </c>
      <c r="AB67" s="2" t="s">
        <v>61</v>
      </c>
      <c r="AC67" s="2" t="s">
        <v>87</v>
      </c>
      <c r="AD67" s="2" t="s">
        <v>514</v>
      </c>
      <c r="AE67" s="2" t="s">
        <v>515</v>
      </c>
      <c r="AF67" s="5">
        <v>25</v>
      </c>
      <c r="AG67" s="6"/>
      <c r="AH67" s="2" t="str">
        <f t="shared" si="0"/>
        <v/>
      </c>
      <c r="AI67" s="2" t="str" cm="1">
        <f t="array" ref="AI67">_xlfn.IFS(AF67&lt;25,"Less",AF67=25,"Equal",AF67&gt;25,"More")</f>
        <v>Equal</v>
      </c>
      <c r="AJ67" s="6"/>
      <c r="AK67" s="6" t="s">
        <v>125</v>
      </c>
      <c r="AL67" s="2" t="s">
        <v>516</v>
      </c>
      <c r="AM67" s="5">
        <f>VLOOKUP(D67,'slb RAW'!$E$2:$AF$293,9)</f>
        <v>4.75</v>
      </c>
      <c r="AN67" s="2">
        <f>VLOOKUP(D67,'slb RAW'!$E$2:$AE$293,27)</f>
        <v>4.6239999999999997</v>
      </c>
      <c r="AO67" s="2" t="e">
        <f>VLOOKUP(C67,'Refinitiv SLB'!F67:S244,14)</f>
        <v>#N/A</v>
      </c>
      <c r="AP67" s="2">
        <f t="shared" si="1"/>
        <v>4.6239999999999997</v>
      </c>
      <c r="AQ67" s="7" t="str">
        <f t="shared" si="2"/>
        <v>Herens Holdco SarlCALLABLEFIXEDUSDSecured</v>
      </c>
      <c r="AR67" s="5" t="b">
        <f ca="1">ISNUMBER( IFERROR(VLOOKUP(A67,Pairs!$E$2:$E$57,1,FALSE),FALSE))</f>
        <v>0</v>
      </c>
      <c r="AS67" s="5"/>
      <c r="AT67" s="5"/>
    </row>
    <row r="68" spans="1:46" ht="15.75" customHeight="1" x14ac:dyDescent="0.2">
      <c r="A68" s="2">
        <v>130</v>
      </c>
      <c r="B68" s="2" t="s">
        <v>517</v>
      </c>
      <c r="C68" s="2" t="str">
        <f>VLOOKUP(D68,'slb RAW'!$E:$F,2)</f>
        <v>XS2340137426</v>
      </c>
      <c r="D68" s="2" t="s">
        <v>518</v>
      </c>
      <c r="E68" s="2" t="s">
        <v>519</v>
      </c>
      <c r="F68" s="2" t="s">
        <v>511</v>
      </c>
      <c r="G68" s="2" t="s">
        <v>169</v>
      </c>
      <c r="H68" s="2" t="s">
        <v>169</v>
      </c>
      <c r="I68" s="2" t="s">
        <v>169</v>
      </c>
      <c r="J68" s="2" t="b">
        <f t="shared" si="5"/>
        <v>1</v>
      </c>
      <c r="K68" s="2">
        <v>5.25</v>
      </c>
      <c r="L68" s="2" t="s">
        <v>512</v>
      </c>
      <c r="M68" s="2" t="s">
        <v>520</v>
      </c>
      <c r="N68" s="2">
        <v>5.25</v>
      </c>
      <c r="O68" s="2" t="s">
        <v>115</v>
      </c>
      <c r="P68" s="2" t="s">
        <v>116</v>
      </c>
      <c r="Q68" s="2" t="s">
        <v>261</v>
      </c>
      <c r="R68" s="2" t="s">
        <v>52</v>
      </c>
      <c r="S68" s="2" t="s">
        <v>53</v>
      </c>
      <c r="T68" s="2" t="s">
        <v>521</v>
      </c>
      <c r="U68" s="2" t="s">
        <v>55</v>
      </c>
      <c r="V68" s="2" t="s">
        <v>56</v>
      </c>
      <c r="W68" s="2" t="s">
        <v>71</v>
      </c>
      <c r="X68" s="2">
        <v>558297400</v>
      </c>
      <c r="Y68" s="2" t="s">
        <v>85</v>
      </c>
      <c r="Z68" s="2" t="s">
        <v>514</v>
      </c>
      <c r="AA68" s="2" t="s">
        <v>60</v>
      </c>
      <c r="AB68" s="2" t="s">
        <v>61</v>
      </c>
      <c r="AC68" s="2" t="s">
        <v>87</v>
      </c>
      <c r="AD68" s="2" t="s">
        <v>514</v>
      </c>
      <c r="AE68" s="2" t="s">
        <v>515</v>
      </c>
      <c r="AF68" s="5">
        <v>25</v>
      </c>
      <c r="AG68" s="6"/>
      <c r="AH68" s="2" t="str">
        <f t="shared" si="0"/>
        <v/>
      </c>
      <c r="AI68" s="2" t="str" cm="1">
        <f t="array" ref="AI68">_xlfn.IFS(AF68&lt;25,"Less",AF68=25,"Equal",AF68&gt;25,"More")</f>
        <v>Equal</v>
      </c>
      <c r="AJ68" s="6"/>
      <c r="AK68" s="6" t="s">
        <v>125</v>
      </c>
      <c r="AL68" s="2" t="s">
        <v>522</v>
      </c>
      <c r="AM68" s="5">
        <f>VLOOKUP(D68,'slb RAW'!$E$2:$AF$293,9)</f>
        <v>5.25</v>
      </c>
      <c r="AN68" s="2">
        <f>VLOOKUP(D68,'slb RAW'!$E$2:$AE$293,27)</f>
        <v>5.4210000000000003</v>
      </c>
      <c r="AO68" s="2">
        <f>VLOOKUP(C68,'Refinitiv SLB'!F68:S245,14)</f>
        <v>5.1289999999999996</v>
      </c>
      <c r="AP68" s="2">
        <f t="shared" si="1"/>
        <v>5.4210000000000003</v>
      </c>
      <c r="AQ68" s="7" t="str">
        <f t="shared" si="2"/>
        <v>Herens Midco SarlCALLABLEFIXEDEURSr Unsecured</v>
      </c>
      <c r="AR68" s="5" t="b">
        <f ca="1">ISNUMBER( IFERROR(VLOOKUP(A68,Pairs!$E$2:$E$57,1,FALSE),FALSE))</f>
        <v>0</v>
      </c>
      <c r="AS68" s="5"/>
      <c r="AT68" s="5"/>
    </row>
    <row r="69" spans="1:46" ht="15.75" customHeight="1" x14ac:dyDescent="0.2">
      <c r="A69" s="2">
        <v>128</v>
      </c>
      <c r="B69" s="2" t="s">
        <v>508</v>
      </c>
      <c r="C69" s="2" t="str">
        <f>VLOOKUP(D69,'slb RAW'!$E:$F,2)</f>
        <v>USL47909AA11</v>
      </c>
      <c r="D69" s="2" t="s">
        <v>523</v>
      </c>
      <c r="E69" s="2" t="s">
        <v>524</v>
      </c>
      <c r="F69" s="2" t="s">
        <v>511</v>
      </c>
      <c r="G69" s="2" t="s">
        <v>169</v>
      </c>
      <c r="H69" s="2" t="s">
        <v>169</v>
      </c>
      <c r="I69" s="2" t="s">
        <v>169</v>
      </c>
      <c r="J69" s="2" t="b">
        <f t="shared" si="5"/>
        <v>1</v>
      </c>
      <c r="K69" s="2">
        <v>4.75</v>
      </c>
      <c r="L69" s="2" t="s">
        <v>512</v>
      </c>
      <c r="M69" s="2" t="s">
        <v>513</v>
      </c>
      <c r="N69" s="2">
        <v>4.75</v>
      </c>
      <c r="O69" s="2" t="s">
        <v>115</v>
      </c>
      <c r="P69" s="2" t="s">
        <v>116</v>
      </c>
      <c r="Q69" s="2" t="s">
        <v>270</v>
      </c>
      <c r="R69" s="2" t="s">
        <v>458</v>
      </c>
      <c r="S69" s="2" t="s">
        <v>262</v>
      </c>
      <c r="T69" s="2" t="s">
        <v>350</v>
      </c>
      <c r="U69" s="2" t="s">
        <v>55</v>
      </c>
      <c r="V69" s="2" t="s">
        <v>56</v>
      </c>
      <c r="W69" s="2" t="s">
        <v>71</v>
      </c>
      <c r="X69" s="2">
        <v>350000000</v>
      </c>
      <c r="Y69" s="2" t="s">
        <v>85</v>
      </c>
      <c r="Z69" s="2" t="s">
        <v>514</v>
      </c>
      <c r="AA69" s="2" t="s">
        <v>60</v>
      </c>
      <c r="AB69" s="2" t="s">
        <v>61</v>
      </c>
      <c r="AC69" s="2" t="s">
        <v>87</v>
      </c>
      <c r="AD69" s="2" t="s">
        <v>514</v>
      </c>
      <c r="AE69" s="2" t="s">
        <v>515</v>
      </c>
      <c r="AF69" s="5">
        <v>25</v>
      </c>
      <c r="AG69" s="6"/>
      <c r="AH69" s="2" t="str">
        <f t="shared" si="0"/>
        <v/>
      </c>
      <c r="AI69" s="2" t="str" cm="1">
        <f t="array" ref="AI69">_xlfn.IFS(AF69&lt;25,"Less",AF69=25,"Equal",AF69&gt;25,"More")</f>
        <v>Equal</v>
      </c>
      <c r="AJ69" s="6"/>
      <c r="AK69" s="6" t="s">
        <v>125</v>
      </c>
      <c r="AL69" s="2" t="s">
        <v>516</v>
      </c>
      <c r="AM69" s="5">
        <f>VLOOKUP(D69,'slb RAW'!$E$2:$AF$293,9)</f>
        <v>4.75</v>
      </c>
      <c r="AN69" s="2">
        <f>VLOOKUP(D69,'slb RAW'!$E$2:$AE$293,27)</f>
        <v>4.641</v>
      </c>
      <c r="AO69" s="2">
        <f>VLOOKUP(C69,'Refinitiv SLB'!F69:S246,14)</f>
        <v>4.2306999999999997</v>
      </c>
      <c r="AP69" s="2">
        <f t="shared" si="1"/>
        <v>4.641</v>
      </c>
      <c r="AQ69" s="7" t="str">
        <f t="shared" si="2"/>
        <v>Herens Holdco SarlCALLABLEFIXEDUSDSecured</v>
      </c>
      <c r="AR69" s="5" t="b">
        <f ca="1">ISNUMBER( IFERROR(VLOOKUP(A69,Pairs!$E$2:$E$57,1,FALSE),FALSE))</f>
        <v>0</v>
      </c>
      <c r="AS69" s="5"/>
      <c r="AT69" s="5"/>
    </row>
    <row r="70" spans="1:46" ht="15.75" customHeight="1" x14ac:dyDescent="0.2">
      <c r="A70" s="2">
        <v>129</v>
      </c>
      <c r="B70" s="2" t="s">
        <v>517</v>
      </c>
      <c r="C70" s="2" t="str">
        <f>VLOOKUP(D70,'slb RAW'!$E:$F,2)</f>
        <v>XS2340137343</v>
      </c>
      <c r="D70" s="2" t="s">
        <v>525</v>
      </c>
      <c r="E70" s="2" t="s">
        <v>526</v>
      </c>
      <c r="F70" s="2" t="s">
        <v>511</v>
      </c>
      <c r="G70" s="2" t="s">
        <v>169</v>
      </c>
      <c r="H70" s="2" t="s">
        <v>169</v>
      </c>
      <c r="I70" s="2" t="s">
        <v>169</v>
      </c>
      <c r="J70" s="2" t="b">
        <f t="shared" si="5"/>
        <v>1</v>
      </c>
      <c r="K70" s="2">
        <v>5.25</v>
      </c>
      <c r="L70" s="2" t="s">
        <v>512</v>
      </c>
      <c r="M70" s="2" t="s">
        <v>520</v>
      </c>
      <c r="N70" s="2">
        <v>5.25</v>
      </c>
      <c r="O70" s="2" t="s">
        <v>115</v>
      </c>
      <c r="P70" s="2" t="s">
        <v>116</v>
      </c>
      <c r="Q70" s="2" t="s">
        <v>270</v>
      </c>
      <c r="R70" s="2" t="s">
        <v>52</v>
      </c>
      <c r="S70" s="2" t="s">
        <v>53</v>
      </c>
      <c r="T70" s="2" t="s">
        <v>521</v>
      </c>
      <c r="U70" s="2" t="s">
        <v>55</v>
      </c>
      <c r="V70" s="2" t="s">
        <v>56</v>
      </c>
      <c r="W70" s="2" t="s">
        <v>71</v>
      </c>
      <c r="X70" s="2">
        <v>558297400</v>
      </c>
      <c r="Y70" s="2" t="s">
        <v>85</v>
      </c>
      <c r="Z70" s="2" t="s">
        <v>514</v>
      </c>
      <c r="AA70" s="2" t="s">
        <v>60</v>
      </c>
      <c r="AB70" s="2" t="s">
        <v>61</v>
      </c>
      <c r="AC70" s="2" t="s">
        <v>87</v>
      </c>
      <c r="AD70" s="2" t="s">
        <v>514</v>
      </c>
      <c r="AE70" s="2" t="s">
        <v>515</v>
      </c>
      <c r="AF70" s="5">
        <v>25</v>
      </c>
      <c r="AG70" s="6"/>
      <c r="AH70" s="2" t="str">
        <f t="shared" si="0"/>
        <v/>
      </c>
      <c r="AI70" s="2" t="str" cm="1">
        <f t="array" ref="AI70">_xlfn.IFS(AF70&lt;25,"Less",AF70=25,"Equal",AF70&gt;25,"More")</f>
        <v>Equal</v>
      </c>
      <c r="AJ70" s="6"/>
      <c r="AK70" s="6" t="s">
        <v>125</v>
      </c>
      <c r="AL70" s="2" t="s">
        <v>527</v>
      </c>
      <c r="AM70" s="5">
        <f>VLOOKUP(D70,'slb RAW'!$E$2:$AF$293,9)</f>
        <v>5.25</v>
      </c>
      <c r="AN70" s="2">
        <f>VLOOKUP(D70,'slb RAW'!$E$2:$AE$293,27)</f>
        <v>5.44</v>
      </c>
      <c r="AO70" s="2">
        <f>VLOOKUP(C70,'Refinitiv SLB'!F70:S247,14)</f>
        <v>4.2309999999999999</v>
      </c>
      <c r="AP70" s="2">
        <f t="shared" si="1"/>
        <v>5.44</v>
      </c>
      <c r="AQ70" s="7" t="str">
        <f t="shared" si="2"/>
        <v>Herens Midco SarlCALLABLEFIXEDEURSr Unsecured</v>
      </c>
      <c r="AR70" s="5" t="b">
        <f ca="1">ISNUMBER( IFERROR(VLOOKUP(A70,Pairs!$E$2:$E$57,1,FALSE),FALSE))</f>
        <v>0</v>
      </c>
      <c r="AS70" s="5"/>
      <c r="AT70" s="5"/>
    </row>
    <row r="71" spans="1:46" ht="15.75" customHeight="1" x14ac:dyDescent="0.2">
      <c r="A71" s="2">
        <v>257</v>
      </c>
      <c r="B71" s="2" t="s">
        <v>528</v>
      </c>
      <c r="C71" s="2" t="str">
        <f>VLOOKUP(D71,'slb RAW'!$E:$F,2)</f>
        <v>AT0000A2QS11</v>
      </c>
      <c r="D71" s="2" t="s">
        <v>529</v>
      </c>
      <c r="E71" s="2" t="s">
        <v>530</v>
      </c>
      <c r="F71" s="2" t="s">
        <v>531</v>
      </c>
      <c r="G71" s="2" t="s">
        <v>257</v>
      </c>
      <c r="H71" s="2" t="s">
        <v>257</v>
      </c>
      <c r="I71" s="2" t="s">
        <v>257</v>
      </c>
      <c r="J71" s="2" t="b">
        <f t="shared" si="5"/>
        <v>1</v>
      </c>
      <c r="K71" s="2">
        <v>3.125</v>
      </c>
      <c r="L71" s="2" t="s">
        <v>532</v>
      </c>
      <c r="M71" s="2" t="s">
        <v>533</v>
      </c>
      <c r="N71" s="8">
        <v>9.7329000000000008</v>
      </c>
      <c r="O71" s="2" t="s">
        <v>49</v>
      </c>
      <c r="P71" s="2" t="s">
        <v>50</v>
      </c>
      <c r="Q71" s="2" t="s">
        <v>173</v>
      </c>
      <c r="R71" s="2" t="s">
        <v>52</v>
      </c>
      <c r="S71" s="2" t="s">
        <v>53</v>
      </c>
      <c r="T71" s="2" t="s">
        <v>54</v>
      </c>
      <c r="U71" s="2" t="s">
        <v>55</v>
      </c>
      <c r="V71" s="2" t="s">
        <v>56</v>
      </c>
      <c r="W71" s="2" t="s">
        <v>57</v>
      </c>
      <c r="X71" s="2">
        <v>182463000</v>
      </c>
      <c r="Y71" s="2" t="s">
        <v>134</v>
      </c>
      <c r="Z71" s="2" t="s">
        <v>534</v>
      </c>
      <c r="AA71" s="2" t="s">
        <v>60</v>
      </c>
      <c r="AB71" s="2" t="s">
        <v>61</v>
      </c>
      <c r="AC71" s="2" t="s">
        <v>62</v>
      </c>
      <c r="AD71" s="2" t="s">
        <v>62</v>
      </c>
      <c r="AE71" s="2" t="s">
        <v>535</v>
      </c>
      <c r="AF71" s="5">
        <v>15</v>
      </c>
      <c r="AG71" s="6"/>
      <c r="AH71" s="2" t="str">
        <f t="shared" si="0"/>
        <v/>
      </c>
      <c r="AI71" s="2" t="str" cm="1">
        <f t="array" ref="AI71">_xlfn.IFS(AF71&lt;25,"Less",AF71=25,"Equal",AF71&gt;25,"More")</f>
        <v>Less</v>
      </c>
      <c r="AJ71" s="6"/>
      <c r="AK71" s="6" t="s">
        <v>64</v>
      </c>
      <c r="AL71" s="2" t="s">
        <v>536</v>
      </c>
      <c r="AM71" s="5" t="str">
        <f>VLOOKUP(D71,'slb RAW'!$E$2:$AF$293,9)</f>
        <v>#N/A N/A</v>
      </c>
      <c r="AN71" s="2">
        <f>VLOOKUP(D71,'slb RAW'!$E$2:$AE$293,27)</f>
        <v>2.6659999999999999</v>
      </c>
      <c r="AO71" s="2" t="e">
        <f>VLOOKUP(C71,'Refinitiv SLB'!F71:S248,14)</f>
        <v>#N/A</v>
      </c>
      <c r="AP71" s="2">
        <f t="shared" si="1"/>
        <v>2.6659999999999999</v>
      </c>
      <c r="AQ71" s="7" t="str">
        <f t="shared" si="2"/>
        <v>UBM Development AGAT MATURITYFIXEDEURSr Unsecured</v>
      </c>
      <c r="AR71" s="5" t="b">
        <f ca="1">ISNUMBER( IFERROR(VLOOKUP(A71,Pairs!$E$2:$E$57,1,FALSE),FALSE))</f>
        <v>1</v>
      </c>
      <c r="AS71" s="5"/>
      <c r="AT71" s="5"/>
    </row>
    <row r="72" spans="1:46" s="80" customFormat="1" ht="15.75" customHeight="1" x14ac:dyDescent="0.2">
      <c r="A72" s="79">
        <v>141</v>
      </c>
      <c r="B72" s="79" t="s">
        <v>537</v>
      </c>
      <c r="C72" s="79" t="str">
        <f>VLOOKUP(D72,'slb RAW'!$E:$F,2)</f>
        <v>US46188AAA25</v>
      </c>
      <c r="D72" s="79" t="s">
        <v>538</v>
      </c>
      <c r="E72" s="79" t="s">
        <v>539</v>
      </c>
      <c r="F72" s="79" t="s">
        <v>540</v>
      </c>
      <c r="G72" s="79" t="s">
        <v>257</v>
      </c>
      <c r="H72" s="79" t="s">
        <v>257</v>
      </c>
      <c r="I72" s="79" t="s">
        <v>258</v>
      </c>
      <c r="J72" s="2" t="b">
        <f t="shared" si="5"/>
        <v>0</v>
      </c>
      <c r="K72" s="79">
        <v>5</v>
      </c>
      <c r="L72" s="79" t="s">
        <v>541</v>
      </c>
      <c r="M72" s="79" t="s">
        <v>542</v>
      </c>
      <c r="N72" s="79">
        <v>5.25</v>
      </c>
      <c r="O72" s="79" t="s">
        <v>115</v>
      </c>
      <c r="P72" s="79" t="s">
        <v>116</v>
      </c>
      <c r="Q72" s="79" t="s">
        <v>261</v>
      </c>
      <c r="R72" s="79" t="s">
        <v>52</v>
      </c>
      <c r="S72" s="79" t="s">
        <v>262</v>
      </c>
      <c r="T72" s="79" t="s">
        <v>296</v>
      </c>
      <c r="U72" s="79" t="s">
        <v>55</v>
      </c>
      <c r="V72" s="79" t="s">
        <v>56</v>
      </c>
      <c r="W72" s="79" t="s">
        <v>71</v>
      </c>
      <c r="X72" s="79">
        <v>400000000</v>
      </c>
      <c r="Y72" s="79" t="s">
        <v>134</v>
      </c>
      <c r="Z72" s="79" t="s">
        <v>543</v>
      </c>
      <c r="AA72" s="79" t="s">
        <v>60</v>
      </c>
      <c r="AB72" s="79" t="s">
        <v>61</v>
      </c>
      <c r="AC72" s="79" t="s">
        <v>136</v>
      </c>
      <c r="AD72" s="79" t="s">
        <v>544</v>
      </c>
      <c r="AE72" s="79" t="s">
        <v>545</v>
      </c>
      <c r="AF72" s="83">
        <v>25</v>
      </c>
      <c r="AG72" s="82"/>
      <c r="AH72" s="79" t="str">
        <f t="shared" si="0"/>
        <v/>
      </c>
      <c r="AI72" s="2" t="str" cm="1">
        <f t="array" ref="AI72">_xlfn.IFS(AF72&lt;25,"Less",AF72=25,"Equal",AF72&gt;25,"More")</f>
        <v>Equal</v>
      </c>
      <c r="AJ72" s="82"/>
      <c r="AK72" s="82" t="s">
        <v>125</v>
      </c>
      <c r="AL72" s="79" t="s">
        <v>546</v>
      </c>
      <c r="AM72" s="83">
        <f>VLOOKUP(D72,'slb RAW'!$E$2:$AF$293,9)</f>
        <v>5.25</v>
      </c>
      <c r="AN72" s="79">
        <f>VLOOKUP(D72,'slb RAW'!$E$2:$AE$293,27)</f>
        <v>5.4340000000000002</v>
      </c>
      <c r="AO72" s="79">
        <f>VLOOKUP(C72,'Refinitiv SLB'!F72:S249,14)</f>
        <v>0.91700000000000004</v>
      </c>
      <c r="AP72" s="79">
        <f t="shared" si="1"/>
        <v>5.4340000000000002</v>
      </c>
      <c r="AQ72" s="84" t="str">
        <f t="shared" si="2"/>
        <v>Iochpe-Maxion Austria GmbH / Maxion Wheels de Mexico S de RL de CVCALLABLEFIXEDUSDSr Unsecured</v>
      </c>
      <c r="AR72" s="83" t="b">
        <f ca="1">ISNUMBER( IFERROR(VLOOKUP(A72,Pairs!$E$2:$E$57,1,FALSE),FALSE))</f>
        <v>0</v>
      </c>
      <c r="AS72" s="83"/>
      <c r="AT72" s="83"/>
    </row>
    <row r="73" spans="1:46" s="80" customFormat="1" ht="15.75" customHeight="1" x14ac:dyDescent="0.2">
      <c r="A73" s="79">
        <v>140</v>
      </c>
      <c r="B73" s="79" t="s">
        <v>537</v>
      </c>
      <c r="C73" s="79" t="str">
        <f>VLOOKUP(D73,'slb RAW'!$E:$F,2)</f>
        <v>USA3R74HAA50</v>
      </c>
      <c r="D73" s="79" t="s">
        <v>547</v>
      </c>
      <c r="E73" s="79" t="s">
        <v>548</v>
      </c>
      <c r="F73" s="79" t="s">
        <v>540</v>
      </c>
      <c r="G73" s="79" t="s">
        <v>257</v>
      </c>
      <c r="H73" s="79" t="s">
        <v>257</v>
      </c>
      <c r="I73" s="79" t="s">
        <v>258</v>
      </c>
      <c r="J73" s="2" t="b">
        <f t="shared" si="5"/>
        <v>0</v>
      </c>
      <c r="K73" s="79">
        <v>5</v>
      </c>
      <c r="L73" s="79" t="s">
        <v>541</v>
      </c>
      <c r="M73" s="79" t="s">
        <v>542</v>
      </c>
      <c r="N73" s="79">
        <v>5.25</v>
      </c>
      <c r="O73" s="79" t="s">
        <v>115</v>
      </c>
      <c r="P73" s="79" t="s">
        <v>116</v>
      </c>
      <c r="Q73" s="79" t="s">
        <v>270</v>
      </c>
      <c r="R73" s="79" t="s">
        <v>52</v>
      </c>
      <c r="S73" s="79" t="s">
        <v>262</v>
      </c>
      <c r="T73" s="79" t="s">
        <v>296</v>
      </c>
      <c r="U73" s="79" t="s">
        <v>55</v>
      </c>
      <c r="V73" s="79" t="s">
        <v>56</v>
      </c>
      <c r="W73" s="79" t="s">
        <v>71</v>
      </c>
      <c r="X73" s="79">
        <v>400000000</v>
      </c>
      <c r="Y73" s="79" t="s">
        <v>134</v>
      </c>
      <c r="Z73" s="79" t="s">
        <v>543</v>
      </c>
      <c r="AA73" s="79" t="s">
        <v>60</v>
      </c>
      <c r="AB73" s="79" t="s">
        <v>61</v>
      </c>
      <c r="AC73" s="79" t="s">
        <v>136</v>
      </c>
      <c r="AD73" s="79" t="s">
        <v>544</v>
      </c>
      <c r="AE73" s="79" t="s">
        <v>545</v>
      </c>
      <c r="AF73" s="83">
        <v>25</v>
      </c>
      <c r="AG73" s="82"/>
      <c r="AH73" s="79" t="str">
        <f t="shared" si="0"/>
        <v/>
      </c>
      <c r="AI73" s="2" t="str" cm="1">
        <f t="array" ref="AI73">_xlfn.IFS(AF73&lt;25,"Less",AF73=25,"Equal",AF73&gt;25,"More")</f>
        <v>Equal</v>
      </c>
      <c r="AJ73" s="95"/>
      <c r="AK73" s="95" t="s">
        <v>125</v>
      </c>
      <c r="AL73" s="79" t="s">
        <v>549</v>
      </c>
      <c r="AM73" s="83">
        <f>VLOOKUP(D73,'slb RAW'!$E$2:$AF$293,9)</f>
        <v>5.25</v>
      </c>
      <c r="AN73" s="79">
        <f>VLOOKUP(D73,'slb RAW'!$E$2:$AE$293,27)</f>
        <v>5.3920000000000003</v>
      </c>
      <c r="AO73" s="79">
        <f>VLOOKUP(C73,'Refinitiv SLB'!F73:S250,14)</f>
        <v>1.6240000000000001</v>
      </c>
      <c r="AP73" s="79">
        <f t="shared" si="1"/>
        <v>5.3920000000000003</v>
      </c>
      <c r="AQ73" s="84" t="str">
        <f t="shared" si="2"/>
        <v>Iochpe-Maxion Austria GmbH / Maxion Wheels de Mexico S de RL de CVCALLABLEFIXEDUSDSr Unsecured</v>
      </c>
      <c r="AR73" s="83" t="b">
        <f ca="1">ISNUMBER( IFERROR(VLOOKUP(A73,Pairs!$E$2:$E$57,1,FALSE),FALSE))</f>
        <v>0</v>
      </c>
      <c r="AS73" s="83"/>
      <c r="AT73" s="83"/>
    </row>
    <row r="74" spans="1:46" ht="15.75" customHeight="1" x14ac:dyDescent="0.2">
      <c r="A74" s="2">
        <v>256</v>
      </c>
      <c r="B74" s="2" t="s">
        <v>528</v>
      </c>
      <c r="C74" s="2" t="str">
        <f>VLOOKUP(D74,'slb RAW'!$E:$F,2)</f>
        <v>XS2355161956</v>
      </c>
      <c r="D74" s="2" t="s">
        <v>550</v>
      </c>
      <c r="E74" s="2" t="s">
        <v>551</v>
      </c>
      <c r="F74" s="2" t="s">
        <v>531</v>
      </c>
      <c r="G74" s="2" t="s">
        <v>257</v>
      </c>
      <c r="H74" s="2" t="s">
        <v>257</v>
      </c>
      <c r="I74" s="2" t="s">
        <v>257</v>
      </c>
      <c r="J74" s="2" t="b">
        <f t="shared" si="5"/>
        <v>1</v>
      </c>
      <c r="K74" s="2">
        <v>5.5</v>
      </c>
      <c r="L74" s="2" t="s">
        <v>552</v>
      </c>
      <c r="M74" s="2" t="s">
        <v>173</v>
      </c>
      <c r="N74" s="8">
        <v>2.4872999999999998</v>
      </c>
      <c r="O74" s="2" t="s">
        <v>5510</v>
      </c>
      <c r="P74" s="2" t="s">
        <v>116</v>
      </c>
      <c r="Q74" s="2" t="s">
        <v>553</v>
      </c>
      <c r="R74" s="2" t="s">
        <v>554</v>
      </c>
      <c r="S74" s="2" t="s">
        <v>53</v>
      </c>
      <c r="T74" s="2" t="s">
        <v>54</v>
      </c>
      <c r="U74" s="2" t="s">
        <v>55</v>
      </c>
      <c r="V74" s="2" t="s">
        <v>342</v>
      </c>
      <c r="W74" s="2" t="s">
        <v>57</v>
      </c>
      <c r="X74" s="2">
        <v>118745000</v>
      </c>
      <c r="Y74" s="2" t="s">
        <v>134</v>
      </c>
      <c r="Z74" s="2" t="s">
        <v>534</v>
      </c>
      <c r="AA74" s="2" t="s">
        <v>60</v>
      </c>
      <c r="AB74" s="2" t="s">
        <v>61</v>
      </c>
      <c r="AC74" s="2" t="s">
        <v>62</v>
      </c>
      <c r="AD74" s="2" t="s">
        <v>62</v>
      </c>
      <c r="AE74" s="2" t="s">
        <v>555</v>
      </c>
      <c r="AF74" s="11">
        <v>10</v>
      </c>
      <c r="AG74" s="6"/>
      <c r="AH74" s="2" t="str">
        <f t="shared" si="0"/>
        <v/>
      </c>
      <c r="AI74" s="2" t="str" cm="1">
        <f t="array" ref="AI74">_xlfn.IFS(AF74&lt;25,"Less",AF74=25,"Equal",AF74&gt;25,"More")</f>
        <v>Less</v>
      </c>
      <c r="AJ74" s="6"/>
      <c r="AK74" s="6" t="s">
        <v>64</v>
      </c>
      <c r="AL74" s="2" t="s">
        <v>556</v>
      </c>
      <c r="AM74" s="5" t="str">
        <f>VLOOKUP(D74,'slb RAW'!$E$2:$AF$293,9)</f>
        <v>#N/A N/A</v>
      </c>
      <c r="AN74" s="2">
        <f>VLOOKUP(D74,'slb RAW'!$E$2:$AE$293,27)</f>
        <v>9.7260000000000009</v>
      </c>
      <c r="AO74" s="2">
        <f>VLOOKUP(C74,'Refinitiv SLB'!F74:S251,14)</f>
        <v>5.1289999999999996</v>
      </c>
      <c r="AP74" s="2">
        <f t="shared" si="1"/>
        <v>9.7260000000000009</v>
      </c>
      <c r="AQ74" s="7" t="str">
        <f t="shared" si="2"/>
        <v>UBM Development AGPERPETUAL/CALLVARIABLEEURJr Subordinated</v>
      </c>
      <c r="AR74" s="5" t="b">
        <f ca="1">ISNUMBER( IFERROR(VLOOKUP(A74,Pairs!$E$2:$E$57,1,FALSE),FALSE))</f>
        <v>0</v>
      </c>
      <c r="AS74" s="5"/>
      <c r="AT74" s="5"/>
    </row>
    <row r="75" spans="1:46" ht="15.75" customHeight="1" x14ac:dyDescent="0.2">
      <c r="A75" s="2">
        <v>69</v>
      </c>
      <c r="B75" s="2" t="s">
        <v>557</v>
      </c>
      <c r="C75" s="2" t="str">
        <f>VLOOKUP(D75,'slb RAW'!$E:$F,2)</f>
        <v>XS2338570331</v>
      </c>
      <c r="D75" s="2" t="s">
        <v>558</v>
      </c>
      <c r="E75" s="2" t="s">
        <v>559</v>
      </c>
      <c r="F75" s="2" t="s">
        <v>560</v>
      </c>
      <c r="G75" s="2" t="s">
        <v>367</v>
      </c>
      <c r="H75" s="2" t="s">
        <v>367</v>
      </c>
      <c r="I75" s="2" t="s">
        <v>367</v>
      </c>
      <c r="J75" s="2" t="b">
        <f t="shared" si="5"/>
        <v>1</v>
      </c>
      <c r="K75" s="2">
        <v>0.875</v>
      </c>
      <c r="L75" s="2" t="s">
        <v>512</v>
      </c>
      <c r="M75" s="2" t="s">
        <v>561</v>
      </c>
      <c r="N75" s="10">
        <v>1.0294000000000001</v>
      </c>
      <c r="O75" s="2" t="s">
        <v>115</v>
      </c>
      <c r="P75" s="2" t="s">
        <v>116</v>
      </c>
      <c r="Q75" s="2" t="s">
        <v>173</v>
      </c>
      <c r="R75" s="2" t="s">
        <v>52</v>
      </c>
      <c r="S75" s="2" t="s">
        <v>53</v>
      </c>
      <c r="T75" s="2" t="s">
        <v>189</v>
      </c>
      <c r="U75" s="2" t="s">
        <v>420</v>
      </c>
      <c r="V75" s="2" t="s">
        <v>56</v>
      </c>
      <c r="W75" s="2" t="s">
        <v>57</v>
      </c>
      <c r="X75" s="2">
        <v>606845000</v>
      </c>
      <c r="Y75" s="2" t="s">
        <v>484</v>
      </c>
      <c r="Z75" s="2" t="s">
        <v>562</v>
      </c>
      <c r="AA75" s="2" t="s">
        <v>60</v>
      </c>
      <c r="AB75" s="2" t="s">
        <v>486</v>
      </c>
      <c r="AC75" s="2" t="s">
        <v>563</v>
      </c>
      <c r="AD75" s="2" t="s">
        <v>563</v>
      </c>
      <c r="AE75" s="2" t="s">
        <v>564</v>
      </c>
      <c r="AF75" s="6">
        <v>25</v>
      </c>
      <c r="AG75" s="6"/>
      <c r="AH75" s="2" t="str">
        <f t="shared" si="0"/>
        <v/>
      </c>
      <c r="AI75" s="2" t="str" cm="1">
        <f t="array" ref="AI75">_xlfn.IFS(AF75&lt;25,"Less",AF75=25,"Equal",AF75&gt;25,"More")</f>
        <v>Equal</v>
      </c>
      <c r="AJ75" s="6" t="s">
        <v>5517</v>
      </c>
      <c r="AK75" s="6" t="s">
        <v>251</v>
      </c>
      <c r="AL75" s="2" t="s">
        <v>565</v>
      </c>
      <c r="AM75" s="5" t="str">
        <f>VLOOKUP(D75,'slb RAW'!$E$2:$AF$293,9)</f>
        <v>#N/A N/A</v>
      </c>
      <c r="AN75" s="2">
        <f>VLOOKUP(D75,'slb RAW'!$E$2:$AE$293,27)</f>
        <v>1.016</v>
      </c>
      <c r="AO75" s="2">
        <f>VLOOKUP(C75,'Refinitiv SLB'!F75:S252,14)</f>
        <v>4.2309999999999999</v>
      </c>
      <c r="AP75" s="2">
        <f t="shared" si="1"/>
        <v>1.016</v>
      </c>
      <c r="AQ75" s="7" t="str">
        <f t="shared" si="2"/>
        <v>EQT ABCALLABLEFIXEDEURSr Unsecured</v>
      </c>
      <c r="AR75" s="5" t="b">
        <f ca="1">ISNUMBER( IFERROR(VLOOKUP(A75,Pairs!$E$2:$E$57,1,FALSE),FALSE))</f>
        <v>0</v>
      </c>
      <c r="AS75" s="5"/>
      <c r="AT75" s="5"/>
    </row>
    <row r="76" spans="1:46" s="80" customFormat="1" ht="15.75" customHeight="1" x14ac:dyDescent="0.2">
      <c r="A76" s="79">
        <v>136</v>
      </c>
      <c r="B76" s="79" t="s">
        <v>566</v>
      </c>
      <c r="C76" s="79" t="str">
        <f>VLOOKUP(D76,'slb RAW'!$E:$F,2)</f>
        <v>FR0014003GX7</v>
      </c>
      <c r="D76" s="79" t="s">
        <v>567</v>
      </c>
      <c r="E76" s="79" t="s">
        <v>568</v>
      </c>
      <c r="F76" s="79" t="s">
        <v>569</v>
      </c>
      <c r="G76" s="79" t="s">
        <v>184</v>
      </c>
      <c r="H76" s="79" t="s">
        <v>184</v>
      </c>
      <c r="I76" s="79" t="s">
        <v>184</v>
      </c>
      <c r="J76" s="2" t="b">
        <f t="shared" si="5"/>
        <v>1</v>
      </c>
      <c r="K76" s="79">
        <v>1</v>
      </c>
      <c r="L76" s="79" t="s">
        <v>512</v>
      </c>
      <c r="M76" s="79" t="s">
        <v>570</v>
      </c>
      <c r="N76" s="79">
        <v>1.0571999999999999</v>
      </c>
      <c r="O76" s="79" t="s">
        <v>115</v>
      </c>
      <c r="P76" s="79" t="s">
        <v>116</v>
      </c>
      <c r="Q76" s="79" t="s">
        <v>173</v>
      </c>
      <c r="R76" s="79" t="s">
        <v>52</v>
      </c>
      <c r="S76" s="79" t="s">
        <v>53</v>
      </c>
      <c r="T76" s="79" t="s">
        <v>496</v>
      </c>
      <c r="U76" s="79" t="s">
        <v>55</v>
      </c>
      <c r="V76" s="79" t="s">
        <v>56</v>
      </c>
      <c r="W76" s="79" t="s">
        <v>57</v>
      </c>
      <c r="X76" s="79">
        <v>364107000</v>
      </c>
      <c r="Y76" s="79" t="s">
        <v>85</v>
      </c>
      <c r="Z76" s="79" t="s">
        <v>514</v>
      </c>
      <c r="AA76" s="79" t="s">
        <v>60</v>
      </c>
      <c r="AB76" s="79" t="s">
        <v>61</v>
      </c>
      <c r="AC76" s="79" t="s">
        <v>176</v>
      </c>
      <c r="AD76" s="79" t="s">
        <v>177</v>
      </c>
      <c r="AE76" s="79" t="s">
        <v>571</v>
      </c>
      <c r="AF76" s="82">
        <v>50</v>
      </c>
      <c r="AG76" s="82"/>
      <c r="AH76" s="79" t="str">
        <f t="shared" si="0"/>
        <v/>
      </c>
      <c r="AI76" s="2" t="str" cm="1">
        <f t="array" ref="AI76">_xlfn.IFS(AF76&lt;25,"Less",AF76=25,"Equal",AF76&gt;25,"More")</f>
        <v>More</v>
      </c>
      <c r="AJ76" s="82" t="s">
        <v>5517</v>
      </c>
      <c r="AK76" s="82" t="s">
        <v>125</v>
      </c>
      <c r="AL76" s="79" t="s">
        <v>572</v>
      </c>
      <c r="AM76" s="83" t="str">
        <f>VLOOKUP(D76,'slb RAW'!$E$2:$AF$293,9)</f>
        <v>#N/A N/A</v>
      </c>
      <c r="AN76" s="79">
        <f>VLOOKUP(D76,'slb RAW'!$E$2:$AE$293,27)</f>
        <v>1.149</v>
      </c>
      <c r="AO76" s="79" t="str">
        <f>VLOOKUP(C76,'Refinitiv SLB'!F76:S253,14)</f>
        <v/>
      </c>
      <c r="AP76" s="79">
        <f t="shared" si="1"/>
        <v>1.149</v>
      </c>
      <c r="AQ76" s="84" t="str">
        <f t="shared" si="2"/>
        <v>Imerys SACALLABLEFIXEDEURSr Unsecured</v>
      </c>
      <c r="AR76" s="83" t="b">
        <f ca="1">ISNUMBER( IFERROR(VLOOKUP(A76,Pairs!$E$2:$E$57,1,FALSE),FALSE))</f>
        <v>0</v>
      </c>
      <c r="AS76" s="83"/>
      <c r="AT76" s="83"/>
    </row>
    <row r="77" spans="1:46" ht="15.75" customHeight="1" x14ac:dyDescent="0.2">
      <c r="A77" s="2">
        <v>267</v>
      </c>
      <c r="B77" s="2" t="s">
        <v>573</v>
      </c>
      <c r="C77" s="2" t="str">
        <f>VLOOKUP(D77,'slb RAW'!$E:$F,2)</f>
        <v>FR0014003G27</v>
      </c>
      <c r="D77" s="2" t="s">
        <v>574</v>
      </c>
      <c r="E77" s="2" t="s">
        <v>575</v>
      </c>
      <c r="F77" s="2" t="s">
        <v>576</v>
      </c>
      <c r="G77" s="2" t="s">
        <v>184</v>
      </c>
      <c r="H77" s="2" t="s">
        <v>184</v>
      </c>
      <c r="I77" s="2" t="s">
        <v>184</v>
      </c>
      <c r="J77" s="2" t="b">
        <f t="shared" si="5"/>
        <v>1</v>
      </c>
      <c r="K77" s="2">
        <v>1.625</v>
      </c>
      <c r="L77" s="2" t="s">
        <v>512</v>
      </c>
      <c r="M77" s="2" t="s">
        <v>577</v>
      </c>
      <c r="N77" s="8">
        <v>1.8557999999999999</v>
      </c>
      <c r="O77" s="2" t="s">
        <v>115</v>
      </c>
      <c r="P77" s="2" t="s">
        <v>116</v>
      </c>
      <c r="Q77" s="2" t="s">
        <v>173</v>
      </c>
      <c r="R77" s="2" t="s">
        <v>52</v>
      </c>
      <c r="S77" s="2" t="s">
        <v>53</v>
      </c>
      <c r="T77" s="2" t="s">
        <v>189</v>
      </c>
      <c r="U77" s="2" t="s">
        <v>55</v>
      </c>
      <c r="V77" s="2" t="s">
        <v>56</v>
      </c>
      <c r="W77" s="2" t="s">
        <v>57</v>
      </c>
      <c r="X77" s="2">
        <v>606845000</v>
      </c>
      <c r="Y77" s="2" t="s">
        <v>85</v>
      </c>
      <c r="Z77" s="2" t="s">
        <v>264</v>
      </c>
      <c r="AA77" s="2" t="s">
        <v>60</v>
      </c>
      <c r="AB77" s="2" t="s">
        <v>61</v>
      </c>
      <c r="AC77" s="2" t="s">
        <v>176</v>
      </c>
      <c r="AD77" s="2" t="s">
        <v>578</v>
      </c>
      <c r="AE77" s="2" t="s">
        <v>579</v>
      </c>
      <c r="AF77" s="5">
        <v>25</v>
      </c>
      <c r="AG77" s="6"/>
      <c r="AH77" s="2" t="str">
        <f t="shared" si="0"/>
        <v/>
      </c>
      <c r="AI77" s="2" t="str" cm="1">
        <f t="array" ref="AI77">_xlfn.IFS(AF77&lt;25,"Less",AF77=25,"Equal",AF77&gt;25,"More")</f>
        <v>Equal</v>
      </c>
      <c r="AJ77" s="6" t="s">
        <v>5517</v>
      </c>
      <c r="AK77" s="6" t="s">
        <v>125</v>
      </c>
      <c r="AL77" s="2" t="s">
        <v>580</v>
      </c>
      <c r="AM77" s="5" t="str">
        <f>VLOOKUP(D77,'slb RAW'!$E$2:$AF$293,9)</f>
        <v>#N/A N/A</v>
      </c>
      <c r="AN77" s="2">
        <f>VLOOKUP(D77,'slb RAW'!$E$2:$AE$293,27)</f>
        <v>1.5329999999999999</v>
      </c>
      <c r="AO77" s="2">
        <f>VLOOKUP(C77,'Refinitiv SLB'!F77:S254,14)</f>
        <v>1.63</v>
      </c>
      <c r="AP77" s="2">
        <f t="shared" si="1"/>
        <v>1.5329999999999999</v>
      </c>
      <c r="AQ77" s="7" t="str">
        <f t="shared" si="2"/>
        <v>Verallia SACALLABLEFIXEDEURSr Unsecured</v>
      </c>
      <c r="AR77" s="5" t="b">
        <f ca="1">ISNUMBER( IFERROR(VLOOKUP(A77,Pairs!$E$2:$E$57,1,FALSE),FALSE))</f>
        <v>0</v>
      </c>
      <c r="AS77" s="5"/>
      <c r="AT77" s="5"/>
    </row>
    <row r="78" spans="1:46" s="80" customFormat="1" ht="15.75" customHeight="1" x14ac:dyDescent="0.2">
      <c r="A78" s="79">
        <v>44</v>
      </c>
      <c r="B78" s="79" t="s">
        <v>344</v>
      </c>
      <c r="C78" s="79" t="str">
        <f>VLOOKUP(D78,'slb RAW'!$E:$F,2)</f>
        <v>XS2335148701</v>
      </c>
      <c r="D78" s="79" t="s">
        <v>581</v>
      </c>
      <c r="E78" s="79" t="s">
        <v>582</v>
      </c>
      <c r="F78" s="79" t="s">
        <v>347</v>
      </c>
      <c r="G78" s="79" t="s">
        <v>184</v>
      </c>
      <c r="H78" s="79" t="s">
        <v>184</v>
      </c>
      <c r="I78" s="79" t="s">
        <v>185</v>
      </c>
      <c r="J78" s="2" t="b">
        <f t="shared" si="5"/>
        <v>0</v>
      </c>
      <c r="K78" s="79">
        <v>3.125</v>
      </c>
      <c r="L78" s="79" t="s">
        <v>583</v>
      </c>
      <c r="M78" s="79" t="s">
        <v>584</v>
      </c>
      <c r="N78" s="79">
        <v>3.125</v>
      </c>
      <c r="O78" s="79" t="s">
        <v>115</v>
      </c>
      <c r="P78" s="79" t="s">
        <v>116</v>
      </c>
      <c r="Q78" s="79" t="s">
        <v>261</v>
      </c>
      <c r="R78" s="79" t="s">
        <v>52</v>
      </c>
      <c r="S78" s="79" t="s">
        <v>53</v>
      </c>
      <c r="T78" s="79" t="s">
        <v>350</v>
      </c>
      <c r="U78" s="79" t="s">
        <v>55</v>
      </c>
      <c r="V78" s="79" t="s">
        <v>56</v>
      </c>
      <c r="W78" s="79" t="s">
        <v>71</v>
      </c>
      <c r="X78" s="79">
        <v>366363000</v>
      </c>
      <c r="Y78" s="79" t="s">
        <v>85</v>
      </c>
      <c r="Z78" s="79" t="s">
        <v>86</v>
      </c>
      <c r="AA78" s="79" t="s">
        <v>60</v>
      </c>
      <c r="AB78" s="79" t="s">
        <v>61</v>
      </c>
      <c r="AC78" s="79" t="s">
        <v>87</v>
      </c>
      <c r="AD78" s="79" t="s">
        <v>88</v>
      </c>
      <c r="AE78" s="79" t="s">
        <v>585</v>
      </c>
      <c r="AF78" s="114">
        <v>12.5</v>
      </c>
      <c r="AG78" s="82"/>
      <c r="AH78" s="79" t="str">
        <f t="shared" si="0"/>
        <v/>
      </c>
      <c r="AI78" s="2" t="str" cm="1">
        <f t="array" ref="AI78">_xlfn.IFS(AF78&lt;25,"Less",AF78=25,"Equal",AF78&gt;25,"More")</f>
        <v>Less</v>
      </c>
      <c r="AJ78" s="82"/>
      <c r="AK78" s="82" t="s">
        <v>125</v>
      </c>
      <c r="AL78" s="79" t="s">
        <v>586</v>
      </c>
      <c r="AM78" s="83">
        <f>VLOOKUP(D78,'slb RAW'!$E$2:$AF$293,9)</f>
        <v>3.125</v>
      </c>
      <c r="AN78" s="79">
        <f>VLOOKUP(D78,'slb RAW'!$E$2:$AE$293,27)</f>
        <v>3.0640000000000001</v>
      </c>
      <c r="AO78" s="79">
        <f>VLOOKUP(C78,'Refinitiv SLB'!F78:S255,14)</f>
        <v>1.1240000000000001</v>
      </c>
      <c r="AP78" s="79">
        <f t="shared" si="1"/>
        <v>3.0640000000000001</v>
      </c>
      <c r="AQ78" s="84" t="str">
        <f t="shared" si="2"/>
        <v>Constellium SECALLABLEFIXEDEURSr Unsecured</v>
      </c>
      <c r="AR78" s="83" t="b">
        <f ca="1">ISNUMBER( IFERROR(VLOOKUP(A78,Pairs!$E$2:$E$57,1,FALSE),FALSE))</f>
        <v>0</v>
      </c>
      <c r="AS78" s="83"/>
      <c r="AT78" s="83"/>
    </row>
    <row r="79" spans="1:46" s="80" customFormat="1" ht="15.75" customHeight="1" x14ac:dyDescent="0.2">
      <c r="A79" s="79">
        <v>45</v>
      </c>
      <c r="B79" s="79" t="s">
        <v>344</v>
      </c>
      <c r="C79" s="79" t="str">
        <f>VLOOKUP(D79,'slb RAW'!$E:$F,2)</f>
        <v>XS2335148024</v>
      </c>
      <c r="D79" s="79" t="s">
        <v>587</v>
      </c>
      <c r="E79" s="79" t="s">
        <v>588</v>
      </c>
      <c r="F79" s="79" t="s">
        <v>347</v>
      </c>
      <c r="G79" s="79" t="s">
        <v>184</v>
      </c>
      <c r="H79" s="79" t="s">
        <v>184</v>
      </c>
      <c r="I79" s="79" t="s">
        <v>185</v>
      </c>
      <c r="J79" s="2" t="b">
        <f t="shared" si="5"/>
        <v>0</v>
      </c>
      <c r="K79" s="79">
        <v>3.125</v>
      </c>
      <c r="L79" s="79" t="s">
        <v>583</v>
      </c>
      <c r="M79" s="79" t="s">
        <v>584</v>
      </c>
      <c r="N79" s="79">
        <v>3.125</v>
      </c>
      <c r="O79" s="79" t="s">
        <v>115</v>
      </c>
      <c r="P79" s="79" t="s">
        <v>116</v>
      </c>
      <c r="Q79" s="79" t="s">
        <v>270</v>
      </c>
      <c r="R79" s="79" t="s">
        <v>52</v>
      </c>
      <c r="S79" s="79" t="s">
        <v>53</v>
      </c>
      <c r="T79" s="79" t="s">
        <v>350</v>
      </c>
      <c r="U79" s="79" t="s">
        <v>55</v>
      </c>
      <c r="V79" s="79" t="s">
        <v>56</v>
      </c>
      <c r="W79" s="79" t="s">
        <v>71</v>
      </c>
      <c r="X79" s="79">
        <v>366363000</v>
      </c>
      <c r="Y79" s="79" t="s">
        <v>85</v>
      </c>
      <c r="Z79" s="79" t="s">
        <v>86</v>
      </c>
      <c r="AA79" s="79" t="s">
        <v>60</v>
      </c>
      <c r="AB79" s="79" t="s">
        <v>61</v>
      </c>
      <c r="AC79" s="79" t="s">
        <v>87</v>
      </c>
      <c r="AD79" s="79" t="s">
        <v>88</v>
      </c>
      <c r="AE79" s="79" t="s">
        <v>585</v>
      </c>
      <c r="AF79" s="114">
        <v>12.5</v>
      </c>
      <c r="AG79" s="82"/>
      <c r="AH79" s="79" t="str">
        <f t="shared" si="0"/>
        <v/>
      </c>
      <c r="AI79" s="2" t="str" cm="1">
        <f t="array" ref="AI79">_xlfn.IFS(AF79&lt;25,"Less",AF79=25,"Equal",AF79&gt;25,"More")</f>
        <v>Less</v>
      </c>
      <c r="AJ79" s="82"/>
      <c r="AK79" s="82" t="s">
        <v>125</v>
      </c>
      <c r="AL79" s="79" t="s">
        <v>589</v>
      </c>
      <c r="AM79" s="83">
        <f>VLOOKUP(D79,'slb RAW'!$E$2:$AF$293,9)</f>
        <v>3.125</v>
      </c>
      <c r="AN79" s="79">
        <f>VLOOKUP(D79,'slb RAW'!$E$2:$AE$293,27)</f>
        <v>3.0640000000000001</v>
      </c>
      <c r="AO79" s="79">
        <f>VLOOKUP(C79,'Refinitiv SLB'!F79:S256,14)</f>
        <v>1.8360000000000001</v>
      </c>
      <c r="AP79" s="79">
        <f t="shared" si="1"/>
        <v>3.0640000000000001</v>
      </c>
      <c r="AQ79" s="84" t="str">
        <f t="shared" si="2"/>
        <v>Constellium SECALLABLEFIXEDEURSr Unsecured</v>
      </c>
      <c r="AR79" s="83" t="b">
        <f ca="1">ISNUMBER( IFERROR(VLOOKUP(A79,Pairs!$E$2:$E$57,1,FALSE),FALSE))</f>
        <v>0</v>
      </c>
      <c r="AS79" s="83"/>
      <c r="AT79" s="83"/>
    </row>
    <row r="80" spans="1:46" ht="15.75" customHeight="1" x14ac:dyDescent="0.2">
      <c r="A80" s="2">
        <v>121</v>
      </c>
      <c r="B80" s="2" t="s">
        <v>590</v>
      </c>
      <c r="C80" s="2" t="str">
        <f>VLOOKUP(D80,'slb RAW'!$E:$F,2)</f>
        <v>XS2344772426</v>
      </c>
      <c r="D80" s="2" t="s">
        <v>591</v>
      </c>
      <c r="E80" s="2" t="s">
        <v>592</v>
      </c>
      <c r="F80" s="2" t="s">
        <v>593</v>
      </c>
      <c r="G80" s="2" t="s">
        <v>594</v>
      </c>
      <c r="H80" s="2" t="s">
        <v>594</v>
      </c>
      <c r="I80" s="2" t="s">
        <v>595</v>
      </c>
      <c r="J80" s="2" t="b">
        <f t="shared" si="5"/>
        <v>0</v>
      </c>
      <c r="K80" s="2">
        <v>1.75</v>
      </c>
      <c r="L80" s="2" t="s">
        <v>596</v>
      </c>
      <c r="M80" s="2" t="s">
        <v>597</v>
      </c>
      <c r="N80" s="8">
        <v>1.8707</v>
      </c>
      <c r="O80" s="2" t="s">
        <v>115</v>
      </c>
      <c r="P80" s="2" t="s">
        <v>116</v>
      </c>
      <c r="Q80" s="2" t="s">
        <v>173</v>
      </c>
      <c r="R80" s="2" t="s">
        <v>52</v>
      </c>
      <c r="S80" s="2" t="s">
        <v>53</v>
      </c>
      <c r="T80" s="2" t="s">
        <v>174</v>
      </c>
      <c r="U80" s="2" t="s">
        <v>55</v>
      </c>
      <c r="V80" s="2" t="s">
        <v>56</v>
      </c>
      <c r="W80" s="2" t="s">
        <v>57</v>
      </c>
      <c r="X80" s="2">
        <v>848428000</v>
      </c>
      <c r="Y80" s="2" t="s">
        <v>484</v>
      </c>
      <c r="Z80" s="2" t="s">
        <v>598</v>
      </c>
      <c r="AA80" s="2" t="s">
        <v>60</v>
      </c>
      <c r="AB80" s="2" t="s">
        <v>486</v>
      </c>
      <c r="AC80" s="2" t="s">
        <v>599</v>
      </c>
      <c r="AD80" s="2" t="s">
        <v>600</v>
      </c>
      <c r="AE80" s="2" t="s">
        <v>601</v>
      </c>
      <c r="AF80" s="5">
        <v>75</v>
      </c>
      <c r="AG80" s="6"/>
      <c r="AH80" s="2" t="str">
        <f t="shared" si="0"/>
        <v/>
      </c>
      <c r="AI80" s="2" t="str" cm="1">
        <f t="array" ref="AI80">_xlfn.IFS(AF80&lt;25,"Less",AF80=25,"Equal",AF80&gt;25,"More")</f>
        <v>More</v>
      </c>
      <c r="AJ80" s="6"/>
      <c r="AK80" s="6" t="s">
        <v>125</v>
      </c>
      <c r="AL80" s="2" t="s">
        <v>602</v>
      </c>
      <c r="AM80" s="5" t="str">
        <f>VLOOKUP(D80,'slb RAW'!$E$2:$AF$293,9)</f>
        <v>#N/A N/A</v>
      </c>
      <c r="AN80" s="2">
        <f>VLOOKUP(D80,'slb RAW'!$E$2:$AE$293,27)</f>
        <v>1.85</v>
      </c>
      <c r="AO80" s="2">
        <f>VLOOKUP(C80,'Refinitiv SLB'!F80:S257,14)</f>
        <v>4.8710000000000004</v>
      </c>
      <c r="AP80" s="2">
        <f t="shared" si="1"/>
        <v>1.85</v>
      </c>
      <c r="AQ80" s="7" t="str">
        <f t="shared" si="2"/>
        <v>Hammerson Ireland Finance DACCALLABLEFIXEDEURSr Unsecured</v>
      </c>
      <c r="AR80" s="5" t="b">
        <f ca="1">ISNUMBER( IFERROR(VLOOKUP(A80,Pairs!$E$2:$E$57,1,FALSE),FALSE))</f>
        <v>0</v>
      </c>
      <c r="AS80" s="5"/>
      <c r="AT80" s="5"/>
    </row>
    <row r="81" spans="1:46" ht="15.75" customHeight="1" x14ac:dyDescent="0.2">
      <c r="A81" s="2">
        <v>164</v>
      </c>
      <c r="B81" s="2" t="s">
        <v>603</v>
      </c>
      <c r="C81" s="2" t="str">
        <f>VLOOKUP(D81,'slb RAW'!$E:$F,2)</f>
        <v>NO0011017113</v>
      </c>
      <c r="D81" s="2" t="s">
        <v>604</v>
      </c>
      <c r="E81" s="2" t="s">
        <v>605</v>
      </c>
      <c r="F81" s="2" t="s">
        <v>606</v>
      </c>
      <c r="G81" s="2" t="s">
        <v>367</v>
      </c>
      <c r="H81" s="2" t="s">
        <v>367</v>
      </c>
      <c r="I81" s="2" t="s">
        <v>238</v>
      </c>
      <c r="J81" s="2" t="b">
        <f t="shared" si="5"/>
        <v>0</v>
      </c>
      <c r="K81" s="2">
        <v>6.79</v>
      </c>
      <c r="L81" s="2" t="s">
        <v>607</v>
      </c>
      <c r="M81" s="2" t="s">
        <v>608</v>
      </c>
      <c r="N81" s="8">
        <v>5.4230999999999998</v>
      </c>
      <c r="O81" s="2" t="s">
        <v>115</v>
      </c>
      <c r="P81" s="2" t="s">
        <v>116</v>
      </c>
      <c r="Q81" s="2" t="s">
        <v>173</v>
      </c>
      <c r="R81" s="2" t="s">
        <v>458</v>
      </c>
      <c r="S81" s="2" t="s">
        <v>609</v>
      </c>
      <c r="T81" s="2" t="s">
        <v>54</v>
      </c>
      <c r="U81" s="2" t="s">
        <v>55</v>
      </c>
      <c r="V81" s="2" t="s">
        <v>70</v>
      </c>
      <c r="W81" s="2" t="s">
        <v>391</v>
      </c>
      <c r="X81" s="2">
        <v>114812250</v>
      </c>
      <c r="Y81" s="2" t="s">
        <v>58</v>
      </c>
      <c r="Z81" s="2" t="s">
        <v>59</v>
      </c>
      <c r="AA81" s="2" t="s">
        <v>60</v>
      </c>
      <c r="AB81" s="2" t="s">
        <v>61</v>
      </c>
      <c r="AC81" s="2" t="s">
        <v>176</v>
      </c>
      <c r="AD81" s="2" t="s">
        <v>191</v>
      </c>
      <c r="AE81" s="2" t="s">
        <v>610</v>
      </c>
      <c r="AF81" s="11">
        <v>50</v>
      </c>
      <c r="AG81" s="6"/>
      <c r="AH81" s="2" t="str">
        <f t="shared" si="0"/>
        <v/>
      </c>
      <c r="AI81" s="2" t="str" cm="1">
        <f t="array" ref="AI81">_xlfn.IFS(AF81&lt;25,"Less",AF81=25,"Equal",AF81&gt;25,"More")</f>
        <v>More</v>
      </c>
      <c r="AJ81" s="6"/>
      <c r="AK81" s="6" t="s">
        <v>611</v>
      </c>
      <c r="AL81" s="2" t="s">
        <v>612</v>
      </c>
      <c r="AM81" s="5" t="str">
        <f>VLOOKUP(D81,'slb RAW'!$E$2:$AF$293,9)</f>
        <v>#N/A N/A</v>
      </c>
      <c r="AN81" s="2" t="str">
        <f>VLOOKUP(D81,'slb RAW'!$E$2:$AE$293,27)</f>
        <v>#N/A N/A</v>
      </c>
      <c r="AO81" s="2">
        <f>VLOOKUP(C81,'Refinitiv SLB'!F81:S258,14)</f>
        <v>1.6240000000000001</v>
      </c>
      <c r="AP81" s="2" t="str">
        <f t="shared" si="1"/>
        <v>#N/A N/A</v>
      </c>
      <c r="AQ81" s="7" t="str">
        <f t="shared" si="2"/>
        <v>Lakers Group ABCALLABLEFLOATINGNOKSecured</v>
      </c>
      <c r="AR81" s="5" t="b">
        <f ca="1">ISNUMBER( IFERROR(VLOOKUP(A81,Pairs!$E$2:$E$57,1,FALSE),FALSE))</f>
        <v>0</v>
      </c>
      <c r="AS81" s="5"/>
      <c r="AT81" s="5"/>
    </row>
    <row r="82" spans="1:46" ht="15.75" customHeight="1" x14ac:dyDescent="0.2">
      <c r="A82" s="2">
        <v>99</v>
      </c>
      <c r="B82" s="2" t="s">
        <v>613</v>
      </c>
      <c r="C82" s="2" t="str">
        <f>VLOOKUP(D82,'slb RAW'!$E:$F,2)</f>
        <v>XS2344735811</v>
      </c>
      <c r="D82" s="2" t="s">
        <v>614</v>
      </c>
      <c r="E82" s="2" t="s">
        <v>615</v>
      </c>
      <c r="F82" s="2" t="s">
        <v>616</v>
      </c>
      <c r="G82" s="2" t="s">
        <v>199</v>
      </c>
      <c r="H82" s="2" t="s">
        <v>199</v>
      </c>
      <c r="I82" s="2" t="s">
        <v>199</v>
      </c>
      <c r="J82" s="2" t="b">
        <f t="shared" si="5"/>
        <v>1</v>
      </c>
      <c r="K82" s="2">
        <v>0.375</v>
      </c>
      <c r="L82" s="2" t="s">
        <v>617</v>
      </c>
      <c r="M82" s="2" t="s">
        <v>618</v>
      </c>
      <c r="N82" s="8">
        <v>0.30499999999999999</v>
      </c>
      <c r="O82" s="2" t="s">
        <v>49</v>
      </c>
      <c r="P82" s="2" t="s">
        <v>50</v>
      </c>
      <c r="Q82" s="2" t="s">
        <v>225</v>
      </c>
      <c r="R82" s="2" t="s">
        <v>52</v>
      </c>
      <c r="S82" s="2" t="s">
        <v>53</v>
      </c>
      <c r="T82" s="2" t="s">
        <v>619</v>
      </c>
      <c r="U82" s="2" t="s">
        <v>117</v>
      </c>
      <c r="V82" s="2" t="s">
        <v>56</v>
      </c>
      <c r="W82" s="2" t="s">
        <v>57</v>
      </c>
      <c r="X82" s="2">
        <v>1212220000</v>
      </c>
      <c r="Y82" s="2" t="s">
        <v>213</v>
      </c>
      <c r="Z82" s="2" t="s">
        <v>620</v>
      </c>
      <c r="AA82" s="2" t="s">
        <v>60</v>
      </c>
      <c r="AB82" s="2" t="s">
        <v>61</v>
      </c>
      <c r="AC82" s="2" t="s">
        <v>213</v>
      </c>
      <c r="AD82" s="2" t="s">
        <v>621</v>
      </c>
      <c r="AE82" s="2" t="s">
        <v>622</v>
      </c>
      <c r="AF82" s="5">
        <v>25</v>
      </c>
      <c r="AG82" s="6"/>
      <c r="AH82" s="2" t="str">
        <f t="shared" si="0"/>
        <v/>
      </c>
      <c r="AI82" s="2" t="str" cm="1">
        <f t="array" ref="AI82">_xlfn.IFS(AF82&lt;25,"Less",AF82=25,"Equal",AF82&gt;25,"More")</f>
        <v>Equal</v>
      </c>
      <c r="AJ82" s="6"/>
      <c r="AK82" s="6" t="s">
        <v>125</v>
      </c>
      <c r="AL82" s="2" t="s">
        <v>623</v>
      </c>
      <c r="AM82" s="5" t="str">
        <f>VLOOKUP(D82,'slb RAW'!$E$2:$AF$293,9)</f>
        <v>#N/A N/A</v>
      </c>
      <c r="AN82" s="2">
        <f>VLOOKUP(D82,'slb RAW'!$E$2:$AE$293,27)</f>
        <v>0.29399999999999998</v>
      </c>
      <c r="AO82" s="2">
        <f>VLOOKUP(C82,'Refinitiv SLB'!F82:S259,14)</f>
        <v>4.8710000000000004</v>
      </c>
      <c r="AP82" s="2">
        <f t="shared" si="1"/>
        <v>0.29399999999999998</v>
      </c>
      <c r="AQ82" s="7" t="str">
        <f t="shared" si="2"/>
        <v>Eni SpAAT MATURITYFIXEDEURSr Unsecured</v>
      </c>
      <c r="AR82" s="5" t="b">
        <f ca="1">ISNUMBER( IFERROR(VLOOKUP(A82,Pairs!$E$2:$E$57,1,FALSE),FALSE))</f>
        <v>1</v>
      </c>
      <c r="AS82" s="5"/>
      <c r="AT82" s="5"/>
    </row>
    <row r="83" spans="1:46" ht="15.75" customHeight="1" x14ac:dyDescent="0.2">
      <c r="A83" s="2">
        <v>114</v>
      </c>
      <c r="B83" s="2" t="s">
        <v>624</v>
      </c>
      <c r="C83" s="2" t="str">
        <f>VLOOKUP(D83,'slb RAW'!$E:$F,2)</f>
        <v>#N/A Field Not Applicable</v>
      </c>
      <c r="D83" s="2" t="s">
        <v>625</v>
      </c>
      <c r="E83" s="2" t="s">
        <v>626</v>
      </c>
      <c r="F83" s="2" t="s">
        <v>627</v>
      </c>
      <c r="G83" s="2" t="s">
        <v>45</v>
      </c>
      <c r="H83" s="2" t="s">
        <v>45</v>
      </c>
      <c r="I83" s="2" t="s">
        <v>45</v>
      </c>
      <c r="J83" s="2" t="b">
        <f t="shared" si="5"/>
        <v>1</v>
      </c>
      <c r="K83" s="2">
        <v>0</v>
      </c>
      <c r="L83" s="2" t="s">
        <v>628</v>
      </c>
      <c r="M83" s="2" t="s">
        <v>629</v>
      </c>
      <c r="N83" s="4" t="s">
        <v>48</v>
      </c>
      <c r="O83" s="2" t="s">
        <v>49</v>
      </c>
      <c r="P83" s="2" t="s">
        <v>50</v>
      </c>
      <c r="Q83" s="2" t="s">
        <v>161</v>
      </c>
      <c r="R83" s="2" t="s">
        <v>52</v>
      </c>
      <c r="S83" s="2" t="s">
        <v>53</v>
      </c>
      <c r="T83" s="2" t="s">
        <v>54</v>
      </c>
      <c r="U83" s="2" t="s">
        <v>55</v>
      </c>
      <c r="V83" s="2" t="s">
        <v>70</v>
      </c>
      <c r="W83" s="2" t="s">
        <v>71</v>
      </c>
      <c r="X83" s="2">
        <v>413514500</v>
      </c>
      <c r="Y83" s="2" t="s">
        <v>134</v>
      </c>
      <c r="Z83" s="2" t="s">
        <v>543</v>
      </c>
      <c r="AA83" s="2" t="s">
        <v>60</v>
      </c>
      <c r="AB83" s="2" t="s">
        <v>61</v>
      </c>
      <c r="AC83" s="2" t="s">
        <v>136</v>
      </c>
      <c r="AD83" s="2" t="s">
        <v>544</v>
      </c>
      <c r="AE83" s="2" t="s">
        <v>630</v>
      </c>
      <c r="AF83" s="6">
        <v>5</v>
      </c>
      <c r="AG83" s="6">
        <v>5</v>
      </c>
      <c r="AH83" s="2" t="str">
        <f t="shared" si="0"/>
        <v>yes</v>
      </c>
      <c r="AI83" s="2" t="str" cm="1">
        <f t="array" ref="AI83">_xlfn.IFS(AF83&lt;25,"Less",AF83=25,"Equal",AF83&gt;25,"More")</f>
        <v>Less</v>
      </c>
      <c r="AJ83" s="11"/>
      <c r="AK83" s="11" t="s">
        <v>125</v>
      </c>
      <c r="AL83" s="2" t="s">
        <v>631</v>
      </c>
      <c r="AM83" s="5" t="str">
        <f>VLOOKUP(D83,'slb RAW'!$E$2:$AF$293,9)</f>
        <v>#N/A N/A</v>
      </c>
      <c r="AN83" s="2" t="str">
        <f>VLOOKUP(D83,'slb RAW'!$E$2:$AE$293,27)</f>
        <v>#N/A N/A</v>
      </c>
      <c r="AO83" s="2" t="e">
        <f>VLOOKUP(C83,'Refinitiv SLB'!F83:S260,14)</f>
        <v>#N/A</v>
      </c>
      <c r="AP83" s="2" t="str">
        <f t="shared" si="1"/>
        <v>#N/A N/A</v>
      </c>
      <c r="AQ83" s="7" t="str">
        <f t="shared" si="2"/>
        <v>Fritz Draexlmaier GmbH &amp; Co KGAT MATURITYFLOATINGEURSr Unsecured</v>
      </c>
      <c r="AR83" s="5" t="b">
        <f ca="1">ISNUMBER( IFERROR(VLOOKUP(A83,Pairs!$E$2:$E$57,1,FALSE),FALSE))</f>
        <v>0</v>
      </c>
      <c r="AS83" s="5"/>
      <c r="AT83" s="5"/>
    </row>
    <row r="84" spans="1:46" ht="15.75" customHeight="1" x14ac:dyDescent="0.2">
      <c r="A84" s="2">
        <v>115</v>
      </c>
      <c r="B84" s="2" t="s">
        <v>624</v>
      </c>
      <c r="C84" s="2" t="str">
        <f>VLOOKUP(D84,'slb RAW'!$E:$F,2)</f>
        <v>#N/A Field Not Applicable</v>
      </c>
      <c r="D84" s="2" t="s">
        <v>632</v>
      </c>
      <c r="E84" s="2" t="s">
        <v>633</v>
      </c>
      <c r="F84" s="2" t="s">
        <v>627</v>
      </c>
      <c r="G84" s="2" t="s">
        <v>45</v>
      </c>
      <c r="H84" s="2" t="s">
        <v>45</v>
      </c>
      <c r="I84" s="2" t="s">
        <v>45</v>
      </c>
      <c r="J84" s="2" t="b">
        <f t="shared" si="5"/>
        <v>1</v>
      </c>
      <c r="K84" s="2">
        <v>0</v>
      </c>
      <c r="L84" s="2" t="s">
        <v>628</v>
      </c>
      <c r="M84" s="2" t="s">
        <v>634</v>
      </c>
      <c r="N84" s="4" t="s">
        <v>48</v>
      </c>
      <c r="O84" s="2" t="s">
        <v>49</v>
      </c>
      <c r="P84" s="2" t="s">
        <v>50</v>
      </c>
      <c r="Q84" s="2" t="s">
        <v>76</v>
      </c>
      <c r="R84" s="2" t="s">
        <v>52</v>
      </c>
      <c r="S84" s="2" t="s">
        <v>53</v>
      </c>
      <c r="T84" s="2" t="s">
        <v>54</v>
      </c>
      <c r="U84" s="2" t="s">
        <v>55</v>
      </c>
      <c r="V84" s="2" t="s">
        <v>70</v>
      </c>
      <c r="W84" s="2" t="s">
        <v>71</v>
      </c>
      <c r="X84" s="2">
        <v>413514500</v>
      </c>
      <c r="Y84" s="2" t="s">
        <v>134</v>
      </c>
      <c r="Z84" s="2" t="s">
        <v>543</v>
      </c>
      <c r="AA84" s="2" t="s">
        <v>60</v>
      </c>
      <c r="AB84" s="2" t="s">
        <v>61</v>
      </c>
      <c r="AC84" s="2" t="s">
        <v>136</v>
      </c>
      <c r="AD84" s="2" t="s">
        <v>544</v>
      </c>
      <c r="AE84" s="2" t="s">
        <v>630</v>
      </c>
      <c r="AF84" s="6">
        <v>5</v>
      </c>
      <c r="AG84" s="6">
        <v>5</v>
      </c>
      <c r="AH84" s="2" t="str">
        <f t="shared" si="0"/>
        <v>yes</v>
      </c>
      <c r="AI84" s="2" t="str" cm="1">
        <f t="array" ref="AI84">_xlfn.IFS(AF84&lt;25,"Less",AF84=25,"Equal",AF84&gt;25,"More")</f>
        <v>Less</v>
      </c>
      <c r="AJ84" s="11"/>
      <c r="AK84" s="11" t="s">
        <v>125</v>
      </c>
      <c r="AL84" s="2" t="s">
        <v>631</v>
      </c>
      <c r="AM84" s="5" t="str">
        <f>VLOOKUP(D84,'slb RAW'!$E$2:$AF$293,9)</f>
        <v>#N/A N/A</v>
      </c>
      <c r="AN84" s="2" t="str">
        <f>VLOOKUP(D84,'slb RAW'!$E$2:$AE$293,27)</f>
        <v>#N/A N/A</v>
      </c>
      <c r="AO84" s="2" t="e">
        <f>VLOOKUP(C84,'Refinitiv SLB'!F84:S261,14)</f>
        <v>#N/A</v>
      </c>
      <c r="AP84" s="2" t="str">
        <f t="shared" si="1"/>
        <v>#N/A N/A</v>
      </c>
      <c r="AQ84" s="7" t="str">
        <f t="shared" si="2"/>
        <v>Fritz Draexlmaier GmbH &amp; Co KGAT MATURITYFLOATINGEURSr Unsecured</v>
      </c>
      <c r="AR84" s="5" t="b">
        <f ca="1">ISNUMBER( IFERROR(VLOOKUP(A84,Pairs!$E$2:$E$57,1,FALSE),FALSE))</f>
        <v>0</v>
      </c>
      <c r="AS84" s="5"/>
      <c r="AT84" s="5"/>
    </row>
    <row r="85" spans="1:46" ht="15.75" customHeight="1" x14ac:dyDescent="0.2">
      <c r="A85" s="2">
        <v>112</v>
      </c>
      <c r="B85" s="2" t="s">
        <v>624</v>
      </c>
      <c r="C85" s="2" t="str">
        <f>VLOOKUP(D85,'slb RAW'!$E:$F,2)</f>
        <v>#N/A Field Not Applicable</v>
      </c>
      <c r="D85" s="2" t="s">
        <v>635</v>
      </c>
      <c r="E85" s="2" t="s">
        <v>636</v>
      </c>
      <c r="F85" s="2" t="s">
        <v>627</v>
      </c>
      <c r="G85" s="2" t="s">
        <v>45</v>
      </c>
      <c r="H85" s="2" t="s">
        <v>45</v>
      </c>
      <c r="I85" s="2" t="s">
        <v>45</v>
      </c>
      <c r="J85" s="2" t="b">
        <f t="shared" si="5"/>
        <v>1</v>
      </c>
      <c r="K85" s="2">
        <v>0</v>
      </c>
      <c r="L85" s="2" t="s">
        <v>628</v>
      </c>
      <c r="M85" s="2" t="s">
        <v>637</v>
      </c>
      <c r="N85" s="4" t="s">
        <v>48</v>
      </c>
      <c r="O85" s="2" t="s">
        <v>49</v>
      </c>
      <c r="P85" s="2" t="s">
        <v>50</v>
      </c>
      <c r="Q85" s="2" t="s">
        <v>69</v>
      </c>
      <c r="R85" s="2" t="s">
        <v>52</v>
      </c>
      <c r="S85" s="2" t="s">
        <v>53</v>
      </c>
      <c r="T85" s="2" t="s">
        <v>54</v>
      </c>
      <c r="U85" s="2" t="s">
        <v>55</v>
      </c>
      <c r="V85" s="2" t="s">
        <v>70</v>
      </c>
      <c r="W85" s="2" t="s">
        <v>71</v>
      </c>
      <c r="X85" s="2">
        <v>413514500</v>
      </c>
      <c r="Y85" s="2" t="s">
        <v>134</v>
      </c>
      <c r="Z85" s="2" t="s">
        <v>543</v>
      </c>
      <c r="AA85" s="2" t="s">
        <v>60</v>
      </c>
      <c r="AB85" s="2" t="s">
        <v>61</v>
      </c>
      <c r="AC85" s="2" t="s">
        <v>136</v>
      </c>
      <c r="AD85" s="2" t="s">
        <v>544</v>
      </c>
      <c r="AE85" s="2" t="s">
        <v>630</v>
      </c>
      <c r="AF85" s="6">
        <v>5</v>
      </c>
      <c r="AG85" s="6">
        <v>5</v>
      </c>
      <c r="AH85" s="2" t="str">
        <f t="shared" si="0"/>
        <v>yes</v>
      </c>
      <c r="AI85" s="2" t="str" cm="1">
        <f t="array" ref="AI85">_xlfn.IFS(AF85&lt;25,"Less",AF85=25,"Equal",AF85&gt;25,"More")</f>
        <v>Less</v>
      </c>
      <c r="AJ85" s="11"/>
      <c r="AK85" s="11" t="s">
        <v>125</v>
      </c>
      <c r="AL85" s="2" t="s">
        <v>631</v>
      </c>
      <c r="AM85" s="5" t="str">
        <f>VLOOKUP(D85,'slb RAW'!$E$2:$AF$293,9)</f>
        <v>#N/A N/A</v>
      </c>
      <c r="AN85" s="2" t="str">
        <f>VLOOKUP(D85,'slb RAW'!$E$2:$AE$293,27)</f>
        <v>#N/A N/A</v>
      </c>
      <c r="AO85" s="2" t="e">
        <f>VLOOKUP(C85,'Refinitiv SLB'!F85:S262,14)</f>
        <v>#N/A</v>
      </c>
      <c r="AP85" s="2" t="str">
        <f t="shared" si="1"/>
        <v>#N/A N/A</v>
      </c>
      <c r="AQ85" s="7" t="str">
        <f t="shared" si="2"/>
        <v>Fritz Draexlmaier GmbH &amp; Co KGAT MATURITYFLOATINGEURSr Unsecured</v>
      </c>
      <c r="AR85" s="5" t="b">
        <f ca="1">ISNUMBER( IFERROR(VLOOKUP(A85,Pairs!$E$2:$E$57,1,FALSE),FALSE))</f>
        <v>0</v>
      </c>
      <c r="AS85" s="5"/>
      <c r="AT85" s="5"/>
    </row>
    <row r="86" spans="1:46" ht="15.75" customHeight="1" x14ac:dyDescent="0.2">
      <c r="A86" s="2">
        <v>113</v>
      </c>
      <c r="B86" s="2" t="s">
        <v>624</v>
      </c>
      <c r="C86" s="2" t="str">
        <f>VLOOKUP(D86,'slb RAW'!$E:$F,2)</f>
        <v>#N/A Field Not Applicable</v>
      </c>
      <c r="D86" s="2" t="s">
        <v>638</v>
      </c>
      <c r="E86" s="2" t="s">
        <v>639</v>
      </c>
      <c r="F86" s="2" t="s">
        <v>627</v>
      </c>
      <c r="G86" s="2" t="s">
        <v>45</v>
      </c>
      <c r="H86" s="2" t="s">
        <v>45</v>
      </c>
      <c r="I86" s="2" t="s">
        <v>45</v>
      </c>
      <c r="J86" s="2" t="b">
        <f t="shared" si="5"/>
        <v>1</v>
      </c>
      <c r="K86" s="2">
        <v>0</v>
      </c>
      <c r="L86" s="2" t="s">
        <v>628</v>
      </c>
      <c r="M86" s="2" t="s">
        <v>640</v>
      </c>
      <c r="N86" s="4" t="s">
        <v>48</v>
      </c>
      <c r="O86" s="2" t="s">
        <v>49</v>
      </c>
      <c r="P86" s="2" t="s">
        <v>50</v>
      </c>
      <c r="Q86" s="2" t="s">
        <v>51</v>
      </c>
      <c r="R86" s="2" t="s">
        <v>52</v>
      </c>
      <c r="S86" s="2" t="s">
        <v>53</v>
      </c>
      <c r="T86" s="2" t="s">
        <v>54</v>
      </c>
      <c r="U86" s="2" t="s">
        <v>55</v>
      </c>
      <c r="V86" s="2" t="s">
        <v>56</v>
      </c>
      <c r="W86" s="2" t="s">
        <v>57</v>
      </c>
      <c r="X86" s="2">
        <v>413514500</v>
      </c>
      <c r="Y86" s="2" t="s">
        <v>134</v>
      </c>
      <c r="Z86" s="2" t="s">
        <v>543</v>
      </c>
      <c r="AA86" s="2" t="s">
        <v>60</v>
      </c>
      <c r="AB86" s="2" t="s">
        <v>61</v>
      </c>
      <c r="AC86" s="2" t="s">
        <v>136</v>
      </c>
      <c r="AD86" s="2" t="s">
        <v>544</v>
      </c>
      <c r="AE86" s="2" t="s">
        <v>630</v>
      </c>
      <c r="AF86" s="6">
        <v>5</v>
      </c>
      <c r="AG86" s="6">
        <v>5</v>
      </c>
      <c r="AH86" s="2" t="str">
        <f t="shared" si="0"/>
        <v>yes</v>
      </c>
      <c r="AI86" s="2" t="str" cm="1">
        <f t="array" ref="AI86">_xlfn.IFS(AF86&lt;25,"Less",AF86=25,"Equal",AF86&gt;25,"More")</f>
        <v>Less</v>
      </c>
      <c r="AJ86" s="11"/>
      <c r="AK86" s="11" t="s">
        <v>125</v>
      </c>
      <c r="AL86" s="2" t="s">
        <v>631</v>
      </c>
      <c r="AM86" s="5" t="str">
        <f>VLOOKUP(D86,'slb RAW'!$E$2:$AF$293,9)</f>
        <v>#N/A N/A</v>
      </c>
      <c r="AN86" s="2" t="str">
        <f>VLOOKUP(D86,'slb RAW'!$E$2:$AE$293,27)</f>
        <v>#N/A N/A</v>
      </c>
      <c r="AO86" s="2" t="e">
        <f>VLOOKUP(C86,'Refinitiv SLB'!F86:S263,14)</f>
        <v>#N/A</v>
      </c>
      <c r="AP86" s="2" t="str">
        <f t="shared" si="1"/>
        <v>#N/A N/A</v>
      </c>
      <c r="AQ86" s="7" t="str">
        <f t="shared" si="2"/>
        <v>Fritz Draexlmaier GmbH &amp; Co KGAT MATURITYFIXEDEURSr Unsecured</v>
      </c>
      <c r="AR86" s="5" t="b">
        <f ca="1">ISNUMBER( IFERROR(VLOOKUP(A86,Pairs!$E$2:$E$57,1,FALSE),FALSE))</f>
        <v>0</v>
      </c>
      <c r="AS86" s="5"/>
      <c r="AT86" s="5"/>
    </row>
    <row r="87" spans="1:46" ht="15.75" customHeight="1" x14ac:dyDescent="0.2">
      <c r="A87" s="2">
        <v>76</v>
      </c>
      <c r="B87" s="2" t="s">
        <v>641</v>
      </c>
      <c r="C87" s="2" t="str">
        <f>VLOOKUP(D87,'slb RAW'!$E:$F,2)</f>
        <v>XS2353182020</v>
      </c>
      <c r="D87" s="2" t="s">
        <v>642</v>
      </c>
      <c r="E87" s="2" t="s">
        <v>643</v>
      </c>
      <c r="F87" s="2" t="s">
        <v>644</v>
      </c>
      <c r="G87" s="2" t="s">
        <v>366</v>
      </c>
      <c r="H87" s="2" t="s">
        <v>366</v>
      </c>
      <c r="I87" s="2" t="s">
        <v>199</v>
      </c>
      <c r="J87" s="2" t="b">
        <f t="shared" si="5"/>
        <v>0</v>
      </c>
      <c r="K87" s="2">
        <v>0</v>
      </c>
      <c r="L87" s="2" t="s">
        <v>645</v>
      </c>
      <c r="M87" s="2" t="s">
        <v>646</v>
      </c>
      <c r="N87" s="2">
        <v>0.151</v>
      </c>
      <c r="O87" s="2" t="s">
        <v>115</v>
      </c>
      <c r="P87" s="2" t="s">
        <v>116</v>
      </c>
      <c r="Q87" s="2" t="s">
        <v>225</v>
      </c>
      <c r="R87" s="2" t="s">
        <v>52</v>
      </c>
      <c r="S87" s="2" t="s">
        <v>53</v>
      </c>
      <c r="T87" s="2" t="s">
        <v>619</v>
      </c>
      <c r="U87" s="2" t="s">
        <v>55</v>
      </c>
      <c r="V87" s="2" t="s">
        <v>56</v>
      </c>
      <c r="W87" s="2" t="s">
        <v>57</v>
      </c>
      <c r="X87" s="2">
        <v>1189610000</v>
      </c>
      <c r="Y87" s="2" t="s">
        <v>120</v>
      </c>
      <c r="Z87" s="2" t="s">
        <v>120</v>
      </c>
      <c r="AA87" s="2" t="s">
        <v>60</v>
      </c>
      <c r="AB87" s="2" t="s">
        <v>121</v>
      </c>
      <c r="AC87" s="2" t="s">
        <v>122</v>
      </c>
      <c r="AD87" s="2" t="s">
        <v>122</v>
      </c>
      <c r="AE87" s="2" t="s">
        <v>647</v>
      </c>
      <c r="AF87" s="5">
        <v>25</v>
      </c>
      <c r="AG87" s="6"/>
      <c r="AH87" s="2" t="str">
        <f t="shared" si="0"/>
        <v/>
      </c>
      <c r="AI87" s="2" t="str" cm="1">
        <f t="array" ref="AI87">_xlfn.IFS(AF87&lt;25,"Less",AF87=25,"Equal",AF87&gt;25,"More")</f>
        <v>Equal</v>
      </c>
      <c r="AJ87" s="6"/>
      <c r="AK87" s="6" t="s">
        <v>125</v>
      </c>
      <c r="AL87" s="2" t="s">
        <v>648</v>
      </c>
      <c r="AM87" s="5" t="str">
        <f>VLOOKUP(D87,'slb RAW'!$E$2:$AF$293,9)</f>
        <v>#N/A N/A</v>
      </c>
      <c r="AN87" s="2">
        <f>VLOOKUP(D87,'slb RAW'!$E$2:$AE$293,27)</f>
        <v>0.16600000000000001</v>
      </c>
      <c r="AO87" s="2">
        <f>VLOOKUP(C87,'Refinitiv SLB'!F87:S264,14)</f>
        <v>4.8710000000000004</v>
      </c>
      <c r="AP87" s="2">
        <f t="shared" si="1"/>
        <v>0.16600000000000001</v>
      </c>
      <c r="AQ87" s="7" t="str">
        <f t="shared" si="2"/>
        <v>Enel Finance International NVCALLABLEFIXEDEURSr Unsecured</v>
      </c>
      <c r="AR87" s="5" t="b">
        <f ca="1">ISNUMBER( IFERROR(VLOOKUP(A87,Pairs!$E$2:$E$57,1,FALSE),FALSE))</f>
        <v>0</v>
      </c>
      <c r="AS87" s="5"/>
      <c r="AT87" s="5"/>
    </row>
    <row r="88" spans="1:46" ht="15.75" customHeight="1" x14ac:dyDescent="0.2">
      <c r="A88" s="2">
        <v>98</v>
      </c>
      <c r="B88" s="2" t="s">
        <v>641</v>
      </c>
      <c r="C88" s="2" t="str">
        <f>VLOOKUP(D88,'slb RAW'!$E:$F,2)</f>
        <v>XS2353182293</v>
      </c>
      <c r="D88" s="2" t="s">
        <v>649</v>
      </c>
      <c r="E88" s="2" t="s">
        <v>650</v>
      </c>
      <c r="F88" s="2" t="s">
        <v>644</v>
      </c>
      <c r="G88" s="2" t="s">
        <v>366</v>
      </c>
      <c r="H88" s="2" t="s">
        <v>366</v>
      </c>
      <c r="I88" s="2" t="s">
        <v>199</v>
      </c>
      <c r="J88" s="2" t="b">
        <f t="shared" si="5"/>
        <v>0</v>
      </c>
      <c r="K88" s="2">
        <v>0.5</v>
      </c>
      <c r="L88" s="2" t="s">
        <v>645</v>
      </c>
      <c r="M88" s="2" t="s">
        <v>651</v>
      </c>
      <c r="N88" s="8">
        <v>0.48780000000000001</v>
      </c>
      <c r="O88" s="2" t="s">
        <v>115</v>
      </c>
      <c r="P88" s="2" t="s">
        <v>116</v>
      </c>
      <c r="Q88" s="2" t="s">
        <v>225</v>
      </c>
      <c r="R88" s="2" t="s">
        <v>52</v>
      </c>
      <c r="S88" s="2" t="s">
        <v>53</v>
      </c>
      <c r="T88" s="2" t="s">
        <v>619</v>
      </c>
      <c r="U88" s="2" t="s">
        <v>55</v>
      </c>
      <c r="V88" s="2" t="s">
        <v>56</v>
      </c>
      <c r="W88" s="2" t="s">
        <v>57</v>
      </c>
      <c r="X88" s="2">
        <v>1487012500</v>
      </c>
      <c r="Y88" s="2" t="s">
        <v>120</v>
      </c>
      <c r="Z88" s="2" t="s">
        <v>120</v>
      </c>
      <c r="AA88" s="2" t="s">
        <v>60</v>
      </c>
      <c r="AB88" s="2" t="s">
        <v>121</v>
      </c>
      <c r="AC88" s="2" t="s">
        <v>122</v>
      </c>
      <c r="AD88" s="2" t="s">
        <v>122</v>
      </c>
      <c r="AE88" s="2" t="s">
        <v>647</v>
      </c>
      <c r="AF88" s="5">
        <v>25</v>
      </c>
      <c r="AG88" s="6"/>
      <c r="AH88" s="2" t="str">
        <f t="shared" si="0"/>
        <v/>
      </c>
      <c r="AI88" s="2" t="str" cm="1">
        <f t="array" ref="AI88">_xlfn.IFS(AF88&lt;25,"Less",AF88=25,"Equal",AF88&gt;25,"More")</f>
        <v>Equal</v>
      </c>
      <c r="AJ88" s="6"/>
      <c r="AK88" s="6" t="s">
        <v>125</v>
      </c>
      <c r="AL88" s="2" t="s">
        <v>652</v>
      </c>
      <c r="AM88" s="5" t="str">
        <f>VLOOKUP(D88,'slb RAW'!$E$2:$AF$293,9)</f>
        <v>#N/A N/A</v>
      </c>
      <c r="AN88" s="2">
        <f>VLOOKUP(D88,'slb RAW'!$E$2:$AE$293,27)</f>
        <v>0.49399999999999999</v>
      </c>
      <c r="AO88" s="2">
        <f>VLOOKUP(C88,'Refinitiv SLB'!F88:S265,14)</f>
        <v>4.8710000000000004</v>
      </c>
      <c r="AP88" s="2">
        <f t="shared" si="1"/>
        <v>0.49399999999999999</v>
      </c>
      <c r="AQ88" s="7" t="str">
        <f t="shared" si="2"/>
        <v>Enel Finance International NVCALLABLEFIXEDEURSr Unsecured</v>
      </c>
      <c r="AR88" s="5" t="b">
        <f ca="1">ISNUMBER( IFERROR(VLOOKUP(A88,Pairs!$E$2:$E$57,1,FALSE),FALSE))</f>
        <v>0</v>
      </c>
      <c r="AS88" s="5"/>
      <c r="AT88" s="5"/>
    </row>
    <row r="89" spans="1:46" ht="15.75" customHeight="1" x14ac:dyDescent="0.2">
      <c r="A89" s="2">
        <v>97</v>
      </c>
      <c r="B89" s="2" t="s">
        <v>641</v>
      </c>
      <c r="C89" s="2" t="str">
        <f>VLOOKUP(D89,'slb RAW'!$E:$F,2)</f>
        <v>XS2353182376</v>
      </c>
      <c r="D89" s="2" t="s">
        <v>653</v>
      </c>
      <c r="E89" s="2" t="s">
        <v>654</v>
      </c>
      <c r="F89" s="2" t="s">
        <v>644</v>
      </c>
      <c r="G89" s="2" t="s">
        <v>366</v>
      </c>
      <c r="H89" s="2" t="s">
        <v>366</v>
      </c>
      <c r="I89" s="2" t="s">
        <v>199</v>
      </c>
      <c r="J89" s="2" t="b">
        <f t="shared" si="5"/>
        <v>0</v>
      </c>
      <c r="K89" s="2">
        <v>0.875</v>
      </c>
      <c r="L89" s="2" t="s">
        <v>645</v>
      </c>
      <c r="M89" s="2" t="s">
        <v>655</v>
      </c>
      <c r="N89" s="8">
        <v>0.92310000000000003</v>
      </c>
      <c r="O89" s="2" t="s">
        <v>115</v>
      </c>
      <c r="P89" s="2" t="s">
        <v>116</v>
      </c>
      <c r="Q89" s="2" t="s">
        <v>225</v>
      </c>
      <c r="R89" s="2" t="s">
        <v>52</v>
      </c>
      <c r="S89" s="2" t="s">
        <v>53</v>
      </c>
      <c r="T89" s="2" t="s">
        <v>619</v>
      </c>
      <c r="U89" s="2" t="s">
        <v>55</v>
      </c>
      <c r="V89" s="2" t="s">
        <v>56</v>
      </c>
      <c r="W89" s="2" t="s">
        <v>57</v>
      </c>
      <c r="X89" s="2">
        <v>1189610000</v>
      </c>
      <c r="Y89" s="2" t="s">
        <v>120</v>
      </c>
      <c r="Z89" s="2" t="s">
        <v>120</v>
      </c>
      <c r="AA89" s="2" t="s">
        <v>60</v>
      </c>
      <c r="AB89" s="2" t="s">
        <v>121</v>
      </c>
      <c r="AC89" s="2" t="s">
        <v>122</v>
      </c>
      <c r="AD89" s="2" t="s">
        <v>122</v>
      </c>
      <c r="AE89" s="2" t="s">
        <v>656</v>
      </c>
      <c r="AF89" s="5">
        <v>25</v>
      </c>
      <c r="AG89" s="6"/>
      <c r="AH89" s="2" t="str">
        <f t="shared" si="0"/>
        <v/>
      </c>
      <c r="AI89" s="2" t="str" cm="1">
        <f t="array" ref="AI89">_xlfn.IFS(AF89&lt;25,"Less",AF89=25,"Equal",AF89&gt;25,"More")</f>
        <v>Equal</v>
      </c>
      <c r="AJ89" s="6"/>
      <c r="AK89" s="6" t="s">
        <v>125</v>
      </c>
      <c r="AL89" s="2" t="s">
        <v>648</v>
      </c>
      <c r="AM89" s="5" t="str">
        <f>VLOOKUP(D89,'slb RAW'!$E$2:$AF$293,9)</f>
        <v>#N/A N/A</v>
      </c>
      <c r="AN89" s="2">
        <f>VLOOKUP(D89,'slb RAW'!$E$2:$AE$293,27)</f>
        <v>0.92100000000000004</v>
      </c>
      <c r="AO89" s="2">
        <f>VLOOKUP(C89,'Refinitiv SLB'!F89:S266,14)</f>
        <v>4.8710000000000004</v>
      </c>
      <c r="AP89" s="2">
        <f t="shared" si="1"/>
        <v>0.92100000000000004</v>
      </c>
      <c r="AQ89" s="7" t="str">
        <f t="shared" si="2"/>
        <v>Enel Finance International NVCALLABLEFIXEDEURSr Unsecured</v>
      </c>
      <c r="AR89" s="5" t="b">
        <f ca="1">ISNUMBER( IFERROR(VLOOKUP(A89,Pairs!$E$2:$E$57,1,FALSE),FALSE))</f>
        <v>0</v>
      </c>
      <c r="AS89" s="5"/>
      <c r="AT89" s="5"/>
    </row>
    <row r="90" spans="1:46" s="80" customFormat="1" ht="15.75" customHeight="1" x14ac:dyDescent="0.2">
      <c r="A90" s="79">
        <v>145</v>
      </c>
      <c r="B90" s="79" t="s">
        <v>657</v>
      </c>
      <c r="C90" s="79" t="str">
        <f>VLOOKUP(D90,'slb RAW'!$E:$F,2)</f>
        <v>US46592QAA76</v>
      </c>
      <c r="D90" s="79" t="s">
        <v>658</v>
      </c>
      <c r="E90" s="79" t="s">
        <v>659</v>
      </c>
      <c r="F90" s="79" t="s">
        <v>660</v>
      </c>
      <c r="G90" s="79" t="s">
        <v>169</v>
      </c>
      <c r="H90" s="79" t="s">
        <v>169</v>
      </c>
      <c r="I90" s="79" t="s">
        <v>185</v>
      </c>
      <c r="J90" s="2" t="b">
        <f t="shared" si="5"/>
        <v>0</v>
      </c>
      <c r="K90" s="79">
        <v>3.625</v>
      </c>
      <c r="L90" s="79" t="s">
        <v>661</v>
      </c>
      <c r="M90" s="79" t="s">
        <v>662</v>
      </c>
      <c r="N90" s="79">
        <v>3.75</v>
      </c>
      <c r="O90" s="79" t="s">
        <v>115</v>
      </c>
      <c r="P90" s="79" t="s">
        <v>116</v>
      </c>
      <c r="Q90" s="79" t="s">
        <v>261</v>
      </c>
      <c r="R90" s="79" t="s">
        <v>52</v>
      </c>
      <c r="S90" s="79" t="s">
        <v>262</v>
      </c>
      <c r="T90" s="79" t="s">
        <v>496</v>
      </c>
      <c r="U90" s="79" t="s">
        <v>55</v>
      </c>
      <c r="V90" s="79" t="s">
        <v>56</v>
      </c>
      <c r="W90" s="79" t="s">
        <v>71</v>
      </c>
      <c r="X90" s="79">
        <v>1000000000</v>
      </c>
      <c r="Y90" s="79" t="s">
        <v>421</v>
      </c>
      <c r="Z90" s="79" t="s">
        <v>663</v>
      </c>
      <c r="AA90" s="79" t="s">
        <v>60</v>
      </c>
      <c r="AB90" s="79" t="s">
        <v>61</v>
      </c>
      <c r="AC90" s="79" t="s">
        <v>227</v>
      </c>
      <c r="AD90" s="79" t="s">
        <v>664</v>
      </c>
      <c r="AE90" s="79" t="s">
        <v>665</v>
      </c>
      <c r="AF90" s="83">
        <v>25</v>
      </c>
      <c r="AG90" s="82"/>
      <c r="AH90" s="79" t="str">
        <f t="shared" si="0"/>
        <v/>
      </c>
      <c r="AI90" s="2" t="str" cm="1">
        <f t="array" ref="AI90">_xlfn.IFS(AF90&lt;25,"Less",AF90=25,"Equal",AF90&gt;25,"More")</f>
        <v>Equal</v>
      </c>
      <c r="AJ90" s="82"/>
      <c r="AK90" s="82" t="s">
        <v>125</v>
      </c>
      <c r="AL90" s="79" t="s">
        <v>666</v>
      </c>
      <c r="AM90" s="83">
        <f>VLOOKUP(D90,'slb RAW'!$E$2:$AF$293,9)</f>
        <v>3.75</v>
      </c>
      <c r="AN90" s="79">
        <f>VLOOKUP(D90,'slb RAW'!$E$2:$AE$293,27)</f>
        <v>3.6890000000000001</v>
      </c>
      <c r="AO90" s="79" t="str">
        <f>VLOOKUP(C90,'Refinitiv SLB'!F90:S267,14)</f>
        <v/>
      </c>
      <c r="AP90" s="79">
        <f t="shared" si="1"/>
        <v>3.6890000000000001</v>
      </c>
      <c r="AQ90" s="84" t="str">
        <f t="shared" si="2"/>
        <v>JBS Finance Luxembourg SarlCALLABLEFIXEDUSDSr Unsecured</v>
      </c>
      <c r="AR90" s="83" t="b">
        <f ca="1">ISNUMBER( IFERROR(VLOOKUP(A90,Pairs!$E$2:$E$57,1,FALSE),FALSE))</f>
        <v>0</v>
      </c>
      <c r="AS90" s="83"/>
      <c r="AT90" s="83"/>
    </row>
    <row r="91" spans="1:46" s="80" customFormat="1" ht="15.75" customHeight="1" x14ac:dyDescent="0.2">
      <c r="A91" s="79">
        <v>144</v>
      </c>
      <c r="B91" s="79" t="s">
        <v>657</v>
      </c>
      <c r="C91" s="79" t="str">
        <f>VLOOKUP(D91,'slb RAW'!$E:$F,2)</f>
        <v>USL5S59NAA30</v>
      </c>
      <c r="D91" s="79" t="s">
        <v>667</v>
      </c>
      <c r="E91" s="79" t="s">
        <v>668</v>
      </c>
      <c r="F91" s="79" t="s">
        <v>660</v>
      </c>
      <c r="G91" s="79" t="s">
        <v>169</v>
      </c>
      <c r="H91" s="79" t="s">
        <v>169</v>
      </c>
      <c r="I91" s="79" t="s">
        <v>185</v>
      </c>
      <c r="J91" s="2" t="b">
        <f t="shared" si="5"/>
        <v>0</v>
      </c>
      <c r="K91" s="79">
        <v>3.625</v>
      </c>
      <c r="L91" s="79" t="s">
        <v>661</v>
      </c>
      <c r="M91" s="79" t="s">
        <v>662</v>
      </c>
      <c r="N91" s="79">
        <v>3.75</v>
      </c>
      <c r="O91" s="79" t="s">
        <v>115</v>
      </c>
      <c r="P91" s="79" t="s">
        <v>116</v>
      </c>
      <c r="Q91" s="79" t="s">
        <v>270</v>
      </c>
      <c r="R91" s="79" t="s">
        <v>52</v>
      </c>
      <c r="S91" s="79" t="s">
        <v>262</v>
      </c>
      <c r="T91" s="79" t="s">
        <v>496</v>
      </c>
      <c r="U91" s="79" t="s">
        <v>55</v>
      </c>
      <c r="V91" s="79" t="s">
        <v>56</v>
      </c>
      <c r="W91" s="79" t="s">
        <v>71</v>
      </c>
      <c r="X91" s="79">
        <v>1000000000</v>
      </c>
      <c r="Y91" s="79" t="s">
        <v>421</v>
      </c>
      <c r="Z91" s="79" t="s">
        <v>663</v>
      </c>
      <c r="AA91" s="79" t="s">
        <v>60</v>
      </c>
      <c r="AB91" s="79" t="s">
        <v>61</v>
      </c>
      <c r="AC91" s="79" t="s">
        <v>227</v>
      </c>
      <c r="AD91" s="79" t="s">
        <v>664</v>
      </c>
      <c r="AE91" s="79" t="s">
        <v>665</v>
      </c>
      <c r="AF91" s="83">
        <v>25</v>
      </c>
      <c r="AG91" s="82"/>
      <c r="AH91" s="79" t="str">
        <f t="shared" si="0"/>
        <v/>
      </c>
      <c r="AI91" s="2" t="str" cm="1">
        <f t="array" ref="AI91">_xlfn.IFS(AF91&lt;25,"Less",AF91=25,"Equal",AF91&gt;25,"More")</f>
        <v>Equal</v>
      </c>
      <c r="AJ91" s="82"/>
      <c r="AK91" s="82" t="s">
        <v>125</v>
      </c>
      <c r="AL91" s="79" t="s">
        <v>669</v>
      </c>
      <c r="AM91" s="83">
        <f>VLOOKUP(D91,'slb RAW'!$E$2:$AF$293,9)</f>
        <v>3.75</v>
      </c>
      <c r="AN91" s="79">
        <f>VLOOKUP(D91,'slb RAW'!$E$2:$AE$293,27)</f>
        <v>3.7109999999999999</v>
      </c>
      <c r="AO91" s="79">
        <f>VLOOKUP(C91,'Refinitiv SLB'!F91:S268,14)</f>
        <v>5.1292999999999997</v>
      </c>
      <c r="AP91" s="79">
        <f t="shared" si="1"/>
        <v>3.7109999999999999</v>
      </c>
      <c r="AQ91" s="84" t="str">
        <f t="shared" si="2"/>
        <v>JBS Finance Luxembourg SarlCALLABLEFIXEDUSDSr Unsecured</v>
      </c>
      <c r="AR91" s="83" t="b">
        <f ca="1">ISNUMBER( IFERROR(VLOOKUP(A91,Pairs!$E$2:$E$57,1,FALSE),FALSE))</f>
        <v>0</v>
      </c>
      <c r="AS91" s="83"/>
      <c r="AT91" s="83"/>
    </row>
    <row r="92" spans="1:46" ht="15.75" customHeight="1" x14ac:dyDescent="0.2">
      <c r="A92" s="2">
        <v>71</v>
      </c>
      <c r="B92" s="2" t="s">
        <v>670</v>
      </c>
      <c r="C92" s="2" t="str">
        <f>VLOOKUP(D92,'slb RAW'!$E:$F,2)</f>
        <v>FR0014003YP6</v>
      </c>
      <c r="D92" s="2" t="s">
        <v>671</v>
      </c>
      <c r="E92" s="2" t="s">
        <v>672</v>
      </c>
      <c r="F92" s="2" t="s">
        <v>673</v>
      </c>
      <c r="G92" s="2" t="s">
        <v>184</v>
      </c>
      <c r="H92" s="2" t="s">
        <v>184</v>
      </c>
      <c r="I92" s="2" t="s">
        <v>184</v>
      </c>
      <c r="J92" s="2" t="b">
        <f t="shared" si="5"/>
        <v>1</v>
      </c>
      <c r="K92" s="2">
        <v>0</v>
      </c>
      <c r="L92" s="2" t="s">
        <v>617</v>
      </c>
      <c r="M92" s="2" t="s">
        <v>618</v>
      </c>
      <c r="N92" s="2">
        <v>-0.12</v>
      </c>
      <c r="O92" s="2" t="s">
        <v>188</v>
      </c>
      <c r="P92" s="2" t="s">
        <v>50</v>
      </c>
      <c r="Q92" s="2" t="s">
        <v>674</v>
      </c>
      <c r="R92" s="2" t="s">
        <v>52</v>
      </c>
      <c r="S92" s="2" t="s">
        <v>53</v>
      </c>
      <c r="T92" s="2" t="s">
        <v>54</v>
      </c>
      <c r="U92" s="2" t="s">
        <v>420</v>
      </c>
      <c r="V92" s="2" t="s">
        <v>675</v>
      </c>
      <c r="W92" s="2" t="s">
        <v>173</v>
      </c>
      <c r="X92" s="2">
        <v>484887980.21700001</v>
      </c>
      <c r="Y92" s="2" t="s">
        <v>134</v>
      </c>
      <c r="Z92" s="2" t="s">
        <v>676</v>
      </c>
      <c r="AA92" s="2" t="s">
        <v>60</v>
      </c>
      <c r="AB92" s="2" t="s">
        <v>61</v>
      </c>
      <c r="AC92" s="2" t="s">
        <v>136</v>
      </c>
      <c r="AD92" s="2" t="s">
        <v>310</v>
      </c>
      <c r="AE92" s="2" t="s">
        <v>677</v>
      </c>
      <c r="AF92" s="5">
        <v>50</v>
      </c>
      <c r="AG92" s="6"/>
      <c r="AH92" s="2" t="str">
        <f t="shared" si="0"/>
        <v/>
      </c>
      <c r="AI92" s="2" t="str" cm="1">
        <f t="array" ref="AI92">_xlfn.IFS(AF92&lt;25,"Less",AF92=25,"Equal",AF92&gt;25,"More")</f>
        <v>More</v>
      </c>
      <c r="AJ92" s="6"/>
      <c r="AK92" s="6" t="s">
        <v>611</v>
      </c>
      <c r="AL92" s="2" t="s">
        <v>678</v>
      </c>
      <c r="AM92" s="5">
        <f>VLOOKUP(D92,'slb RAW'!$E$2:$AF$293,9)</f>
        <v>-0.12</v>
      </c>
      <c r="AN92" s="2">
        <f>VLOOKUP(D92,'slb RAW'!$E$2:$AE$293,27)</f>
        <v>-0.318</v>
      </c>
      <c r="AO92" s="2" t="str">
        <f>VLOOKUP(C92,'Refinitiv SLB'!F92:S269,14)</f>
        <v/>
      </c>
      <c r="AP92" s="2">
        <f t="shared" si="1"/>
        <v>-0.318</v>
      </c>
      <c r="AQ92" s="7" t="str">
        <f t="shared" si="2"/>
        <v>EdenredCONVERTIBLEZERO COUPONEURSr Unsecured</v>
      </c>
      <c r="AR92" s="5" t="b">
        <f ca="1">ISNUMBER( IFERROR(VLOOKUP(A92,Pairs!$E$2:$E$57,1,FALSE),FALSE))</f>
        <v>0</v>
      </c>
      <c r="AS92" s="5"/>
      <c r="AT92" s="5"/>
    </row>
    <row r="93" spans="1:46" ht="15.75" customHeight="1" x14ac:dyDescent="0.2">
      <c r="A93" s="2">
        <v>230</v>
      </c>
      <c r="B93" s="2" t="s">
        <v>679</v>
      </c>
      <c r="C93" s="2" t="str">
        <f>VLOOKUP(D93,'slb RAW'!$E:$F,2)</f>
        <v>XS2353270239</v>
      </c>
      <c r="D93" s="2" t="s">
        <v>680</v>
      </c>
      <c r="E93" s="2" t="s">
        <v>681</v>
      </c>
      <c r="F93" s="2" t="s">
        <v>682</v>
      </c>
      <c r="G93" s="2" t="s">
        <v>367</v>
      </c>
      <c r="H93" s="2" t="s">
        <v>367</v>
      </c>
      <c r="I93" s="2" t="s">
        <v>367</v>
      </c>
      <c r="J93" s="2" t="b">
        <f t="shared" si="5"/>
        <v>1</v>
      </c>
      <c r="K93" s="2">
        <v>1.8960000000000001</v>
      </c>
      <c r="L93" s="2" t="s">
        <v>683</v>
      </c>
      <c r="M93" s="2" t="s">
        <v>684</v>
      </c>
      <c r="N93" s="8">
        <v>1.6949000000000001</v>
      </c>
      <c r="O93" s="2" t="s">
        <v>49</v>
      </c>
      <c r="P93" s="2" t="s">
        <v>50</v>
      </c>
      <c r="Q93" s="2" t="s">
        <v>685</v>
      </c>
      <c r="R93" s="2" t="s">
        <v>52</v>
      </c>
      <c r="S93" s="2" t="s">
        <v>686</v>
      </c>
      <c r="T93" s="2" t="s">
        <v>54</v>
      </c>
      <c r="U93" s="2" t="s">
        <v>55</v>
      </c>
      <c r="V93" s="2" t="s">
        <v>70</v>
      </c>
      <c r="W93" s="2" t="s">
        <v>391</v>
      </c>
      <c r="X93" s="2">
        <v>239118000</v>
      </c>
      <c r="Y93" s="2" t="s">
        <v>85</v>
      </c>
      <c r="Z93" s="2" t="s">
        <v>86</v>
      </c>
      <c r="AA93" s="2" t="s">
        <v>60</v>
      </c>
      <c r="AB93" s="2" t="s">
        <v>61</v>
      </c>
      <c r="AC93" s="2" t="s">
        <v>87</v>
      </c>
      <c r="AD93" s="2" t="s">
        <v>88</v>
      </c>
      <c r="AE93" s="2" t="s">
        <v>687</v>
      </c>
      <c r="AF93" s="11">
        <v>100</v>
      </c>
      <c r="AG93" s="6"/>
      <c r="AH93" s="2" t="str">
        <f t="shared" si="0"/>
        <v/>
      </c>
      <c r="AI93" s="2" t="str" cm="1">
        <f t="array" ref="AI93">_xlfn.IFS(AF93&lt;25,"Less",AF93=25,"Equal",AF93&gt;25,"More")</f>
        <v>More</v>
      </c>
      <c r="AJ93" s="6"/>
      <c r="AK93" s="6" t="s">
        <v>125</v>
      </c>
      <c r="AL93" s="2" t="s">
        <v>688</v>
      </c>
      <c r="AM93" s="5" t="str">
        <f>VLOOKUP(D93,'slb RAW'!$E$2:$AF$293,9)</f>
        <v>#N/A N/A</v>
      </c>
      <c r="AN93" s="2">
        <f>VLOOKUP(D93,'slb RAW'!$E$2:$AE$293,27)</f>
        <v>1.66</v>
      </c>
      <c r="AO93" s="2">
        <f>VLOOKUP(C93,'Refinitiv SLB'!F93:S270,14)</f>
        <v>4.2309999999999999</v>
      </c>
      <c r="AP93" s="2">
        <f t="shared" si="1"/>
        <v>1.66</v>
      </c>
      <c r="AQ93" s="7" t="str">
        <f t="shared" si="2"/>
        <v>SSAB ABAT MATURITYFLOATINGSEKSr Unsecured</v>
      </c>
      <c r="AR93" s="5" t="b">
        <f ca="1">ISNUMBER( IFERROR(VLOOKUP(A93,Pairs!$E$2:$E$57,1,FALSE),FALSE))</f>
        <v>1</v>
      </c>
      <c r="AS93" s="5"/>
      <c r="AT93" s="5"/>
    </row>
    <row r="94" spans="1:46" ht="15.75" customHeight="1" x14ac:dyDescent="0.2">
      <c r="A94" s="2">
        <v>42</v>
      </c>
      <c r="B94" s="2" t="s">
        <v>689</v>
      </c>
      <c r="C94" s="2" t="str">
        <f>VLOOKUP(D94,'slb RAW'!$E:$F,2)</f>
        <v>#N/A Field Not Applicable</v>
      </c>
      <c r="D94" s="2" t="s">
        <v>690</v>
      </c>
      <c r="E94" s="2" t="s">
        <v>691</v>
      </c>
      <c r="F94" s="2" t="s">
        <v>692</v>
      </c>
      <c r="G94" s="2" t="s">
        <v>257</v>
      </c>
      <c r="H94" s="2" t="s">
        <v>257</v>
      </c>
      <c r="I94" s="2" t="s">
        <v>257</v>
      </c>
      <c r="J94" s="2" t="b">
        <f t="shared" si="5"/>
        <v>1</v>
      </c>
      <c r="K94" s="12">
        <v>0</v>
      </c>
      <c r="L94" s="2" t="s">
        <v>693</v>
      </c>
      <c r="M94" s="2" t="s">
        <v>694</v>
      </c>
      <c r="N94" s="4" t="s">
        <v>48</v>
      </c>
      <c r="O94" s="2" t="s">
        <v>49</v>
      </c>
      <c r="P94" s="2" t="s">
        <v>50</v>
      </c>
      <c r="Q94" s="2" t="s">
        <v>69</v>
      </c>
      <c r="R94" s="2" t="s">
        <v>52</v>
      </c>
      <c r="S94" s="2" t="s">
        <v>53</v>
      </c>
      <c r="T94" s="2" t="s">
        <v>54</v>
      </c>
      <c r="U94" s="2" t="s">
        <v>55</v>
      </c>
      <c r="V94" s="2" t="s">
        <v>70</v>
      </c>
      <c r="W94" s="2" t="s">
        <v>71</v>
      </c>
      <c r="X94" s="2">
        <v>473520000</v>
      </c>
      <c r="Y94" s="2" t="s">
        <v>85</v>
      </c>
      <c r="Z94" s="2" t="s">
        <v>264</v>
      </c>
      <c r="AA94" s="2" t="s">
        <v>60</v>
      </c>
      <c r="AB94" s="2" t="s">
        <v>61</v>
      </c>
      <c r="AC94" s="2" t="s">
        <v>176</v>
      </c>
      <c r="AD94" s="2" t="s">
        <v>578</v>
      </c>
      <c r="AE94" s="2" t="s">
        <v>695</v>
      </c>
      <c r="AF94" s="5">
        <v>2.5</v>
      </c>
      <c r="AG94" s="5">
        <v>2.5</v>
      </c>
      <c r="AH94" s="2" t="str">
        <f t="shared" si="0"/>
        <v>yes</v>
      </c>
      <c r="AI94" s="2" t="str" cm="1">
        <f t="array" ref="AI94">_xlfn.IFS(AF94&lt;25,"Less",AF94=25,"Equal",AF94&gt;25,"More")</f>
        <v>Less</v>
      </c>
      <c r="AJ94" s="6"/>
      <c r="AK94" s="6" t="s">
        <v>64</v>
      </c>
      <c r="AL94" s="2" t="s">
        <v>696</v>
      </c>
      <c r="AM94" s="5" t="str">
        <f>VLOOKUP(D94,'slb RAW'!$E$2:$AF$293,9)</f>
        <v>#N/A N/A</v>
      </c>
      <c r="AN94" s="2" t="str">
        <f>VLOOKUP(D94,'slb RAW'!$E$2:$AE$293,27)</f>
        <v>#N/A N/A</v>
      </c>
      <c r="AO94" s="2" t="e">
        <f>VLOOKUP(C94,'Refinitiv SLB'!F94:S271,14)</f>
        <v>#N/A</v>
      </c>
      <c r="AP94" s="2" t="str">
        <f t="shared" si="1"/>
        <v>#N/A N/A</v>
      </c>
      <c r="AQ94" s="7" t="str">
        <f t="shared" si="2"/>
        <v>Constantia Flexibles GmbHAT MATURITYFLOATINGEURSr Unsecured</v>
      </c>
      <c r="AR94" s="5" t="b">
        <f ca="1">ISNUMBER( IFERROR(VLOOKUP(A94,Pairs!$E$2:$E$57,1,FALSE),FALSE))</f>
        <v>0</v>
      </c>
      <c r="AS94" s="5"/>
      <c r="AT94" s="5"/>
    </row>
    <row r="95" spans="1:46" ht="15.75" customHeight="1" x14ac:dyDescent="0.2">
      <c r="A95" s="2">
        <v>41</v>
      </c>
      <c r="B95" s="2" t="s">
        <v>689</v>
      </c>
      <c r="C95" s="2" t="str">
        <f>VLOOKUP(D95,'slb RAW'!$E:$F,2)</f>
        <v>#N/A Field Not Applicable</v>
      </c>
      <c r="D95" s="2" t="s">
        <v>697</v>
      </c>
      <c r="E95" s="2" t="s">
        <v>698</v>
      </c>
      <c r="F95" s="2" t="s">
        <v>692</v>
      </c>
      <c r="G95" s="2" t="s">
        <v>257</v>
      </c>
      <c r="H95" s="2" t="s">
        <v>257</v>
      </c>
      <c r="I95" s="2" t="s">
        <v>257</v>
      </c>
      <c r="J95" s="2" t="b">
        <f t="shared" si="5"/>
        <v>1</v>
      </c>
      <c r="K95" s="12">
        <v>0</v>
      </c>
      <c r="L95" s="2" t="s">
        <v>693</v>
      </c>
      <c r="M95" s="2" t="s">
        <v>699</v>
      </c>
      <c r="N95" s="4" t="s">
        <v>48</v>
      </c>
      <c r="O95" s="2" t="s">
        <v>49</v>
      </c>
      <c r="P95" s="2" t="s">
        <v>50</v>
      </c>
      <c r="Q95" s="2" t="s">
        <v>76</v>
      </c>
      <c r="R95" s="2" t="s">
        <v>52</v>
      </c>
      <c r="S95" s="2" t="s">
        <v>53</v>
      </c>
      <c r="T95" s="2" t="s">
        <v>54</v>
      </c>
      <c r="U95" s="2" t="s">
        <v>55</v>
      </c>
      <c r="V95" s="2" t="s">
        <v>70</v>
      </c>
      <c r="W95" s="2" t="s">
        <v>71</v>
      </c>
      <c r="X95" s="2">
        <v>473520000</v>
      </c>
      <c r="Y95" s="2" t="s">
        <v>85</v>
      </c>
      <c r="Z95" s="2" t="s">
        <v>264</v>
      </c>
      <c r="AA95" s="2" t="s">
        <v>60</v>
      </c>
      <c r="AB95" s="2" t="s">
        <v>61</v>
      </c>
      <c r="AC95" s="2" t="s">
        <v>176</v>
      </c>
      <c r="AD95" s="2" t="s">
        <v>578</v>
      </c>
      <c r="AE95" s="2" t="s">
        <v>695</v>
      </c>
      <c r="AF95" s="5">
        <v>2.5</v>
      </c>
      <c r="AG95" s="5">
        <v>2.5</v>
      </c>
      <c r="AH95" s="2" t="str">
        <f t="shared" si="0"/>
        <v>yes</v>
      </c>
      <c r="AI95" s="2" t="str" cm="1">
        <f t="array" ref="AI95">_xlfn.IFS(AF95&lt;25,"Less",AF95=25,"Equal",AF95&gt;25,"More")</f>
        <v>Less</v>
      </c>
      <c r="AJ95" s="6"/>
      <c r="AK95" s="6" t="s">
        <v>64</v>
      </c>
      <c r="AL95" s="2" t="s">
        <v>696</v>
      </c>
      <c r="AM95" s="5" t="str">
        <f>VLOOKUP(D95,'slb RAW'!$E$2:$AF$293,9)</f>
        <v>#N/A N/A</v>
      </c>
      <c r="AN95" s="2" t="str">
        <f>VLOOKUP(D95,'slb RAW'!$E$2:$AE$293,27)</f>
        <v>#N/A N/A</v>
      </c>
      <c r="AO95" s="2" t="e">
        <f>VLOOKUP(C95,'Refinitiv SLB'!F95:S272,14)</f>
        <v>#N/A</v>
      </c>
      <c r="AP95" s="2" t="str">
        <f t="shared" si="1"/>
        <v>#N/A N/A</v>
      </c>
      <c r="AQ95" s="7" t="str">
        <f t="shared" si="2"/>
        <v>Constantia Flexibles GmbHAT MATURITYFLOATINGEURSr Unsecured</v>
      </c>
      <c r="AR95" s="5" t="b">
        <f ca="1">ISNUMBER( IFERROR(VLOOKUP(A95,Pairs!$E$2:$E$57,1,FALSE),FALSE))</f>
        <v>0</v>
      </c>
      <c r="AS95" s="5"/>
      <c r="AT95" s="5"/>
    </row>
    <row r="96" spans="1:46" ht="15.75" customHeight="1" x14ac:dyDescent="0.2">
      <c r="A96" s="2">
        <v>43</v>
      </c>
      <c r="B96" s="2" t="s">
        <v>689</v>
      </c>
      <c r="C96" s="2" t="str">
        <f>VLOOKUP(D96,'slb RAW'!$E:$F,2)</f>
        <v>#N/A Field Not Applicable</v>
      </c>
      <c r="D96" s="2" t="s">
        <v>700</v>
      </c>
      <c r="E96" s="2" t="s">
        <v>701</v>
      </c>
      <c r="F96" s="2" t="s">
        <v>692</v>
      </c>
      <c r="G96" s="2" t="s">
        <v>257</v>
      </c>
      <c r="H96" s="2" t="s">
        <v>257</v>
      </c>
      <c r="I96" s="2" t="s">
        <v>257</v>
      </c>
      <c r="J96" s="2" t="b">
        <f t="shared" si="5"/>
        <v>1</v>
      </c>
      <c r="K96" s="12">
        <v>0</v>
      </c>
      <c r="L96" s="2" t="s">
        <v>693</v>
      </c>
      <c r="M96" s="2" t="s">
        <v>702</v>
      </c>
      <c r="N96" s="4" t="s">
        <v>48</v>
      </c>
      <c r="O96" s="2" t="s">
        <v>49</v>
      </c>
      <c r="P96" s="2" t="s">
        <v>50</v>
      </c>
      <c r="Q96" s="2" t="s">
        <v>144</v>
      </c>
      <c r="R96" s="2" t="s">
        <v>52</v>
      </c>
      <c r="S96" s="2" t="s">
        <v>53</v>
      </c>
      <c r="T96" s="2" t="s">
        <v>54</v>
      </c>
      <c r="U96" s="2" t="s">
        <v>55</v>
      </c>
      <c r="V96" s="2" t="s">
        <v>70</v>
      </c>
      <c r="W96" s="2" t="s">
        <v>71</v>
      </c>
      <c r="X96" s="2">
        <v>473520000</v>
      </c>
      <c r="Y96" s="2" t="s">
        <v>85</v>
      </c>
      <c r="Z96" s="2" t="s">
        <v>264</v>
      </c>
      <c r="AA96" s="2" t="s">
        <v>60</v>
      </c>
      <c r="AB96" s="2" t="s">
        <v>61</v>
      </c>
      <c r="AC96" s="2" t="s">
        <v>176</v>
      </c>
      <c r="AD96" s="2" t="s">
        <v>578</v>
      </c>
      <c r="AE96" s="2" t="s">
        <v>695</v>
      </c>
      <c r="AF96" s="5">
        <v>2.5</v>
      </c>
      <c r="AG96" s="5">
        <v>2.5</v>
      </c>
      <c r="AH96" s="2" t="str">
        <f t="shared" si="0"/>
        <v>yes</v>
      </c>
      <c r="AI96" s="2" t="str" cm="1">
        <f t="array" ref="AI96">_xlfn.IFS(AF96&lt;25,"Less",AF96=25,"Equal",AF96&gt;25,"More")</f>
        <v>Less</v>
      </c>
      <c r="AJ96" s="6"/>
      <c r="AK96" s="6" t="s">
        <v>64</v>
      </c>
      <c r="AL96" s="2" t="s">
        <v>696</v>
      </c>
      <c r="AM96" s="5" t="str">
        <f>VLOOKUP(D96,'slb RAW'!$E$2:$AF$293,9)</f>
        <v>#N/A N/A</v>
      </c>
      <c r="AN96" s="2" t="str">
        <f>VLOOKUP(D96,'slb RAW'!$E$2:$AE$293,27)</f>
        <v>#N/A N/A</v>
      </c>
      <c r="AO96" s="2" t="e">
        <f>VLOOKUP(C96,'Refinitiv SLB'!F96:S273,14)</f>
        <v>#N/A</v>
      </c>
      <c r="AP96" s="2" t="str">
        <f t="shared" si="1"/>
        <v>#N/A N/A</v>
      </c>
      <c r="AQ96" s="7" t="str">
        <f t="shared" si="2"/>
        <v>Constantia Flexibles GmbHAT MATURITYFLOATINGEURSr Unsecured</v>
      </c>
      <c r="AR96" s="5" t="b">
        <f ca="1">ISNUMBER( IFERROR(VLOOKUP(A96,Pairs!$E$2:$E$57,1,FALSE),FALSE))</f>
        <v>0</v>
      </c>
      <c r="AS96" s="5"/>
      <c r="AT96" s="5"/>
    </row>
    <row r="97" spans="1:46" ht="15.75" customHeight="1" x14ac:dyDescent="0.2">
      <c r="A97" s="2">
        <v>187</v>
      </c>
      <c r="B97" s="2" t="s">
        <v>703</v>
      </c>
      <c r="C97" s="2" t="str">
        <f>VLOOKUP(D97,'slb RAW'!$E:$F,2)</f>
        <v>XS2358383896</v>
      </c>
      <c r="D97" s="2" t="s">
        <v>704</v>
      </c>
      <c r="E97" s="2" t="s">
        <v>705</v>
      </c>
      <c r="F97" s="2" t="s">
        <v>706</v>
      </c>
      <c r="G97" s="2" t="s">
        <v>366</v>
      </c>
      <c r="H97" s="2" t="s">
        <v>366</v>
      </c>
      <c r="I97" s="2" t="s">
        <v>366</v>
      </c>
      <c r="J97" s="2" t="b">
        <f t="shared" si="5"/>
        <v>1</v>
      </c>
      <c r="K97" s="2">
        <v>3.625</v>
      </c>
      <c r="L97" s="2" t="s">
        <v>707</v>
      </c>
      <c r="M97" s="2" t="s">
        <v>708</v>
      </c>
      <c r="N97" s="2">
        <v>3.625</v>
      </c>
      <c r="O97" s="2" t="s">
        <v>115</v>
      </c>
      <c r="P97" s="2" t="s">
        <v>116</v>
      </c>
      <c r="Q97" s="2" t="s">
        <v>261</v>
      </c>
      <c r="R97" s="2" t="s">
        <v>458</v>
      </c>
      <c r="S97" s="2" t="s">
        <v>53</v>
      </c>
      <c r="T97" s="2" t="s">
        <v>350</v>
      </c>
      <c r="U97" s="2" t="s">
        <v>55</v>
      </c>
      <c r="V97" s="2" t="s">
        <v>56</v>
      </c>
      <c r="W97" s="2" t="s">
        <v>71</v>
      </c>
      <c r="X97" s="2">
        <v>622088250</v>
      </c>
      <c r="Y97" s="2" t="s">
        <v>85</v>
      </c>
      <c r="Z97" s="2" t="s">
        <v>514</v>
      </c>
      <c r="AA97" s="2" t="s">
        <v>60</v>
      </c>
      <c r="AB97" s="2" t="s">
        <v>61</v>
      </c>
      <c r="AC97" s="2" t="s">
        <v>87</v>
      </c>
      <c r="AD97" s="2" t="s">
        <v>514</v>
      </c>
      <c r="AE97" s="2" t="s">
        <v>709</v>
      </c>
      <c r="AF97" s="5">
        <v>12.5</v>
      </c>
      <c r="AG97" s="6"/>
      <c r="AH97" s="2" t="str">
        <f t="shared" si="0"/>
        <v/>
      </c>
      <c r="AI97" s="2" t="str" cm="1">
        <f t="array" ref="AI97">_xlfn.IFS(AF97&lt;25,"Less",AF97=25,"Equal",AF97&gt;25,"More")</f>
        <v>Less</v>
      </c>
      <c r="AJ97" s="6"/>
      <c r="AK97" s="6" t="s">
        <v>125</v>
      </c>
      <c r="AL97" s="2" t="s">
        <v>710</v>
      </c>
      <c r="AM97" s="5">
        <f>VLOOKUP(D97,'slb RAW'!$E$2:$AF$293,9)</f>
        <v>3.625</v>
      </c>
      <c r="AN97" s="2">
        <f>VLOOKUP(D97,'slb RAW'!$E$2:$AE$293,27)</f>
        <v>3.601</v>
      </c>
      <c r="AO97" s="2">
        <f>VLOOKUP(C97,'Refinitiv SLB'!F97:S274,14)</f>
        <v>5.1289999999999996</v>
      </c>
      <c r="AP97" s="2">
        <f t="shared" si="1"/>
        <v>3.601</v>
      </c>
      <c r="AQ97" s="7" t="str">
        <f t="shared" si="2"/>
        <v>Nobian Finance BVCALLABLEFIXEDEURSecured</v>
      </c>
      <c r="AR97" s="5" t="b">
        <f ca="1">ISNUMBER( IFERROR(VLOOKUP(A97,Pairs!$E$2:$E$57,1,FALSE),FALSE))</f>
        <v>0</v>
      </c>
      <c r="AS97" s="5"/>
      <c r="AT97" s="5"/>
    </row>
    <row r="98" spans="1:46" ht="15.75" customHeight="1" x14ac:dyDescent="0.2">
      <c r="A98" s="2">
        <v>186</v>
      </c>
      <c r="B98" s="2" t="s">
        <v>703</v>
      </c>
      <c r="C98" s="2" t="str">
        <f>VLOOKUP(D98,'slb RAW'!$E:$F,2)</f>
        <v>XS2358383466</v>
      </c>
      <c r="D98" s="2" t="s">
        <v>711</v>
      </c>
      <c r="E98" s="2" t="s">
        <v>712</v>
      </c>
      <c r="F98" s="2" t="s">
        <v>706</v>
      </c>
      <c r="G98" s="2" t="s">
        <v>366</v>
      </c>
      <c r="H98" s="2" t="s">
        <v>366</v>
      </c>
      <c r="I98" s="2" t="s">
        <v>366</v>
      </c>
      <c r="J98" s="2" t="b">
        <f t="shared" si="5"/>
        <v>1</v>
      </c>
      <c r="K98" s="2">
        <v>3.625</v>
      </c>
      <c r="L98" s="2" t="s">
        <v>707</v>
      </c>
      <c r="M98" s="2" t="s">
        <v>708</v>
      </c>
      <c r="N98" s="2">
        <v>3.625</v>
      </c>
      <c r="O98" s="2" t="s">
        <v>115</v>
      </c>
      <c r="P98" s="2" t="s">
        <v>116</v>
      </c>
      <c r="Q98" s="2" t="s">
        <v>270</v>
      </c>
      <c r="R98" s="2" t="s">
        <v>458</v>
      </c>
      <c r="S98" s="2" t="s">
        <v>53</v>
      </c>
      <c r="T98" s="2" t="s">
        <v>350</v>
      </c>
      <c r="U98" s="2" t="s">
        <v>55</v>
      </c>
      <c r="V98" s="2" t="s">
        <v>56</v>
      </c>
      <c r="W98" s="2" t="s">
        <v>71</v>
      </c>
      <c r="X98" s="2">
        <v>622088250</v>
      </c>
      <c r="Y98" s="2" t="s">
        <v>85</v>
      </c>
      <c r="Z98" s="2" t="s">
        <v>514</v>
      </c>
      <c r="AA98" s="2" t="s">
        <v>60</v>
      </c>
      <c r="AB98" s="2" t="s">
        <v>61</v>
      </c>
      <c r="AC98" s="2" t="s">
        <v>87</v>
      </c>
      <c r="AD98" s="2" t="s">
        <v>514</v>
      </c>
      <c r="AE98" s="2" t="s">
        <v>709</v>
      </c>
      <c r="AF98" s="5">
        <v>12.5</v>
      </c>
      <c r="AG98" s="6"/>
      <c r="AH98" s="2" t="str">
        <f t="shared" si="0"/>
        <v/>
      </c>
      <c r="AI98" s="2" t="str" cm="1">
        <f t="array" ref="AI98">_xlfn.IFS(AF98&lt;25,"Less",AF98=25,"Equal",AF98&gt;25,"More")</f>
        <v>Less</v>
      </c>
      <c r="AJ98" s="6"/>
      <c r="AK98" s="6" t="s">
        <v>125</v>
      </c>
      <c r="AL98" s="2" t="s">
        <v>713</v>
      </c>
      <c r="AM98" s="5">
        <f>VLOOKUP(D98,'slb RAW'!$E$2:$AF$293,9)</f>
        <v>3.625</v>
      </c>
      <c r="AN98" s="2">
        <f>VLOOKUP(D98,'slb RAW'!$E$2:$AE$293,27)</f>
        <v>3.5960000000000001</v>
      </c>
      <c r="AO98" s="2">
        <f>VLOOKUP(C98,'Refinitiv SLB'!F98:S275,14)</f>
        <v>4.2309999999999999</v>
      </c>
      <c r="AP98" s="2">
        <f t="shared" si="1"/>
        <v>3.5960000000000001</v>
      </c>
      <c r="AQ98" s="7" t="str">
        <f t="shared" si="2"/>
        <v>Nobian Finance BVCALLABLEFIXEDEURSecured</v>
      </c>
      <c r="AR98" s="5" t="b">
        <f ca="1">ISNUMBER( IFERROR(VLOOKUP(A98,Pairs!$E$2:$E$57,1,FALSE),FALSE))</f>
        <v>0</v>
      </c>
      <c r="AS98" s="5"/>
      <c r="AT98" s="5"/>
    </row>
    <row r="99" spans="1:46" s="90" customFormat="1" ht="15.75" customHeight="1" x14ac:dyDescent="0.2">
      <c r="A99" s="85">
        <v>280</v>
      </c>
      <c r="B99" s="85" t="s">
        <v>714</v>
      </c>
      <c r="C99" s="85" t="str">
        <f>VLOOKUP(D99,'slb RAW'!$E:$F,2)</f>
        <v>#N/A Field Not Applicable</v>
      </c>
      <c r="D99" s="85" t="s">
        <v>715</v>
      </c>
      <c r="E99" s="85" t="s">
        <v>716</v>
      </c>
      <c r="F99" s="85" t="s">
        <v>717</v>
      </c>
      <c r="G99" s="85" t="s">
        <v>45</v>
      </c>
      <c r="H99" s="85" t="s">
        <v>45</v>
      </c>
      <c r="I99" s="85" t="s">
        <v>45</v>
      </c>
      <c r="J99" s="2" t="b">
        <f t="shared" si="5"/>
        <v>1</v>
      </c>
      <c r="K99" s="85">
        <v>0</v>
      </c>
      <c r="L99" s="85" t="s">
        <v>718</v>
      </c>
      <c r="M99" s="85" t="s">
        <v>719</v>
      </c>
      <c r="N99" s="91" t="s">
        <v>48</v>
      </c>
      <c r="O99" s="85" t="s">
        <v>49</v>
      </c>
      <c r="P99" s="85" t="s">
        <v>50</v>
      </c>
      <c r="Q99" s="85" t="s">
        <v>51</v>
      </c>
      <c r="R99" s="85" t="s">
        <v>52</v>
      </c>
      <c r="S99" s="85" t="s">
        <v>53</v>
      </c>
      <c r="T99" s="85" t="s">
        <v>54</v>
      </c>
      <c r="U99" s="85" t="s">
        <v>55</v>
      </c>
      <c r="V99" s="85" t="s">
        <v>56</v>
      </c>
      <c r="W99" s="85" t="s">
        <v>57</v>
      </c>
      <c r="X99" s="85">
        <v>58780500</v>
      </c>
      <c r="Y99" s="85" t="s">
        <v>58</v>
      </c>
      <c r="Z99" s="85" t="s">
        <v>505</v>
      </c>
      <c r="AA99" s="85" t="s">
        <v>60</v>
      </c>
      <c r="AB99" s="85" t="s">
        <v>61</v>
      </c>
      <c r="AC99" s="85" t="s">
        <v>176</v>
      </c>
      <c r="AD99" s="85" t="s">
        <v>720</v>
      </c>
      <c r="AE99" s="85" t="s">
        <v>721</v>
      </c>
      <c r="AF99" s="88">
        <v>2.5</v>
      </c>
      <c r="AG99" s="88">
        <v>2.5</v>
      </c>
      <c r="AH99" s="85" t="str">
        <f t="shared" si="0"/>
        <v>yes</v>
      </c>
      <c r="AI99" s="2" t="str" cm="1">
        <f t="array" ref="AI99">_xlfn.IFS(AF99&lt;25,"Less",AF99=25,"Equal",AF99&gt;25,"More")</f>
        <v>Less</v>
      </c>
      <c r="AJ99" s="87"/>
      <c r="AK99" s="87" t="s">
        <v>48</v>
      </c>
      <c r="AL99" s="85" t="s">
        <v>722</v>
      </c>
      <c r="AM99" s="88" t="str">
        <f>VLOOKUP(D99,'slb RAW'!$E$2:$AF$293,9)</f>
        <v>#N/A N/A</v>
      </c>
      <c r="AN99" s="85" t="str">
        <f>VLOOKUP(D99,'slb RAW'!$E$2:$AE$293,27)</f>
        <v>#N/A N/A</v>
      </c>
      <c r="AO99" s="85" t="e">
        <f>VLOOKUP(C99,'Refinitiv SLB'!F99:S276,14)</f>
        <v>#N/A</v>
      </c>
      <c r="AP99" s="85" t="str">
        <f t="shared" si="1"/>
        <v>#N/A N/A</v>
      </c>
      <c r="AQ99" s="89" t="str">
        <f t="shared" si="2"/>
        <v>Zeppelin GmbHAT MATURITYFIXEDEURSr Unsecured</v>
      </c>
      <c r="AR99" s="88" t="b">
        <f ca="1">ISNUMBER( IFERROR(VLOOKUP(A99,Pairs!$E$2:$E$57,1,FALSE),FALSE))</f>
        <v>0</v>
      </c>
      <c r="AS99" s="88"/>
      <c r="AT99" s="88"/>
    </row>
    <row r="100" spans="1:46" s="90" customFormat="1" ht="15.75" customHeight="1" x14ac:dyDescent="0.2">
      <c r="A100" s="85">
        <v>279</v>
      </c>
      <c r="B100" s="85" t="s">
        <v>714</v>
      </c>
      <c r="C100" s="85" t="str">
        <f>VLOOKUP(D100,'slb RAW'!$E:$F,2)</f>
        <v>#N/A Field Not Applicable</v>
      </c>
      <c r="D100" s="85" t="s">
        <v>723</v>
      </c>
      <c r="E100" s="85" t="s">
        <v>724</v>
      </c>
      <c r="F100" s="85" t="s">
        <v>717</v>
      </c>
      <c r="G100" s="85" t="s">
        <v>45</v>
      </c>
      <c r="H100" s="85" t="s">
        <v>45</v>
      </c>
      <c r="I100" s="85" t="s">
        <v>45</v>
      </c>
      <c r="J100" s="2" t="b">
        <f t="shared" si="5"/>
        <v>1</v>
      </c>
      <c r="K100" s="85">
        <v>0</v>
      </c>
      <c r="L100" s="85" t="s">
        <v>718</v>
      </c>
      <c r="M100" s="85" t="s">
        <v>725</v>
      </c>
      <c r="N100" s="91" t="s">
        <v>48</v>
      </c>
      <c r="O100" s="85" t="s">
        <v>49</v>
      </c>
      <c r="P100" s="85" t="s">
        <v>50</v>
      </c>
      <c r="Q100" s="85" t="s">
        <v>69</v>
      </c>
      <c r="R100" s="85" t="s">
        <v>52</v>
      </c>
      <c r="S100" s="85" t="s">
        <v>53</v>
      </c>
      <c r="T100" s="85" t="s">
        <v>54</v>
      </c>
      <c r="U100" s="85" t="s">
        <v>55</v>
      </c>
      <c r="V100" s="85" t="s">
        <v>56</v>
      </c>
      <c r="W100" s="85" t="s">
        <v>57</v>
      </c>
      <c r="X100" s="85">
        <v>58780500</v>
      </c>
      <c r="Y100" s="85" t="s">
        <v>58</v>
      </c>
      <c r="Z100" s="85" t="s">
        <v>505</v>
      </c>
      <c r="AA100" s="85" t="s">
        <v>60</v>
      </c>
      <c r="AB100" s="85" t="s">
        <v>61</v>
      </c>
      <c r="AC100" s="85" t="s">
        <v>176</v>
      </c>
      <c r="AD100" s="85" t="s">
        <v>720</v>
      </c>
      <c r="AE100" s="85" t="s">
        <v>721</v>
      </c>
      <c r="AF100" s="88">
        <v>2.5</v>
      </c>
      <c r="AG100" s="88">
        <v>2.5</v>
      </c>
      <c r="AH100" s="85" t="str">
        <f t="shared" si="0"/>
        <v>yes</v>
      </c>
      <c r="AI100" s="2" t="str" cm="1">
        <f t="array" ref="AI100">_xlfn.IFS(AF100&lt;25,"Less",AF100=25,"Equal",AF100&gt;25,"More")</f>
        <v>Less</v>
      </c>
      <c r="AJ100" s="87"/>
      <c r="AK100" s="87" t="s">
        <v>48</v>
      </c>
      <c r="AL100" s="85" t="s">
        <v>722</v>
      </c>
      <c r="AM100" s="88" t="str">
        <f>VLOOKUP(D100,'slb RAW'!$E$2:$AF$293,9)</f>
        <v>#N/A N/A</v>
      </c>
      <c r="AN100" s="85" t="str">
        <f>VLOOKUP(D100,'slb RAW'!$E$2:$AE$293,27)</f>
        <v>#N/A N/A</v>
      </c>
      <c r="AO100" s="85" t="e">
        <f>VLOOKUP(C100,'Refinitiv SLB'!F100:S277,14)</f>
        <v>#N/A</v>
      </c>
      <c r="AP100" s="85" t="str">
        <f t="shared" si="1"/>
        <v>#N/A N/A</v>
      </c>
      <c r="AQ100" s="89" t="str">
        <f t="shared" si="2"/>
        <v>Zeppelin GmbHAT MATURITYFIXEDEURSr Unsecured</v>
      </c>
      <c r="AR100" s="88" t="b">
        <f ca="1">ISNUMBER( IFERROR(VLOOKUP(A100,Pairs!$E$2:$E$57,1,FALSE),FALSE))</f>
        <v>0</v>
      </c>
      <c r="AS100" s="88"/>
      <c r="AT100" s="88"/>
    </row>
    <row r="101" spans="1:46" ht="15.75" customHeight="1" x14ac:dyDescent="0.2">
      <c r="A101" s="2">
        <v>198</v>
      </c>
      <c r="B101" s="2" t="s">
        <v>726</v>
      </c>
      <c r="C101" s="2" t="str">
        <f>VLOOKUP(D101,'slb RAW'!$E:$F,2)</f>
        <v>XS2361343267</v>
      </c>
      <c r="D101" s="2" t="s">
        <v>727</v>
      </c>
      <c r="E101" s="2" t="s">
        <v>728</v>
      </c>
      <c r="F101" s="2" t="s">
        <v>729</v>
      </c>
      <c r="G101" s="2" t="s">
        <v>184</v>
      </c>
      <c r="H101" s="2" t="s">
        <v>184</v>
      </c>
      <c r="I101" s="2" t="s">
        <v>184</v>
      </c>
      <c r="J101" s="2" t="b">
        <f t="shared" si="5"/>
        <v>1</v>
      </c>
      <c r="K101" s="2">
        <v>3.875</v>
      </c>
      <c r="L101" s="2" t="s">
        <v>730</v>
      </c>
      <c r="M101" s="2" t="s">
        <v>731</v>
      </c>
      <c r="N101" s="8">
        <v>3.7443</v>
      </c>
      <c r="O101" s="2" t="s">
        <v>115</v>
      </c>
      <c r="P101" s="2" t="s">
        <v>116</v>
      </c>
      <c r="Q101" s="2" t="s">
        <v>261</v>
      </c>
      <c r="R101" s="2" t="s">
        <v>458</v>
      </c>
      <c r="S101" s="2" t="s">
        <v>53</v>
      </c>
      <c r="T101" s="2" t="s">
        <v>350</v>
      </c>
      <c r="U101" s="2" t="s">
        <v>55</v>
      </c>
      <c r="V101" s="2" t="s">
        <v>56</v>
      </c>
      <c r="W101" s="2" t="s">
        <v>71</v>
      </c>
      <c r="X101" s="2">
        <v>885022500</v>
      </c>
      <c r="Y101" s="2" t="s">
        <v>421</v>
      </c>
      <c r="Z101" s="2" t="s">
        <v>422</v>
      </c>
      <c r="AA101" s="2" t="s">
        <v>60</v>
      </c>
      <c r="AB101" s="2" t="s">
        <v>61</v>
      </c>
      <c r="AC101" s="2" t="s">
        <v>227</v>
      </c>
      <c r="AD101" s="2" t="s">
        <v>664</v>
      </c>
      <c r="AE101" s="2" t="s">
        <v>732</v>
      </c>
      <c r="AF101" s="6">
        <v>25</v>
      </c>
      <c r="AG101" s="6"/>
      <c r="AH101" s="2" t="str">
        <f t="shared" si="0"/>
        <v/>
      </c>
      <c r="AI101" s="2" t="str" cm="1">
        <f t="array" ref="AI101">_xlfn.IFS(AF101&lt;25,"Less",AF101=25,"Equal",AF101&gt;25,"More")</f>
        <v>Equal</v>
      </c>
      <c r="AJ101" s="6" t="s">
        <v>5517</v>
      </c>
      <c r="AK101" s="6" t="s">
        <v>125</v>
      </c>
      <c r="AL101" s="2" t="s">
        <v>733</v>
      </c>
      <c r="AM101" s="5" t="str">
        <f>VLOOKUP(D101,'slb RAW'!$E$2:$AF$293,9)</f>
        <v>#N/A N/A</v>
      </c>
      <c r="AN101" s="2">
        <f>VLOOKUP(D101,'slb RAW'!$E$2:$AE$293,27)</f>
        <v>3.706</v>
      </c>
      <c r="AO101" s="2">
        <f>VLOOKUP(C101,'Refinitiv SLB'!F101:S278,14)</f>
        <v>0.41199999999999998</v>
      </c>
      <c r="AP101" s="2">
        <f t="shared" si="1"/>
        <v>3.706</v>
      </c>
      <c r="AQ101" s="7" t="str">
        <f t="shared" si="2"/>
        <v>Picard Groupe SASCALLABLEFIXEDEURSecured</v>
      </c>
      <c r="AR101" s="5" t="b">
        <f ca="1">ISNUMBER( IFERROR(VLOOKUP(A101,Pairs!$E$2:$E$57,1,FALSE),FALSE))</f>
        <v>0</v>
      </c>
      <c r="AS101" s="5"/>
      <c r="AT101" s="5"/>
    </row>
    <row r="102" spans="1:46" ht="15.75" customHeight="1" x14ac:dyDescent="0.2">
      <c r="A102" s="2">
        <v>172</v>
      </c>
      <c r="B102" s="2" t="s">
        <v>734</v>
      </c>
      <c r="C102" s="2" t="str">
        <f>VLOOKUP(D102,'slb RAW'!$E:$F,2)</f>
        <v>XS2361343770</v>
      </c>
      <c r="D102" s="2" t="s">
        <v>735</v>
      </c>
      <c r="E102" s="2" t="s">
        <v>736</v>
      </c>
      <c r="F102" s="2" t="s">
        <v>729</v>
      </c>
      <c r="G102" s="2" t="s">
        <v>169</v>
      </c>
      <c r="H102" s="2" t="s">
        <v>169</v>
      </c>
      <c r="I102" s="2" t="s">
        <v>184</v>
      </c>
      <c r="J102" s="2" t="b">
        <f t="shared" si="5"/>
        <v>0</v>
      </c>
      <c r="K102" s="2">
        <v>4</v>
      </c>
      <c r="L102" s="2" t="s">
        <v>730</v>
      </c>
      <c r="M102" s="2" t="s">
        <v>731</v>
      </c>
      <c r="N102" s="8">
        <v>3.7774999999999999</v>
      </c>
      <c r="O102" s="2" t="s">
        <v>115</v>
      </c>
      <c r="P102" s="2" t="s">
        <v>116</v>
      </c>
      <c r="Q102" s="2" t="s">
        <v>261</v>
      </c>
      <c r="R102" s="2" t="s">
        <v>458</v>
      </c>
      <c r="S102" s="2" t="s">
        <v>53</v>
      </c>
      <c r="T102" s="2" t="s">
        <v>350</v>
      </c>
      <c r="U102" s="2" t="s">
        <v>55</v>
      </c>
      <c r="V102" s="2" t="s">
        <v>70</v>
      </c>
      <c r="W102" s="2" t="s">
        <v>391</v>
      </c>
      <c r="X102" s="2">
        <v>767019500</v>
      </c>
      <c r="Y102" s="2" t="s">
        <v>134</v>
      </c>
      <c r="Z102" s="2" t="s">
        <v>737</v>
      </c>
      <c r="AA102" s="2" t="s">
        <v>60</v>
      </c>
      <c r="AB102" s="2" t="s">
        <v>61</v>
      </c>
      <c r="AC102" s="2" t="s">
        <v>136</v>
      </c>
      <c r="AD102" s="2" t="s">
        <v>737</v>
      </c>
      <c r="AE102" s="2" t="s">
        <v>738</v>
      </c>
      <c r="AF102" s="6">
        <v>25</v>
      </c>
      <c r="AG102" s="6"/>
      <c r="AH102" s="2" t="str">
        <f t="shared" si="0"/>
        <v/>
      </c>
      <c r="AI102" s="2" t="str" cm="1">
        <f t="array" ref="AI102">_xlfn.IFS(AF102&lt;25,"Less",AF102=25,"Equal",AF102&gt;25,"More")</f>
        <v>Equal</v>
      </c>
      <c r="AJ102" s="6" t="s">
        <v>5517</v>
      </c>
      <c r="AK102" s="6" t="s">
        <v>125</v>
      </c>
      <c r="AL102" s="2" t="s">
        <v>739</v>
      </c>
      <c r="AM102" s="5" t="str">
        <f>VLOOKUP(D102,'slb RAW'!$E$2:$AF$293,9)</f>
        <v>#N/A N/A</v>
      </c>
      <c r="AN102" s="2">
        <f>VLOOKUP(D102,'slb RAW'!$E$2:$AE$293,27)</f>
        <v>3.7559999999999998</v>
      </c>
      <c r="AO102" s="2">
        <f>VLOOKUP(C102,'Refinitiv SLB'!F102:S279,14)</f>
        <v>5.1289999999999996</v>
      </c>
      <c r="AP102" s="2">
        <f t="shared" si="1"/>
        <v>3.7559999999999998</v>
      </c>
      <c r="AQ102" s="7" t="str">
        <f t="shared" si="2"/>
        <v>Lion/Polaris Lux 4 SACALLABLEFLOATINGEURSecured</v>
      </c>
      <c r="AR102" s="5" t="b">
        <f ca="1">ISNUMBER( IFERROR(VLOOKUP(A102,Pairs!$E$2:$E$57,1,FALSE),FALSE))</f>
        <v>0</v>
      </c>
      <c r="AS102" s="5"/>
      <c r="AT102" s="5"/>
    </row>
    <row r="103" spans="1:46" ht="15.75" customHeight="1" x14ac:dyDescent="0.2">
      <c r="A103" s="2">
        <v>195</v>
      </c>
      <c r="B103" s="2" t="s">
        <v>740</v>
      </c>
      <c r="C103" s="2" t="str">
        <f>VLOOKUP(D103,'slb RAW'!$E:$F,2)</f>
        <v>XS2361345478</v>
      </c>
      <c r="D103" s="2" t="s">
        <v>741</v>
      </c>
      <c r="E103" s="2" t="s">
        <v>742</v>
      </c>
      <c r="F103" s="2" t="s">
        <v>729</v>
      </c>
      <c r="G103" s="2" t="s">
        <v>169</v>
      </c>
      <c r="H103" s="2" t="s">
        <v>169</v>
      </c>
      <c r="I103" s="2" t="s">
        <v>184</v>
      </c>
      <c r="J103" s="2" t="b">
        <f t="shared" si="5"/>
        <v>0</v>
      </c>
      <c r="K103" s="2">
        <v>5.375</v>
      </c>
      <c r="L103" s="2" t="s">
        <v>730</v>
      </c>
      <c r="M103" s="2" t="s">
        <v>743</v>
      </c>
      <c r="N103" s="8">
        <v>5.3266999999999998</v>
      </c>
      <c r="O103" s="2" t="s">
        <v>115</v>
      </c>
      <c r="P103" s="2" t="s">
        <v>116</v>
      </c>
      <c r="Q103" s="2" t="s">
        <v>261</v>
      </c>
      <c r="R103" s="2" t="s">
        <v>52</v>
      </c>
      <c r="S103" s="2" t="s">
        <v>53</v>
      </c>
      <c r="T103" s="2" t="s">
        <v>744</v>
      </c>
      <c r="U103" s="2" t="s">
        <v>55</v>
      </c>
      <c r="V103" s="2" t="s">
        <v>56</v>
      </c>
      <c r="W103" s="2" t="s">
        <v>71</v>
      </c>
      <c r="X103" s="2">
        <v>365809300</v>
      </c>
      <c r="Y103" s="2" t="s">
        <v>421</v>
      </c>
      <c r="Z103" s="2" t="s">
        <v>422</v>
      </c>
      <c r="AA103" s="2" t="s">
        <v>60</v>
      </c>
      <c r="AB103" s="2" t="s">
        <v>61</v>
      </c>
      <c r="AC103" s="2" t="s">
        <v>227</v>
      </c>
      <c r="AD103" s="2" t="s">
        <v>664</v>
      </c>
      <c r="AE103" s="2" t="s">
        <v>738</v>
      </c>
      <c r="AF103" s="6">
        <v>25</v>
      </c>
      <c r="AG103" s="6"/>
      <c r="AH103" s="2" t="str">
        <f t="shared" si="0"/>
        <v/>
      </c>
      <c r="AI103" s="2" t="str" cm="1">
        <f t="array" ref="AI103">_xlfn.IFS(AF103&lt;25,"Less",AF103=25,"Equal",AF103&gt;25,"More")</f>
        <v>Equal</v>
      </c>
      <c r="AJ103" s="6" t="s">
        <v>5517</v>
      </c>
      <c r="AK103" s="6" t="s">
        <v>125</v>
      </c>
      <c r="AL103" s="2" t="s">
        <v>745</v>
      </c>
      <c r="AM103" s="5" t="str">
        <f>VLOOKUP(D103,'slb RAW'!$E$2:$AF$293,9)</f>
        <v>#N/A N/A</v>
      </c>
      <c r="AN103" s="2">
        <f>VLOOKUP(D103,'slb RAW'!$E$2:$AE$293,27)</f>
        <v>5.31</v>
      </c>
      <c r="AO103" s="2">
        <f>VLOOKUP(C103,'Refinitiv SLB'!F103:S280,14)</f>
        <v>4.8710000000000004</v>
      </c>
      <c r="AP103" s="2">
        <f t="shared" si="1"/>
        <v>5.31</v>
      </c>
      <c r="AQ103" s="7" t="str">
        <f t="shared" si="2"/>
        <v>Picard Bondco SACALLABLEFIXEDEURSr Unsecured</v>
      </c>
      <c r="AR103" s="5" t="b">
        <f ca="1">ISNUMBER( IFERROR(VLOOKUP(A103,Pairs!$E$2:$E$57,1,FALSE),FALSE))</f>
        <v>0</v>
      </c>
      <c r="AS103" s="5"/>
      <c r="AT103" s="5"/>
    </row>
    <row r="104" spans="1:46" ht="15.75" customHeight="1" x14ac:dyDescent="0.2">
      <c r="A104" s="2">
        <v>197</v>
      </c>
      <c r="B104" s="2" t="s">
        <v>726</v>
      </c>
      <c r="C104" s="2" t="str">
        <f>VLOOKUP(D104,'slb RAW'!$E:$F,2)</f>
        <v>XS2361342889</v>
      </c>
      <c r="D104" s="2" t="s">
        <v>746</v>
      </c>
      <c r="E104" s="2" t="s">
        <v>747</v>
      </c>
      <c r="F104" s="2" t="s">
        <v>729</v>
      </c>
      <c r="G104" s="2" t="s">
        <v>184</v>
      </c>
      <c r="H104" s="2" t="s">
        <v>184</v>
      </c>
      <c r="I104" s="2" t="s">
        <v>184</v>
      </c>
      <c r="J104" s="2" t="b">
        <f t="shared" si="5"/>
        <v>1</v>
      </c>
      <c r="K104" s="2">
        <v>3.875</v>
      </c>
      <c r="L104" s="2" t="s">
        <v>730</v>
      </c>
      <c r="M104" s="2" t="s">
        <v>731</v>
      </c>
      <c r="N104" s="8">
        <v>3.7553999999999998</v>
      </c>
      <c r="O104" s="2" t="s">
        <v>115</v>
      </c>
      <c r="P104" s="2" t="s">
        <v>116</v>
      </c>
      <c r="Q104" s="2" t="s">
        <v>270</v>
      </c>
      <c r="R104" s="2" t="s">
        <v>458</v>
      </c>
      <c r="S104" s="2" t="s">
        <v>53</v>
      </c>
      <c r="T104" s="2" t="s">
        <v>350</v>
      </c>
      <c r="U104" s="2" t="s">
        <v>55</v>
      </c>
      <c r="V104" s="2" t="s">
        <v>56</v>
      </c>
      <c r="W104" s="2" t="s">
        <v>71</v>
      </c>
      <c r="X104" s="2">
        <v>885022500</v>
      </c>
      <c r="Y104" s="2" t="s">
        <v>421</v>
      </c>
      <c r="Z104" s="2" t="s">
        <v>422</v>
      </c>
      <c r="AA104" s="2" t="s">
        <v>60</v>
      </c>
      <c r="AB104" s="2" t="s">
        <v>61</v>
      </c>
      <c r="AC104" s="2" t="s">
        <v>227</v>
      </c>
      <c r="AD104" s="2" t="s">
        <v>423</v>
      </c>
      <c r="AE104" s="2" t="s">
        <v>738</v>
      </c>
      <c r="AF104" s="6">
        <v>25</v>
      </c>
      <c r="AG104" s="6"/>
      <c r="AH104" s="2" t="str">
        <f t="shared" si="0"/>
        <v/>
      </c>
      <c r="AI104" s="2" t="str" cm="1">
        <f t="array" ref="AI104">_xlfn.IFS(AF104&lt;25,"Less",AF104=25,"Equal",AF104&gt;25,"More")</f>
        <v>Equal</v>
      </c>
      <c r="AJ104" s="6" t="s">
        <v>5517</v>
      </c>
      <c r="AK104" s="6" t="s">
        <v>125</v>
      </c>
      <c r="AL104" s="2" t="s">
        <v>748</v>
      </c>
      <c r="AM104" s="5" t="str">
        <f>VLOOKUP(D104,'slb RAW'!$E$2:$AF$293,9)</f>
        <v>#N/A N/A</v>
      </c>
      <c r="AN104" s="2">
        <f>VLOOKUP(D104,'slb RAW'!$E$2:$AE$293,27)</f>
        <v>3.7</v>
      </c>
      <c r="AO104" s="2">
        <f>VLOOKUP(C104,'Refinitiv SLB'!F104:S281,14)</f>
        <v>0.41199999999999998</v>
      </c>
      <c r="AP104" s="2">
        <f t="shared" si="1"/>
        <v>3.7</v>
      </c>
      <c r="AQ104" s="7" t="str">
        <f t="shared" si="2"/>
        <v>Picard Groupe SASCALLABLEFIXEDEURSecured</v>
      </c>
      <c r="AR104" s="5" t="b">
        <f ca="1">ISNUMBER( IFERROR(VLOOKUP(A104,Pairs!$E$2:$E$57,1,FALSE),FALSE))</f>
        <v>0</v>
      </c>
      <c r="AS104" s="5"/>
      <c r="AT104" s="5"/>
    </row>
    <row r="105" spans="1:46" ht="15.75" customHeight="1" x14ac:dyDescent="0.2">
      <c r="A105" s="2">
        <v>171</v>
      </c>
      <c r="B105" s="2" t="s">
        <v>734</v>
      </c>
      <c r="C105" s="2" t="str">
        <f>VLOOKUP(D105,'slb RAW'!$E:$F,2)</f>
        <v>XS2361343697</v>
      </c>
      <c r="D105" s="2" t="s">
        <v>749</v>
      </c>
      <c r="E105" s="2" t="s">
        <v>750</v>
      </c>
      <c r="F105" s="2" t="s">
        <v>729</v>
      </c>
      <c r="G105" s="2" t="s">
        <v>169</v>
      </c>
      <c r="H105" s="2" t="s">
        <v>169</v>
      </c>
      <c r="I105" s="2" t="s">
        <v>184</v>
      </c>
      <c r="J105" s="2" t="b">
        <f t="shared" si="5"/>
        <v>0</v>
      </c>
      <c r="K105" s="2">
        <v>4</v>
      </c>
      <c r="L105" s="2" t="s">
        <v>730</v>
      </c>
      <c r="M105" s="2" t="s">
        <v>731</v>
      </c>
      <c r="N105" s="8">
        <v>3.81</v>
      </c>
      <c r="O105" s="2" t="s">
        <v>115</v>
      </c>
      <c r="P105" s="2" t="s">
        <v>116</v>
      </c>
      <c r="Q105" s="2" t="s">
        <v>270</v>
      </c>
      <c r="R105" s="2" t="s">
        <v>458</v>
      </c>
      <c r="S105" s="2" t="s">
        <v>53</v>
      </c>
      <c r="T105" s="2" t="s">
        <v>350</v>
      </c>
      <c r="U105" s="2" t="s">
        <v>55</v>
      </c>
      <c r="V105" s="2" t="s">
        <v>70</v>
      </c>
      <c r="W105" s="2" t="s">
        <v>391</v>
      </c>
      <c r="X105" s="2">
        <v>767019500</v>
      </c>
      <c r="Y105" s="2" t="s">
        <v>134</v>
      </c>
      <c r="Z105" s="2" t="s">
        <v>737</v>
      </c>
      <c r="AA105" s="2" t="s">
        <v>60</v>
      </c>
      <c r="AB105" s="2" t="s">
        <v>61</v>
      </c>
      <c r="AC105" s="2" t="s">
        <v>136</v>
      </c>
      <c r="AD105" s="2" t="s">
        <v>737</v>
      </c>
      <c r="AE105" s="2" t="s">
        <v>738</v>
      </c>
      <c r="AF105" s="6">
        <v>25</v>
      </c>
      <c r="AG105" s="6"/>
      <c r="AH105" s="2" t="str">
        <f t="shared" si="0"/>
        <v/>
      </c>
      <c r="AI105" s="2" t="str" cm="1">
        <f t="array" ref="AI105">_xlfn.IFS(AF105&lt;25,"Less",AF105=25,"Equal",AF105&gt;25,"More")</f>
        <v>Equal</v>
      </c>
      <c r="AJ105" s="6" t="s">
        <v>5517</v>
      </c>
      <c r="AK105" s="6" t="s">
        <v>125</v>
      </c>
      <c r="AL105" s="2" t="s">
        <v>751</v>
      </c>
      <c r="AM105" s="5" t="str">
        <f>VLOOKUP(D105,'slb RAW'!$E$2:$AF$293,9)</f>
        <v>#N/A N/A</v>
      </c>
      <c r="AN105" s="2">
        <f>VLOOKUP(D105,'slb RAW'!$E$2:$AE$293,27)</f>
        <v>3.7450000000000001</v>
      </c>
      <c r="AO105" s="2">
        <f>VLOOKUP(C105,'Refinitiv SLB'!F105:S282,14)</f>
        <v>4.8710000000000004</v>
      </c>
      <c r="AP105" s="2">
        <f t="shared" si="1"/>
        <v>3.7450000000000001</v>
      </c>
      <c r="AQ105" s="7" t="str">
        <f t="shared" si="2"/>
        <v>Lion/Polaris Lux 4 SACALLABLEFLOATINGEURSecured</v>
      </c>
      <c r="AR105" s="5" t="b">
        <f ca="1">ISNUMBER( IFERROR(VLOOKUP(A105,Pairs!$E$2:$E$57,1,FALSE),FALSE))</f>
        <v>0</v>
      </c>
      <c r="AS105" s="5"/>
      <c r="AT105" s="5"/>
    </row>
    <row r="106" spans="1:46" ht="15.75" customHeight="1" x14ac:dyDescent="0.2">
      <c r="A106" s="2">
        <v>196</v>
      </c>
      <c r="B106" s="2" t="s">
        <v>740</v>
      </c>
      <c r="C106" s="2" t="str">
        <f>VLOOKUP(D106,'slb RAW'!$E:$F,2)</f>
        <v>XS2361344315</v>
      </c>
      <c r="D106" s="2" t="s">
        <v>752</v>
      </c>
      <c r="E106" s="2" t="s">
        <v>753</v>
      </c>
      <c r="F106" s="2" t="s">
        <v>729</v>
      </c>
      <c r="G106" s="2" t="s">
        <v>169</v>
      </c>
      <c r="H106" s="2" t="s">
        <v>169</v>
      </c>
      <c r="I106" s="2" t="s">
        <v>184</v>
      </c>
      <c r="J106" s="2" t="b">
        <f t="shared" si="5"/>
        <v>0</v>
      </c>
      <c r="K106" s="2">
        <v>5.375</v>
      </c>
      <c r="L106" s="2" t="s">
        <v>730</v>
      </c>
      <c r="M106" s="2" t="s">
        <v>743</v>
      </c>
      <c r="N106" s="8">
        <v>5.3220999999999998</v>
      </c>
      <c r="O106" s="2" t="s">
        <v>115</v>
      </c>
      <c r="P106" s="2" t="s">
        <v>116</v>
      </c>
      <c r="Q106" s="2" t="s">
        <v>270</v>
      </c>
      <c r="R106" s="2" t="s">
        <v>52</v>
      </c>
      <c r="S106" s="2" t="s">
        <v>53</v>
      </c>
      <c r="T106" s="2" t="s">
        <v>744</v>
      </c>
      <c r="U106" s="2" t="s">
        <v>55</v>
      </c>
      <c r="V106" s="2" t="s">
        <v>56</v>
      </c>
      <c r="W106" s="2" t="s">
        <v>71</v>
      </c>
      <c r="X106" s="2">
        <v>365809300</v>
      </c>
      <c r="Y106" s="2" t="s">
        <v>421</v>
      </c>
      <c r="Z106" s="2" t="s">
        <v>422</v>
      </c>
      <c r="AA106" s="2" t="s">
        <v>60</v>
      </c>
      <c r="AB106" s="2" t="s">
        <v>61</v>
      </c>
      <c r="AC106" s="2" t="s">
        <v>227</v>
      </c>
      <c r="AD106" s="2" t="s">
        <v>664</v>
      </c>
      <c r="AE106" s="2" t="s">
        <v>738</v>
      </c>
      <c r="AF106" s="6">
        <v>25</v>
      </c>
      <c r="AG106" s="6"/>
      <c r="AH106" s="2" t="str">
        <f t="shared" si="0"/>
        <v/>
      </c>
      <c r="AI106" s="2" t="str" cm="1">
        <f t="array" ref="AI106">_xlfn.IFS(AF106&lt;25,"Less",AF106=25,"Equal",AF106&gt;25,"More")</f>
        <v>Equal</v>
      </c>
      <c r="AJ106" s="6" t="s">
        <v>5517</v>
      </c>
      <c r="AK106" s="6" t="s">
        <v>125</v>
      </c>
      <c r="AL106" s="2" t="s">
        <v>745</v>
      </c>
      <c r="AM106" s="5" t="str">
        <f>VLOOKUP(D106,'slb RAW'!$E$2:$AF$293,9)</f>
        <v>#N/A N/A</v>
      </c>
      <c r="AN106" s="2">
        <f>VLOOKUP(D106,'slb RAW'!$E$2:$AE$293,27)</f>
        <v>5.3289999999999997</v>
      </c>
      <c r="AO106" s="2">
        <f>VLOOKUP(C106,'Refinitiv SLB'!F106:S283,14)</f>
        <v>1.1240000000000001</v>
      </c>
      <c r="AP106" s="2">
        <f t="shared" si="1"/>
        <v>5.3289999999999997</v>
      </c>
      <c r="AQ106" s="7" t="str">
        <f t="shared" si="2"/>
        <v>Picard Bondco SACALLABLEFIXEDEURSr Unsecured</v>
      </c>
      <c r="AR106" s="5" t="b">
        <f ca="1">ISNUMBER( IFERROR(VLOOKUP(A106,Pairs!$E$2:$E$57,1,FALSE),FALSE))</f>
        <v>0</v>
      </c>
      <c r="AS106" s="5"/>
      <c r="AT106" s="5"/>
    </row>
    <row r="107" spans="1:46" ht="15.75" customHeight="1" x14ac:dyDescent="0.2">
      <c r="A107" s="2">
        <v>243</v>
      </c>
      <c r="B107" s="2" t="s">
        <v>754</v>
      </c>
      <c r="C107" s="2" t="str">
        <f>VLOOKUP(D107,'slb RAW'!$E:$F,2)</f>
        <v>US86964WAK80</v>
      </c>
      <c r="D107" s="2" t="s">
        <v>755</v>
      </c>
      <c r="E107" s="2" t="s">
        <v>756</v>
      </c>
      <c r="F107" s="2" t="s">
        <v>757</v>
      </c>
      <c r="G107" s="2" t="s">
        <v>257</v>
      </c>
      <c r="H107" s="2" t="s">
        <v>257</v>
      </c>
      <c r="I107" s="2" t="s">
        <v>258</v>
      </c>
      <c r="J107" s="2" t="b">
        <f t="shared" si="5"/>
        <v>0</v>
      </c>
      <c r="K107" s="2">
        <v>3.125</v>
      </c>
      <c r="L107" s="2" t="s">
        <v>707</v>
      </c>
      <c r="M107" s="2" t="s">
        <v>662</v>
      </c>
      <c r="N107" s="2">
        <v>3.28</v>
      </c>
      <c r="O107" s="2" t="s">
        <v>115</v>
      </c>
      <c r="P107" s="2" t="s">
        <v>116</v>
      </c>
      <c r="Q107" s="2" t="s">
        <v>758</v>
      </c>
      <c r="R107" s="2" t="s">
        <v>52</v>
      </c>
      <c r="S107" s="2" t="s">
        <v>262</v>
      </c>
      <c r="T107" s="2" t="s">
        <v>496</v>
      </c>
      <c r="U107" s="2" t="s">
        <v>55</v>
      </c>
      <c r="V107" s="2" t="s">
        <v>56</v>
      </c>
      <c r="W107" s="2" t="s">
        <v>71</v>
      </c>
      <c r="X107" s="2">
        <v>1000000000</v>
      </c>
      <c r="Y107" s="2" t="s">
        <v>85</v>
      </c>
      <c r="Z107" s="2" t="s">
        <v>759</v>
      </c>
      <c r="AA107" s="2" t="s">
        <v>60</v>
      </c>
      <c r="AB107" s="2" t="s">
        <v>61</v>
      </c>
      <c r="AC107" s="2" t="s">
        <v>87</v>
      </c>
      <c r="AD107" s="2" t="s">
        <v>265</v>
      </c>
      <c r="AE107" s="2" t="s">
        <v>760</v>
      </c>
      <c r="AF107" s="6">
        <v>25</v>
      </c>
      <c r="AG107" s="6"/>
      <c r="AH107" s="2" t="str">
        <f t="shared" si="0"/>
        <v/>
      </c>
      <c r="AI107" s="2" t="str" cm="1">
        <f t="array" ref="AI107">_xlfn.IFS(AF107&lt;25,"Less",AF107=25,"Equal",AF107&gt;25,"More")</f>
        <v>Equal</v>
      </c>
      <c r="AJ107" s="6" t="s">
        <v>5517</v>
      </c>
      <c r="AK107" s="6" t="s">
        <v>611</v>
      </c>
      <c r="AL107" s="2" t="s">
        <v>761</v>
      </c>
      <c r="AM107" s="5">
        <f>VLOOKUP(D107,'slb RAW'!$E$2:$AF$293,9)</f>
        <v>3.28</v>
      </c>
      <c r="AN107" s="2">
        <f>VLOOKUP(D107,'slb RAW'!$E$2:$AE$293,27)</f>
        <v>3.2330000000000001</v>
      </c>
      <c r="AO107" s="2">
        <f>VLOOKUP(C107,'Refinitiv SLB'!F107:S284,14)</f>
        <v>3.2290000000000001</v>
      </c>
      <c r="AP107" s="2">
        <f t="shared" si="1"/>
        <v>3.2330000000000001</v>
      </c>
      <c r="AQ107" s="7" t="str">
        <f t="shared" si="2"/>
        <v>Suzano Austria GmbHCALLABLEFIXEDUSDSr Unsecured</v>
      </c>
      <c r="AR107" s="5" t="b">
        <f ca="1">ISNUMBER( IFERROR(VLOOKUP(A107,Pairs!$E$2:$E$57,1,FALSE),FALSE))</f>
        <v>1</v>
      </c>
      <c r="AS107" s="5"/>
      <c r="AT107" s="5"/>
    </row>
    <row r="108" spans="1:46" ht="15.75" customHeight="1" x14ac:dyDescent="0.2">
      <c r="A108" s="2">
        <v>223</v>
      </c>
      <c r="B108" s="2" t="s">
        <v>762</v>
      </c>
      <c r="C108" s="2" t="str">
        <f>VLOOKUP(D108,'slb RAW'!$E:$F,2)</f>
        <v>XS2361358299</v>
      </c>
      <c r="D108" s="2" t="s">
        <v>763</v>
      </c>
      <c r="E108" s="2" t="s">
        <v>764</v>
      </c>
      <c r="F108" s="2" t="s">
        <v>765</v>
      </c>
      <c r="G108" s="2" t="s">
        <v>169</v>
      </c>
      <c r="H108" s="2" t="s">
        <v>169</v>
      </c>
      <c r="I108" s="2" t="s">
        <v>222</v>
      </c>
      <c r="J108" s="2" t="b">
        <f t="shared" si="5"/>
        <v>0</v>
      </c>
      <c r="K108" s="2">
        <v>0.375</v>
      </c>
      <c r="L108" s="2" t="s">
        <v>628</v>
      </c>
      <c r="M108" s="2" t="s">
        <v>766</v>
      </c>
      <c r="N108" s="8">
        <v>0.37930000000000003</v>
      </c>
      <c r="O108" s="2" t="s">
        <v>115</v>
      </c>
      <c r="P108" s="2" t="s">
        <v>116</v>
      </c>
      <c r="Q108" s="2" t="s">
        <v>225</v>
      </c>
      <c r="R108" s="2" t="s">
        <v>52</v>
      </c>
      <c r="S108" s="2" t="s">
        <v>53</v>
      </c>
      <c r="T108" s="2" t="s">
        <v>174</v>
      </c>
      <c r="U108" s="2" t="s">
        <v>55</v>
      </c>
      <c r="V108" s="2" t="s">
        <v>56</v>
      </c>
      <c r="W108" s="2" t="s">
        <v>57</v>
      </c>
      <c r="X108" s="2">
        <v>767955500</v>
      </c>
      <c r="Y108" s="2" t="s">
        <v>213</v>
      </c>
      <c r="Z108" s="2" t="s">
        <v>620</v>
      </c>
      <c r="AA108" s="2" t="s">
        <v>60</v>
      </c>
      <c r="AB108" s="2" t="s">
        <v>61</v>
      </c>
      <c r="AC108" s="2" t="s">
        <v>213</v>
      </c>
      <c r="AD108" s="2" t="s">
        <v>621</v>
      </c>
      <c r="AE108" s="2" t="s">
        <v>767</v>
      </c>
      <c r="AF108" s="5">
        <v>25</v>
      </c>
      <c r="AG108" s="6"/>
      <c r="AH108" s="2" t="str">
        <f t="shared" si="0"/>
        <v/>
      </c>
      <c r="AI108" s="2" t="str" cm="1">
        <f t="array" ref="AI108">_xlfn.IFS(AF108&lt;25,"Less",AF108=25,"Equal",AF108&gt;25,"More")</f>
        <v>Equal</v>
      </c>
      <c r="AJ108" s="6" t="s">
        <v>5517</v>
      </c>
      <c r="AK108" s="6" t="s">
        <v>125</v>
      </c>
      <c r="AL108" s="2" t="s">
        <v>768</v>
      </c>
      <c r="AM108" s="5" t="str">
        <f>VLOOKUP(D108,'slb RAW'!$E$2:$AF$293,9)</f>
        <v>#N/A N/A</v>
      </c>
      <c r="AN108" s="2">
        <f>VLOOKUP(D108,'slb RAW'!$E$2:$AE$293,27)</f>
        <v>0.35299999999999998</v>
      </c>
      <c r="AO108" s="2">
        <f>VLOOKUP(C108,'Refinitiv SLB'!F108:S285,14)</f>
        <v>4.8710000000000004</v>
      </c>
      <c r="AP108" s="2">
        <f t="shared" si="1"/>
        <v>0.35299999999999998</v>
      </c>
      <c r="AQ108" s="7" t="str">
        <f t="shared" si="2"/>
        <v>Repsol Europe Finance SarlCALLABLEFIXEDEURSr Unsecured</v>
      </c>
      <c r="AR108" s="5" t="b">
        <f ca="1">ISNUMBER( IFERROR(VLOOKUP(A108,Pairs!$E$2:$E$57,1,FALSE),FALSE))</f>
        <v>0</v>
      </c>
      <c r="AS108" s="5"/>
      <c r="AT108" s="5"/>
    </row>
    <row r="109" spans="1:46" ht="15.75" customHeight="1" x14ac:dyDescent="0.2">
      <c r="A109" s="2">
        <v>222</v>
      </c>
      <c r="B109" s="2" t="s">
        <v>762</v>
      </c>
      <c r="C109" s="2" t="str">
        <f>VLOOKUP(D109,'slb RAW'!$E:$F,2)</f>
        <v>XS2361358539</v>
      </c>
      <c r="D109" s="2" t="s">
        <v>769</v>
      </c>
      <c r="E109" s="2" t="s">
        <v>770</v>
      </c>
      <c r="F109" s="2" t="s">
        <v>765</v>
      </c>
      <c r="G109" s="2" t="s">
        <v>169</v>
      </c>
      <c r="H109" s="2" t="s">
        <v>169</v>
      </c>
      <c r="I109" s="2" t="s">
        <v>222</v>
      </c>
      <c r="J109" s="2" t="b">
        <f t="shared" si="5"/>
        <v>0</v>
      </c>
      <c r="K109" s="2">
        <v>0.875</v>
      </c>
      <c r="L109" s="2" t="s">
        <v>628</v>
      </c>
      <c r="M109" s="2" t="s">
        <v>771</v>
      </c>
      <c r="N109" s="8">
        <v>0.8014</v>
      </c>
      <c r="O109" s="2" t="s">
        <v>115</v>
      </c>
      <c r="P109" s="2" t="s">
        <v>116</v>
      </c>
      <c r="Q109" s="2" t="s">
        <v>225</v>
      </c>
      <c r="R109" s="2" t="s">
        <v>52</v>
      </c>
      <c r="S109" s="2" t="s">
        <v>53</v>
      </c>
      <c r="T109" s="2" t="s">
        <v>174</v>
      </c>
      <c r="U109" s="2" t="s">
        <v>55</v>
      </c>
      <c r="V109" s="2" t="s">
        <v>56</v>
      </c>
      <c r="W109" s="2" t="s">
        <v>57</v>
      </c>
      <c r="X109" s="2">
        <v>708882000</v>
      </c>
      <c r="Y109" s="2" t="s">
        <v>213</v>
      </c>
      <c r="Z109" s="2" t="s">
        <v>620</v>
      </c>
      <c r="AA109" s="2" t="s">
        <v>60</v>
      </c>
      <c r="AB109" s="2" t="s">
        <v>61</v>
      </c>
      <c r="AC109" s="2" t="s">
        <v>213</v>
      </c>
      <c r="AD109" s="2" t="s">
        <v>621</v>
      </c>
      <c r="AE109" s="2" t="s">
        <v>772</v>
      </c>
      <c r="AF109" s="5">
        <v>37.5</v>
      </c>
      <c r="AG109" s="6"/>
      <c r="AH109" s="2" t="str">
        <f t="shared" si="0"/>
        <v/>
      </c>
      <c r="AI109" s="2" t="str" cm="1">
        <f t="array" ref="AI109">_xlfn.IFS(AF109&lt;25,"Less",AF109=25,"Equal",AF109&gt;25,"More")</f>
        <v>More</v>
      </c>
      <c r="AJ109" s="6"/>
      <c r="AK109" s="6" t="s">
        <v>125</v>
      </c>
      <c r="AL109" s="2" t="s">
        <v>773</v>
      </c>
      <c r="AM109" s="5" t="str">
        <f>VLOOKUP(D109,'slb RAW'!$E$2:$AF$293,9)</f>
        <v>#N/A N/A</v>
      </c>
      <c r="AN109" s="2">
        <f>VLOOKUP(D109,'slb RAW'!$E$2:$AE$293,27)</f>
        <v>0.78700000000000003</v>
      </c>
      <c r="AO109" s="2">
        <f>VLOOKUP(C109,'Refinitiv SLB'!F109:S286,14)</f>
        <v>4.8710000000000004</v>
      </c>
      <c r="AP109" s="2">
        <f t="shared" si="1"/>
        <v>0.78700000000000003</v>
      </c>
      <c r="AQ109" s="7" t="str">
        <f t="shared" si="2"/>
        <v>Repsol Europe Finance SarlCALLABLEFIXEDEURSr Unsecured</v>
      </c>
      <c r="AR109" s="5" t="b">
        <f ca="1">ISNUMBER( IFERROR(VLOOKUP(A109,Pairs!$E$2:$E$57,1,FALSE),FALSE))</f>
        <v>0</v>
      </c>
      <c r="AS109" s="5"/>
      <c r="AT109" s="5"/>
    </row>
    <row r="110" spans="1:46" ht="15.75" customHeight="1" x14ac:dyDescent="0.2">
      <c r="A110" s="2">
        <v>1</v>
      </c>
      <c r="B110" s="2" t="s">
        <v>774</v>
      </c>
      <c r="C110" s="2" t="str">
        <f>VLOOKUP(D110,'slb RAW'!$E:$F,2)</f>
        <v>XS2364001078</v>
      </c>
      <c r="D110" s="2" t="s">
        <v>775</v>
      </c>
      <c r="E110" s="2" t="s">
        <v>776</v>
      </c>
      <c r="F110" s="2" t="s">
        <v>777</v>
      </c>
      <c r="G110" s="2" t="s">
        <v>199</v>
      </c>
      <c r="H110" s="2" t="s">
        <v>199</v>
      </c>
      <c r="I110" s="2" t="s">
        <v>199</v>
      </c>
      <c r="J110" s="2" t="b">
        <f t="shared" si="5"/>
        <v>1</v>
      </c>
      <c r="K110" s="2">
        <v>0.625</v>
      </c>
      <c r="L110" s="2" t="s">
        <v>778</v>
      </c>
      <c r="M110" s="2" t="s">
        <v>570</v>
      </c>
      <c r="N110" s="9">
        <v>0.621</v>
      </c>
      <c r="O110" s="2" t="s">
        <v>115</v>
      </c>
      <c r="P110" s="2" t="s">
        <v>116</v>
      </c>
      <c r="Q110" s="2" t="s">
        <v>225</v>
      </c>
      <c r="R110" s="2" t="s">
        <v>52</v>
      </c>
      <c r="S110" s="2" t="s">
        <v>53</v>
      </c>
      <c r="T110" s="2" t="s">
        <v>174</v>
      </c>
      <c r="U110" s="2" t="s">
        <v>55</v>
      </c>
      <c r="V110" s="2" t="s">
        <v>56</v>
      </c>
      <c r="W110" s="2" t="s">
        <v>57</v>
      </c>
      <c r="X110" s="2">
        <v>590145000</v>
      </c>
      <c r="Y110" s="2" t="s">
        <v>120</v>
      </c>
      <c r="Z110" s="2" t="s">
        <v>237</v>
      </c>
      <c r="AA110" s="2" t="s">
        <v>202</v>
      </c>
      <c r="AB110" s="2" t="s">
        <v>203</v>
      </c>
      <c r="AC110" s="2" t="s">
        <v>203</v>
      </c>
      <c r="AD110" s="2" t="s">
        <v>203</v>
      </c>
      <c r="AE110" s="2" t="s">
        <v>779</v>
      </c>
      <c r="AF110" s="5">
        <v>25</v>
      </c>
      <c r="AG110" s="6"/>
      <c r="AH110" s="2" t="str">
        <f t="shared" si="0"/>
        <v/>
      </c>
      <c r="AI110" s="2" t="str" cm="1">
        <f t="array" ref="AI110">_xlfn.IFS(AF110&lt;25,"Less",AF110=25,"Equal",AF110&gt;25,"More")</f>
        <v>Equal</v>
      </c>
      <c r="AJ110" s="6"/>
      <c r="AK110" s="6" t="s">
        <v>125</v>
      </c>
      <c r="AL110" s="2" t="s">
        <v>780</v>
      </c>
      <c r="AM110" s="5" t="str">
        <f>VLOOKUP(D110,'slb RAW'!$E$2:$AF$293,9)</f>
        <v>#N/A N/A</v>
      </c>
      <c r="AN110" s="2">
        <f>VLOOKUP(D110,'slb RAW'!$E$2:$AE$293,27)</f>
        <v>0.55300000000000005</v>
      </c>
      <c r="AO110" s="2">
        <f>VLOOKUP(C110,'Refinitiv SLB'!F110:S287,14)</f>
        <v>4.8710000000000004</v>
      </c>
      <c r="AP110" s="2">
        <f t="shared" si="1"/>
        <v>0.55300000000000005</v>
      </c>
      <c r="AQ110" s="7" t="str">
        <f t="shared" si="2"/>
        <v>A2A SpACALLABLEFIXEDEURSr Unsecured</v>
      </c>
      <c r="AR110" s="5" t="b">
        <f ca="1">ISNUMBER( IFERROR(VLOOKUP(A110,Pairs!$E$2:$E$57,1,FALSE),FALSE))</f>
        <v>1</v>
      </c>
      <c r="AS110" s="5"/>
      <c r="AT110" s="5"/>
    </row>
    <row r="111" spans="1:46" ht="15.75" customHeight="1" x14ac:dyDescent="0.2">
      <c r="A111" s="2">
        <v>80</v>
      </c>
      <c r="B111" s="2" t="s">
        <v>641</v>
      </c>
      <c r="C111" s="2" t="str">
        <f>VLOOKUP(D111,'slb RAW'!$E:$F,2)</f>
        <v>US29278GAM06</v>
      </c>
      <c r="D111" s="2" t="s">
        <v>781</v>
      </c>
      <c r="E111" s="2" t="s">
        <v>782</v>
      </c>
      <c r="F111" s="2" t="s">
        <v>644</v>
      </c>
      <c r="G111" s="2" t="s">
        <v>366</v>
      </c>
      <c r="H111" s="2" t="s">
        <v>366</v>
      </c>
      <c r="I111" s="2" t="s">
        <v>199</v>
      </c>
      <c r="J111" s="2" t="b">
        <f t="shared" si="5"/>
        <v>0</v>
      </c>
      <c r="K111" s="2">
        <v>1.375</v>
      </c>
      <c r="L111" s="2" t="s">
        <v>783</v>
      </c>
      <c r="M111" s="2" t="s">
        <v>784</v>
      </c>
      <c r="N111" s="2">
        <v>1.4769999999999999</v>
      </c>
      <c r="O111" s="2" t="s">
        <v>115</v>
      </c>
      <c r="P111" s="2" t="s">
        <v>116</v>
      </c>
      <c r="Q111" s="2" t="s">
        <v>261</v>
      </c>
      <c r="R111" s="2" t="s">
        <v>52</v>
      </c>
      <c r="S111" s="2" t="s">
        <v>262</v>
      </c>
      <c r="T111" s="2" t="s">
        <v>619</v>
      </c>
      <c r="U111" s="2" t="s">
        <v>55</v>
      </c>
      <c r="V111" s="2" t="s">
        <v>56</v>
      </c>
      <c r="W111" s="2" t="s">
        <v>71</v>
      </c>
      <c r="X111" s="2">
        <v>1250000000</v>
      </c>
      <c r="Y111" s="2" t="s">
        <v>120</v>
      </c>
      <c r="Z111" s="2" t="s">
        <v>120</v>
      </c>
      <c r="AA111" s="2" t="s">
        <v>60</v>
      </c>
      <c r="AB111" s="2" t="s">
        <v>121</v>
      </c>
      <c r="AC111" s="2" t="s">
        <v>122</v>
      </c>
      <c r="AD111" s="2" t="s">
        <v>122</v>
      </c>
      <c r="AE111" s="2" t="s">
        <v>785</v>
      </c>
      <c r="AF111" s="5">
        <v>25</v>
      </c>
      <c r="AG111" s="6"/>
      <c r="AH111" s="2" t="str">
        <f t="shared" si="0"/>
        <v/>
      </c>
      <c r="AI111" s="2" t="str" cm="1">
        <f t="array" ref="AI111">_xlfn.IFS(AF111&lt;25,"Less",AF111=25,"Equal",AF111&gt;25,"More")</f>
        <v>Equal</v>
      </c>
      <c r="AJ111" s="6"/>
      <c r="AK111" s="6" t="s">
        <v>125</v>
      </c>
      <c r="AL111" s="2" t="s">
        <v>786</v>
      </c>
      <c r="AM111" s="5">
        <f>VLOOKUP(D111,'slb RAW'!$E$2:$AF$293,9)</f>
        <v>1.4769999999999999</v>
      </c>
      <c r="AN111" s="2">
        <f>VLOOKUP(D111,'slb RAW'!$E$2:$AE$293,27)</f>
        <v>1.4059999999999999</v>
      </c>
      <c r="AO111" s="2">
        <f>VLOOKUP(C111,'Refinitiv SLB'!F111:S288,14)</f>
        <v>1.008</v>
      </c>
      <c r="AP111" s="2">
        <f t="shared" si="1"/>
        <v>1.4059999999999999</v>
      </c>
      <c r="AQ111" s="7" t="str">
        <f t="shared" si="2"/>
        <v>Enel Finance International NVCALLABLEFIXEDUSDSr Unsecured</v>
      </c>
      <c r="AR111" s="5" t="b">
        <f ca="1">ISNUMBER( IFERROR(VLOOKUP(A111,Pairs!$E$2:$E$57,1,FALSE),FALSE))</f>
        <v>0</v>
      </c>
      <c r="AS111" s="5"/>
      <c r="AT111" s="5"/>
    </row>
    <row r="112" spans="1:46" ht="15.75" customHeight="1" x14ac:dyDescent="0.2">
      <c r="A112" s="2">
        <v>82</v>
      </c>
      <c r="B112" s="2" t="s">
        <v>641</v>
      </c>
      <c r="C112" s="2" t="str">
        <f>VLOOKUP(D112,'slb RAW'!$E:$F,2)</f>
        <v>US29278GAN88</v>
      </c>
      <c r="D112" s="2" t="s">
        <v>787</v>
      </c>
      <c r="E112" s="2" t="s">
        <v>788</v>
      </c>
      <c r="F112" s="2" t="s">
        <v>644</v>
      </c>
      <c r="G112" s="2" t="s">
        <v>366</v>
      </c>
      <c r="H112" s="2" t="s">
        <v>366</v>
      </c>
      <c r="I112" s="2" t="s">
        <v>199</v>
      </c>
      <c r="J112" s="2" t="b">
        <f t="shared" si="5"/>
        <v>0</v>
      </c>
      <c r="K112" s="2">
        <v>1.875</v>
      </c>
      <c r="L112" s="2" t="s">
        <v>783</v>
      </c>
      <c r="M112" s="2" t="s">
        <v>789</v>
      </c>
      <c r="N112" s="2">
        <v>1.9370000000000001</v>
      </c>
      <c r="O112" s="2" t="s">
        <v>115</v>
      </c>
      <c r="P112" s="2" t="s">
        <v>116</v>
      </c>
      <c r="Q112" s="2" t="s">
        <v>261</v>
      </c>
      <c r="R112" s="2" t="s">
        <v>52</v>
      </c>
      <c r="S112" s="2" t="s">
        <v>262</v>
      </c>
      <c r="T112" s="2" t="s">
        <v>619</v>
      </c>
      <c r="U112" s="2" t="s">
        <v>55</v>
      </c>
      <c r="V112" s="2" t="s">
        <v>56</v>
      </c>
      <c r="W112" s="2" t="s">
        <v>71</v>
      </c>
      <c r="X112" s="2">
        <v>1000000000</v>
      </c>
      <c r="Y112" s="2" t="s">
        <v>120</v>
      </c>
      <c r="Z112" s="2" t="s">
        <v>120</v>
      </c>
      <c r="AA112" s="2" t="s">
        <v>60</v>
      </c>
      <c r="AB112" s="2" t="s">
        <v>121</v>
      </c>
      <c r="AC112" s="2" t="s">
        <v>122</v>
      </c>
      <c r="AD112" s="2" t="s">
        <v>122</v>
      </c>
      <c r="AE112" s="2" t="s">
        <v>790</v>
      </c>
      <c r="AF112" s="5">
        <v>25</v>
      </c>
      <c r="AG112" s="6"/>
      <c r="AH112" s="2" t="str">
        <f t="shared" si="0"/>
        <v/>
      </c>
      <c r="AI112" s="2" t="str" cm="1">
        <f t="array" ref="AI112">_xlfn.IFS(AF112&lt;25,"Less",AF112=25,"Equal",AF112&gt;25,"More")</f>
        <v>Equal</v>
      </c>
      <c r="AJ112" s="6"/>
      <c r="AK112" s="6" t="s">
        <v>125</v>
      </c>
      <c r="AL112" s="2" t="s">
        <v>786</v>
      </c>
      <c r="AM112" s="5">
        <f>VLOOKUP(D112,'slb RAW'!$E$2:$AF$293,9)</f>
        <v>1.9370000000000001</v>
      </c>
      <c r="AN112" s="2">
        <f>VLOOKUP(D112,'slb RAW'!$E$2:$AE$293,27)</f>
        <v>1.8919999999999999</v>
      </c>
      <c r="AO112" s="2">
        <f>VLOOKUP(C112,'Refinitiv SLB'!F112:S289,14)</f>
        <v>6.3234000000000004</v>
      </c>
      <c r="AP112" s="2">
        <f t="shared" si="1"/>
        <v>1.8919999999999999</v>
      </c>
      <c r="AQ112" s="7" t="str">
        <f t="shared" si="2"/>
        <v>Enel Finance International NVCALLABLEFIXEDUSDSr Unsecured</v>
      </c>
      <c r="AR112" s="5" t="b">
        <f ca="1">ISNUMBER( IFERROR(VLOOKUP(A112,Pairs!$E$2:$E$57,1,FALSE),FALSE))</f>
        <v>0</v>
      </c>
      <c r="AS112" s="5"/>
      <c r="AT112" s="5"/>
    </row>
    <row r="113" spans="1:46" ht="15.75" customHeight="1" x14ac:dyDescent="0.2">
      <c r="A113" s="2">
        <v>86</v>
      </c>
      <c r="B113" s="2" t="s">
        <v>641</v>
      </c>
      <c r="C113" s="2" t="str">
        <f>VLOOKUP(D113,'slb RAW'!$E:$F,2)</f>
        <v>US29278GAP37</v>
      </c>
      <c r="D113" s="2" t="s">
        <v>791</v>
      </c>
      <c r="E113" s="2" t="s">
        <v>792</v>
      </c>
      <c r="F113" s="2" t="s">
        <v>644</v>
      </c>
      <c r="G113" s="2" t="s">
        <v>366</v>
      </c>
      <c r="H113" s="2" t="s">
        <v>366</v>
      </c>
      <c r="I113" s="2" t="s">
        <v>199</v>
      </c>
      <c r="J113" s="2" t="b">
        <f t="shared" si="5"/>
        <v>0</v>
      </c>
      <c r="K113" s="2">
        <v>2.25</v>
      </c>
      <c r="L113" s="2" t="s">
        <v>783</v>
      </c>
      <c r="M113" s="2" t="s">
        <v>793</v>
      </c>
      <c r="N113" s="2">
        <v>2.3199999999999998</v>
      </c>
      <c r="O113" s="2" t="s">
        <v>115</v>
      </c>
      <c r="P113" s="2" t="s">
        <v>116</v>
      </c>
      <c r="Q113" s="2" t="s">
        <v>261</v>
      </c>
      <c r="R113" s="2" t="s">
        <v>52</v>
      </c>
      <c r="S113" s="2" t="s">
        <v>262</v>
      </c>
      <c r="T113" s="2" t="s">
        <v>619</v>
      </c>
      <c r="U113" s="2" t="s">
        <v>55</v>
      </c>
      <c r="V113" s="2" t="s">
        <v>56</v>
      </c>
      <c r="W113" s="2" t="s">
        <v>71</v>
      </c>
      <c r="X113" s="2">
        <v>1000000000</v>
      </c>
      <c r="Y113" s="2" t="s">
        <v>120</v>
      </c>
      <c r="Z113" s="2" t="s">
        <v>120</v>
      </c>
      <c r="AA113" s="2" t="s">
        <v>60</v>
      </c>
      <c r="AB113" s="2" t="s">
        <v>121</v>
      </c>
      <c r="AC113" s="2" t="s">
        <v>122</v>
      </c>
      <c r="AD113" s="2" t="s">
        <v>122</v>
      </c>
      <c r="AE113" s="2" t="s">
        <v>790</v>
      </c>
      <c r="AF113" s="5">
        <v>25</v>
      </c>
      <c r="AG113" s="6"/>
      <c r="AH113" s="2" t="str">
        <f t="shared" si="0"/>
        <v/>
      </c>
      <c r="AI113" s="2" t="str" cm="1">
        <f t="array" ref="AI113">_xlfn.IFS(AF113&lt;25,"Less",AF113=25,"Equal",AF113&gt;25,"More")</f>
        <v>Equal</v>
      </c>
      <c r="AJ113" s="6"/>
      <c r="AK113" s="6" t="s">
        <v>125</v>
      </c>
      <c r="AL113" s="2" t="s">
        <v>786</v>
      </c>
      <c r="AM113" s="5">
        <f>VLOOKUP(D113,'slb RAW'!$E$2:$AF$293,9)</f>
        <v>2.3199999999999998</v>
      </c>
      <c r="AN113" s="2">
        <f>VLOOKUP(D113,'slb RAW'!$E$2:$AE$293,27)</f>
        <v>2.2949999999999999</v>
      </c>
      <c r="AO113" s="2" t="e">
        <f>VLOOKUP(C113,'Refinitiv SLB'!F113:S290,14)</f>
        <v>#N/A</v>
      </c>
      <c r="AP113" s="2">
        <f t="shared" si="1"/>
        <v>2.2949999999999999</v>
      </c>
      <c r="AQ113" s="7" t="str">
        <f t="shared" si="2"/>
        <v>Enel Finance International NVCALLABLEFIXEDUSDSr Unsecured</v>
      </c>
      <c r="AR113" s="5" t="b">
        <f ca="1">ISNUMBER( IFERROR(VLOOKUP(A113,Pairs!$E$2:$E$57,1,FALSE),FALSE))</f>
        <v>0</v>
      </c>
      <c r="AS113" s="5"/>
      <c r="AT113" s="5"/>
    </row>
    <row r="114" spans="1:46" ht="15.75" customHeight="1" x14ac:dyDescent="0.2">
      <c r="A114" s="2">
        <v>81</v>
      </c>
      <c r="B114" s="2" t="s">
        <v>641</v>
      </c>
      <c r="C114" s="2" t="str">
        <f>VLOOKUP(D114,'slb RAW'!$E:$F,2)</f>
        <v>US29278GAQ10</v>
      </c>
      <c r="D114" s="2" t="s">
        <v>794</v>
      </c>
      <c r="E114" s="2" t="s">
        <v>795</v>
      </c>
      <c r="F114" s="2" t="s">
        <v>644</v>
      </c>
      <c r="G114" s="2" t="s">
        <v>366</v>
      </c>
      <c r="H114" s="2" t="s">
        <v>366</v>
      </c>
      <c r="I114" s="2" t="s">
        <v>199</v>
      </c>
      <c r="J114" s="2" t="b">
        <f t="shared" si="5"/>
        <v>0</v>
      </c>
      <c r="K114" s="2">
        <v>2.875</v>
      </c>
      <c r="L114" s="2" t="s">
        <v>783</v>
      </c>
      <c r="M114" s="2" t="s">
        <v>796</v>
      </c>
      <c r="N114" s="2">
        <v>2.9569999999999999</v>
      </c>
      <c r="O114" s="2" t="s">
        <v>115</v>
      </c>
      <c r="P114" s="2" t="s">
        <v>116</v>
      </c>
      <c r="Q114" s="2" t="s">
        <v>261</v>
      </c>
      <c r="R114" s="2" t="s">
        <v>52</v>
      </c>
      <c r="S114" s="2" t="s">
        <v>262</v>
      </c>
      <c r="T114" s="2" t="s">
        <v>619</v>
      </c>
      <c r="U114" s="2" t="s">
        <v>55</v>
      </c>
      <c r="V114" s="2" t="s">
        <v>56</v>
      </c>
      <c r="W114" s="2" t="s">
        <v>71</v>
      </c>
      <c r="X114" s="2">
        <v>750000000</v>
      </c>
      <c r="Y114" s="2" t="s">
        <v>120</v>
      </c>
      <c r="Z114" s="2" t="s">
        <v>120</v>
      </c>
      <c r="AA114" s="2" t="s">
        <v>60</v>
      </c>
      <c r="AB114" s="2" t="s">
        <v>121</v>
      </c>
      <c r="AC114" s="2" t="s">
        <v>122</v>
      </c>
      <c r="AD114" s="2" t="s">
        <v>122</v>
      </c>
      <c r="AE114" s="2" t="s">
        <v>797</v>
      </c>
      <c r="AF114" s="5">
        <v>25</v>
      </c>
      <c r="AG114" s="6"/>
      <c r="AH114" s="2" t="str">
        <f t="shared" si="0"/>
        <v/>
      </c>
      <c r="AI114" s="2" t="str" cm="1">
        <f t="array" ref="AI114">_xlfn.IFS(AF114&lt;25,"Less",AF114=25,"Equal",AF114&gt;25,"More")</f>
        <v>Equal</v>
      </c>
      <c r="AJ114" s="6"/>
      <c r="AK114" s="6" t="s">
        <v>125</v>
      </c>
      <c r="AL114" s="2" t="s">
        <v>786</v>
      </c>
      <c r="AM114" s="5">
        <f>VLOOKUP(D114,'slb RAW'!$E$2:$AF$293,9)</f>
        <v>2.9569999999999999</v>
      </c>
      <c r="AN114" s="2">
        <f>VLOOKUP(D114,'slb RAW'!$E$2:$AE$293,27)</f>
        <v>3.0030000000000001</v>
      </c>
      <c r="AO114" s="2" t="e">
        <f>VLOOKUP(C114,'Refinitiv SLB'!F114:S291,14)</f>
        <v>#N/A</v>
      </c>
      <c r="AP114" s="2">
        <f t="shared" si="1"/>
        <v>3.0030000000000001</v>
      </c>
      <c r="AQ114" s="7" t="str">
        <f t="shared" si="2"/>
        <v>Enel Finance International NVCALLABLEFIXEDUSDSr Unsecured</v>
      </c>
      <c r="AR114" s="5" t="b">
        <f ca="1">ISNUMBER( IFERROR(VLOOKUP(A114,Pairs!$E$2:$E$57,1,FALSE),FALSE))</f>
        <v>0</v>
      </c>
      <c r="AS114" s="5"/>
      <c r="AT114" s="5"/>
    </row>
    <row r="115" spans="1:46" ht="15.75" customHeight="1" x14ac:dyDescent="0.2">
      <c r="A115" s="2">
        <v>87</v>
      </c>
      <c r="B115" s="2" t="s">
        <v>641</v>
      </c>
      <c r="C115" s="2" t="str">
        <f>VLOOKUP(D115,'slb RAW'!$E:$F,2)</f>
        <v>USN30706VC11</v>
      </c>
      <c r="D115" s="2" t="s">
        <v>798</v>
      </c>
      <c r="E115" s="2" t="s">
        <v>799</v>
      </c>
      <c r="F115" s="2" t="s">
        <v>644</v>
      </c>
      <c r="G115" s="2" t="s">
        <v>366</v>
      </c>
      <c r="H115" s="2" t="s">
        <v>366</v>
      </c>
      <c r="I115" s="2" t="s">
        <v>199</v>
      </c>
      <c r="J115" s="2" t="b">
        <f t="shared" si="5"/>
        <v>0</v>
      </c>
      <c r="K115" s="2">
        <v>1.375</v>
      </c>
      <c r="L115" s="2" t="s">
        <v>783</v>
      </c>
      <c r="M115" s="2" t="s">
        <v>784</v>
      </c>
      <c r="N115" s="2">
        <v>1.4769999999999999</v>
      </c>
      <c r="O115" s="2" t="s">
        <v>115</v>
      </c>
      <c r="P115" s="2" t="s">
        <v>116</v>
      </c>
      <c r="Q115" s="2" t="s">
        <v>270</v>
      </c>
      <c r="R115" s="2" t="s">
        <v>52</v>
      </c>
      <c r="S115" s="2" t="s">
        <v>262</v>
      </c>
      <c r="T115" s="2" t="s">
        <v>619</v>
      </c>
      <c r="U115" s="2" t="s">
        <v>55</v>
      </c>
      <c r="V115" s="2" t="s">
        <v>56</v>
      </c>
      <c r="W115" s="2" t="s">
        <v>71</v>
      </c>
      <c r="X115" s="2">
        <v>1250000000</v>
      </c>
      <c r="Y115" s="2" t="s">
        <v>120</v>
      </c>
      <c r="Z115" s="2" t="s">
        <v>120</v>
      </c>
      <c r="AA115" s="2" t="s">
        <v>60</v>
      </c>
      <c r="AB115" s="2" t="s">
        <v>121</v>
      </c>
      <c r="AC115" s="2" t="s">
        <v>122</v>
      </c>
      <c r="AD115" s="2" t="s">
        <v>122</v>
      </c>
      <c r="AE115" s="2" t="s">
        <v>790</v>
      </c>
      <c r="AF115" s="5">
        <v>25</v>
      </c>
      <c r="AG115" s="6"/>
      <c r="AH115" s="2" t="str">
        <f t="shared" si="0"/>
        <v/>
      </c>
      <c r="AI115" s="2" t="str" cm="1">
        <f t="array" ref="AI115">_xlfn.IFS(AF115&lt;25,"Less",AF115=25,"Equal",AF115&gt;25,"More")</f>
        <v>Equal</v>
      </c>
      <c r="AJ115" s="6"/>
      <c r="AK115" s="6" t="s">
        <v>125</v>
      </c>
      <c r="AL115" s="2" t="s">
        <v>800</v>
      </c>
      <c r="AM115" s="5">
        <f>VLOOKUP(D115,'slb RAW'!$E$2:$AF$293,9)</f>
        <v>1.4769999999999999</v>
      </c>
      <c r="AN115" s="2">
        <f>VLOOKUP(D115,'slb RAW'!$E$2:$AE$293,27)</f>
        <v>1.387</v>
      </c>
      <c r="AO115" s="2">
        <f>VLOOKUP(C115,'Refinitiv SLB'!F115:S292,14)</f>
        <v>4.2309999999999999</v>
      </c>
      <c r="AP115" s="2">
        <f t="shared" si="1"/>
        <v>1.387</v>
      </c>
      <c r="AQ115" s="7" t="str">
        <f t="shared" si="2"/>
        <v>Enel Finance International NVCALLABLEFIXEDUSDSr Unsecured</v>
      </c>
      <c r="AR115" s="5" t="b">
        <f ca="1">ISNUMBER( IFERROR(VLOOKUP(A115,Pairs!$E$2:$E$57,1,FALSE),FALSE))</f>
        <v>0</v>
      </c>
      <c r="AS115" s="5"/>
      <c r="AT115" s="5"/>
    </row>
    <row r="116" spans="1:46" ht="15.75" customHeight="1" x14ac:dyDescent="0.2">
      <c r="A116" s="2">
        <v>83</v>
      </c>
      <c r="B116" s="2" t="s">
        <v>641</v>
      </c>
      <c r="C116" s="2" t="str">
        <f>VLOOKUP(D116,'slb RAW'!$E:$F,2)</f>
        <v>USN30706VD93</v>
      </c>
      <c r="D116" s="2" t="s">
        <v>801</v>
      </c>
      <c r="E116" s="2" t="s">
        <v>802</v>
      </c>
      <c r="F116" s="2" t="s">
        <v>644</v>
      </c>
      <c r="G116" s="2" t="s">
        <v>366</v>
      </c>
      <c r="H116" s="2" t="s">
        <v>366</v>
      </c>
      <c r="I116" s="2" t="s">
        <v>199</v>
      </c>
      <c r="J116" s="2" t="b">
        <f t="shared" si="5"/>
        <v>0</v>
      </c>
      <c r="K116" s="2">
        <v>1.875</v>
      </c>
      <c r="L116" s="2" t="s">
        <v>783</v>
      </c>
      <c r="M116" s="2" t="s">
        <v>789</v>
      </c>
      <c r="N116" s="2">
        <v>1.9370000000000001</v>
      </c>
      <c r="O116" s="2" t="s">
        <v>115</v>
      </c>
      <c r="P116" s="2" t="s">
        <v>116</v>
      </c>
      <c r="Q116" s="2" t="s">
        <v>270</v>
      </c>
      <c r="R116" s="2" t="s">
        <v>52</v>
      </c>
      <c r="S116" s="2" t="s">
        <v>262</v>
      </c>
      <c r="T116" s="2" t="s">
        <v>619</v>
      </c>
      <c r="U116" s="2" t="s">
        <v>55</v>
      </c>
      <c r="V116" s="2" t="s">
        <v>56</v>
      </c>
      <c r="W116" s="2" t="s">
        <v>71</v>
      </c>
      <c r="X116" s="2">
        <v>1000000000</v>
      </c>
      <c r="Y116" s="2" t="s">
        <v>120</v>
      </c>
      <c r="Z116" s="2" t="s">
        <v>120</v>
      </c>
      <c r="AA116" s="2" t="s">
        <v>60</v>
      </c>
      <c r="AB116" s="2" t="s">
        <v>121</v>
      </c>
      <c r="AC116" s="2" t="s">
        <v>122</v>
      </c>
      <c r="AD116" s="2" t="s">
        <v>122</v>
      </c>
      <c r="AE116" s="2" t="s">
        <v>790</v>
      </c>
      <c r="AF116" s="5">
        <v>25</v>
      </c>
      <c r="AG116" s="6"/>
      <c r="AH116" s="2" t="str">
        <f t="shared" si="0"/>
        <v/>
      </c>
      <c r="AI116" s="2" t="str" cm="1">
        <f t="array" ref="AI116">_xlfn.IFS(AF116&lt;25,"Less",AF116=25,"Equal",AF116&gt;25,"More")</f>
        <v>Equal</v>
      </c>
      <c r="AJ116" s="6"/>
      <c r="AK116" s="6" t="s">
        <v>125</v>
      </c>
      <c r="AL116" s="2" t="s">
        <v>800</v>
      </c>
      <c r="AM116" s="5">
        <f>VLOOKUP(D116,'slb RAW'!$E$2:$AF$293,9)</f>
        <v>1.9370000000000001</v>
      </c>
      <c r="AN116" s="2">
        <f>VLOOKUP(D116,'slb RAW'!$E$2:$AE$293,27)</f>
        <v>1.889</v>
      </c>
      <c r="AO116" s="2">
        <f>VLOOKUP(C116,'Refinitiv SLB'!F116:S293,14)</f>
        <v>5.1292999999999997</v>
      </c>
      <c r="AP116" s="2">
        <f t="shared" si="1"/>
        <v>1.889</v>
      </c>
      <c r="AQ116" s="7" t="str">
        <f t="shared" si="2"/>
        <v>Enel Finance International NVCALLABLEFIXEDUSDSr Unsecured</v>
      </c>
      <c r="AR116" s="5" t="b">
        <f ca="1">ISNUMBER( IFERROR(VLOOKUP(A116,Pairs!$E$2:$E$57,1,FALSE),FALSE))</f>
        <v>0</v>
      </c>
      <c r="AS116" s="5"/>
      <c r="AT116" s="5"/>
    </row>
    <row r="117" spans="1:46" ht="15.75" customHeight="1" x14ac:dyDescent="0.2">
      <c r="A117" s="2">
        <v>84</v>
      </c>
      <c r="B117" s="2" t="s">
        <v>641</v>
      </c>
      <c r="C117" s="2" t="str">
        <f>VLOOKUP(D117,'slb RAW'!$E:$F,2)</f>
        <v>USN30706VE76</v>
      </c>
      <c r="D117" s="2" t="s">
        <v>803</v>
      </c>
      <c r="E117" s="2" t="s">
        <v>804</v>
      </c>
      <c r="F117" s="2" t="s">
        <v>644</v>
      </c>
      <c r="G117" s="2" t="s">
        <v>366</v>
      </c>
      <c r="H117" s="2" t="s">
        <v>366</v>
      </c>
      <c r="I117" s="2" t="s">
        <v>199</v>
      </c>
      <c r="J117" s="2" t="b">
        <f t="shared" si="5"/>
        <v>0</v>
      </c>
      <c r="K117" s="2">
        <v>2.25</v>
      </c>
      <c r="L117" s="2" t="s">
        <v>783</v>
      </c>
      <c r="M117" s="2" t="s">
        <v>793</v>
      </c>
      <c r="N117" s="2">
        <v>2.3199999999999998</v>
      </c>
      <c r="O117" s="2" t="s">
        <v>115</v>
      </c>
      <c r="P117" s="2" t="s">
        <v>116</v>
      </c>
      <c r="Q117" s="2" t="s">
        <v>270</v>
      </c>
      <c r="R117" s="2" t="s">
        <v>52</v>
      </c>
      <c r="S117" s="2" t="s">
        <v>262</v>
      </c>
      <c r="T117" s="2" t="s">
        <v>619</v>
      </c>
      <c r="U117" s="2" t="s">
        <v>55</v>
      </c>
      <c r="V117" s="2" t="s">
        <v>56</v>
      </c>
      <c r="W117" s="2" t="s">
        <v>71</v>
      </c>
      <c r="X117" s="2">
        <v>1000000000</v>
      </c>
      <c r="Y117" s="2" t="s">
        <v>120</v>
      </c>
      <c r="Z117" s="2" t="s">
        <v>120</v>
      </c>
      <c r="AA117" s="2" t="s">
        <v>60</v>
      </c>
      <c r="AB117" s="2" t="s">
        <v>121</v>
      </c>
      <c r="AC117" s="2" t="s">
        <v>122</v>
      </c>
      <c r="AD117" s="2" t="s">
        <v>122</v>
      </c>
      <c r="AE117" s="2" t="s">
        <v>790</v>
      </c>
      <c r="AF117" s="5">
        <v>25</v>
      </c>
      <c r="AG117" s="6"/>
      <c r="AH117" s="2" t="str">
        <f t="shared" si="0"/>
        <v/>
      </c>
      <c r="AI117" s="2" t="str" cm="1">
        <f t="array" ref="AI117">_xlfn.IFS(AF117&lt;25,"Less",AF117=25,"Equal",AF117&gt;25,"More")</f>
        <v>Equal</v>
      </c>
      <c r="AJ117" s="6"/>
      <c r="AK117" s="6" t="s">
        <v>125</v>
      </c>
      <c r="AL117" s="2" t="s">
        <v>800</v>
      </c>
      <c r="AM117" s="5">
        <f>VLOOKUP(D117,'slb RAW'!$E$2:$AF$293,9)</f>
        <v>2.3199999999999998</v>
      </c>
      <c r="AN117" s="2">
        <f>VLOOKUP(D117,'slb RAW'!$E$2:$AE$293,27)</f>
        <v>2.2989999999999999</v>
      </c>
      <c r="AO117" s="2">
        <f>VLOOKUP(C117,'Refinitiv SLB'!F117:S294,14)</f>
        <v>1.008</v>
      </c>
      <c r="AP117" s="2">
        <f t="shared" si="1"/>
        <v>2.2989999999999999</v>
      </c>
      <c r="AQ117" s="7" t="str">
        <f t="shared" si="2"/>
        <v>Enel Finance International NVCALLABLEFIXEDUSDSr Unsecured</v>
      </c>
      <c r="AR117" s="5" t="b">
        <f ca="1">ISNUMBER( IFERROR(VLOOKUP(A117,Pairs!$E$2:$E$57,1,FALSE),FALSE))</f>
        <v>0</v>
      </c>
      <c r="AS117" s="5"/>
      <c r="AT117" s="5"/>
    </row>
    <row r="118" spans="1:46" ht="15.75" customHeight="1" x14ac:dyDescent="0.2">
      <c r="A118" s="2">
        <v>85</v>
      </c>
      <c r="B118" s="2" t="s">
        <v>641</v>
      </c>
      <c r="C118" s="2" t="str">
        <f>VLOOKUP(D118,'slb RAW'!$E:$F,2)</f>
        <v>USN30706VF42</v>
      </c>
      <c r="D118" s="2" t="s">
        <v>805</v>
      </c>
      <c r="E118" s="2" t="s">
        <v>806</v>
      </c>
      <c r="F118" s="2" t="s">
        <v>644</v>
      </c>
      <c r="G118" s="2" t="s">
        <v>366</v>
      </c>
      <c r="H118" s="2" t="s">
        <v>366</v>
      </c>
      <c r="I118" s="2" t="s">
        <v>199</v>
      </c>
      <c r="J118" s="2" t="b">
        <f t="shared" si="5"/>
        <v>0</v>
      </c>
      <c r="K118" s="2">
        <v>2.875</v>
      </c>
      <c r="L118" s="2" t="s">
        <v>783</v>
      </c>
      <c r="M118" s="2" t="s">
        <v>796</v>
      </c>
      <c r="N118" s="8">
        <v>2.9569999999999999</v>
      </c>
      <c r="O118" s="2" t="s">
        <v>115</v>
      </c>
      <c r="P118" s="2" t="s">
        <v>116</v>
      </c>
      <c r="Q118" s="2" t="s">
        <v>270</v>
      </c>
      <c r="R118" s="2" t="s">
        <v>52</v>
      </c>
      <c r="S118" s="2" t="s">
        <v>262</v>
      </c>
      <c r="T118" s="2" t="s">
        <v>619</v>
      </c>
      <c r="U118" s="2" t="s">
        <v>55</v>
      </c>
      <c r="V118" s="2" t="s">
        <v>56</v>
      </c>
      <c r="W118" s="2" t="s">
        <v>71</v>
      </c>
      <c r="X118" s="2">
        <v>750000000</v>
      </c>
      <c r="Y118" s="2" t="s">
        <v>120</v>
      </c>
      <c r="Z118" s="2" t="s">
        <v>120</v>
      </c>
      <c r="AA118" s="2" t="s">
        <v>60</v>
      </c>
      <c r="AB118" s="2" t="s">
        <v>121</v>
      </c>
      <c r="AC118" s="2" t="s">
        <v>122</v>
      </c>
      <c r="AD118" s="2" t="s">
        <v>122</v>
      </c>
      <c r="AE118" s="2" t="s">
        <v>797</v>
      </c>
      <c r="AF118" s="5">
        <v>25</v>
      </c>
      <c r="AG118" s="6"/>
      <c r="AH118" s="2" t="str">
        <f t="shared" si="0"/>
        <v/>
      </c>
      <c r="AI118" s="2" t="str" cm="1">
        <f t="array" ref="AI118">_xlfn.IFS(AF118&lt;25,"Less",AF118=25,"Equal",AF118&gt;25,"More")</f>
        <v>Equal</v>
      </c>
      <c r="AJ118" s="6"/>
      <c r="AK118" s="6" t="s">
        <v>125</v>
      </c>
      <c r="AL118" s="2" t="s">
        <v>800</v>
      </c>
      <c r="AM118" s="5">
        <f>VLOOKUP(D118,'slb RAW'!$E$2:$AF$293,9)</f>
        <v>2.9569999999999999</v>
      </c>
      <c r="AN118" s="2">
        <f>VLOOKUP(D118,'slb RAW'!$E$2:$AE$293,27)</f>
        <v>2.988</v>
      </c>
      <c r="AO118" s="2">
        <f>VLOOKUP(C118,'Refinitiv SLB'!F118:S295,14)</f>
        <v>0.39400000000000002</v>
      </c>
      <c r="AP118" s="2">
        <f t="shared" si="1"/>
        <v>2.988</v>
      </c>
      <c r="AQ118" s="7" t="str">
        <f t="shared" si="2"/>
        <v>Enel Finance International NVCALLABLEFIXEDUSDSr Unsecured</v>
      </c>
      <c r="AR118" s="5" t="b">
        <f ca="1">ISNUMBER( IFERROR(VLOOKUP(A118,Pairs!$E$2:$E$57,1,FALSE),FALSE))</f>
        <v>0</v>
      </c>
      <c r="AS118" s="5"/>
      <c r="AT118" s="5"/>
    </row>
    <row r="119" spans="1:46" ht="15.75" customHeight="1" x14ac:dyDescent="0.2">
      <c r="A119" s="2">
        <v>203</v>
      </c>
      <c r="B119" s="2" t="s">
        <v>403</v>
      </c>
      <c r="C119" s="2" t="str">
        <f>VLOOKUP(D119,'slb RAW'!$E:$F,2)</f>
        <v>XS2359929812</v>
      </c>
      <c r="D119" s="2" t="s">
        <v>807</v>
      </c>
      <c r="E119" s="2" t="s">
        <v>808</v>
      </c>
      <c r="F119" s="2" t="s">
        <v>406</v>
      </c>
      <c r="G119" s="2" t="s">
        <v>407</v>
      </c>
      <c r="H119" s="2" t="s">
        <v>407</v>
      </c>
      <c r="I119" s="2" t="s">
        <v>407</v>
      </c>
      <c r="J119" s="2" t="b">
        <f t="shared" si="5"/>
        <v>1</v>
      </c>
      <c r="K119" s="2">
        <v>3.375</v>
      </c>
      <c r="L119" s="2" t="s">
        <v>809</v>
      </c>
      <c r="M119" s="2" t="s">
        <v>810</v>
      </c>
      <c r="N119" s="2">
        <v>3.375</v>
      </c>
      <c r="O119" s="2" t="s">
        <v>115</v>
      </c>
      <c r="P119" s="2" t="s">
        <v>116</v>
      </c>
      <c r="Q119" s="2" t="s">
        <v>173</v>
      </c>
      <c r="R119" s="2" t="s">
        <v>52</v>
      </c>
      <c r="S119" s="2" t="s">
        <v>53</v>
      </c>
      <c r="T119" s="2" t="s">
        <v>410</v>
      </c>
      <c r="U119" s="2" t="s">
        <v>174</v>
      </c>
      <c r="V119" s="2" t="s">
        <v>56</v>
      </c>
      <c r="W119" s="2" t="s">
        <v>71</v>
      </c>
      <c r="X119" s="2">
        <v>589660000</v>
      </c>
      <c r="Y119" s="2" t="s">
        <v>120</v>
      </c>
      <c r="Z119" s="2" t="s">
        <v>120</v>
      </c>
      <c r="AA119" s="2" t="s">
        <v>202</v>
      </c>
      <c r="AB119" s="2" t="s">
        <v>411</v>
      </c>
      <c r="AC119" s="2" t="s">
        <v>412</v>
      </c>
      <c r="AD119" s="2" t="s">
        <v>412</v>
      </c>
      <c r="AE119" s="2" t="s">
        <v>811</v>
      </c>
      <c r="AF119" s="5">
        <v>50</v>
      </c>
      <c r="AG119" s="6"/>
      <c r="AH119" s="2" t="str">
        <f t="shared" si="0"/>
        <v/>
      </c>
      <c r="AI119" s="2" t="str" cm="1">
        <f t="array" ref="AI119">_xlfn.IFS(AF119&lt;25,"Less",AF119=25,"Equal",AF119&gt;25,"More")</f>
        <v>More</v>
      </c>
      <c r="AJ119" s="6"/>
      <c r="AK119" s="6" t="s">
        <v>125</v>
      </c>
      <c r="AL119" s="2" t="s">
        <v>812</v>
      </c>
      <c r="AM119" s="5">
        <f>VLOOKUP(D119,'slb RAW'!$E$2:$AF$293,9)</f>
        <v>3.375</v>
      </c>
      <c r="AN119" s="2">
        <f>VLOOKUP(D119,'slb RAW'!$E$2:$AE$293,27)</f>
        <v>3.1560000000000001</v>
      </c>
      <c r="AO119" s="2">
        <f>VLOOKUP(C119,'Refinitiv SLB'!F119:S296,14)</f>
        <v>5.1289999999999996</v>
      </c>
      <c r="AP119" s="2">
        <f t="shared" si="1"/>
        <v>3.1560000000000001</v>
      </c>
      <c r="AQ119" s="7" t="str">
        <f t="shared" si="2"/>
        <v>Public Power Corp SACALLABLEFIXEDEURSr Unsecured</v>
      </c>
      <c r="AR119" s="5" t="b">
        <f ca="1">ISNUMBER( IFERROR(VLOOKUP(A119,Pairs!$E$2:$E$57,1,FALSE),FALSE))</f>
        <v>0</v>
      </c>
      <c r="AS119" s="5"/>
      <c r="AT119" s="5"/>
    </row>
    <row r="120" spans="1:46" ht="15.75" customHeight="1" x14ac:dyDescent="0.2">
      <c r="A120" s="2">
        <v>262</v>
      </c>
      <c r="B120" s="2" t="s">
        <v>813</v>
      </c>
      <c r="C120" s="2" t="str">
        <f>VLOOKUP(D120,'slb RAW'!$E:$F,2)</f>
        <v>FR0014004UE6</v>
      </c>
      <c r="D120" s="2" t="s">
        <v>814</v>
      </c>
      <c r="E120" s="2" t="s">
        <v>815</v>
      </c>
      <c r="F120" s="2" t="s">
        <v>816</v>
      </c>
      <c r="G120" s="2" t="s">
        <v>184</v>
      </c>
      <c r="H120" s="2" t="s">
        <v>184</v>
      </c>
      <c r="I120" s="2" t="s">
        <v>184</v>
      </c>
      <c r="J120" s="2" t="b">
        <f t="shared" si="5"/>
        <v>1</v>
      </c>
      <c r="K120" s="2">
        <v>1</v>
      </c>
      <c r="L120" s="2" t="s">
        <v>817</v>
      </c>
      <c r="M120" s="2" t="s">
        <v>818</v>
      </c>
      <c r="N120" s="2">
        <v>1.0090000000000001</v>
      </c>
      <c r="O120" s="2" t="s">
        <v>115</v>
      </c>
      <c r="P120" s="2" t="s">
        <v>116</v>
      </c>
      <c r="Q120" s="2" t="s">
        <v>225</v>
      </c>
      <c r="R120" s="2" t="s">
        <v>52</v>
      </c>
      <c r="S120" s="2" t="s">
        <v>53</v>
      </c>
      <c r="T120" s="2" t="s">
        <v>263</v>
      </c>
      <c r="U120" s="2" t="s">
        <v>133</v>
      </c>
      <c r="V120" s="2" t="s">
        <v>56</v>
      </c>
      <c r="W120" s="2" t="s">
        <v>57</v>
      </c>
      <c r="X120" s="2">
        <v>830781000</v>
      </c>
      <c r="Y120" s="2" t="s">
        <v>134</v>
      </c>
      <c r="Z120" s="2" t="s">
        <v>543</v>
      </c>
      <c r="AA120" s="2" t="s">
        <v>60</v>
      </c>
      <c r="AB120" s="2" t="s">
        <v>61</v>
      </c>
      <c r="AC120" s="2" t="s">
        <v>136</v>
      </c>
      <c r="AD120" s="2" t="s">
        <v>544</v>
      </c>
      <c r="AE120" s="2" t="s">
        <v>819</v>
      </c>
      <c r="AF120" s="5">
        <v>37.5</v>
      </c>
      <c r="AG120" s="6"/>
      <c r="AH120" s="2" t="str">
        <f t="shared" si="0"/>
        <v/>
      </c>
      <c r="AI120" s="2" t="str" cm="1">
        <f t="array" ref="AI120">_xlfn.IFS(AF120&lt;25,"Less",AF120=25,"Equal",AF120&gt;25,"More")</f>
        <v>More</v>
      </c>
      <c r="AJ120" s="6"/>
      <c r="AK120" s="6" t="s">
        <v>125</v>
      </c>
      <c r="AL120" s="2" t="s">
        <v>820</v>
      </c>
      <c r="AM120" s="5">
        <f>VLOOKUP(D120,'slb RAW'!$E$2:$AF$293,9)</f>
        <v>1.0090000000000001</v>
      </c>
      <c r="AN120" s="2">
        <f>VLOOKUP(D120,'slb RAW'!$E$2:$AE$293,27)</f>
        <v>0.92100000000000004</v>
      </c>
      <c r="AO120" s="2" t="e">
        <f>VLOOKUP(C120,'Refinitiv SLB'!F120:S297,14)</f>
        <v>#N/A</v>
      </c>
      <c r="AP120" s="2">
        <f t="shared" si="1"/>
        <v>0.92100000000000004</v>
      </c>
      <c r="AQ120" s="7" t="str">
        <f t="shared" si="2"/>
        <v>ValeoCALLABLEFIXEDEURSr Unsecured</v>
      </c>
      <c r="AR120" s="5" t="b">
        <f ca="1">ISNUMBER( IFERROR(VLOOKUP(A120,Pairs!$E$2:$E$57,1,FALSE),FALSE))</f>
        <v>0</v>
      </c>
      <c r="AS120" s="5"/>
      <c r="AT120" s="5"/>
    </row>
    <row r="121" spans="1:46" s="90" customFormat="1" ht="15.75" customHeight="1" x14ac:dyDescent="0.2">
      <c r="A121" s="85">
        <v>291</v>
      </c>
      <c r="B121" s="85" t="s">
        <v>821</v>
      </c>
      <c r="C121" s="85" t="str">
        <f>VLOOKUP(D121,'slb RAW'!$E:$F,2)</f>
        <v>#N/A Field Not Applicable</v>
      </c>
      <c r="D121" s="85" t="s">
        <v>822</v>
      </c>
      <c r="E121" s="85" t="s">
        <v>823</v>
      </c>
      <c r="F121" s="85" t="s">
        <v>824</v>
      </c>
      <c r="G121" s="85" t="s">
        <v>45</v>
      </c>
      <c r="H121" s="85" t="s">
        <v>45</v>
      </c>
      <c r="I121" s="85" t="s">
        <v>45</v>
      </c>
      <c r="J121" s="2" t="b">
        <f t="shared" si="5"/>
        <v>1</v>
      </c>
      <c r="K121" s="85">
        <v>0</v>
      </c>
      <c r="L121" s="85" t="s">
        <v>825</v>
      </c>
      <c r="M121" s="85" t="s">
        <v>826</v>
      </c>
      <c r="N121" s="91" t="s">
        <v>48</v>
      </c>
      <c r="O121" s="85" t="s">
        <v>49</v>
      </c>
      <c r="P121" s="85" t="s">
        <v>50</v>
      </c>
      <c r="Q121" s="85" t="s">
        <v>76</v>
      </c>
      <c r="R121" s="85" t="s">
        <v>52</v>
      </c>
      <c r="S121" s="85" t="s">
        <v>53</v>
      </c>
      <c r="T121" s="85" t="s">
        <v>54</v>
      </c>
      <c r="U121" s="85" t="s">
        <v>55</v>
      </c>
      <c r="V121" s="85" t="s">
        <v>70</v>
      </c>
      <c r="W121" s="85" t="s">
        <v>71</v>
      </c>
      <c r="X121" s="85">
        <v>528484500</v>
      </c>
      <c r="Y121" s="85" t="s">
        <v>58</v>
      </c>
      <c r="Z121" s="85" t="s">
        <v>190</v>
      </c>
      <c r="AA121" s="85" t="s">
        <v>60</v>
      </c>
      <c r="AB121" s="85" t="s">
        <v>61</v>
      </c>
      <c r="AC121" s="85" t="s">
        <v>176</v>
      </c>
      <c r="AD121" s="85" t="s">
        <v>191</v>
      </c>
      <c r="AE121" s="85" t="s">
        <v>827</v>
      </c>
      <c r="AF121" s="88">
        <v>5</v>
      </c>
      <c r="AG121" s="88">
        <v>5</v>
      </c>
      <c r="AH121" s="85" t="str">
        <f t="shared" si="0"/>
        <v>yes</v>
      </c>
      <c r="AI121" s="2" t="str" cm="1">
        <f t="array" ref="AI121">_xlfn.IFS(AF121&lt;25,"Less",AF121=25,"Equal",AF121&gt;25,"More")</f>
        <v>Less</v>
      </c>
      <c r="AJ121" s="87"/>
      <c r="AK121" s="87" t="s">
        <v>48</v>
      </c>
      <c r="AL121" s="85" t="s">
        <v>828</v>
      </c>
      <c r="AM121" s="88" t="str">
        <f>VLOOKUP(D121,'slb RAW'!$E$2:$AF$293,9)</f>
        <v>#N/A N/A</v>
      </c>
      <c r="AN121" s="85" t="s">
        <v>5515</v>
      </c>
      <c r="AO121" s="85" t="e">
        <f>VLOOKUP(C121,'Refinitiv SLB'!F121:S298,14)</f>
        <v>#N/A</v>
      </c>
      <c r="AP121" s="85" t="str">
        <f t="shared" si="1"/>
        <v>f</v>
      </c>
      <c r="AQ121" s="89" t="str">
        <f t="shared" si="2"/>
        <v>ista International GmbHAT MATURITYFLOATINGEURSr Unsecured</v>
      </c>
      <c r="AR121" s="88" t="b">
        <f ca="1">ISNUMBER( IFERROR(VLOOKUP(A121,Pairs!$E$2:$E$57,1,FALSE),FALSE))</f>
        <v>0</v>
      </c>
      <c r="AS121" s="88"/>
      <c r="AT121" s="88"/>
    </row>
    <row r="122" spans="1:46" s="90" customFormat="1" ht="15.75" customHeight="1" x14ac:dyDescent="0.2">
      <c r="A122" s="85">
        <v>292</v>
      </c>
      <c r="B122" s="85" t="s">
        <v>821</v>
      </c>
      <c r="C122" s="85" t="str">
        <f>VLOOKUP(D122,'slb RAW'!$E:$F,2)</f>
        <v>#N/A Field Not Applicable</v>
      </c>
      <c r="D122" s="85" t="s">
        <v>829</v>
      </c>
      <c r="E122" s="85" t="s">
        <v>830</v>
      </c>
      <c r="F122" s="85" t="s">
        <v>824</v>
      </c>
      <c r="G122" s="85" t="s">
        <v>45</v>
      </c>
      <c r="H122" s="85" t="s">
        <v>45</v>
      </c>
      <c r="I122" s="85" t="s">
        <v>45</v>
      </c>
      <c r="J122" s="2" t="b">
        <f t="shared" si="5"/>
        <v>1</v>
      </c>
      <c r="K122" s="85">
        <v>0</v>
      </c>
      <c r="L122" s="85" t="s">
        <v>825</v>
      </c>
      <c r="M122" s="85" t="s">
        <v>831</v>
      </c>
      <c r="N122" s="91" t="s">
        <v>48</v>
      </c>
      <c r="O122" s="85" t="s">
        <v>49</v>
      </c>
      <c r="P122" s="85" t="s">
        <v>50</v>
      </c>
      <c r="Q122" s="85" t="s">
        <v>144</v>
      </c>
      <c r="R122" s="85" t="s">
        <v>52</v>
      </c>
      <c r="S122" s="85" t="s">
        <v>53</v>
      </c>
      <c r="T122" s="85" t="s">
        <v>54</v>
      </c>
      <c r="U122" s="85" t="s">
        <v>55</v>
      </c>
      <c r="V122" s="85" t="s">
        <v>70</v>
      </c>
      <c r="W122" s="85" t="s">
        <v>71</v>
      </c>
      <c r="X122" s="85">
        <v>528484500</v>
      </c>
      <c r="Y122" s="85" t="s">
        <v>58</v>
      </c>
      <c r="Z122" s="85" t="s">
        <v>190</v>
      </c>
      <c r="AA122" s="85" t="s">
        <v>60</v>
      </c>
      <c r="AB122" s="85" t="s">
        <v>61</v>
      </c>
      <c r="AC122" s="85" t="s">
        <v>176</v>
      </c>
      <c r="AD122" s="85" t="s">
        <v>191</v>
      </c>
      <c r="AE122" s="85" t="s">
        <v>827</v>
      </c>
      <c r="AF122" s="88">
        <v>5</v>
      </c>
      <c r="AG122" s="88">
        <v>5</v>
      </c>
      <c r="AH122" s="85" t="str">
        <f t="shared" si="0"/>
        <v>yes</v>
      </c>
      <c r="AI122" s="2" t="str" cm="1">
        <f t="array" ref="AI122">_xlfn.IFS(AF122&lt;25,"Less",AF122=25,"Equal",AF122&gt;25,"More")</f>
        <v>Less</v>
      </c>
      <c r="AJ122" s="87"/>
      <c r="AK122" s="87" t="s">
        <v>48</v>
      </c>
      <c r="AL122" s="85" t="s">
        <v>828</v>
      </c>
      <c r="AM122" s="88" t="str">
        <f>VLOOKUP(D122,'slb RAW'!$E$2:$AF$293,9)</f>
        <v>#N/A N/A</v>
      </c>
      <c r="AN122" s="85" t="str">
        <f>VLOOKUP(D122,'slb RAW'!$E$2:$AE$293,27)</f>
        <v>#N/A N/A</v>
      </c>
      <c r="AO122" s="85" t="e">
        <f>VLOOKUP(C122,'Refinitiv SLB'!F122:S299,14)</f>
        <v>#N/A</v>
      </c>
      <c r="AP122" s="85" t="str">
        <f t="shared" si="1"/>
        <v>#N/A N/A</v>
      </c>
      <c r="AQ122" s="89" t="str">
        <f t="shared" si="2"/>
        <v>ista International GmbHAT MATURITYFLOATINGEURSr Unsecured</v>
      </c>
      <c r="AR122" s="88" t="b">
        <f ca="1">ISNUMBER( IFERROR(VLOOKUP(A122,Pairs!$E$2:$E$57,1,FALSE),FALSE))</f>
        <v>0</v>
      </c>
      <c r="AS122" s="88"/>
      <c r="AT122" s="88"/>
    </row>
    <row r="123" spans="1:46" ht="15.75" customHeight="1" x14ac:dyDescent="0.2">
      <c r="A123" s="2">
        <v>133</v>
      </c>
      <c r="B123" s="2" t="s">
        <v>832</v>
      </c>
      <c r="C123" s="2" t="str">
        <f>VLOOKUP(D123,'slb RAW'!$E:$F,2)</f>
        <v>XS2382209125</v>
      </c>
      <c r="D123" s="2" t="s">
        <v>833</v>
      </c>
      <c r="E123" s="2" t="s">
        <v>834</v>
      </c>
      <c r="F123" s="2" t="s">
        <v>168</v>
      </c>
      <c r="G123" s="2" t="s">
        <v>169</v>
      </c>
      <c r="H123" s="2" t="s">
        <v>169</v>
      </c>
      <c r="I123" s="2" t="s">
        <v>170</v>
      </c>
      <c r="J123" s="2" t="b">
        <f t="shared" si="5"/>
        <v>0</v>
      </c>
      <c r="K123" s="2">
        <v>2.2400000000000002</v>
      </c>
      <c r="L123" s="2" t="s">
        <v>835</v>
      </c>
      <c r="M123" s="2" t="s">
        <v>836</v>
      </c>
      <c r="N123" s="8">
        <v>2.3795000000000002</v>
      </c>
      <c r="O123" s="2" t="s">
        <v>49</v>
      </c>
      <c r="P123" s="2" t="s">
        <v>50</v>
      </c>
      <c r="Q123" s="2" t="s">
        <v>225</v>
      </c>
      <c r="R123" s="2" t="s">
        <v>52</v>
      </c>
      <c r="S123" s="2" t="s">
        <v>262</v>
      </c>
      <c r="T123" s="2" t="s">
        <v>174</v>
      </c>
      <c r="U123" s="2" t="s">
        <v>55</v>
      </c>
      <c r="V123" s="2" t="s">
        <v>56</v>
      </c>
      <c r="W123" s="2" t="s">
        <v>71</v>
      </c>
      <c r="X123" s="2">
        <v>100000000</v>
      </c>
      <c r="Y123" s="2" t="s">
        <v>85</v>
      </c>
      <c r="Z123" s="2" t="s">
        <v>175</v>
      </c>
      <c r="AA123" s="2" t="s">
        <v>60</v>
      </c>
      <c r="AB123" s="2" t="s">
        <v>61</v>
      </c>
      <c r="AC123" s="2" t="s">
        <v>176</v>
      </c>
      <c r="AD123" s="2" t="s">
        <v>177</v>
      </c>
      <c r="AE123" s="2" t="s">
        <v>837</v>
      </c>
      <c r="AF123" s="6">
        <v>150</v>
      </c>
      <c r="AG123" s="6"/>
      <c r="AH123" s="2" t="str">
        <f t="shared" si="0"/>
        <v/>
      </c>
      <c r="AI123" s="2" t="str" cm="1">
        <f t="array" ref="AI123">_xlfn.IFS(AF123&lt;25,"Less",AF123=25,"Equal",AF123&gt;25,"More")</f>
        <v>More</v>
      </c>
      <c r="AJ123" s="6"/>
      <c r="AK123" s="6" t="s">
        <v>125</v>
      </c>
      <c r="AL123" s="2" t="s">
        <v>838</v>
      </c>
      <c r="AM123" s="5" t="str">
        <f>VLOOKUP(D123,'slb RAW'!$E$2:$AF$293,9)</f>
        <v>#N/A N/A</v>
      </c>
      <c r="AN123" s="2">
        <f>VLOOKUP(D123,'slb RAW'!$E$2:$AE$293,27)</f>
        <v>2.4249999999999998</v>
      </c>
      <c r="AO123" s="2" t="str">
        <f>VLOOKUP(C123,'Refinitiv SLB'!F123:S300,14)</f>
        <v/>
      </c>
      <c r="AP123" s="2">
        <f t="shared" si="1"/>
        <v>2.4249999999999998</v>
      </c>
      <c r="AQ123" s="7" t="str">
        <f t="shared" si="2"/>
        <v>Holcim US Finance Sarl &amp; Cie SCSAT MATURITYFIXEDUSDSr Unsecured</v>
      </c>
      <c r="AR123" s="5" t="b">
        <f ca="1">ISNUMBER( IFERROR(VLOOKUP(A123,Pairs!$E$2:$E$57,1,FALSE),FALSE))</f>
        <v>0</v>
      </c>
      <c r="AS123" s="5"/>
      <c r="AT123" s="5"/>
    </row>
    <row r="124" spans="1:46" ht="15.75" customHeight="1" x14ac:dyDescent="0.2">
      <c r="A124" s="2">
        <v>135</v>
      </c>
      <c r="B124" s="2" t="s">
        <v>839</v>
      </c>
      <c r="C124" s="2" t="str">
        <f>VLOOKUP(D124,'slb RAW'!$E:$F,2)</f>
        <v>XS2385389551</v>
      </c>
      <c r="D124" s="2" t="s">
        <v>840</v>
      </c>
      <c r="E124" s="2" t="s">
        <v>841</v>
      </c>
      <c r="F124" s="2" t="s">
        <v>842</v>
      </c>
      <c r="G124" s="2" t="s">
        <v>184</v>
      </c>
      <c r="H124" s="2" t="s">
        <v>184</v>
      </c>
      <c r="I124" s="2" t="s">
        <v>184</v>
      </c>
      <c r="J124" s="2" t="b">
        <f t="shared" si="5"/>
        <v>1</v>
      </c>
      <c r="K124" s="2">
        <v>0.125</v>
      </c>
      <c r="L124" s="2" t="s">
        <v>843</v>
      </c>
      <c r="M124" s="2" t="s">
        <v>844</v>
      </c>
      <c r="N124" s="2">
        <v>9.3899999999999997E-2</v>
      </c>
      <c r="O124" s="2" t="s">
        <v>115</v>
      </c>
      <c r="P124" s="2" t="s">
        <v>116</v>
      </c>
      <c r="Q124" s="2" t="s">
        <v>173</v>
      </c>
      <c r="R124" s="2" t="s">
        <v>52</v>
      </c>
      <c r="S124" s="2" t="s">
        <v>53</v>
      </c>
      <c r="T124" s="2" t="s">
        <v>496</v>
      </c>
      <c r="U124" s="2" t="s">
        <v>55</v>
      </c>
      <c r="V124" s="2" t="s">
        <v>56</v>
      </c>
      <c r="W124" s="2" t="s">
        <v>57</v>
      </c>
      <c r="X124" s="2">
        <v>529182000</v>
      </c>
      <c r="Y124" s="2" t="s">
        <v>120</v>
      </c>
      <c r="Z124" s="2" t="s">
        <v>120</v>
      </c>
      <c r="AA124" s="2" t="s">
        <v>60</v>
      </c>
      <c r="AB124" s="2" t="s">
        <v>121</v>
      </c>
      <c r="AC124" s="2" t="s">
        <v>845</v>
      </c>
      <c r="AD124" s="2" t="s">
        <v>845</v>
      </c>
      <c r="AE124" s="2" t="s">
        <v>846</v>
      </c>
      <c r="AF124" s="6">
        <v>25</v>
      </c>
      <c r="AG124" s="6"/>
      <c r="AH124" s="2" t="str">
        <f t="shared" si="0"/>
        <v/>
      </c>
      <c r="AI124" s="2" t="str" cm="1">
        <f t="array" ref="AI124">_xlfn.IFS(AF124&lt;25,"Less",AF124=25,"Equal",AF124&gt;25,"More")</f>
        <v>Equal</v>
      </c>
      <c r="AJ124" s="6" t="s">
        <v>5517</v>
      </c>
      <c r="AK124" s="6" t="s">
        <v>125</v>
      </c>
      <c r="AL124" s="2" t="s">
        <v>847</v>
      </c>
      <c r="AM124" s="5" t="str">
        <f>VLOOKUP(D124,'slb RAW'!$E$2:$AF$293,9)</f>
        <v>#N/A N/A</v>
      </c>
      <c r="AN124" s="2">
        <f>VLOOKUP(D124,'slb RAW'!$E$2:$AE$293,27)</f>
        <v>7.4999999999999997E-2</v>
      </c>
      <c r="AO124" s="2">
        <f>VLOOKUP(C124,'Refinitiv SLB'!F124:S301,14)</f>
        <v>5.1289999999999996</v>
      </c>
      <c r="AP124" s="2">
        <f t="shared" si="1"/>
        <v>7.4999999999999997E-2</v>
      </c>
      <c r="AQ124" s="7" t="str">
        <f t="shared" si="2"/>
        <v>Holding d'Infrastructures des Metiers de l'EnvironnementCALLABLEFIXEDEURSr Unsecured</v>
      </c>
      <c r="AR124" s="5" t="b">
        <f ca="1">ISNUMBER( IFERROR(VLOOKUP(A124,Pairs!$E$2:$E$57,1,FALSE),FALSE))</f>
        <v>0</v>
      </c>
      <c r="AS124" s="5"/>
      <c r="AT124" s="5"/>
    </row>
    <row r="125" spans="1:46" ht="15.75" customHeight="1" x14ac:dyDescent="0.2">
      <c r="A125" s="2">
        <v>134</v>
      </c>
      <c r="B125" s="2" t="s">
        <v>839</v>
      </c>
      <c r="C125" s="2" t="str">
        <f>VLOOKUP(D125,'slb RAW'!$E:$F,2)</f>
        <v>XS2385390724</v>
      </c>
      <c r="D125" s="2" t="s">
        <v>848</v>
      </c>
      <c r="E125" s="2" t="s">
        <v>849</v>
      </c>
      <c r="F125" s="2" t="s">
        <v>842</v>
      </c>
      <c r="G125" s="2" t="s">
        <v>184</v>
      </c>
      <c r="H125" s="2" t="s">
        <v>184</v>
      </c>
      <c r="I125" s="2" t="s">
        <v>184</v>
      </c>
      <c r="J125" s="2" t="b">
        <f t="shared" si="5"/>
        <v>1</v>
      </c>
      <c r="K125" s="2">
        <v>0.625</v>
      </c>
      <c r="L125" s="2" t="s">
        <v>843</v>
      </c>
      <c r="M125" s="2" t="s">
        <v>850</v>
      </c>
      <c r="N125" s="2">
        <v>0.65900000000000003</v>
      </c>
      <c r="O125" s="2" t="s">
        <v>115</v>
      </c>
      <c r="P125" s="2" t="s">
        <v>116</v>
      </c>
      <c r="Q125" s="2" t="s">
        <v>553</v>
      </c>
      <c r="R125" s="2" t="s">
        <v>52</v>
      </c>
      <c r="S125" s="2" t="s">
        <v>53</v>
      </c>
      <c r="T125" s="2" t="s">
        <v>496</v>
      </c>
      <c r="U125" s="2" t="s">
        <v>55</v>
      </c>
      <c r="V125" s="2" t="s">
        <v>56</v>
      </c>
      <c r="W125" s="2" t="s">
        <v>57</v>
      </c>
      <c r="X125" s="2">
        <v>587980000</v>
      </c>
      <c r="Y125" s="2" t="s">
        <v>120</v>
      </c>
      <c r="Z125" s="2" t="s">
        <v>120</v>
      </c>
      <c r="AA125" s="2" t="s">
        <v>60</v>
      </c>
      <c r="AB125" s="2" t="s">
        <v>121</v>
      </c>
      <c r="AC125" s="2" t="s">
        <v>845</v>
      </c>
      <c r="AD125" s="2" t="s">
        <v>845</v>
      </c>
      <c r="AE125" s="2" t="s">
        <v>846</v>
      </c>
      <c r="AF125" s="6">
        <v>25</v>
      </c>
      <c r="AG125" s="6"/>
      <c r="AH125" s="2" t="str">
        <f t="shared" si="0"/>
        <v/>
      </c>
      <c r="AI125" s="2" t="str" cm="1">
        <f t="array" ref="AI125">_xlfn.IFS(AF125&lt;25,"Less",AF125=25,"Equal",AF125&gt;25,"More")</f>
        <v>Equal</v>
      </c>
      <c r="AJ125" s="6" t="s">
        <v>5517</v>
      </c>
      <c r="AK125" s="6" t="s">
        <v>125</v>
      </c>
      <c r="AL125" s="2" t="s">
        <v>851</v>
      </c>
      <c r="AM125" s="5">
        <f>VLOOKUP(D125,'slb RAW'!$E$2:$AF$293,9)</f>
        <v>0.65900000000000003</v>
      </c>
      <c r="AN125" s="2">
        <f>VLOOKUP(D125,'slb RAW'!$E$2:$AE$293,27)</f>
        <v>0.54600000000000004</v>
      </c>
      <c r="AO125" s="2">
        <f>VLOOKUP(C125,'Refinitiv SLB'!F125:S302,14)</f>
        <v>4.8710000000000004</v>
      </c>
      <c r="AP125" s="2">
        <f t="shared" si="1"/>
        <v>0.54600000000000004</v>
      </c>
      <c r="AQ125" s="7" t="str">
        <f t="shared" si="2"/>
        <v>Holding d'Infrastructures des Metiers de l'EnvironnementCALLABLEFIXEDEURSr Unsecured</v>
      </c>
      <c r="AR125" s="5" t="b">
        <f ca="1">ISNUMBER( IFERROR(VLOOKUP(A125,Pairs!$E$2:$E$57,1,FALSE),FALSE))</f>
        <v>0</v>
      </c>
      <c r="AS125" s="5"/>
      <c r="AT125" s="5"/>
    </row>
    <row r="126" spans="1:46" ht="15.75" customHeight="1" x14ac:dyDescent="0.2">
      <c r="A126" s="2">
        <v>242</v>
      </c>
      <c r="B126" s="2" t="s">
        <v>754</v>
      </c>
      <c r="C126" s="2" t="str">
        <f>VLOOKUP(D126,'slb RAW'!$E:$F,2)</f>
        <v>US86964WAL63</v>
      </c>
      <c r="D126" s="2" t="s">
        <v>852</v>
      </c>
      <c r="E126" s="2" t="s">
        <v>853</v>
      </c>
      <c r="F126" s="2" t="s">
        <v>757</v>
      </c>
      <c r="G126" s="2" t="s">
        <v>257</v>
      </c>
      <c r="H126" s="2" t="s">
        <v>257</v>
      </c>
      <c r="I126" s="2" t="s">
        <v>258</v>
      </c>
      <c r="J126" s="2" t="b">
        <f t="shared" si="5"/>
        <v>0</v>
      </c>
      <c r="K126" s="2">
        <v>2.5</v>
      </c>
      <c r="L126" s="2" t="s">
        <v>854</v>
      </c>
      <c r="M126" s="2" t="s">
        <v>855</v>
      </c>
      <c r="N126" s="2">
        <v>2.6999999999999997</v>
      </c>
      <c r="O126" s="2" t="s">
        <v>115</v>
      </c>
      <c r="P126" s="2" t="s">
        <v>116</v>
      </c>
      <c r="Q126" s="2" t="s">
        <v>173</v>
      </c>
      <c r="R126" s="2" t="s">
        <v>52</v>
      </c>
      <c r="S126" s="2" t="s">
        <v>262</v>
      </c>
      <c r="T126" s="2" t="s">
        <v>496</v>
      </c>
      <c r="U126" s="2" t="s">
        <v>55</v>
      </c>
      <c r="V126" s="2" t="s">
        <v>56</v>
      </c>
      <c r="W126" s="2" t="s">
        <v>71</v>
      </c>
      <c r="X126" s="2">
        <v>500000000</v>
      </c>
      <c r="Y126" s="2" t="s">
        <v>85</v>
      </c>
      <c r="Z126" s="2" t="s">
        <v>759</v>
      </c>
      <c r="AA126" s="2" t="s">
        <v>60</v>
      </c>
      <c r="AB126" s="2" t="s">
        <v>61</v>
      </c>
      <c r="AC126" s="2" t="s">
        <v>87</v>
      </c>
      <c r="AD126" s="2" t="s">
        <v>265</v>
      </c>
      <c r="AE126" s="2" t="s">
        <v>856</v>
      </c>
      <c r="AF126" s="5">
        <v>25</v>
      </c>
      <c r="AG126" s="6"/>
      <c r="AH126" s="2" t="str">
        <f t="shared" si="0"/>
        <v/>
      </c>
      <c r="AI126" s="2" t="str" cm="1">
        <f t="array" ref="AI126">_xlfn.IFS(AF126&lt;25,"Less",AF126=25,"Equal",AF126&gt;25,"More")</f>
        <v>Equal</v>
      </c>
      <c r="AJ126" s="6"/>
      <c r="AK126" s="6" t="s">
        <v>125</v>
      </c>
      <c r="AL126" s="2" t="s">
        <v>857</v>
      </c>
      <c r="AM126" s="5">
        <f>VLOOKUP(D126,'slb RAW'!$E$2:$AF$293,9)</f>
        <v>2.6999999999999997</v>
      </c>
      <c r="AN126" s="2">
        <f>VLOOKUP(D126,'slb RAW'!$E$2:$AE$293,27)</f>
        <v>2.5529999999999999</v>
      </c>
      <c r="AO126" s="2">
        <f>VLOOKUP(C126,'Refinitiv SLB'!F126:S303,14)</f>
        <v>0.39400000000000002</v>
      </c>
      <c r="AP126" s="2">
        <f t="shared" si="1"/>
        <v>2.5529999999999999</v>
      </c>
      <c r="AQ126" s="7" t="str">
        <f t="shared" si="2"/>
        <v>Suzano Austria GmbHCALLABLEFIXEDUSDSr Unsecured</v>
      </c>
      <c r="AR126" s="5" t="b">
        <f ca="1">ISNUMBER( IFERROR(VLOOKUP(A126,Pairs!$E$2:$E$57,1,FALSE),FALSE))</f>
        <v>1</v>
      </c>
      <c r="AS126" s="5"/>
      <c r="AT126" s="5"/>
    </row>
    <row r="127" spans="1:46" s="80" customFormat="1" ht="15.75" customHeight="1" x14ac:dyDescent="0.2">
      <c r="A127" s="79">
        <v>270</v>
      </c>
      <c r="B127" s="79" t="s">
        <v>858</v>
      </c>
      <c r="C127" s="79" t="str">
        <f>VLOOKUP(D127,'slb RAW'!$E:$F,2)</f>
        <v>XS2389120325</v>
      </c>
      <c r="D127" s="79" t="s">
        <v>859</v>
      </c>
      <c r="E127" s="79" t="s">
        <v>860</v>
      </c>
      <c r="F127" s="79" t="s">
        <v>861</v>
      </c>
      <c r="G127" s="79" t="s">
        <v>199</v>
      </c>
      <c r="H127" s="79" t="s">
        <v>199</v>
      </c>
      <c r="I127" s="79" t="s">
        <v>199</v>
      </c>
      <c r="J127" s="2" t="b">
        <f t="shared" si="5"/>
        <v>1</v>
      </c>
      <c r="K127" s="79">
        <v>4.625</v>
      </c>
      <c r="L127" s="79" t="s">
        <v>862</v>
      </c>
      <c r="M127" s="79" t="s">
        <v>863</v>
      </c>
      <c r="N127" s="79">
        <v>4.625</v>
      </c>
      <c r="O127" s="79" t="s">
        <v>115</v>
      </c>
      <c r="P127" s="79" t="s">
        <v>116</v>
      </c>
      <c r="Q127" s="79" t="s">
        <v>261</v>
      </c>
      <c r="R127" s="79" t="s">
        <v>458</v>
      </c>
      <c r="S127" s="79" t="s">
        <v>53</v>
      </c>
      <c r="T127" s="79" t="s">
        <v>350</v>
      </c>
      <c r="U127" s="79" t="s">
        <v>55</v>
      </c>
      <c r="V127" s="79" t="s">
        <v>56</v>
      </c>
      <c r="W127" s="79" t="s">
        <v>71</v>
      </c>
      <c r="X127" s="79">
        <v>591447000</v>
      </c>
      <c r="Y127" s="79" t="s">
        <v>58</v>
      </c>
      <c r="Z127" s="79" t="s">
        <v>864</v>
      </c>
      <c r="AA127" s="79" t="s">
        <v>60</v>
      </c>
      <c r="AB127" s="79" t="s">
        <v>61</v>
      </c>
      <c r="AC127" s="79" t="s">
        <v>176</v>
      </c>
      <c r="AD127" s="79" t="s">
        <v>865</v>
      </c>
      <c r="AE127" s="81" t="s">
        <v>48</v>
      </c>
      <c r="AF127" s="82" t="s">
        <v>139</v>
      </c>
      <c r="AG127" s="82"/>
      <c r="AH127" s="79" t="str">
        <f t="shared" si="0"/>
        <v/>
      </c>
      <c r="AI127" s="82" t="s">
        <v>139</v>
      </c>
      <c r="AJ127" s="82"/>
      <c r="AK127" s="82" t="s">
        <v>125</v>
      </c>
      <c r="AL127" s="79" t="s">
        <v>866</v>
      </c>
      <c r="AM127" s="83">
        <f>VLOOKUP(D127,'slb RAW'!$E$2:$AF$293,9)</f>
        <v>4.625</v>
      </c>
      <c r="AN127" s="79">
        <f>VLOOKUP(D127,'slb RAW'!$E$2:$AE$293,27)</f>
        <v>4.1390000000000002</v>
      </c>
      <c r="AO127" s="79">
        <f>VLOOKUP(C127,'Refinitiv SLB'!F127:S304,14)</f>
        <v>4.8710000000000004</v>
      </c>
      <c r="AP127" s="79">
        <f t="shared" si="1"/>
        <v>4.1390000000000002</v>
      </c>
      <c r="AQ127" s="84" t="str">
        <f t="shared" si="2"/>
        <v>Verde Bidco SpACALLABLEFIXEDEURSecured</v>
      </c>
      <c r="AR127" s="83" t="b">
        <f ca="1">ISNUMBER( IFERROR(VLOOKUP(A127,Pairs!$E$2:$E$57,1,FALSE),FALSE))</f>
        <v>0</v>
      </c>
      <c r="AS127" s="83"/>
      <c r="AT127" s="83"/>
    </row>
    <row r="128" spans="1:46" ht="15.75" customHeight="1" x14ac:dyDescent="0.2">
      <c r="A128" s="2">
        <v>269</v>
      </c>
      <c r="B128" s="2" t="s">
        <v>858</v>
      </c>
      <c r="C128" s="2" t="str">
        <f>VLOOKUP(D128,'slb RAW'!$E:$F,2)</f>
        <v>XS2389112736</v>
      </c>
      <c r="D128" s="2" t="s">
        <v>867</v>
      </c>
      <c r="E128" s="2" t="s">
        <v>868</v>
      </c>
      <c r="F128" s="2" t="s">
        <v>861</v>
      </c>
      <c r="G128" s="2" t="s">
        <v>199</v>
      </c>
      <c r="H128" s="2" t="s">
        <v>199</v>
      </c>
      <c r="I128" s="2" t="s">
        <v>199</v>
      </c>
      <c r="J128" s="2" t="b">
        <f t="shared" si="5"/>
        <v>1</v>
      </c>
      <c r="K128" s="2">
        <v>4.625</v>
      </c>
      <c r="L128" s="2" t="s">
        <v>862</v>
      </c>
      <c r="M128" s="2" t="s">
        <v>863</v>
      </c>
      <c r="N128" s="2">
        <v>4.625</v>
      </c>
      <c r="O128" s="2" t="s">
        <v>115</v>
      </c>
      <c r="P128" s="2" t="s">
        <v>116</v>
      </c>
      <c r="Q128" s="2" t="s">
        <v>270</v>
      </c>
      <c r="R128" s="2" t="s">
        <v>458</v>
      </c>
      <c r="S128" s="2" t="s">
        <v>53</v>
      </c>
      <c r="T128" s="2" t="s">
        <v>350</v>
      </c>
      <c r="U128" s="2" t="s">
        <v>55</v>
      </c>
      <c r="V128" s="2" t="s">
        <v>56</v>
      </c>
      <c r="W128" s="2" t="s">
        <v>71</v>
      </c>
      <c r="X128" s="2">
        <v>591447000</v>
      </c>
      <c r="Y128" s="2" t="s">
        <v>58</v>
      </c>
      <c r="Z128" s="2" t="s">
        <v>864</v>
      </c>
      <c r="AA128" s="2" t="s">
        <v>60</v>
      </c>
      <c r="AB128" s="2" t="s">
        <v>61</v>
      </c>
      <c r="AC128" s="2" t="s">
        <v>176</v>
      </c>
      <c r="AD128" s="2" t="s">
        <v>865</v>
      </c>
      <c r="AE128" s="2" t="s">
        <v>869</v>
      </c>
      <c r="AF128" s="6">
        <v>60</v>
      </c>
      <c r="AG128" s="6"/>
      <c r="AH128" s="2" t="str">
        <f t="shared" si="0"/>
        <v/>
      </c>
      <c r="AI128" s="2" t="str" cm="1">
        <f t="array" ref="AI128">_xlfn.IFS(AF128&lt;25,"Less",AF128=25,"Equal",AF128&gt;25,"More")</f>
        <v>More</v>
      </c>
      <c r="AJ128" s="6" t="s">
        <v>5517</v>
      </c>
      <c r="AK128" s="6" t="s">
        <v>125</v>
      </c>
      <c r="AL128" s="2" t="s">
        <v>870</v>
      </c>
      <c r="AM128" s="5">
        <f>VLOOKUP(D128,'slb RAW'!$E$2:$AF$293,9)</f>
        <v>4.625</v>
      </c>
      <c r="AN128" s="2">
        <f>VLOOKUP(D128,'slb RAW'!$E$2:$AE$293,27)</f>
        <v>4.141</v>
      </c>
      <c r="AO128" s="2">
        <f>VLOOKUP(C128,'Refinitiv SLB'!F128:S305,14)</f>
        <v>4.8710000000000004</v>
      </c>
      <c r="AP128" s="2">
        <f t="shared" si="1"/>
        <v>4.141</v>
      </c>
      <c r="AQ128" s="7" t="str">
        <f t="shared" si="2"/>
        <v>Verde Bidco SpACALLABLEFIXEDEURSecured</v>
      </c>
      <c r="AR128" s="5" t="b">
        <f ca="1">ISNUMBER( IFERROR(VLOOKUP(A128,Pairs!$E$2:$E$57,1,FALSE),FALSE))</f>
        <v>0</v>
      </c>
      <c r="AS128" s="5"/>
      <c r="AT128" s="5"/>
    </row>
    <row r="129" spans="1:46" s="80" customFormat="1" ht="15.75" customHeight="1" x14ac:dyDescent="0.2">
      <c r="A129" s="79">
        <v>151</v>
      </c>
      <c r="B129" s="79" t="s">
        <v>871</v>
      </c>
      <c r="C129" s="79" t="str">
        <f>VLOOKUP(D129,'slb RAW'!$E:$F,2)</f>
        <v>US47837RAD26</v>
      </c>
      <c r="D129" s="79" t="s">
        <v>872</v>
      </c>
      <c r="E129" s="79" t="s">
        <v>873</v>
      </c>
      <c r="F129" s="79" t="s">
        <v>874</v>
      </c>
      <c r="G129" s="79" t="s">
        <v>594</v>
      </c>
      <c r="H129" s="79" t="s">
        <v>594</v>
      </c>
      <c r="I129" s="79" t="s">
        <v>185</v>
      </c>
      <c r="J129" s="2" t="b">
        <f t="shared" si="5"/>
        <v>0</v>
      </c>
      <c r="K129" s="79">
        <v>2</v>
      </c>
      <c r="L129" s="79" t="s">
        <v>843</v>
      </c>
      <c r="M129" s="79" t="s">
        <v>875</v>
      </c>
      <c r="N129" s="79">
        <v>2.0909999999999997</v>
      </c>
      <c r="O129" s="79" t="s">
        <v>115</v>
      </c>
      <c r="P129" s="79" t="s">
        <v>116</v>
      </c>
      <c r="Q129" s="79" t="s">
        <v>173</v>
      </c>
      <c r="R129" s="79" t="s">
        <v>52</v>
      </c>
      <c r="S129" s="79" t="s">
        <v>262</v>
      </c>
      <c r="T129" s="79" t="s">
        <v>174</v>
      </c>
      <c r="U129" s="79" t="s">
        <v>55</v>
      </c>
      <c r="V129" s="79" t="s">
        <v>56</v>
      </c>
      <c r="W129" s="79" t="s">
        <v>71</v>
      </c>
      <c r="X129" s="79">
        <v>500000000</v>
      </c>
      <c r="Y129" s="79" t="s">
        <v>58</v>
      </c>
      <c r="Z129" s="79" t="s">
        <v>190</v>
      </c>
      <c r="AA129" s="79" t="s">
        <v>60</v>
      </c>
      <c r="AB129" s="79" t="s">
        <v>61</v>
      </c>
      <c r="AC129" s="79" t="s">
        <v>176</v>
      </c>
      <c r="AD129" s="79" t="s">
        <v>191</v>
      </c>
      <c r="AE129" s="79" t="s">
        <v>876</v>
      </c>
      <c r="AF129" s="82">
        <v>25</v>
      </c>
      <c r="AG129" s="82"/>
      <c r="AH129" s="79" t="str">
        <f t="shared" si="0"/>
        <v/>
      </c>
      <c r="AI129" s="2" t="str" cm="1">
        <f t="array" ref="AI129">_xlfn.IFS(AF129&lt;25,"Less",AF129=25,"Equal",AF129&gt;25,"More")</f>
        <v>Equal</v>
      </c>
      <c r="AJ129" s="82" t="s">
        <v>5517</v>
      </c>
      <c r="AK129" s="82" t="s">
        <v>125</v>
      </c>
      <c r="AL129" s="79" t="s">
        <v>877</v>
      </c>
      <c r="AM129" s="83">
        <f>VLOOKUP(D129,'slb RAW'!$E$2:$AF$293,9)</f>
        <v>2.0909999999999997</v>
      </c>
      <c r="AN129" s="79" t="str">
        <f>VLOOKUP(D129,'slb RAW'!$E$2:$AE$293,27)</f>
        <v>#N/A N/A</v>
      </c>
      <c r="AO129" s="79">
        <f>VLOOKUP(C129,'Refinitiv SLB'!F129:S306,14)</f>
        <v>3.6533000000000002</v>
      </c>
      <c r="AP129" s="79">
        <f t="shared" si="1"/>
        <v>2.0909999999999997</v>
      </c>
      <c r="AQ129" s="84" t="str">
        <f t="shared" si="2"/>
        <v>Johnson Controls International plc / Tyco Fire &amp; Security Finance SCACALLABLEFIXEDUSDSr Unsecured</v>
      </c>
      <c r="AR129" s="83" t="b">
        <f ca="1">ISNUMBER( IFERROR(VLOOKUP(A129,Pairs!$E$2:$E$57,1,FALSE),FALSE))</f>
        <v>0</v>
      </c>
      <c r="AS129" s="83"/>
      <c r="AT129" s="83"/>
    </row>
    <row r="130" spans="1:46" ht="15.75" customHeight="1" x14ac:dyDescent="0.2">
      <c r="A130" s="2">
        <v>228</v>
      </c>
      <c r="B130" s="2" t="s">
        <v>878</v>
      </c>
      <c r="C130" s="2" t="str">
        <f>VLOOKUP(D130,'slb RAW'!$E:$F,2)</f>
        <v>US781467AE54</v>
      </c>
      <c r="D130" s="2" t="s">
        <v>879</v>
      </c>
      <c r="E130" s="2" t="s">
        <v>880</v>
      </c>
      <c r="F130" s="2" t="s">
        <v>881</v>
      </c>
      <c r="G130" s="2" t="s">
        <v>169</v>
      </c>
      <c r="H130" s="2" t="s">
        <v>169</v>
      </c>
      <c r="I130" s="2" t="s">
        <v>258</v>
      </c>
      <c r="J130" s="2" t="b">
        <f t="shared" si="5"/>
        <v>0</v>
      </c>
      <c r="K130" s="2">
        <v>4.2</v>
      </c>
      <c r="L130" s="2" t="s">
        <v>882</v>
      </c>
      <c r="M130" s="2" t="s">
        <v>883</v>
      </c>
      <c r="N130" s="2">
        <v>4.25</v>
      </c>
      <c r="O130" s="2" t="s">
        <v>115</v>
      </c>
      <c r="P130" s="2" t="s">
        <v>116</v>
      </c>
      <c r="Q130" s="2" t="s">
        <v>261</v>
      </c>
      <c r="R130" s="2" t="s">
        <v>52</v>
      </c>
      <c r="S130" s="2" t="s">
        <v>262</v>
      </c>
      <c r="T130" s="2" t="s">
        <v>884</v>
      </c>
      <c r="U130" s="2" t="s">
        <v>55</v>
      </c>
      <c r="V130" s="2" t="s">
        <v>56</v>
      </c>
      <c r="W130" s="2" t="s">
        <v>71</v>
      </c>
      <c r="X130" s="2">
        <v>500000000</v>
      </c>
      <c r="Y130" s="2" t="s">
        <v>58</v>
      </c>
      <c r="Z130" s="2" t="s">
        <v>885</v>
      </c>
      <c r="AA130" s="2" t="s">
        <v>60</v>
      </c>
      <c r="AB130" s="2" t="s">
        <v>61</v>
      </c>
      <c r="AC130" s="2" t="s">
        <v>279</v>
      </c>
      <c r="AD130" s="2" t="s">
        <v>886</v>
      </c>
      <c r="AE130" s="2" t="s">
        <v>887</v>
      </c>
      <c r="AF130" s="5">
        <v>25</v>
      </c>
      <c r="AG130" s="6"/>
      <c r="AH130" s="2" t="str">
        <f t="shared" si="0"/>
        <v/>
      </c>
      <c r="AI130" s="2" t="str" cm="1">
        <f t="array" ref="AI130">_xlfn.IFS(AF130&lt;25,"Less",AF130=25,"Equal",AF130&gt;25,"More")</f>
        <v>Equal</v>
      </c>
      <c r="AJ130" s="6"/>
      <c r="AK130" s="6" t="s">
        <v>125</v>
      </c>
      <c r="AL130" s="2" t="s">
        <v>888</v>
      </c>
      <c r="AM130" s="5">
        <f>VLOOKUP(D130,'slb RAW'!$E$2:$AF$293,9)</f>
        <v>4.25</v>
      </c>
      <c r="AN130" s="2">
        <f>VLOOKUP(D130,'slb RAW'!$E$2:$AE$293,27)</f>
        <v>4.306</v>
      </c>
      <c r="AO130" s="2">
        <f>VLOOKUP(C130,'Refinitiv SLB'!F130:S307,14)</f>
        <v>1.762</v>
      </c>
      <c r="AP130" s="2">
        <f t="shared" si="1"/>
        <v>4.306</v>
      </c>
      <c r="AQ130" s="7" t="str">
        <f t="shared" si="2"/>
        <v>Rumo Luxembourg SarlCALLABLEFIXEDUSDSr Unsecured</v>
      </c>
      <c r="AR130" s="5" t="b">
        <f ca="1">ISNUMBER( IFERROR(VLOOKUP(A130,Pairs!$E$2:$E$57,1,FALSE),FALSE))</f>
        <v>0</v>
      </c>
      <c r="AS130" s="5"/>
      <c r="AT130" s="5"/>
    </row>
    <row r="131" spans="1:46" ht="15.75" customHeight="1" x14ac:dyDescent="0.2">
      <c r="A131" s="2">
        <v>229</v>
      </c>
      <c r="B131" s="2" t="s">
        <v>878</v>
      </c>
      <c r="C131" s="2" t="str">
        <f>VLOOKUP(D131,'slb RAW'!$E:$F,2)</f>
        <v>USL79090AD51</v>
      </c>
      <c r="D131" s="2" t="s">
        <v>889</v>
      </c>
      <c r="E131" s="2" t="s">
        <v>890</v>
      </c>
      <c r="F131" s="2" t="s">
        <v>881</v>
      </c>
      <c r="G131" s="2" t="s">
        <v>169</v>
      </c>
      <c r="H131" s="2" t="s">
        <v>169</v>
      </c>
      <c r="I131" s="2" t="s">
        <v>258</v>
      </c>
      <c r="J131" s="2" t="b">
        <f t="shared" ref="J131:J194" si="6">H131=I131</f>
        <v>0</v>
      </c>
      <c r="K131" s="2">
        <v>4.2</v>
      </c>
      <c r="L131" s="2" t="s">
        <v>882</v>
      </c>
      <c r="M131" s="2" t="s">
        <v>883</v>
      </c>
      <c r="N131" s="2">
        <v>4.25</v>
      </c>
      <c r="O131" s="2" t="s">
        <v>115</v>
      </c>
      <c r="P131" s="2" t="s">
        <v>116</v>
      </c>
      <c r="Q131" s="2" t="s">
        <v>270</v>
      </c>
      <c r="R131" s="2" t="s">
        <v>52</v>
      </c>
      <c r="S131" s="2" t="s">
        <v>262</v>
      </c>
      <c r="T131" s="2" t="s">
        <v>884</v>
      </c>
      <c r="U131" s="2" t="s">
        <v>55</v>
      </c>
      <c r="V131" s="2" t="s">
        <v>56</v>
      </c>
      <c r="W131" s="2" t="s">
        <v>71</v>
      </c>
      <c r="X131" s="2">
        <v>500000000</v>
      </c>
      <c r="Y131" s="2" t="s">
        <v>58</v>
      </c>
      <c r="Z131" s="2" t="s">
        <v>885</v>
      </c>
      <c r="AA131" s="2" t="s">
        <v>60</v>
      </c>
      <c r="AB131" s="2" t="s">
        <v>61</v>
      </c>
      <c r="AC131" s="2" t="s">
        <v>279</v>
      </c>
      <c r="AD131" s="2" t="s">
        <v>886</v>
      </c>
      <c r="AE131" s="2" t="s">
        <v>891</v>
      </c>
      <c r="AF131" s="5">
        <v>25</v>
      </c>
      <c r="AG131" s="6"/>
      <c r="AH131" s="2" t="str">
        <f t="shared" si="0"/>
        <v/>
      </c>
      <c r="AI131" s="2" t="str" cm="1">
        <f t="array" ref="AI131">_xlfn.IFS(AF131&lt;25,"Less",AF131=25,"Equal",AF131&gt;25,"More")</f>
        <v>Equal</v>
      </c>
      <c r="AJ131" s="6"/>
      <c r="AK131" s="6" t="s">
        <v>125</v>
      </c>
      <c r="AL131" s="2" t="s">
        <v>892</v>
      </c>
      <c r="AM131" s="5">
        <f>VLOOKUP(D131,'slb RAW'!$E$2:$AF$293,9)</f>
        <v>4.25</v>
      </c>
      <c r="AN131" s="2">
        <f>VLOOKUP(D131,'slb RAW'!$E$2:$AE$293,27)</f>
        <v>4.2839999999999998</v>
      </c>
      <c r="AO131" s="2">
        <f>VLOOKUP(C131,'Refinitiv SLB'!F131:S308,14)</f>
        <v>4.2309999999999999</v>
      </c>
      <c r="AP131" s="2">
        <f t="shared" si="1"/>
        <v>4.2839999999999998</v>
      </c>
      <c r="AQ131" s="7" t="str">
        <f t="shared" si="2"/>
        <v>Rumo Luxembourg SarlCALLABLEFIXEDUSDSr Unsecured</v>
      </c>
      <c r="AR131" s="5" t="b">
        <f ca="1">ISNUMBER( IFERROR(VLOOKUP(A131,Pairs!$E$2:$E$57,1,FALSE),FALSE))</f>
        <v>0</v>
      </c>
      <c r="AS131" s="5"/>
      <c r="AT131" s="5"/>
    </row>
    <row r="132" spans="1:46" ht="15.75" customHeight="1" x14ac:dyDescent="0.2">
      <c r="A132" s="2">
        <v>117</v>
      </c>
      <c r="B132" s="2" t="s">
        <v>893</v>
      </c>
      <c r="C132" s="2" t="str">
        <f>VLOOKUP(D132,'slb RAW'!$E:$F,2)</f>
        <v>SE0013360476</v>
      </c>
      <c r="D132" s="2" t="s">
        <v>894</v>
      </c>
      <c r="E132" s="2" t="s">
        <v>895</v>
      </c>
      <c r="F132" s="2" t="s">
        <v>896</v>
      </c>
      <c r="G132" s="2" t="s">
        <v>367</v>
      </c>
      <c r="H132" s="2" t="s">
        <v>367</v>
      </c>
      <c r="I132" s="2" t="s">
        <v>367</v>
      </c>
      <c r="J132" s="2" t="b">
        <f t="shared" si="6"/>
        <v>1</v>
      </c>
      <c r="K132" s="2">
        <v>1.266</v>
      </c>
      <c r="L132" s="2" t="s">
        <v>897</v>
      </c>
      <c r="M132" s="2" t="s">
        <v>898</v>
      </c>
      <c r="N132" s="8">
        <v>1.081</v>
      </c>
      <c r="O132" s="2" t="s">
        <v>49</v>
      </c>
      <c r="P132" s="2" t="s">
        <v>50</v>
      </c>
      <c r="Q132" s="2" t="s">
        <v>685</v>
      </c>
      <c r="R132" s="2" t="s">
        <v>52</v>
      </c>
      <c r="S132" s="2" t="s">
        <v>686</v>
      </c>
      <c r="T132" s="2" t="s">
        <v>54</v>
      </c>
      <c r="U132" s="2" t="s">
        <v>55</v>
      </c>
      <c r="V132" s="2" t="s">
        <v>70</v>
      </c>
      <c r="W132" s="2" t="s">
        <v>391</v>
      </c>
      <c r="X132" s="2">
        <v>68178000</v>
      </c>
      <c r="Y132" s="2" t="s">
        <v>85</v>
      </c>
      <c r="Z132" s="2" t="s">
        <v>86</v>
      </c>
      <c r="AA132" s="2" t="s">
        <v>60</v>
      </c>
      <c r="AB132" s="2" t="s">
        <v>61</v>
      </c>
      <c r="AC132" s="2" t="s">
        <v>87</v>
      </c>
      <c r="AD132" s="2" t="s">
        <v>88</v>
      </c>
      <c r="AE132" s="2" t="s">
        <v>899</v>
      </c>
      <c r="AF132" s="6">
        <v>120</v>
      </c>
      <c r="AG132" s="6"/>
      <c r="AH132" s="2" t="str">
        <f t="shared" si="0"/>
        <v/>
      </c>
      <c r="AI132" s="2" t="str" cm="1">
        <f t="array" ref="AI132">_xlfn.IFS(AF132&lt;25,"Less",AF132=25,"Equal",AF132&gt;25,"More")</f>
        <v>More</v>
      </c>
      <c r="AJ132" s="6"/>
      <c r="AK132" s="6" t="s">
        <v>125</v>
      </c>
      <c r="AL132" s="2" t="s">
        <v>900</v>
      </c>
      <c r="AM132" s="5" t="str">
        <f>VLOOKUP(D132,'slb RAW'!$E$2:$AF$293,9)</f>
        <v>#N/A N/A</v>
      </c>
      <c r="AN132" s="2">
        <f>VLOOKUP(D132,'slb RAW'!$E$2:$AE$293,27)</f>
        <v>0.98699999999999999</v>
      </c>
      <c r="AO132" s="2">
        <f>VLOOKUP(C132,'Refinitiv SLB'!F132:S309,14)</f>
        <v>1.1240000000000001</v>
      </c>
      <c r="AP132" s="2">
        <f t="shared" si="1"/>
        <v>0.98699999999999999</v>
      </c>
      <c r="AQ132" s="7" t="str">
        <f t="shared" si="2"/>
        <v>Granges ABAT MATURITYFLOATINGSEKSr Unsecured</v>
      </c>
      <c r="AR132" s="5" t="b">
        <f ca="1">ISNUMBER( IFERROR(VLOOKUP(A132,Pairs!$E$2:$E$57,1,FALSE),FALSE))</f>
        <v>0</v>
      </c>
      <c r="AS132" s="5"/>
      <c r="AT132" s="5"/>
    </row>
    <row r="133" spans="1:46" ht="15.75" customHeight="1" x14ac:dyDescent="0.2">
      <c r="A133" s="2">
        <v>89</v>
      </c>
      <c r="B133" s="2" t="s">
        <v>641</v>
      </c>
      <c r="C133" s="2" t="str">
        <f>VLOOKUP(D133,'slb RAW'!$E:$F,2)</f>
        <v>XS2390400633</v>
      </c>
      <c r="D133" s="2" t="s">
        <v>901</v>
      </c>
      <c r="E133" s="2" t="s">
        <v>902</v>
      </c>
      <c r="F133" s="2" t="s">
        <v>644</v>
      </c>
      <c r="G133" s="2" t="s">
        <v>366</v>
      </c>
      <c r="H133" s="2" t="s">
        <v>366</v>
      </c>
      <c r="I133" s="2" t="s">
        <v>199</v>
      </c>
      <c r="J133" s="2" t="b">
        <f t="shared" si="6"/>
        <v>0</v>
      </c>
      <c r="K133" s="2">
        <v>0</v>
      </c>
      <c r="L133" s="2" t="s">
        <v>903</v>
      </c>
      <c r="M133" s="2" t="s">
        <v>904</v>
      </c>
      <c r="N133" s="2">
        <v>6.4000000000000015E-2</v>
      </c>
      <c r="O133" s="2" t="s">
        <v>115</v>
      </c>
      <c r="P133" s="2" t="s">
        <v>116</v>
      </c>
      <c r="Q133" s="2" t="s">
        <v>225</v>
      </c>
      <c r="R133" s="2" t="s">
        <v>52</v>
      </c>
      <c r="S133" s="2" t="s">
        <v>53</v>
      </c>
      <c r="T133" s="2" t="s">
        <v>619</v>
      </c>
      <c r="U133" s="2" t="s">
        <v>55</v>
      </c>
      <c r="V133" s="2" t="s">
        <v>56</v>
      </c>
      <c r="W133" s="2" t="s">
        <v>57</v>
      </c>
      <c r="X133" s="2">
        <v>1460250000</v>
      </c>
      <c r="Y133" s="2" t="s">
        <v>120</v>
      </c>
      <c r="Z133" s="2" t="s">
        <v>120</v>
      </c>
      <c r="AA133" s="2" t="s">
        <v>60</v>
      </c>
      <c r="AB133" s="2" t="s">
        <v>121</v>
      </c>
      <c r="AC133" s="2" t="s">
        <v>122</v>
      </c>
      <c r="AD133" s="2" t="s">
        <v>122</v>
      </c>
      <c r="AE133" s="2" t="s">
        <v>785</v>
      </c>
      <c r="AF133" s="5">
        <v>25</v>
      </c>
      <c r="AG133" s="6"/>
      <c r="AH133" s="2" t="str">
        <f t="shared" si="0"/>
        <v/>
      </c>
      <c r="AI133" s="2" t="str" cm="1">
        <f t="array" ref="AI133">_xlfn.IFS(AF133&lt;25,"Less",AF133=25,"Equal",AF133&gt;25,"More")</f>
        <v>Equal</v>
      </c>
      <c r="AJ133" s="6"/>
      <c r="AK133" s="6" t="s">
        <v>125</v>
      </c>
      <c r="AL133" s="2" t="s">
        <v>905</v>
      </c>
      <c r="AM133" s="5">
        <f>VLOOKUP(D133,'slb RAW'!$E$2:$AF$293,9)</f>
        <v>6.4000000000000015E-2</v>
      </c>
      <c r="AN133" s="2">
        <f>VLOOKUP(D133,'slb RAW'!$E$2:$AE$293,27)</f>
        <v>8.6999999999999994E-2</v>
      </c>
      <c r="AO133" s="2">
        <f>VLOOKUP(C133,'Refinitiv SLB'!F133:S310,14)</f>
        <v>4.8710000000000004</v>
      </c>
      <c r="AP133" s="2">
        <f t="shared" si="1"/>
        <v>8.6999999999999994E-2</v>
      </c>
      <c r="AQ133" s="7" t="str">
        <f t="shared" si="2"/>
        <v>Enel Finance International NVCALLABLEFIXEDEURSr Unsecured</v>
      </c>
      <c r="AR133" s="5" t="b">
        <f ca="1">ISNUMBER( IFERROR(VLOOKUP(A133,Pairs!$E$2:$E$57,1,FALSE),FALSE))</f>
        <v>0</v>
      </c>
      <c r="AS133" s="5"/>
      <c r="AT133" s="5"/>
    </row>
    <row r="134" spans="1:46" ht="15.75" customHeight="1" x14ac:dyDescent="0.2">
      <c r="A134" s="2">
        <v>90</v>
      </c>
      <c r="B134" s="2" t="s">
        <v>641</v>
      </c>
      <c r="C134" s="2" t="str">
        <f>VLOOKUP(D134,'slb RAW'!$E:$F,2)</f>
        <v>XS2390400716</v>
      </c>
      <c r="D134" s="2" t="s">
        <v>906</v>
      </c>
      <c r="E134" s="2" t="s">
        <v>907</v>
      </c>
      <c r="F134" s="2" t="s">
        <v>644</v>
      </c>
      <c r="G134" s="2" t="s">
        <v>366</v>
      </c>
      <c r="H134" s="2" t="s">
        <v>366</v>
      </c>
      <c r="I134" s="2" t="s">
        <v>199</v>
      </c>
      <c r="J134" s="2" t="b">
        <f t="shared" si="6"/>
        <v>0</v>
      </c>
      <c r="K134" s="2">
        <v>0.375</v>
      </c>
      <c r="L134" s="2" t="s">
        <v>903</v>
      </c>
      <c r="M134" s="2" t="s">
        <v>908</v>
      </c>
      <c r="N134" s="2">
        <v>0.38800000000000001</v>
      </c>
      <c r="O134" s="2" t="s">
        <v>115</v>
      </c>
      <c r="P134" s="2" t="s">
        <v>116</v>
      </c>
      <c r="Q134" s="2" t="s">
        <v>909</v>
      </c>
      <c r="R134" s="2" t="s">
        <v>52</v>
      </c>
      <c r="S134" s="2" t="s">
        <v>53</v>
      </c>
      <c r="T134" s="2" t="s">
        <v>619</v>
      </c>
      <c r="U134" s="2" t="s">
        <v>55</v>
      </c>
      <c r="V134" s="2" t="s">
        <v>56</v>
      </c>
      <c r="W134" s="2" t="s">
        <v>57</v>
      </c>
      <c r="X134" s="2">
        <v>1168200000</v>
      </c>
      <c r="Y134" s="2" t="s">
        <v>120</v>
      </c>
      <c r="Z134" s="2" t="s">
        <v>120</v>
      </c>
      <c r="AA134" s="2" t="s">
        <v>60</v>
      </c>
      <c r="AB134" s="2" t="s">
        <v>121</v>
      </c>
      <c r="AC134" s="2" t="s">
        <v>122</v>
      </c>
      <c r="AD134" s="2" t="s">
        <v>122</v>
      </c>
      <c r="AE134" s="2" t="s">
        <v>785</v>
      </c>
      <c r="AF134" s="5">
        <v>25</v>
      </c>
      <c r="AG134" s="6"/>
      <c r="AH134" s="2" t="str">
        <f t="shared" si="0"/>
        <v/>
      </c>
      <c r="AI134" s="2" t="str" cm="1">
        <f t="array" ref="AI134">_xlfn.IFS(AF134&lt;25,"Less",AF134=25,"Equal",AF134&gt;25,"More")</f>
        <v>Equal</v>
      </c>
      <c r="AJ134" s="6"/>
      <c r="AK134" s="6" t="s">
        <v>125</v>
      </c>
      <c r="AL134" s="2" t="s">
        <v>910</v>
      </c>
      <c r="AM134" s="5">
        <f>VLOOKUP(D134,'slb RAW'!$E$2:$AF$293,9)</f>
        <v>0.38800000000000001</v>
      </c>
      <c r="AN134" s="2">
        <f>VLOOKUP(D134,'slb RAW'!$E$2:$AE$293,27)</f>
        <v>0.46</v>
      </c>
      <c r="AO134" s="2">
        <f>VLOOKUP(C134,'Refinitiv SLB'!F134:S311,14)</f>
        <v>4.8710000000000004</v>
      </c>
      <c r="AP134" s="2">
        <f t="shared" si="1"/>
        <v>0.46</v>
      </c>
      <c r="AQ134" s="7" t="str">
        <f t="shared" si="2"/>
        <v>Enel Finance International NVCALLABLEFIXEDEURSr Unsecured</v>
      </c>
      <c r="AR134" s="5" t="b">
        <f ca="1">ISNUMBER( IFERROR(VLOOKUP(A134,Pairs!$E$2:$E$57,1,FALSE),FALSE))</f>
        <v>0</v>
      </c>
      <c r="AS134" s="5"/>
      <c r="AT134" s="5"/>
    </row>
    <row r="135" spans="1:46" ht="15.75" customHeight="1" x14ac:dyDescent="0.2">
      <c r="A135" s="2">
        <v>88</v>
      </c>
      <c r="B135" s="2" t="s">
        <v>641</v>
      </c>
      <c r="C135" s="2" t="str">
        <f>VLOOKUP(D135,'slb RAW'!$E:$F,2)</f>
        <v>XS2390400807</v>
      </c>
      <c r="D135" s="2" t="s">
        <v>911</v>
      </c>
      <c r="E135" s="2" t="s">
        <v>912</v>
      </c>
      <c r="F135" s="2" t="s">
        <v>644</v>
      </c>
      <c r="G135" s="2" t="s">
        <v>366</v>
      </c>
      <c r="H135" s="2" t="s">
        <v>366</v>
      </c>
      <c r="I135" s="2" t="s">
        <v>199</v>
      </c>
      <c r="J135" s="2" t="b">
        <f t="shared" si="6"/>
        <v>0</v>
      </c>
      <c r="K135" s="2">
        <v>0.875</v>
      </c>
      <c r="L135" s="2" t="s">
        <v>903</v>
      </c>
      <c r="M135" s="2" t="s">
        <v>913</v>
      </c>
      <c r="N135" s="8">
        <v>0.93789999999999996</v>
      </c>
      <c r="O135" s="2" t="s">
        <v>115</v>
      </c>
      <c r="P135" s="2" t="s">
        <v>116</v>
      </c>
      <c r="Q135" s="2" t="s">
        <v>225</v>
      </c>
      <c r="R135" s="2" t="s">
        <v>52</v>
      </c>
      <c r="S135" s="2" t="s">
        <v>53</v>
      </c>
      <c r="T135" s="2" t="s">
        <v>619</v>
      </c>
      <c r="U135" s="2" t="s">
        <v>55</v>
      </c>
      <c r="V135" s="2" t="s">
        <v>56</v>
      </c>
      <c r="W135" s="2" t="s">
        <v>57</v>
      </c>
      <c r="X135" s="2">
        <v>1460250000</v>
      </c>
      <c r="Y135" s="2" t="s">
        <v>120</v>
      </c>
      <c r="Z135" s="2" t="s">
        <v>120</v>
      </c>
      <c r="AA135" s="2" t="s">
        <v>60</v>
      </c>
      <c r="AB135" s="2" t="s">
        <v>121</v>
      </c>
      <c r="AC135" s="2" t="s">
        <v>122</v>
      </c>
      <c r="AD135" s="2" t="s">
        <v>122</v>
      </c>
      <c r="AE135" s="2" t="s">
        <v>914</v>
      </c>
      <c r="AF135" s="5">
        <v>25</v>
      </c>
      <c r="AG135" s="6"/>
      <c r="AH135" s="2" t="str">
        <f t="shared" si="0"/>
        <v/>
      </c>
      <c r="AI135" s="2" t="str" cm="1">
        <f t="array" ref="AI135">_xlfn.IFS(AF135&lt;25,"Less",AF135=25,"Equal",AF135&gt;25,"More")</f>
        <v>Equal</v>
      </c>
      <c r="AJ135" s="6"/>
      <c r="AK135" s="6" t="s">
        <v>125</v>
      </c>
      <c r="AL135" s="2" t="s">
        <v>915</v>
      </c>
      <c r="AM135" s="5" t="str">
        <f>VLOOKUP(D135,'slb RAW'!$E$2:$AF$293,9)</f>
        <v>#N/A N/A</v>
      </c>
      <c r="AN135" s="2">
        <f>VLOOKUP(D135,'slb RAW'!$E$2:$AE$293,27)</f>
        <v>0.95499999999999996</v>
      </c>
      <c r="AO135" s="2">
        <f>VLOOKUP(C135,'Refinitiv SLB'!F135:S312,14)</f>
        <v>4.8710000000000004</v>
      </c>
      <c r="AP135" s="2">
        <f t="shared" si="1"/>
        <v>0.95499999999999996</v>
      </c>
      <c r="AQ135" s="7" t="str">
        <f t="shared" si="2"/>
        <v>Enel Finance International NVCALLABLEFIXEDEURSr Unsecured</v>
      </c>
      <c r="AR135" s="5" t="b">
        <f ca="1">ISNUMBER( IFERROR(VLOOKUP(A135,Pairs!$E$2:$E$57,1,FALSE),FALSE))</f>
        <v>0</v>
      </c>
      <c r="AS135" s="5"/>
      <c r="AT135" s="5"/>
    </row>
    <row r="136" spans="1:46" ht="15.75" customHeight="1" x14ac:dyDescent="0.2">
      <c r="A136" s="2">
        <v>165</v>
      </c>
      <c r="B136" s="2" t="s">
        <v>916</v>
      </c>
      <c r="C136" s="2" t="str">
        <f>VLOOKUP(D136,'slb RAW'!$E:$F,2)</f>
        <v>FR0014005OK3</v>
      </c>
      <c r="D136" s="2" t="s">
        <v>917</v>
      </c>
      <c r="E136" s="2" t="s">
        <v>918</v>
      </c>
      <c r="F136" s="2" t="s">
        <v>919</v>
      </c>
      <c r="G136" s="2" t="s">
        <v>184</v>
      </c>
      <c r="H136" s="2" t="s">
        <v>184</v>
      </c>
      <c r="I136" s="2" t="s">
        <v>184</v>
      </c>
      <c r="J136" s="2" t="b">
        <f t="shared" si="6"/>
        <v>1</v>
      </c>
      <c r="K136" s="2">
        <v>0.375</v>
      </c>
      <c r="L136" s="2" t="s">
        <v>920</v>
      </c>
      <c r="M136" s="2" t="s">
        <v>921</v>
      </c>
      <c r="N136" s="8">
        <v>0.39500000000000002</v>
      </c>
      <c r="O136" s="2" t="s">
        <v>115</v>
      </c>
      <c r="P136" s="2" t="s">
        <v>116</v>
      </c>
      <c r="Q136" s="2" t="s">
        <v>173</v>
      </c>
      <c r="R136" s="2" t="s">
        <v>52</v>
      </c>
      <c r="S136" s="2" t="s">
        <v>53</v>
      </c>
      <c r="T136" s="2" t="s">
        <v>189</v>
      </c>
      <c r="U136" s="2" t="s">
        <v>420</v>
      </c>
      <c r="V136" s="2" t="s">
        <v>56</v>
      </c>
      <c r="W136" s="2" t="s">
        <v>57</v>
      </c>
      <c r="X136" s="2">
        <v>692586000</v>
      </c>
      <c r="Y136" s="2" t="s">
        <v>58</v>
      </c>
      <c r="Z136" s="2" t="s">
        <v>190</v>
      </c>
      <c r="AA136" s="2" t="s">
        <v>60</v>
      </c>
      <c r="AB136" s="2" t="s">
        <v>61</v>
      </c>
      <c r="AC136" s="2" t="s">
        <v>176</v>
      </c>
      <c r="AD136" s="2" t="s">
        <v>177</v>
      </c>
      <c r="AE136" s="2" t="s">
        <v>922</v>
      </c>
      <c r="AF136" s="5">
        <v>50</v>
      </c>
      <c r="AG136" s="6"/>
      <c r="AH136" s="2" t="str">
        <f t="shared" si="0"/>
        <v/>
      </c>
      <c r="AI136" s="2" t="str" cm="1">
        <f t="array" ref="AI136">_xlfn.IFS(AF136&lt;25,"Less",AF136=25,"Equal",AF136&gt;25,"More")</f>
        <v>More</v>
      </c>
      <c r="AJ136" s="6" t="s">
        <v>5517</v>
      </c>
      <c r="AK136" s="6" t="s">
        <v>125</v>
      </c>
      <c r="AL136" s="2" t="s">
        <v>923</v>
      </c>
      <c r="AM136" s="5">
        <f>VLOOKUP(D136,'slb RAW'!$E$2:$AF$293,9)</f>
        <v>0.39500000000000002</v>
      </c>
      <c r="AN136" s="2">
        <f>VLOOKUP(D136,'slb RAW'!$E$2:$AE$293,27)</f>
        <v>0.41799999999999998</v>
      </c>
      <c r="AO136" s="2">
        <f>VLOOKUP(C136,'Refinitiv SLB'!F136:S313,14)</f>
        <v>0.41199999999999998</v>
      </c>
      <c r="AP136" s="2">
        <f t="shared" si="1"/>
        <v>0.41799999999999998</v>
      </c>
      <c r="AQ136" s="7" t="str">
        <f t="shared" si="2"/>
        <v>Legrand SACALLABLEFIXEDEURSr Unsecured</v>
      </c>
      <c r="AR136" s="5" t="b">
        <f ca="1">ISNUMBER( IFERROR(VLOOKUP(A136,Pairs!$E$2:$E$57,1,FALSE),FALSE))</f>
        <v>1</v>
      </c>
      <c r="AS136" s="5"/>
      <c r="AT136" s="5"/>
    </row>
    <row r="137" spans="1:46" ht="15.75" customHeight="1" x14ac:dyDescent="0.2">
      <c r="A137" s="2">
        <v>72</v>
      </c>
      <c r="B137" s="2" t="s">
        <v>924</v>
      </c>
      <c r="C137" s="2" t="str">
        <f>VLOOKUP(D137,'slb RAW'!$E:$F,2)</f>
        <v>ES0229743002</v>
      </c>
      <c r="D137" s="2" t="s">
        <v>925</v>
      </c>
      <c r="E137" s="2" t="s">
        <v>926</v>
      </c>
      <c r="F137" s="2" t="s">
        <v>927</v>
      </c>
      <c r="G137" s="2" t="s">
        <v>222</v>
      </c>
      <c r="H137" s="2" t="s">
        <v>222</v>
      </c>
      <c r="I137" s="2" t="s">
        <v>222</v>
      </c>
      <c r="J137" s="2" t="b">
        <f t="shared" si="6"/>
        <v>1</v>
      </c>
      <c r="K137" s="2">
        <v>3.0249999999999999</v>
      </c>
      <c r="L137" s="2" t="s">
        <v>928</v>
      </c>
      <c r="M137" s="2" t="s">
        <v>929</v>
      </c>
      <c r="N137" s="4" t="s">
        <v>48</v>
      </c>
      <c r="O137" s="2" t="s">
        <v>49</v>
      </c>
      <c r="P137" s="2" t="s">
        <v>50</v>
      </c>
      <c r="Q137" s="2" t="s">
        <v>173</v>
      </c>
      <c r="R137" s="2" t="s">
        <v>52</v>
      </c>
      <c r="S137" s="2" t="s">
        <v>53</v>
      </c>
      <c r="T137" s="2" t="s">
        <v>54</v>
      </c>
      <c r="U137" s="2" t="s">
        <v>55</v>
      </c>
      <c r="V137" s="2" t="s">
        <v>56</v>
      </c>
      <c r="W137" s="2" t="s">
        <v>71</v>
      </c>
      <c r="X137" s="2">
        <v>34712100</v>
      </c>
      <c r="Y137" s="2" t="s">
        <v>58</v>
      </c>
      <c r="Z137" s="2" t="s">
        <v>505</v>
      </c>
      <c r="AA137" s="2" t="s">
        <v>60</v>
      </c>
      <c r="AB137" s="2" t="s">
        <v>61</v>
      </c>
      <c r="AC137" s="2" t="s">
        <v>62</v>
      </c>
      <c r="AD137" s="2" t="s">
        <v>62</v>
      </c>
      <c r="AE137" s="2" t="s">
        <v>930</v>
      </c>
      <c r="AF137" s="6">
        <v>5</v>
      </c>
      <c r="AG137" s="6"/>
      <c r="AH137" s="2" t="str">
        <f t="shared" si="0"/>
        <v/>
      </c>
      <c r="AI137" s="2" t="str" cm="1">
        <f t="array" ref="AI137">_xlfn.IFS(AF137&lt;25,"Less",AF137=25,"Equal",AF137&gt;25,"More")</f>
        <v>Less</v>
      </c>
      <c r="AJ137" s="6" t="s">
        <v>5517</v>
      </c>
      <c r="AK137" s="6" t="s">
        <v>125</v>
      </c>
      <c r="AL137" s="2" t="s">
        <v>931</v>
      </c>
      <c r="AM137" s="5" t="str">
        <f>VLOOKUP(D137,'slb RAW'!$E$2:$AF$293,9)</f>
        <v>#N/A N/A</v>
      </c>
      <c r="AN137" s="2" t="str">
        <f>VLOOKUP(D137,'slb RAW'!$E$2:$AE$293,27)</f>
        <v>#N/A N/A</v>
      </c>
      <c r="AO137" s="2">
        <f>VLOOKUP(C137,'Refinitiv SLB'!F137:S314,14)</f>
        <v>0.39400000000000002</v>
      </c>
      <c r="AP137" s="2" t="str">
        <f t="shared" si="1"/>
        <v>#N/A N/A</v>
      </c>
      <c r="AQ137" s="7" t="str">
        <f t="shared" si="2"/>
        <v>Elecnor SAAT MATURITYFIXEDEURSr Unsecured</v>
      </c>
      <c r="AR137" s="5" t="b">
        <f ca="1">ISNUMBER( IFERROR(VLOOKUP(A137,Pairs!$E$2:$E$57,1,FALSE),FALSE))</f>
        <v>0</v>
      </c>
      <c r="AS137" s="5"/>
      <c r="AT137" s="5"/>
    </row>
    <row r="138" spans="1:46" ht="15.75" customHeight="1" x14ac:dyDescent="0.2">
      <c r="A138" s="2">
        <v>33</v>
      </c>
      <c r="B138" s="2" t="s">
        <v>932</v>
      </c>
      <c r="C138" s="2" t="str">
        <f>VLOOKUP(D138,'slb RAW'!$E:$F,2)</f>
        <v>#N/A Field Not Applicable</v>
      </c>
      <c r="D138" s="2" t="s">
        <v>933</v>
      </c>
      <c r="E138" s="2" t="s">
        <v>934</v>
      </c>
      <c r="F138" s="2" t="s">
        <v>935</v>
      </c>
      <c r="G138" s="2" t="s">
        <v>45</v>
      </c>
      <c r="H138" s="2" t="s">
        <v>45</v>
      </c>
      <c r="I138" s="2" t="s">
        <v>45</v>
      </c>
      <c r="J138" s="2" t="b">
        <f t="shared" si="6"/>
        <v>1</v>
      </c>
      <c r="K138" s="3">
        <v>0</v>
      </c>
      <c r="L138" s="2" t="s">
        <v>936</v>
      </c>
      <c r="M138" s="2" t="s">
        <v>937</v>
      </c>
      <c r="N138" s="4" t="s">
        <v>48</v>
      </c>
      <c r="O138" s="2" t="s">
        <v>49</v>
      </c>
      <c r="P138" s="2" t="s">
        <v>50</v>
      </c>
      <c r="Q138" s="2" t="s">
        <v>51</v>
      </c>
      <c r="R138" s="2" t="s">
        <v>52</v>
      </c>
      <c r="S138" s="2" t="s">
        <v>53</v>
      </c>
      <c r="T138" s="2" t="s">
        <v>54</v>
      </c>
      <c r="U138" s="2" t="s">
        <v>55</v>
      </c>
      <c r="V138" s="2" t="s">
        <v>56</v>
      </c>
      <c r="W138" s="2" t="s">
        <v>57</v>
      </c>
      <c r="X138" s="2">
        <v>115123000</v>
      </c>
      <c r="Y138" s="2" t="s">
        <v>85</v>
      </c>
      <c r="Z138" s="2" t="s">
        <v>514</v>
      </c>
      <c r="AA138" s="2" t="s">
        <v>60</v>
      </c>
      <c r="AB138" s="2" t="s">
        <v>61</v>
      </c>
      <c r="AC138" s="2" t="s">
        <v>87</v>
      </c>
      <c r="AD138" s="2" t="s">
        <v>514</v>
      </c>
      <c r="AE138" s="2" t="s">
        <v>938</v>
      </c>
      <c r="AF138" s="6">
        <v>5</v>
      </c>
      <c r="AG138" s="6">
        <v>5</v>
      </c>
      <c r="AH138" s="2" t="str">
        <f t="shared" si="0"/>
        <v>yes</v>
      </c>
      <c r="AI138" s="2" t="str" cm="1">
        <f t="array" ref="AI138">_xlfn.IFS(AF138&lt;25,"Less",AF138=25,"Equal",AF138&gt;25,"More")</f>
        <v>Less</v>
      </c>
      <c r="AJ138" s="6"/>
      <c r="AK138" s="6" t="s">
        <v>64</v>
      </c>
      <c r="AL138" s="2" t="s">
        <v>939</v>
      </c>
      <c r="AM138" s="5" t="str">
        <f>VLOOKUP(D138,'slb RAW'!$E$2:$AF$293,9)</f>
        <v>#N/A N/A</v>
      </c>
      <c r="AN138" s="2" t="str">
        <f>VLOOKUP(D138,'slb RAW'!$E$2:$AE$293,27)</f>
        <v>#N/A N/A</v>
      </c>
      <c r="AO138" s="2" t="e">
        <f>VLOOKUP(C138,'Refinitiv SLB'!F138:S315,14)</f>
        <v>#N/A</v>
      </c>
      <c r="AP138" s="2" t="str">
        <f t="shared" si="1"/>
        <v>#N/A N/A</v>
      </c>
      <c r="AQ138" s="7" t="str">
        <f t="shared" si="2"/>
        <v>Biesterfeld AGAT MATURITYFIXEDEURSr Unsecured</v>
      </c>
      <c r="AR138" s="5" t="b">
        <f ca="1">ISNUMBER( IFERROR(VLOOKUP(A138,Pairs!$E$2:$E$57,1,FALSE),FALSE))</f>
        <v>0</v>
      </c>
      <c r="AS138" s="5"/>
      <c r="AT138" s="5"/>
    </row>
    <row r="139" spans="1:46" ht="15.75" customHeight="1" x14ac:dyDescent="0.2">
      <c r="A139" s="2">
        <v>31</v>
      </c>
      <c r="B139" s="2" t="s">
        <v>932</v>
      </c>
      <c r="C139" s="2" t="str">
        <f>VLOOKUP(D139,'slb RAW'!$E:$F,2)</f>
        <v>#N/A Field Not Applicable</v>
      </c>
      <c r="D139" s="2" t="s">
        <v>940</v>
      </c>
      <c r="E139" s="2" t="s">
        <v>941</v>
      </c>
      <c r="F139" s="2" t="s">
        <v>935</v>
      </c>
      <c r="G139" s="2" t="s">
        <v>45</v>
      </c>
      <c r="H139" s="2" t="s">
        <v>45</v>
      </c>
      <c r="I139" s="2" t="s">
        <v>45</v>
      </c>
      <c r="J139" s="2" t="b">
        <f t="shared" si="6"/>
        <v>1</v>
      </c>
      <c r="K139" s="3">
        <v>0</v>
      </c>
      <c r="L139" s="2" t="s">
        <v>936</v>
      </c>
      <c r="M139" s="2" t="s">
        <v>942</v>
      </c>
      <c r="N139" s="4" t="s">
        <v>48</v>
      </c>
      <c r="O139" s="2" t="s">
        <v>49</v>
      </c>
      <c r="P139" s="2" t="s">
        <v>50</v>
      </c>
      <c r="Q139" s="2" t="s">
        <v>69</v>
      </c>
      <c r="R139" s="2" t="s">
        <v>52</v>
      </c>
      <c r="S139" s="2" t="s">
        <v>53</v>
      </c>
      <c r="T139" s="2" t="s">
        <v>54</v>
      </c>
      <c r="U139" s="2" t="s">
        <v>55</v>
      </c>
      <c r="V139" s="2" t="s">
        <v>70</v>
      </c>
      <c r="W139" s="2" t="s">
        <v>71</v>
      </c>
      <c r="X139" s="2">
        <v>115123000</v>
      </c>
      <c r="Y139" s="2" t="s">
        <v>85</v>
      </c>
      <c r="Z139" s="2" t="s">
        <v>514</v>
      </c>
      <c r="AA139" s="2" t="s">
        <v>60</v>
      </c>
      <c r="AB139" s="2" t="s">
        <v>61</v>
      </c>
      <c r="AC139" s="2" t="s">
        <v>87</v>
      </c>
      <c r="AD139" s="2" t="s">
        <v>514</v>
      </c>
      <c r="AE139" s="2" t="s">
        <v>938</v>
      </c>
      <c r="AF139" s="6">
        <v>5</v>
      </c>
      <c r="AG139" s="6">
        <v>5</v>
      </c>
      <c r="AH139" s="2" t="str">
        <f t="shared" si="0"/>
        <v>yes</v>
      </c>
      <c r="AI139" s="2" t="str" cm="1">
        <f t="array" ref="AI139">_xlfn.IFS(AF139&lt;25,"Less",AF139=25,"Equal",AF139&gt;25,"More")</f>
        <v>Less</v>
      </c>
      <c r="AJ139" s="6"/>
      <c r="AK139" s="6" t="s">
        <v>64</v>
      </c>
      <c r="AL139" s="2" t="s">
        <v>939</v>
      </c>
      <c r="AM139" s="5" t="str">
        <f>VLOOKUP(D139,'slb RAW'!$E$2:$AF$293,9)</f>
        <v>#N/A N/A</v>
      </c>
      <c r="AN139" s="2" t="str">
        <f>VLOOKUP(D139,'slb RAW'!$E$2:$AE$293,27)</f>
        <v>#N/A N/A</v>
      </c>
      <c r="AO139" s="2" t="e">
        <f>VLOOKUP(C139,'Refinitiv SLB'!F139:S316,14)</f>
        <v>#N/A</v>
      </c>
      <c r="AP139" s="2" t="str">
        <f t="shared" si="1"/>
        <v>#N/A N/A</v>
      </c>
      <c r="AQ139" s="7" t="str">
        <f t="shared" si="2"/>
        <v>Biesterfeld AGAT MATURITYFLOATINGEURSr Unsecured</v>
      </c>
      <c r="AR139" s="5" t="b">
        <f ca="1">ISNUMBER( IFERROR(VLOOKUP(A139,Pairs!$E$2:$E$57,1,FALSE),FALSE))</f>
        <v>0</v>
      </c>
      <c r="AS139" s="5"/>
      <c r="AT139" s="5"/>
    </row>
    <row r="140" spans="1:46" ht="15.75" customHeight="1" x14ac:dyDescent="0.2">
      <c r="A140" s="2">
        <v>32</v>
      </c>
      <c r="B140" s="2" t="s">
        <v>932</v>
      </c>
      <c r="C140" s="2" t="str">
        <f>VLOOKUP(D140,'slb RAW'!$E:$F,2)</f>
        <v>#N/A Field Not Applicable</v>
      </c>
      <c r="D140" s="2" t="s">
        <v>943</v>
      </c>
      <c r="E140" s="2" t="s">
        <v>944</v>
      </c>
      <c r="F140" s="2" t="s">
        <v>935</v>
      </c>
      <c r="G140" s="2" t="s">
        <v>45</v>
      </c>
      <c r="H140" s="2" t="s">
        <v>45</v>
      </c>
      <c r="I140" s="2" t="s">
        <v>45</v>
      </c>
      <c r="J140" s="2" t="b">
        <f t="shared" si="6"/>
        <v>1</v>
      </c>
      <c r="K140" s="3">
        <v>0</v>
      </c>
      <c r="L140" s="2" t="s">
        <v>936</v>
      </c>
      <c r="M140" s="2" t="s">
        <v>945</v>
      </c>
      <c r="N140" s="4" t="s">
        <v>48</v>
      </c>
      <c r="O140" s="2" t="s">
        <v>49</v>
      </c>
      <c r="P140" s="2" t="s">
        <v>50</v>
      </c>
      <c r="Q140" s="2" t="s">
        <v>76</v>
      </c>
      <c r="R140" s="2" t="s">
        <v>52</v>
      </c>
      <c r="S140" s="2" t="s">
        <v>53</v>
      </c>
      <c r="T140" s="2" t="s">
        <v>54</v>
      </c>
      <c r="U140" s="2" t="s">
        <v>55</v>
      </c>
      <c r="V140" s="2" t="s">
        <v>70</v>
      </c>
      <c r="W140" s="2" t="s">
        <v>71</v>
      </c>
      <c r="X140" s="2">
        <v>115123000</v>
      </c>
      <c r="Y140" s="2" t="s">
        <v>85</v>
      </c>
      <c r="Z140" s="2" t="s">
        <v>514</v>
      </c>
      <c r="AA140" s="2" t="s">
        <v>60</v>
      </c>
      <c r="AB140" s="2" t="s">
        <v>61</v>
      </c>
      <c r="AC140" s="2" t="s">
        <v>87</v>
      </c>
      <c r="AD140" s="2" t="s">
        <v>514</v>
      </c>
      <c r="AE140" s="2" t="s">
        <v>938</v>
      </c>
      <c r="AF140" s="6">
        <v>5</v>
      </c>
      <c r="AG140" s="6">
        <v>5</v>
      </c>
      <c r="AH140" s="2" t="str">
        <f t="shared" si="0"/>
        <v>yes</v>
      </c>
      <c r="AI140" s="2" t="str" cm="1">
        <f t="array" ref="AI140">_xlfn.IFS(AF140&lt;25,"Less",AF140=25,"Equal",AF140&gt;25,"More")</f>
        <v>Less</v>
      </c>
      <c r="AJ140" s="6"/>
      <c r="AK140" s="6" t="s">
        <v>64</v>
      </c>
      <c r="AL140" s="2" t="s">
        <v>939</v>
      </c>
      <c r="AM140" s="5" t="str">
        <f>VLOOKUP(D140,'slb RAW'!$E$2:$AF$293,9)</f>
        <v>#N/A N/A</v>
      </c>
      <c r="AN140" s="2" t="str">
        <f>VLOOKUP(D140,'slb RAW'!$E$2:$AE$293,27)</f>
        <v>#N/A N/A</v>
      </c>
      <c r="AO140" s="2" t="e">
        <f>VLOOKUP(C140,'Refinitiv SLB'!F140:S317,14)</f>
        <v>#N/A</v>
      </c>
      <c r="AP140" s="2" t="str">
        <f t="shared" si="1"/>
        <v>#N/A N/A</v>
      </c>
      <c r="AQ140" s="7" t="str">
        <f t="shared" si="2"/>
        <v>Biesterfeld AGAT MATURITYFLOATINGEURSr Unsecured</v>
      </c>
      <c r="AR140" s="5" t="b">
        <f ca="1">ISNUMBER( IFERROR(VLOOKUP(A140,Pairs!$E$2:$E$57,1,FALSE),FALSE))</f>
        <v>1</v>
      </c>
      <c r="AS140" s="5"/>
      <c r="AT140" s="5"/>
    </row>
    <row r="141" spans="1:46" ht="15.75" customHeight="1" x14ac:dyDescent="0.2">
      <c r="A141" s="2">
        <v>185</v>
      </c>
      <c r="B141" s="2" t="s">
        <v>946</v>
      </c>
      <c r="C141" s="2" t="str">
        <f>VLOOKUP(D141,'slb RAW'!$E:$F,2)</f>
        <v>XS2393539593</v>
      </c>
      <c r="D141" s="2" t="s">
        <v>947</v>
      </c>
      <c r="E141" s="2" t="s">
        <v>948</v>
      </c>
      <c r="F141" s="2" t="s">
        <v>949</v>
      </c>
      <c r="G141" s="2" t="s">
        <v>366</v>
      </c>
      <c r="H141" s="2" t="s">
        <v>366</v>
      </c>
      <c r="I141" s="2" t="s">
        <v>366</v>
      </c>
      <c r="J141" s="2" t="b">
        <f t="shared" si="6"/>
        <v>1</v>
      </c>
      <c r="K141" s="2">
        <v>0.75</v>
      </c>
      <c r="L141" s="2" t="s">
        <v>950</v>
      </c>
      <c r="M141" s="2" t="s">
        <v>951</v>
      </c>
      <c r="N141" s="2">
        <v>0.76300000000000001</v>
      </c>
      <c r="O141" s="2" t="s">
        <v>115</v>
      </c>
      <c r="P141" s="2" t="s">
        <v>116</v>
      </c>
      <c r="Q141" s="2" t="s">
        <v>225</v>
      </c>
      <c r="R141" s="2" t="s">
        <v>52</v>
      </c>
      <c r="S141" s="2" t="s">
        <v>53</v>
      </c>
      <c r="T141" s="2" t="s">
        <v>189</v>
      </c>
      <c r="U141" s="2" t="s">
        <v>55</v>
      </c>
      <c r="V141" s="2" t="s">
        <v>56</v>
      </c>
      <c r="W141" s="2" t="s">
        <v>57</v>
      </c>
      <c r="X141" s="2">
        <v>347337000</v>
      </c>
      <c r="Y141" s="2" t="s">
        <v>120</v>
      </c>
      <c r="Z141" s="2" t="s">
        <v>120</v>
      </c>
      <c r="AA141" s="2" t="s">
        <v>202</v>
      </c>
      <c r="AB141" s="2" t="s">
        <v>411</v>
      </c>
      <c r="AC141" s="2" t="s">
        <v>412</v>
      </c>
      <c r="AD141" s="2" t="s">
        <v>412</v>
      </c>
      <c r="AE141" s="2" t="s">
        <v>952</v>
      </c>
      <c r="AF141" s="6">
        <v>20</v>
      </c>
      <c r="AG141" s="6"/>
      <c r="AH141" s="2" t="str">
        <f t="shared" si="0"/>
        <v/>
      </c>
      <c r="AI141" s="2" t="str" cm="1">
        <f t="array" ref="AI141">_xlfn.IFS(AF141&lt;25,"Less",AF141=25,"Equal",AF141&gt;25,"More")</f>
        <v>Less</v>
      </c>
      <c r="AJ141" s="6" t="s">
        <v>5517</v>
      </c>
      <c r="AK141" s="6" t="s">
        <v>125</v>
      </c>
      <c r="AL141" s="2" t="s">
        <v>953</v>
      </c>
      <c r="AM141" s="5">
        <f>VLOOKUP(D141,'slb RAW'!$E$2:$AF$293,9)</f>
        <v>0.76300000000000001</v>
      </c>
      <c r="AN141" s="2">
        <f>VLOOKUP(D141,'slb RAW'!$E$2:$AE$293,27)</f>
        <v>0.78</v>
      </c>
      <c r="AO141" s="2">
        <f>VLOOKUP(C141,'Refinitiv SLB'!F141:S318,14)</f>
        <v>5.1289999999999996</v>
      </c>
      <c r="AP141" s="2">
        <f t="shared" si="1"/>
        <v>0.78</v>
      </c>
      <c r="AQ141" s="7" t="str">
        <f t="shared" si="2"/>
        <v>Nederlandse Gasunie NVCALLABLEFIXEDEURSr Unsecured</v>
      </c>
      <c r="AR141" s="5" t="b">
        <f ca="1">ISNUMBER( IFERROR(VLOOKUP(A141,Pairs!$E$2:$E$57,1,FALSE),FALSE))</f>
        <v>0</v>
      </c>
      <c r="AS141" s="5"/>
      <c r="AT141" s="5"/>
    </row>
    <row r="142" spans="1:46" ht="15.75" customHeight="1" x14ac:dyDescent="0.2">
      <c r="A142" s="2">
        <v>48</v>
      </c>
      <c r="B142" s="2" t="s">
        <v>954</v>
      </c>
      <c r="C142" s="2" t="str">
        <f>VLOOKUP(D142,'slb RAW'!$E:$F,2)</f>
        <v>XS2397355095</v>
      </c>
      <c r="D142" s="2" t="s">
        <v>955</v>
      </c>
      <c r="E142" s="2" t="s">
        <v>956</v>
      </c>
      <c r="F142" s="2" t="s">
        <v>957</v>
      </c>
      <c r="G142" s="2" t="s">
        <v>169</v>
      </c>
      <c r="H142" s="2" t="s">
        <v>169</v>
      </c>
      <c r="I142" s="2" t="s">
        <v>169</v>
      </c>
      <c r="J142" s="2" t="b">
        <f t="shared" si="6"/>
        <v>1</v>
      </c>
      <c r="K142" s="2">
        <v>4.625</v>
      </c>
      <c r="L142" s="2" t="s">
        <v>958</v>
      </c>
      <c r="M142" s="2" t="s">
        <v>959</v>
      </c>
      <c r="N142" s="10">
        <v>4.6976000000000004</v>
      </c>
      <c r="O142" s="2" t="s">
        <v>115</v>
      </c>
      <c r="P142" s="2" t="s">
        <v>116</v>
      </c>
      <c r="Q142" s="2" t="s">
        <v>261</v>
      </c>
      <c r="R142" s="2" t="s">
        <v>458</v>
      </c>
      <c r="S142" s="2" t="s">
        <v>53</v>
      </c>
      <c r="T142" s="2" t="s">
        <v>296</v>
      </c>
      <c r="U142" s="2" t="s">
        <v>55</v>
      </c>
      <c r="V142" s="2" t="s">
        <v>56</v>
      </c>
      <c r="W142" s="2" t="s">
        <v>71</v>
      </c>
      <c r="X142" s="2">
        <v>438075400</v>
      </c>
      <c r="Y142" s="2" t="s">
        <v>213</v>
      </c>
      <c r="Z142" s="2" t="s">
        <v>960</v>
      </c>
      <c r="AA142" s="2" t="s">
        <v>60</v>
      </c>
      <c r="AB142" s="2" t="s">
        <v>61</v>
      </c>
      <c r="AC142" s="2" t="s">
        <v>213</v>
      </c>
      <c r="AD142" s="2" t="s">
        <v>215</v>
      </c>
      <c r="AE142" s="2" t="s">
        <v>961</v>
      </c>
      <c r="AF142" s="5">
        <v>75</v>
      </c>
      <c r="AG142" s="6"/>
      <c r="AH142" s="2" t="str">
        <f t="shared" si="0"/>
        <v/>
      </c>
      <c r="AI142" s="2" t="str" cm="1">
        <f t="array" ref="AI142">_xlfn.IFS(AF142&lt;25,"Less",AF142=25,"Equal",AF142&gt;25,"More")</f>
        <v>More</v>
      </c>
      <c r="AJ142" s="6"/>
      <c r="AK142" s="6" t="s">
        <v>125</v>
      </c>
      <c r="AL142" s="2" t="s">
        <v>962</v>
      </c>
      <c r="AM142" s="5" t="str">
        <f>VLOOKUP(D142,'slb RAW'!$E$2:$AF$293,9)</f>
        <v>#N/A N/A</v>
      </c>
      <c r="AN142" s="2">
        <f>VLOOKUP(D142,'slb RAW'!$E$2:$AE$293,27)</f>
        <v>4.6440000000000001</v>
      </c>
      <c r="AO142" s="2">
        <f>VLOOKUP(C142,'Refinitiv SLB'!F142:S319,14)</f>
        <v>4.2309999999999999</v>
      </c>
      <c r="AP142" s="2">
        <f t="shared" si="1"/>
        <v>4.6440000000000001</v>
      </c>
      <c r="AQ142" s="7" t="str">
        <f t="shared" si="2"/>
        <v>Cullinan Holdco ScspCALLABLEFIXEDEURSecured</v>
      </c>
      <c r="AR142" s="5" t="b">
        <f ca="1">ISNUMBER( IFERROR(VLOOKUP(A142,Pairs!$E$2:$E$57,1,FALSE),FALSE))</f>
        <v>0</v>
      </c>
      <c r="AS142" s="5"/>
      <c r="AT142" s="5"/>
    </row>
    <row r="143" spans="1:46" ht="15.75" customHeight="1" x14ac:dyDescent="0.2">
      <c r="A143" s="2">
        <v>49</v>
      </c>
      <c r="B143" s="2" t="s">
        <v>954</v>
      </c>
      <c r="C143" s="2" t="str">
        <f>VLOOKUP(D143,'slb RAW'!$E:$F,2)</f>
        <v>XS2397354288</v>
      </c>
      <c r="D143" s="2" t="s">
        <v>963</v>
      </c>
      <c r="E143" s="2" t="s">
        <v>964</v>
      </c>
      <c r="F143" s="2" t="s">
        <v>957</v>
      </c>
      <c r="G143" s="2" t="s">
        <v>169</v>
      </c>
      <c r="H143" s="2" t="s">
        <v>169</v>
      </c>
      <c r="I143" s="2" t="s">
        <v>169</v>
      </c>
      <c r="J143" s="2" t="b">
        <f t="shared" si="6"/>
        <v>1</v>
      </c>
      <c r="K143" s="2">
        <v>4.75</v>
      </c>
      <c r="L143" s="2" t="s">
        <v>958</v>
      </c>
      <c r="M143" s="2" t="s">
        <v>959</v>
      </c>
      <c r="N143" s="10">
        <v>4.7389999999999999</v>
      </c>
      <c r="O143" s="2" t="s">
        <v>115</v>
      </c>
      <c r="P143" s="2" t="s">
        <v>116</v>
      </c>
      <c r="Q143" s="2" t="s">
        <v>261</v>
      </c>
      <c r="R143" s="2" t="s">
        <v>458</v>
      </c>
      <c r="S143" s="2" t="s">
        <v>53</v>
      </c>
      <c r="T143" s="2" t="s">
        <v>296</v>
      </c>
      <c r="U143" s="2" t="s">
        <v>55</v>
      </c>
      <c r="V143" s="2" t="s">
        <v>70</v>
      </c>
      <c r="W143" s="2" t="s">
        <v>391</v>
      </c>
      <c r="X143" s="2">
        <v>288207500</v>
      </c>
      <c r="Y143" s="2" t="s">
        <v>213</v>
      </c>
      <c r="Z143" s="2" t="s">
        <v>960</v>
      </c>
      <c r="AA143" s="2" t="s">
        <v>60</v>
      </c>
      <c r="AB143" s="2" t="s">
        <v>61</v>
      </c>
      <c r="AC143" s="2" t="s">
        <v>213</v>
      </c>
      <c r="AD143" s="2" t="s">
        <v>215</v>
      </c>
      <c r="AE143" s="2" t="s">
        <v>961</v>
      </c>
      <c r="AF143" s="5">
        <v>75</v>
      </c>
      <c r="AG143" s="6"/>
      <c r="AH143" s="2" t="str">
        <f t="shared" si="0"/>
        <v/>
      </c>
      <c r="AI143" s="2" t="str" cm="1">
        <f t="array" ref="AI143">_xlfn.IFS(AF143&lt;25,"Less",AF143=25,"Equal",AF143&gt;25,"More")</f>
        <v>More</v>
      </c>
      <c r="AJ143" s="6"/>
      <c r="AK143" s="6" t="s">
        <v>125</v>
      </c>
      <c r="AL143" s="2" t="s">
        <v>965</v>
      </c>
      <c r="AM143" s="5" t="str">
        <f>VLOOKUP(D143,'slb RAW'!$E$2:$AF$293,9)</f>
        <v>#N/A N/A</v>
      </c>
      <c r="AN143" s="2" t="str">
        <f>VLOOKUP(D143,'slb RAW'!$E$2:$AE$293,27)</f>
        <v>#N/A N/A</v>
      </c>
      <c r="AO143" s="2">
        <f>VLOOKUP(C143,'Refinitiv SLB'!F143:S320,14)</f>
        <v>0.76100000000000001</v>
      </c>
      <c r="AP143" s="2" t="str">
        <f t="shared" si="1"/>
        <v>#N/A N/A</v>
      </c>
      <c r="AQ143" s="7" t="str">
        <f t="shared" si="2"/>
        <v>Cullinan Holdco ScspCALLABLEFLOATINGEURSecured</v>
      </c>
      <c r="AR143" s="5" t="b">
        <f ca="1">ISNUMBER( IFERROR(VLOOKUP(A143,Pairs!$E$2:$E$57,1,FALSE),FALSE))</f>
        <v>0</v>
      </c>
      <c r="AS143" s="5"/>
      <c r="AT143" s="5"/>
    </row>
    <row r="144" spans="1:46" ht="15.75" customHeight="1" x14ac:dyDescent="0.2">
      <c r="A144" s="2">
        <v>51</v>
      </c>
      <c r="B144" s="2" t="s">
        <v>954</v>
      </c>
      <c r="C144" s="2" t="str">
        <f>VLOOKUP(D144,'slb RAW'!$E:$F,2)</f>
        <v>XS2397354528</v>
      </c>
      <c r="D144" s="2" t="s">
        <v>966</v>
      </c>
      <c r="E144" s="2" t="s">
        <v>967</v>
      </c>
      <c r="F144" s="2" t="s">
        <v>957</v>
      </c>
      <c r="G144" s="2" t="s">
        <v>169</v>
      </c>
      <c r="H144" s="2" t="s">
        <v>169</v>
      </c>
      <c r="I144" s="2" t="s">
        <v>169</v>
      </c>
      <c r="J144" s="2" t="b">
        <f t="shared" si="6"/>
        <v>1</v>
      </c>
      <c r="K144" s="2">
        <v>4.625</v>
      </c>
      <c r="L144" s="2" t="s">
        <v>958</v>
      </c>
      <c r="M144" s="2" t="s">
        <v>959</v>
      </c>
      <c r="N144" s="10">
        <v>4.6477000000000004</v>
      </c>
      <c r="O144" s="2" t="s">
        <v>115</v>
      </c>
      <c r="P144" s="2" t="s">
        <v>116</v>
      </c>
      <c r="Q144" s="2" t="s">
        <v>270</v>
      </c>
      <c r="R144" s="2" t="s">
        <v>458</v>
      </c>
      <c r="S144" s="2" t="s">
        <v>53</v>
      </c>
      <c r="T144" s="2" t="s">
        <v>296</v>
      </c>
      <c r="U144" s="2" t="s">
        <v>55</v>
      </c>
      <c r="V144" s="2" t="s">
        <v>56</v>
      </c>
      <c r="W144" s="2" t="s">
        <v>71</v>
      </c>
      <c r="X144" s="2">
        <v>438075400</v>
      </c>
      <c r="Y144" s="2" t="s">
        <v>213</v>
      </c>
      <c r="Z144" s="2" t="s">
        <v>960</v>
      </c>
      <c r="AA144" s="2" t="s">
        <v>60</v>
      </c>
      <c r="AB144" s="2" t="s">
        <v>61</v>
      </c>
      <c r="AC144" s="2" t="s">
        <v>213</v>
      </c>
      <c r="AD144" s="2" t="s">
        <v>215</v>
      </c>
      <c r="AE144" s="2" t="s">
        <v>961</v>
      </c>
      <c r="AF144" s="5">
        <v>75</v>
      </c>
      <c r="AG144" s="6"/>
      <c r="AH144" s="2" t="str">
        <f t="shared" si="0"/>
        <v/>
      </c>
      <c r="AI144" s="2" t="str" cm="1">
        <f t="array" ref="AI144">_xlfn.IFS(AF144&lt;25,"Less",AF144=25,"Equal",AF144&gt;25,"More")</f>
        <v>More</v>
      </c>
      <c r="AJ144" s="6"/>
      <c r="AK144" s="6" t="s">
        <v>125</v>
      </c>
      <c r="AL144" s="2" t="s">
        <v>962</v>
      </c>
      <c r="AM144" s="5" t="str">
        <f>VLOOKUP(D144,'slb RAW'!$E$2:$AF$293,9)</f>
        <v>#N/A N/A</v>
      </c>
      <c r="AN144" s="2">
        <f>VLOOKUP(D144,'slb RAW'!$E$2:$AE$293,27)</f>
        <v>4.6020000000000003</v>
      </c>
      <c r="AO144" s="2">
        <f>VLOOKUP(C144,'Refinitiv SLB'!F144:S321,14)</f>
        <v>5.1289999999999996</v>
      </c>
      <c r="AP144" s="2">
        <f t="shared" si="1"/>
        <v>4.6020000000000003</v>
      </c>
      <c r="AQ144" s="7" t="str">
        <f t="shared" si="2"/>
        <v>Cullinan Holdco ScspCALLABLEFIXEDEURSecured</v>
      </c>
      <c r="AR144" s="5" t="b">
        <f ca="1">ISNUMBER( IFERROR(VLOOKUP(A144,Pairs!$E$2:$E$57,1,FALSE),FALSE))</f>
        <v>0</v>
      </c>
      <c r="AS144" s="5"/>
      <c r="AT144" s="5"/>
    </row>
    <row r="145" spans="1:46" ht="15.75" customHeight="1" x14ac:dyDescent="0.2">
      <c r="A145" s="2">
        <v>50</v>
      </c>
      <c r="B145" s="2" t="s">
        <v>954</v>
      </c>
      <c r="C145" s="2" t="str">
        <f>VLOOKUP(D145,'slb RAW'!$E:$F,2)</f>
        <v>XS2397354015</v>
      </c>
      <c r="D145" s="2" t="s">
        <v>968</v>
      </c>
      <c r="E145" s="2" t="s">
        <v>969</v>
      </c>
      <c r="F145" s="2" t="s">
        <v>957</v>
      </c>
      <c r="G145" s="2" t="s">
        <v>169</v>
      </c>
      <c r="H145" s="2" t="s">
        <v>169</v>
      </c>
      <c r="I145" s="2" t="s">
        <v>169</v>
      </c>
      <c r="J145" s="2" t="b">
        <f t="shared" si="6"/>
        <v>1</v>
      </c>
      <c r="K145" s="2">
        <v>4.75</v>
      </c>
      <c r="L145" s="2" t="s">
        <v>958</v>
      </c>
      <c r="M145" s="2" t="s">
        <v>959</v>
      </c>
      <c r="N145" s="10">
        <v>4.8159000000000001</v>
      </c>
      <c r="O145" s="2" t="s">
        <v>115</v>
      </c>
      <c r="P145" s="2" t="s">
        <v>116</v>
      </c>
      <c r="Q145" s="2" t="s">
        <v>270</v>
      </c>
      <c r="R145" s="2" t="s">
        <v>458</v>
      </c>
      <c r="S145" s="2" t="s">
        <v>53</v>
      </c>
      <c r="T145" s="2" t="s">
        <v>296</v>
      </c>
      <c r="U145" s="2" t="s">
        <v>55</v>
      </c>
      <c r="V145" s="2" t="s">
        <v>70</v>
      </c>
      <c r="W145" s="2" t="s">
        <v>391</v>
      </c>
      <c r="X145" s="2">
        <v>288207500</v>
      </c>
      <c r="Y145" s="2" t="s">
        <v>213</v>
      </c>
      <c r="Z145" s="2" t="s">
        <v>960</v>
      </c>
      <c r="AA145" s="2" t="s">
        <v>60</v>
      </c>
      <c r="AB145" s="2" t="s">
        <v>61</v>
      </c>
      <c r="AC145" s="2" t="s">
        <v>213</v>
      </c>
      <c r="AD145" s="2" t="s">
        <v>215</v>
      </c>
      <c r="AE145" s="2" t="s">
        <v>961</v>
      </c>
      <c r="AF145" s="5">
        <v>75</v>
      </c>
      <c r="AG145" s="6"/>
      <c r="AH145" s="2" t="str">
        <f t="shared" si="0"/>
        <v/>
      </c>
      <c r="AI145" s="2" t="str" cm="1">
        <f t="array" ref="AI145">_xlfn.IFS(AF145&lt;25,"Less",AF145=25,"Equal",AF145&gt;25,"More")</f>
        <v>More</v>
      </c>
      <c r="AJ145" s="6"/>
      <c r="AK145" s="6" t="s">
        <v>125</v>
      </c>
      <c r="AL145" s="2" t="s">
        <v>965</v>
      </c>
      <c r="AM145" s="5" t="str">
        <f>VLOOKUP(D145,'slb RAW'!$E$2:$AF$293,9)</f>
        <v>#N/A N/A</v>
      </c>
      <c r="AN145" s="2">
        <f>VLOOKUP(D145,'slb RAW'!$E$2:$AE$293,27)</f>
        <v>4.7640000000000002</v>
      </c>
      <c r="AO145" s="2">
        <f>VLOOKUP(C145,'Refinitiv SLB'!F145:S322,14)</f>
        <v>1.762</v>
      </c>
      <c r="AP145" s="2">
        <f t="shared" si="1"/>
        <v>4.7640000000000002</v>
      </c>
      <c r="AQ145" s="7" t="str">
        <f t="shared" si="2"/>
        <v>Cullinan Holdco ScspCALLABLEFLOATINGEURSecured</v>
      </c>
      <c r="AR145" s="5" t="b">
        <f ca="1">ISNUMBER( IFERROR(VLOOKUP(A145,Pairs!$E$2:$E$57,1,FALSE),FALSE))</f>
        <v>0</v>
      </c>
      <c r="AS145" s="5"/>
      <c r="AT145" s="5"/>
    </row>
    <row r="146" spans="1:46" ht="15.75" customHeight="1" x14ac:dyDescent="0.2">
      <c r="A146" s="2">
        <v>174</v>
      </c>
      <c r="B146" s="2" t="s">
        <v>970</v>
      </c>
      <c r="C146" s="2" t="str">
        <f>VLOOKUP(D146,'slb RAW'!$E:$F,2)</f>
        <v>XS2395419844</v>
      </c>
      <c r="D146" s="2" t="s">
        <v>971</v>
      </c>
      <c r="E146" s="2" t="s">
        <v>972</v>
      </c>
      <c r="F146" s="2" t="s">
        <v>973</v>
      </c>
      <c r="G146" s="2" t="s">
        <v>366</v>
      </c>
      <c r="H146" s="2" t="s">
        <v>366</v>
      </c>
      <c r="I146" s="2" t="s">
        <v>366</v>
      </c>
      <c r="J146" s="2" t="b">
        <f t="shared" si="6"/>
        <v>1</v>
      </c>
      <c r="K146" s="2">
        <v>0.89</v>
      </c>
      <c r="L146" s="2" t="s">
        <v>950</v>
      </c>
      <c r="M146" s="2" t="s">
        <v>974</v>
      </c>
      <c r="N146" s="8">
        <v>0.85840000000000005</v>
      </c>
      <c r="O146" s="2" t="s">
        <v>49</v>
      </c>
      <c r="P146" s="2" t="s">
        <v>50</v>
      </c>
      <c r="Q146" s="2" t="s">
        <v>173</v>
      </c>
      <c r="R146" s="2" t="s">
        <v>52</v>
      </c>
      <c r="S146" s="2" t="s">
        <v>975</v>
      </c>
      <c r="T146" s="2" t="s">
        <v>54</v>
      </c>
      <c r="U146" s="2" t="s">
        <v>55</v>
      </c>
      <c r="V146" s="2" t="s">
        <v>56</v>
      </c>
      <c r="W146" s="2" t="s">
        <v>71</v>
      </c>
      <c r="X146" s="2">
        <v>88143800</v>
      </c>
      <c r="Y146" s="2" t="s">
        <v>421</v>
      </c>
      <c r="Z146" s="2" t="s">
        <v>976</v>
      </c>
      <c r="AA146" s="2" t="s">
        <v>60</v>
      </c>
      <c r="AB146" s="2" t="s">
        <v>61</v>
      </c>
      <c r="AC146" s="2" t="s">
        <v>136</v>
      </c>
      <c r="AD146" s="2" t="s">
        <v>137</v>
      </c>
      <c r="AE146" s="2" t="s">
        <v>977</v>
      </c>
      <c r="AF146" s="6">
        <v>4</v>
      </c>
      <c r="AG146" s="6">
        <v>4</v>
      </c>
      <c r="AH146" s="2" t="str">
        <f t="shared" si="0"/>
        <v>yes</v>
      </c>
      <c r="AI146" s="2" t="str" cm="1">
        <f t="array" ref="AI146">_xlfn.IFS(AF146&lt;25,"Less",AF146=25,"Equal",AF146&gt;25,"More")</f>
        <v>Less</v>
      </c>
      <c r="AJ146" s="6" t="s">
        <v>5517</v>
      </c>
      <c r="AK146" s="6" t="s">
        <v>125</v>
      </c>
      <c r="AL146" s="2" t="s">
        <v>978</v>
      </c>
      <c r="AM146" s="5" t="str">
        <f>VLOOKUP(D146,'slb RAW'!$E$2:$AF$293,9)</f>
        <v>#N/A N/A</v>
      </c>
      <c r="AN146" s="2">
        <f>VLOOKUP(D146,'slb RAW'!$E$2:$AE$293,27)</f>
        <v>0.86099999999999999</v>
      </c>
      <c r="AO146" s="2" t="e">
        <f>VLOOKUP(C146,'Refinitiv SLB'!F146:S323,14)</f>
        <v>#N/A</v>
      </c>
      <c r="AP146" s="2">
        <f t="shared" si="1"/>
        <v>0.86099999999999999</v>
      </c>
      <c r="AQ146" s="7" t="str">
        <f t="shared" si="2"/>
        <v>Louis Dreyfus Co BVAT MATURITYFIXEDJPYSr Unsecured</v>
      </c>
      <c r="AR146" s="5" t="b">
        <f ca="1">ISNUMBER( IFERROR(VLOOKUP(A146,Pairs!$E$2:$E$57,1,FALSE),FALSE))</f>
        <v>0</v>
      </c>
      <c r="AS146" s="5"/>
      <c r="AT146" s="5"/>
    </row>
    <row r="147" spans="1:46" ht="15.75" customHeight="1" x14ac:dyDescent="0.2">
      <c r="A147" s="2">
        <v>126</v>
      </c>
      <c r="B147" s="2" t="s">
        <v>979</v>
      </c>
      <c r="C147" s="2" t="str">
        <f>VLOOKUP(D147,'slb RAW'!$E:$F,2)</f>
        <v>XS2399933386</v>
      </c>
      <c r="D147" s="2" t="s">
        <v>980</v>
      </c>
      <c r="E147" s="2" t="s">
        <v>981</v>
      </c>
      <c r="F147" s="2" t="s">
        <v>982</v>
      </c>
      <c r="G147" s="2" t="s">
        <v>199</v>
      </c>
      <c r="H147" s="2" t="s">
        <v>199</v>
      </c>
      <c r="I147" s="2" t="s">
        <v>199</v>
      </c>
      <c r="J147" s="2" t="b">
        <f t="shared" si="6"/>
        <v>1</v>
      </c>
      <c r="K147" s="2">
        <v>1</v>
      </c>
      <c r="L147" s="2" t="s">
        <v>983</v>
      </c>
      <c r="M147" s="2" t="s">
        <v>984</v>
      </c>
      <c r="N147" s="2">
        <v>1.077</v>
      </c>
      <c r="O147" s="2" t="s">
        <v>115</v>
      </c>
      <c r="P147" s="2" t="s">
        <v>116</v>
      </c>
      <c r="Q147" s="2" t="s">
        <v>225</v>
      </c>
      <c r="R147" s="2" t="s">
        <v>52</v>
      </c>
      <c r="S147" s="2" t="s">
        <v>53</v>
      </c>
      <c r="T147" s="2" t="s">
        <v>174</v>
      </c>
      <c r="U147" s="2" t="s">
        <v>55</v>
      </c>
      <c r="V147" s="2" t="s">
        <v>56</v>
      </c>
      <c r="W147" s="2" t="s">
        <v>57</v>
      </c>
      <c r="X147" s="2">
        <v>580285000</v>
      </c>
      <c r="Y147" s="2" t="s">
        <v>120</v>
      </c>
      <c r="Z147" s="2" t="s">
        <v>120</v>
      </c>
      <c r="AA147" s="2" t="s">
        <v>202</v>
      </c>
      <c r="AB147" s="2" t="s">
        <v>411</v>
      </c>
      <c r="AC147" s="2" t="s">
        <v>985</v>
      </c>
      <c r="AD147" s="2" t="s">
        <v>985</v>
      </c>
      <c r="AE147" s="2" t="s">
        <v>986</v>
      </c>
      <c r="AF147" s="6">
        <v>35</v>
      </c>
      <c r="AG147" s="6"/>
      <c r="AH147" s="2" t="str">
        <f t="shared" si="0"/>
        <v/>
      </c>
      <c r="AI147" s="2" t="str" cm="1">
        <f t="array" ref="AI147">_xlfn.IFS(AF147&lt;25,"Less",AF147=25,"Equal",AF147&gt;25,"More")</f>
        <v>More</v>
      </c>
      <c r="AJ147" s="6" t="s">
        <v>5517</v>
      </c>
      <c r="AK147" s="6" t="s">
        <v>125</v>
      </c>
      <c r="AL147" s="2" t="s">
        <v>987</v>
      </c>
      <c r="AM147" s="5">
        <f>VLOOKUP(D147,'slb RAW'!$E$2:$AF$293,9)</f>
        <v>1.077</v>
      </c>
      <c r="AN147" s="2">
        <f>VLOOKUP(D147,'slb RAW'!$E$2:$AE$293,27)</f>
        <v>0.998</v>
      </c>
      <c r="AO147" s="2" t="e">
        <f>VLOOKUP(C147,'Refinitiv SLB'!F147:S324,14)</f>
        <v>#N/A</v>
      </c>
      <c r="AP147" s="2">
        <f t="shared" si="1"/>
        <v>0.998</v>
      </c>
      <c r="AQ147" s="7" t="str">
        <f t="shared" si="2"/>
        <v>Hera SpACALLABLEFIXEDEURSr Unsecured</v>
      </c>
      <c r="AR147" s="5" t="b">
        <f ca="1">ISNUMBER( IFERROR(VLOOKUP(A147,Pairs!$E$2:$E$57,1,FALSE),FALSE))</f>
        <v>0</v>
      </c>
      <c r="AS147" s="5"/>
      <c r="AT147" s="5"/>
    </row>
    <row r="148" spans="1:46" ht="15.75" customHeight="1" x14ac:dyDescent="0.2">
      <c r="A148" s="2">
        <v>189</v>
      </c>
      <c r="B148" s="2" t="s">
        <v>988</v>
      </c>
      <c r="C148" s="2" t="str">
        <f>VLOOKUP(D148,'slb RAW'!$E:$F,2)</f>
        <v>XS2393520734</v>
      </c>
      <c r="D148" s="2" t="s">
        <v>989</v>
      </c>
      <c r="E148" s="2" t="s">
        <v>990</v>
      </c>
      <c r="F148" s="2" t="s">
        <v>991</v>
      </c>
      <c r="G148" s="2" t="s">
        <v>199</v>
      </c>
      <c r="H148" s="2" t="s">
        <v>199</v>
      </c>
      <c r="I148" s="2" t="s">
        <v>199</v>
      </c>
      <c r="J148" s="2" t="b">
        <f t="shared" si="6"/>
        <v>1</v>
      </c>
      <c r="K148" s="2">
        <v>2.25</v>
      </c>
      <c r="L148" s="2" t="s">
        <v>936</v>
      </c>
      <c r="M148" s="2" t="s">
        <v>992</v>
      </c>
      <c r="N148" s="8">
        <v>2.2768999999999999</v>
      </c>
      <c r="O148" s="2" t="s">
        <v>115</v>
      </c>
      <c r="P148" s="2" t="s">
        <v>116</v>
      </c>
      <c r="Q148" s="2" t="s">
        <v>225</v>
      </c>
      <c r="R148" s="2" t="s">
        <v>52</v>
      </c>
      <c r="S148" s="2" t="s">
        <v>53</v>
      </c>
      <c r="T148" s="2" t="s">
        <v>139</v>
      </c>
      <c r="U148" s="2" t="s">
        <v>55</v>
      </c>
      <c r="V148" s="2" t="s">
        <v>56</v>
      </c>
      <c r="W148" s="2" t="s">
        <v>57</v>
      </c>
      <c r="X148" s="2">
        <v>184196800</v>
      </c>
      <c r="Y148" s="2" t="s">
        <v>134</v>
      </c>
      <c r="Z148" s="2" t="s">
        <v>329</v>
      </c>
      <c r="AA148" s="2" t="s">
        <v>60</v>
      </c>
      <c r="AB148" s="2" t="s">
        <v>61</v>
      </c>
      <c r="AC148" s="2" t="s">
        <v>136</v>
      </c>
      <c r="AD148" s="2" t="s">
        <v>137</v>
      </c>
      <c r="AE148" s="2" t="s">
        <v>993</v>
      </c>
      <c r="AF148" s="5">
        <v>25</v>
      </c>
      <c r="AG148" s="6"/>
      <c r="AH148" s="2" t="str">
        <f t="shared" si="0"/>
        <v/>
      </c>
      <c r="AI148" s="2" t="str" cm="1">
        <f t="array" ref="AI148">_xlfn.IFS(AF148&lt;25,"Less",AF148=25,"Equal",AF148&gt;25,"More")</f>
        <v>Equal</v>
      </c>
      <c r="AJ148" s="6"/>
      <c r="AK148" s="6" t="s">
        <v>125</v>
      </c>
      <c r="AL148" s="2" t="s">
        <v>994</v>
      </c>
      <c r="AM148" s="5" t="str">
        <f>VLOOKUP(D148,'slb RAW'!$E$2:$AF$293,9)</f>
        <v>#N/A N/A</v>
      </c>
      <c r="AN148" s="2">
        <f>VLOOKUP(D148,'slb RAW'!$E$2:$AE$293,27)</f>
        <v>2.2719999999999998</v>
      </c>
      <c r="AO148" s="2">
        <f>VLOOKUP(C148,'Refinitiv SLB'!F148:S325,14)</f>
        <v>4.2309999999999999</v>
      </c>
      <c r="AP148" s="2">
        <f t="shared" si="1"/>
        <v>2.2719999999999998</v>
      </c>
      <c r="AQ148" s="7" t="str">
        <f t="shared" si="2"/>
        <v>OVS SpACALLABLEFIXEDEURSr Unsecured</v>
      </c>
      <c r="AR148" s="5" t="b">
        <f ca="1">ISNUMBER( IFERROR(VLOOKUP(A148,Pairs!$E$2:$E$57,1,FALSE),FALSE))</f>
        <v>0</v>
      </c>
      <c r="AS148" s="5"/>
      <c r="AT148" s="5"/>
    </row>
    <row r="149" spans="1:46" ht="15.75" customHeight="1" x14ac:dyDescent="0.2">
      <c r="A149" s="2">
        <v>217</v>
      </c>
      <c r="B149" s="2" t="s">
        <v>995</v>
      </c>
      <c r="C149" s="2" t="str">
        <f>VLOOKUP(D149,'slb RAW'!$E:$F,2)</f>
        <v>#N/A Field Not Applicable</v>
      </c>
      <c r="D149" s="2" t="s">
        <v>996</v>
      </c>
      <c r="E149" s="2" t="s">
        <v>997</v>
      </c>
      <c r="F149" s="2" t="s">
        <v>998</v>
      </c>
      <c r="G149" s="2" t="s">
        <v>45</v>
      </c>
      <c r="H149" s="2" t="s">
        <v>45</v>
      </c>
      <c r="I149" s="2" t="s">
        <v>45</v>
      </c>
      <c r="J149" s="2" t="b">
        <f t="shared" si="6"/>
        <v>1</v>
      </c>
      <c r="K149" s="2">
        <v>0</v>
      </c>
      <c r="L149" s="2" t="s">
        <v>999</v>
      </c>
      <c r="M149" s="2" t="s">
        <v>1000</v>
      </c>
      <c r="N149" s="4" t="s">
        <v>48</v>
      </c>
      <c r="O149" s="2" t="s">
        <v>49</v>
      </c>
      <c r="P149" s="2" t="s">
        <v>50</v>
      </c>
      <c r="Q149" s="2" t="s">
        <v>69</v>
      </c>
      <c r="R149" s="2" t="s">
        <v>52</v>
      </c>
      <c r="S149" s="2" t="s">
        <v>53</v>
      </c>
      <c r="T149" s="2" t="s">
        <v>54</v>
      </c>
      <c r="U149" s="2" t="s">
        <v>55</v>
      </c>
      <c r="V149" s="2" t="s">
        <v>70</v>
      </c>
      <c r="W149" s="2" t="s">
        <v>71</v>
      </c>
      <c r="X149" s="2">
        <v>225864000</v>
      </c>
      <c r="Y149" s="2" t="s">
        <v>85</v>
      </c>
      <c r="Z149" s="2" t="s">
        <v>514</v>
      </c>
      <c r="AA149" s="2" t="s">
        <v>60</v>
      </c>
      <c r="AB149" s="2" t="s">
        <v>61</v>
      </c>
      <c r="AC149" s="2" t="s">
        <v>87</v>
      </c>
      <c r="AD149" s="2" t="s">
        <v>514</v>
      </c>
      <c r="AE149" s="2" t="s">
        <v>1001</v>
      </c>
      <c r="AF149" s="6">
        <v>4</v>
      </c>
      <c r="AG149" s="6">
        <v>4</v>
      </c>
      <c r="AH149" s="2" t="str">
        <f t="shared" si="0"/>
        <v>yes</v>
      </c>
      <c r="AI149" s="2" t="str" cm="1">
        <f t="array" ref="AI149">_xlfn.IFS(AF149&lt;25,"Less",AF149=25,"Equal",AF149&gt;25,"More")</f>
        <v>Less</v>
      </c>
      <c r="AJ149" s="6" t="s">
        <v>5517</v>
      </c>
      <c r="AK149" s="6" t="s">
        <v>611</v>
      </c>
      <c r="AL149" s="2" t="s">
        <v>1002</v>
      </c>
      <c r="AM149" s="5" t="str">
        <f>VLOOKUP(D149,'slb RAW'!$E$2:$AF$293,9)</f>
        <v>#N/A N/A</v>
      </c>
      <c r="AN149" s="2" t="str">
        <f>VLOOKUP(D149,'slb RAW'!$E$2:$AE$293,27)</f>
        <v>#N/A N/A</v>
      </c>
      <c r="AO149" s="2" t="e">
        <f>VLOOKUP(C149,'Refinitiv SLB'!F149:S326,14)</f>
        <v>#N/A</v>
      </c>
      <c r="AP149" s="2" t="str">
        <f t="shared" si="1"/>
        <v>#N/A N/A</v>
      </c>
      <c r="AQ149" s="7" t="str">
        <f t="shared" si="2"/>
        <v>Renolit SEAT MATURITYFLOATINGEURSr Unsecured</v>
      </c>
      <c r="AR149" s="5" t="b">
        <f ca="1">ISNUMBER( IFERROR(VLOOKUP(A149,Pairs!$E$2:$E$57,1,FALSE),FALSE))</f>
        <v>0</v>
      </c>
      <c r="AS149" s="5"/>
      <c r="AT149" s="5"/>
    </row>
    <row r="150" spans="1:46" ht="15.75" customHeight="1" x14ac:dyDescent="0.2">
      <c r="A150" s="2">
        <v>219</v>
      </c>
      <c r="B150" s="2" t="s">
        <v>995</v>
      </c>
      <c r="C150" s="2" t="str">
        <f>VLOOKUP(D150,'slb RAW'!$E:$F,2)</f>
        <v>#N/A Field Not Applicable</v>
      </c>
      <c r="D150" s="2" t="s">
        <v>1003</v>
      </c>
      <c r="E150" s="2" t="s">
        <v>1004</v>
      </c>
      <c r="F150" s="2" t="s">
        <v>998</v>
      </c>
      <c r="G150" s="2" t="s">
        <v>45</v>
      </c>
      <c r="H150" s="2" t="s">
        <v>45</v>
      </c>
      <c r="I150" s="2" t="s">
        <v>45</v>
      </c>
      <c r="J150" s="2" t="b">
        <f t="shared" si="6"/>
        <v>1</v>
      </c>
      <c r="K150" s="2">
        <v>0</v>
      </c>
      <c r="L150" s="2" t="s">
        <v>999</v>
      </c>
      <c r="M150" s="2" t="s">
        <v>1005</v>
      </c>
      <c r="N150" s="4" t="s">
        <v>48</v>
      </c>
      <c r="O150" s="2" t="s">
        <v>49</v>
      </c>
      <c r="P150" s="2" t="s">
        <v>50</v>
      </c>
      <c r="Q150" s="2" t="s">
        <v>144</v>
      </c>
      <c r="R150" s="2" t="s">
        <v>52</v>
      </c>
      <c r="S150" s="2" t="s">
        <v>53</v>
      </c>
      <c r="T150" s="2" t="s">
        <v>54</v>
      </c>
      <c r="U150" s="2" t="s">
        <v>55</v>
      </c>
      <c r="V150" s="2" t="s">
        <v>70</v>
      </c>
      <c r="W150" s="2" t="s">
        <v>71</v>
      </c>
      <c r="X150" s="2">
        <v>225864000</v>
      </c>
      <c r="Y150" s="2" t="s">
        <v>85</v>
      </c>
      <c r="Z150" s="2" t="s">
        <v>514</v>
      </c>
      <c r="AA150" s="2" t="s">
        <v>60</v>
      </c>
      <c r="AB150" s="2" t="s">
        <v>61</v>
      </c>
      <c r="AC150" s="2" t="s">
        <v>87</v>
      </c>
      <c r="AD150" s="2" t="s">
        <v>514</v>
      </c>
      <c r="AE150" s="2" t="s">
        <v>1001</v>
      </c>
      <c r="AF150" s="6">
        <v>4</v>
      </c>
      <c r="AG150" s="6">
        <v>4</v>
      </c>
      <c r="AH150" s="2" t="str">
        <f t="shared" si="0"/>
        <v>yes</v>
      </c>
      <c r="AI150" s="2" t="str" cm="1">
        <f t="array" ref="AI150">_xlfn.IFS(AF150&lt;25,"Less",AF150=25,"Equal",AF150&gt;25,"More")</f>
        <v>Less</v>
      </c>
      <c r="AJ150" s="6" t="s">
        <v>5517</v>
      </c>
      <c r="AK150" s="6" t="s">
        <v>611</v>
      </c>
      <c r="AL150" s="2" t="s">
        <v>1006</v>
      </c>
      <c r="AM150" s="5" t="str">
        <f>VLOOKUP(D150,'slb RAW'!$E$2:$AF$293,9)</f>
        <v>#N/A N/A</v>
      </c>
      <c r="AN150" s="2" t="str">
        <f>VLOOKUP(D150,'slb RAW'!$E$2:$AE$293,27)</f>
        <v>#N/A N/A</v>
      </c>
      <c r="AO150" s="2" t="e">
        <f>VLOOKUP(C150,'Refinitiv SLB'!F150:S327,14)</f>
        <v>#N/A</v>
      </c>
      <c r="AP150" s="2" t="str">
        <f t="shared" si="1"/>
        <v>#N/A N/A</v>
      </c>
      <c r="AQ150" s="7" t="str">
        <f t="shared" si="2"/>
        <v>Renolit SEAT MATURITYFLOATINGEURSr Unsecured</v>
      </c>
      <c r="AR150" s="5" t="b">
        <f ca="1">ISNUMBER( IFERROR(VLOOKUP(A150,Pairs!$E$2:$E$57,1,FALSE),FALSE))</f>
        <v>0</v>
      </c>
      <c r="AS150" s="5"/>
      <c r="AT150" s="5"/>
    </row>
    <row r="151" spans="1:46" ht="15.75" customHeight="1" x14ac:dyDescent="0.2">
      <c r="A151" s="2">
        <v>220</v>
      </c>
      <c r="B151" s="2" t="s">
        <v>995</v>
      </c>
      <c r="C151" s="2" t="str">
        <f>VLOOKUP(D151,'slb RAW'!$E:$F,2)</f>
        <v>#N/A Field Not Applicable</v>
      </c>
      <c r="D151" s="2" t="s">
        <v>1007</v>
      </c>
      <c r="E151" s="2" t="s">
        <v>1008</v>
      </c>
      <c r="F151" s="2" t="s">
        <v>998</v>
      </c>
      <c r="G151" s="2" t="s">
        <v>45</v>
      </c>
      <c r="H151" s="2" t="s">
        <v>45</v>
      </c>
      <c r="I151" s="2" t="s">
        <v>45</v>
      </c>
      <c r="J151" s="2" t="b">
        <f t="shared" si="6"/>
        <v>1</v>
      </c>
      <c r="K151" s="2">
        <v>0</v>
      </c>
      <c r="L151" s="2" t="s">
        <v>999</v>
      </c>
      <c r="M151" s="2" t="s">
        <v>1009</v>
      </c>
      <c r="N151" s="4" t="s">
        <v>48</v>
      </c>
      <c r="O151" s="2" t="s">
        <v>49</v>
      </c>
      <c r="P151" s="2" t="s">
        <v>50</v>
      </c>
      <c r="Q151" s="2" t="s">
        <v>76</v>
      </c>
      <c r="R151" s="2" t="s">
        <v>52</v>
      </c>
      <c r="S151" s="2" t="s">
        <v>53</v>
      </c>
      <c r="T151" s="2" t="s">
        <v>54</v>
      </c>
      <c r="U151" s="2" t="s">
        <v>55</v>
      </c>
      <c r="V151" s="2" t="s">
        <v>70</v>
      </c>
      <c r="W151" s="2" t="s">
        <v>71</v>
      </c>
      <c r="X151" s="2">
        <v>225864000</v>
      </c>
      <c r="Y151" s="2" t="s">
        <v>85</v>
      </c>
      <c r="Z151" s="2" t="s">
        <v>514</v>
      </c>
      <c r="AA151" s="2" t="s">
        <v>60</v>
      </c>
      <c r="AB151" s="2" t="s">
        <v>61</v>
      </c>
      <c r="AC151" s="2" t="s">
        <v>87</v>
      </c>
      <c r="AD151" s="2" t="s">
        <v>514</v>
      </c>
      <c r="AE151" s="2" t="s">
        <v>1001</v>
      </c>
      <c r="AF151" s="6">
        <v>4</v>
      </c>
      <c r="AG151" s="6">
        <v>4</v>
      </c>
      <c r="AH151" s="2" t="str">
        <f t="shared" si="0"/>
        <v>yes</v>
      </c>
      <c r="AI151" s="2" t="str" cm="1">
        <f t="array" ref="AI151">_xlfn.IFS(AF151&lt;25,"Less",AF151=25,"Equal",AF151&gt;25,"More")</f>
        <v>Less</v>
      </c>
      <c r="AJ151" s="6" t="s">
        <v>5517</v>
      </c>
      <c r="AK151" s="6" t="s">
        <v>611</v>
      </c>
      <c r="AL151" s="2" t="s">
        <v>1002</v>
      </c>
      <c r="AM151" s="5" t="str">
        <f>VLOOKUP(D151,'slb RAW'!$E$2:$AF$293,9)</f>
        <v>#N/A N/A</v>
      </c>
      <c r="AN151" s="2" t="str">
        <f>VLOOKUP(D151,'slb RAW'!$E$2:$AE$293,27)</f>
        <v>#N/A N/A</v>
      </c>
      <c r="AO151" s="2" t="e">
        <f>VLOOKUP(C151,'Refinitiv SLB'!F151:S328,14)</f>
        <v>#N/A</v>
      </c>
      <c r="AP151" s="2" t="str">
        <f t="shared" si="1"/>
        <v>#N/A N/A</v>
      </c>
      <c r="AQ151" s="7" t="str">
        <f t="shared" si="2"/>
        <v>Renolit SEAT MATURITYFLOATINGEURSr Unsecured</v>
      </c>
      <c r="AR151" s="5" t="b">
        <f ca="1">ISNUMBER( IFERROR(VLOOKUP(A151,Pairs!$E$2:$E$57,1,FALSE),FALSE))</f>
        <v>0</v>
      </c>
      <c r="AS151" s="5"/>
      <c r="AT151" s="5"/>
    </row>
    <row r="152" spans="1:46" ht="15.75" customHeight="1" x14ac:dyDescent="0.2">
      <c r="A152" s="2">
        <v>237</v>
      </c>
      <c r="B152" s="2" t="s">
        <v>1010</v>
      </c>
      <c r="C152" s="2" t="str">
        <f>VLOOKUP(D152,'slb RAW'!$E:$F,2)</f>
        <v>XS2399981435</v>
      </c>
      <c r="D152" s="2" t="s">
        <v>1011</v>
      </c>
      <c r="E152" s="2" t="s">
        <v>1012</v>
      </c>
      <c r="F152" s="2" t="s">
        <v>1013</v>
      </c>
      <c r="G152" s="2" t="s">
        <v>184</v>
      </c>
      <c r="H152" s="2" t="s">
        <v>184</v>
      </c>
      <c r="I152" s="2" t="s">
        <v>184</v>
      </c>
      <c r="J152" s="2" t="b">
        <f t="shared" si="6"/>
        <v>1</v>
      </c>
      <c r="K152" s="2">
        <v>2.25</v>
      </c>
      <c r="L152" s="2" t="s">
        <v>1014</v>
      </c>
      <c r="M152" s="2" t="s">
        <v>1015</v>
      </c>
      <c r="N152" s="8">
        <v>2.1871999999999998</v>
      </c>
      <c r="O152" s="2" t="s">
        <v>115</v>
      </c>
      <c r="P152" s="2" t="s">
        <v>116</v>
      </c>
      <c r="Q152" s="2" t="s">
        <v>173</v>
      </c>
      <c r="R152" s="2" t="s">
        <v>52</v>
      </c>
      <c r="S152" s="2" t="s">
        <v>53</v>
      </c>
      <c r="T152" s="2" t="s">
        <v>884</v>
      </c>
      <c r="U152" s="2" t="s">
        <v>55</v>
      </c>
      <c r="V152" s="2" t="s">
        <v>56</v>
      </c>
      <c r="W152" s="2" t="s">
        <v>71</v>
      </c>
      <c r="X152" s="2">
        <v>346422000</v>
      </c>
      <c r="Y152" s="2" t="s">
        <v>58</v>
      </c>
      <c r="Z152" s="2" t="s">
        <v>864</v>
      </c>
      <c r="AA152" s="2" t="s">
        <v>60</v>
      </c>
      <c r="AB152" s="2" t="s">
        <v>61</v>
      </c>
      <c r="AC152" s="2" t="s">
        <v>176</v>
      </c>
      <c r="AD152" s="2" t="s">
        <v>865</v>
      </c>
      <c r="AE152" s="2" t="s">
        <v>1016</v>
      </c>
      <c r="AF152" s="6">
        <v>25</v>
      </c>
      <c r="AG152" s="6"/>
      <c r="AH152" s="2" t="str">
        <f t="shared" si="0"/>
        <v/>
      </c>
      <c r="AI152" s="2" t="str" cm="1">
        <f t="array" ref="AI152">_xlfn.IFS(AF152&lt;25,"Less",AF152=25,"Equal",AF152&gt;25,"More")</f>
        <v>Equal</v>
      </c>
      <c r="AJ152" s="6" t="s">
        <v>5517</v>
      </c>
      <c r="AK152" s="6" t="s">
        <v>125</v>
      </c>
      <c r="AL152" s="2" t="s">
        <v>1017</v>
      </c>
      <c r="AM152" s="5" t="str">
        <f>VLOOKUP(D152,'slb RAW'!$E$2:$AF$293,9)</f>
        <v>#N/A N/A</v>
      </c>
      <c r="AN152" s="2">
        <f>VLOOKUP(D152,'slb RAW'!$E$2:$AE$293,27)</f>
        <v>2.1139999999999999</v>
      </c>
      <c r="AO152" s="2" t="e">
        <f>VLOOKUP(C152,'Refinitiv SLB'!F152:S329,14)</f>
        <v>#N/A</v>
      </c>
      <c r="AP152" s="2">
        <f t="shared" si="1"/>
        <v>2.1139999999999999</v>
      </c>
      <c r="AQ152" s="7" t="str">
        <f t="shared" si="2"/>
        <v>Seche Environnement SACALLABLEFIXEDEURSr Unsecured</v>
      </c>
      <c r="AR152" s="5" t="b">
        <f ca="1">ISNUMBER( IFERROR(VLOOKUP(A152,Pairs!$E$2:$E$57,1,FALSE),FALSE))</f>
        <v>0</v>
      </c>
      <c r="AS152" s="5"/>
      <c r="AT152" s="5"/>
    </row>
    <row r="153" spans="1:46" s="80" customFormat="1" ht="15.75" customHeight="1" x14ac:dyDescent="0.2">
      <c r="A153" s="79">
        <v>118</v>
      </c>
      <c r="B153" s="79" t="s">
        <v>1018</v>
      </c>
      <c r="C153" s="79" t="str">
        <f>VLOOKUP(D153,'slb RAW'!$E:$F,2)</f>
        <v>SE0017072457</v>
      </c>
      <c r="D153" s="79" t="s">
        <v>1019</v>
      </c>
      <c r="E153" s="79" t="s">
        <v>1020</v>
      </c>
      <c r="F153" s="79" t="s">
        <v>1021</v>
      </c>
      <c r="G153" s="79" t="s">
        <v>367</v>
      </c>
      <c r="H153" s="79" t="s">
        <v>367</v>
      </c>
      <c r="I153" s="79" t="s">
        <v>367</v>
      </c>
      <c r="J153" s="2" t="b">
        <f t="shared" si="6"/>
        <v>1</v>
      </c>
      <c r="K153" s="79">
        <v>7</v>
      </c>
      <c r="L153" s="79" t="s">
        <v>1014</v>
      </c>
      <c r="M153" s="79" t="s">
        <v>1022</v>
      </c>
      <c r="N153" s="81">
        <v>6.8083999999999998</v>
      </c>
      <c r="O153" s="79" t="s">
        <v>115</v>
      </c>
      <c r="P153" s="79" t="s">
        <v>116</v>
      </c>
      <c r="Q153" s="79" t="s">
        <v>173</v>
      </c>
      <c r="R153" s="79" t="s">
        <v>458</v>
      </c>
      <c r="S153" s="79" t="s">
        <v>686</v>
      </c>
      <c r="T153" s="79" t="s">
        <v>54</v>
      </c>
      <c r="U153" s="79" t="s">
        <v>55</v>
      </c>
      <c r="V153" s="79" t="s">
        <v>70</v>
      </c>
      <c r="W153" s="79" t="s">
        <v>391</v>
      </c>
      <c r="X153" s="79">
        <v>122136000</v>
      </c>
      <c r="Y153" s="79" t="s">
        <v>421</v>
      </c>
      <c r="Z153" s="79" t="s">
        <v>663</v>
      </c>
      <c r="AA153" s="79" t="s">
        <v>60</v>
      </c>
      <c r="AB153" s="79" t="s">
        <v>61</v>
      </c>
      <c r="AC153" s="79" t="s">
        <v>227</v>
      </c>
      <c r="AD153" s="79" t="s">
        <v>664</v>
      </c>
      <c r="AE153" s="81" t="s">
        <v>48</v>
      </c>
      <c r="AF153" s="82" t="s">
        <v>139</v>
      </c>
      <c r="AG153" s="82"/>
      <c r="AH153" s="79" t="str">
        <f t="shared" si="0"/>
        <v/>
      </c>
      <c r="AI153" s="82" t="s">
        <v>139</v>
      </c>
      <c r="AJ153" s="82"/>
      <c r="AK153" s="82" t="s">
        <v>125</v>
      </c>
      <c r="AL153" s="79" t="s">
        <v>1023</v>
      </c>
      <c r="AM153" s="83" t="str">
        <f>VLOOKUP(D153,'slb RAW'!$E$2:$AF$293,9)</f>
        <v>#N/A N/A</v>
      </c>
      <c r="AN153" s="79">
        <f>VLOOKUP(D153,'slb RAW'!$E$2:$AE$293,27)</f>
        <v>6.7110000000000003</v>
      </c>
      <c r="AO153" s="79" t="e">
        <f>VLOOKUP(C153,'Refinitiv SLB'!F153:S330,14)</f>
        <v>#N/A</v>
      </c>
      <c r="AP153" s="79">
        <f t="shared" si="1"/>
        <v>6.7110000000000003</v>
      </c>
      <c r="AQ153" s="84" t="str">
        <f t="shared" si="2"/>
        <v>Greenfood ABCALLABLEFLOATINGSEKSecured</v>
      </c>
      <c r="AR153" s="83" t="b">
        <f ca="1">ISNUMBER( IFERROR(VLOOKUP(A153,Pairs!$E$2:$E$57,1,FALSE),FALSE))</f>
        <v>0</v>
      </c>
      <c r="AS153" s="83"/>
      <c r="AT153" s="83"/>
    </row>
    <row r="154" spans="1:46" ht="15.75" customHeight="1" x14ac:dyDescent="0.2">
      <c r="A154" s="2">
        <v>207</v>
      </c>
      <c r="B154" s="2" t="s">
        <v>1024</v>
      </c>
      <c r="C154" s="2" t="str">
        <f>VLOOKUP(D154,'slb RAW'!$E:$F,2)</f>
        <v>#N/A Field Not Applicable</v>
      </c>
      <c r="D154" s="2" t="s">
        <v>1025</v>
      </c>
      <c r="E154" s="2" t="s">
        <v>1026</v>
      </c>
      <c r="F154" s="2" t="s">
        <v>1027</v>
      </c>
      <c r="G154" s="2" t="s">
        <v>257</v>
      </c>
      <c r="H154" s="2" t="s">
        <v>257</v>
      </c>
      <c r="I154" s="2" t="s">
        <v>185</v>
      </c>
      <c r="J154" s="2" t="b">
        <f t="shared" si="6"/>
        <v>0</v>
      </c>
      <c r="K154" s="2">
        <v>0.56299999999999983</v>
      </c>
      <c r="L154" s="2" t="s">
        <v>1028</v>
      </c>
      <c r="M154" s="2" t="s">
        <v>1029</v>
      </c>
      <c r="N154" s="4" t="s">
        <v>48</v>
      </c>
      <c r="O154" s="2" t="s">
        <v>49</v>
      </c>
      <c r="P154" s="2" t="s">
        <v>50</v>
      </c>
      <c r="Q154" s="2" t="s">
        <v>51</v>
      </c>
      <c r="R154" s="2" t="s">
        <v>52</v>
      </c>
      <c r="S154" s="2" t="s">
        <v>53</v>
      </c>
      <c r="T154" s="2" t="s">
        <v>54</v>
      </c>
      <c r="U154" s="2" t="s">
        <v>55</v>
      </c>
      <c r="V154" s="2" t="s">
        <v>70</v>
      </c>
      <c r="W154" s="2" t="s">
        <v>71</v>
      </c>
      <c r="X154" s="2">
        <v>281097500</v>
      </c>
      <c r="Y154" s="2" t="s">
        <v>58</v>
      </c>
      <c r="Z154" s="2" t="s">
        <v>59</v>
      </c>
      <c r="AA154" s="2" t="s">
        <v>60</v>
      </c>
      <c r="AB154" s="2" t="s">
        <v>61</v>
      </c>
      <c r="AC154" s="2" t="s">
        <v>176</v>
      </c>
      <c r="AD154" s="2" t="s">
        <v>191</v>
      </c>
      <c r="AE154" s="2" t="s">
        <v>1030</v>
      </c>
      <c r="AF154" s="5">
        <v>3</v>
      </c>
      <c r="AG154" s="5">
        <v>3</v>
      </c>
      <c r="AH154" s="2" t="str">
        <f t="shared" si="0"/>
        <v>yes</v>
      </c>
      <c r="AI154" s="2" t="str" cm="1">
        <f t="array" ref="AI154">_xlfn.IFS(AF154&lt;25,"Less",AF154=25,"Equal",AF154&gt;25,"More")</f>
        <v>Less</v>
      </c>
      <c r="AJ154" s="6"/>
      <c r="AK154" s="6" t="s">
        <v>64</v>
      </c>
      <c r="AL154" s="2" t="s">
        <v>1031</v>
      </c>
      <c r="AM154" s="5" t="str">
        <f>VLOOKUP(D154,'slb RAW'!$E$2:$AF$293,9)</f>
        <v>#N/A N/A</v>
      </c>
      <c r="AN154" s="2" t="str">
        <f>VLOOKUP(D154,'slb RAW'!$E$2:$AE$293,27)</f>
        <v>#N/A N/A</v>
      </c>
      <c r="AO154" s="2" t="e">
        <f>VLOOKUP(C154,'Refinitiv SLB'!F154:S331,14)</f>
        <v>#N/A</v>
      </c>
      <c r="AP154" s="2" t="str">
        <f t="shared" si="1"/>
        <v>#N/A N/A</v>
      </c>
      <c r="AQ154" s="7" t="str">
        <f t="shared" si="2"/>
        <v>RHI Magnesita GmbHAT MATURITYFLOATINGEURSr Unsecured</v>
      </c>
      <c r="AR154" s="5" t="b">
        <f ca="1">ISNUMBER( IFERROR(VLOOKUP(A154,Pairs!$E$2:$E$57,1,FALSE),FALSE))</f>
        <v>0</v>
      </c>
      <c r="AS154" s="5"/>
      <c r="AT154" s="5"/>
    </row>
    <row r="155" spans="1:46" ht="15.75" customHeight="1" x14ac:dyDescent="0.2">
      <c r="A155" s="2">
        <v>208</v>
      </c>
      <c r="B155" s="2" t="s">
        <v>1024</v>
      </c>
      <c r="C155" s="2" t="str">
        <f>VLOOKUP(D155,'slb RAW'!$E:$F,2)</f>
        <v>#N/A Field Not Applicable</v>
      </c>
      <c r="D155" s="2" t="s">
        <v>1032</v>
      </c>
      <c r="E155" s="2" t="s">
        <v>1033</v>
      </c>
      <c r="F155" s="2" t="s">
        <v>1027</v>
      </c>
      <c r="G155" s="2" t="s">
        <v>257</v>
      </c>
      <c r="H155" s="2" t="s">
        <v>257</v>
      </c>
      <c r="I155" s="2" t="s">
        <v>185</v>
      </c>
      <c r="J155" s="2" t="b">
        <f t="shared" si="6"/>
        <v>0</v>
      </c>
      <c r="K155" s="2">
        <v>0.36299999999999999</v>
      </c>
      <c r="L155" s="2" t="s">
        <v>1028</v>
      </c>
      <c r="M155" s="2" t="s">
        <v>1034</v>
      </c>
      <c r="N155" s="4" t="s">
        <v>48</v>
      </c>
      <c r="O155" s="2" t="s">
        <v>49</v>
      </c>
      <c r="P155" s="2" t="s">
        <v>50</v>
      </c>
      <c r="Q155" s="2" t="s">
        <v>1035</v>
      </c>
      <c r="R155" s="2" t="s">
        <v>52</v>
      </c>
      <c r="S155" s="2" t="s">
        <v>53</v>
      </c>
      <c r="T155" s="2" t="s">
        <v>54</v>
      </c>
      <c r="U155" s="2" t="s">
        <v>55</v>
      </c>
      <c r="V155" s="2" t="s">
        <v>70</v>
      </c>
      <c r="W155" s="2" t="s">
        <v>71</v>
      </c>
      <c r="X155" s="2">
        <v>281097500</v>
      </c>
      <c r="Y155" s="2" t="s">
        <v>58</v>
      </c>
      <c r="Z155" s="2" t="s">
        <v>59</v>
      </c>
      <c r="AA155" s="2" t="s">
        <v>60</v>
      </c>
      <c r="AB155" s="2" t="s">
        <v>61</v>
      </c>
      <c r="AC155" s="2" t="s">
        <v>176</v>
      </c>
      <c r="AD155" s="2" t="s">
        <v>191</v>
      </c>
      <c r="AE155" s="2" t="s">
        <v>1030</v>
      </c>
      <c r="AF155" s="5">
        <v>3</v>
      </c>
      <c r="AG155" s="5">
        <v>3</v>
      </c>
      <c r="AH155" s="2" t="str">
        <f t="shared" si="0"/>
        <v>yes</v>
      </c>
      <c r="AI155" s="2" t="str" cm="1">
        <f t="array" ref="AI155">_xlfn.IFS(AF155&lt;25,"Less",AF155=25,"Equal",AF155&gt;25,"More")</f>
        <v>Less</v>
      </c>
      <c r="AK155" s="6" t="s">
        <v>64</v>
      </c>
      <c r="AL155" s="2" t="s">
        <v>1031</v>
      </c>
      <c r="AM155" s="5" t="str">
        <f>VLOOKUP(D155,'slb RAW'!$E$2:$AF$293,9)</f>
        <v>#N/A N/A</v>
      </c>
      <c r="AN155" s="2" t="str">
        <f>VLOOKUP(D155,'slb RAW'!$E$2:$AE$293,27)</f>
        <v>#N/A N/A</v>
      </c>
      <c r="AO155" s="2" t="e">
        <f>VLOOKUP(C155,'Refinitiv SLB'!F155:S332,14)</f>
        <v>#N/A</v>
      </c>
      <c r="AP155" s="2" t="str">
        <f t="shared" si="1"/>
        <v>#N/A N/A</v>
      </c>
      <c r="AQ155" s="7" t="str">
        <f t="shared" si="2"/>
        <v>RHI Magnesita GmbHAT MATURITYFLOATINGEURSr Unsecured</v>
      </c>
      <c r="AR155" s="5" t="b">
        <f ca="1">ISNUMBER( IFERROR(VLOOKUP(A155,Pairs!$E$2:$E$57,1,FALSE),FALSE))</f>
        <v>0</v>
      </c>
      <c r="AS155" s="5"/>
      <c r="AT155" s="5"/>
    </row>
    <row r="156" spans="1:46" ht="15.75" customHeight="1" x14ac:dyDescent="0.2">
      <c r="A156" s="2">
        <v>209</v>
      </c>
      <c r="B156" s="2" t="s">
        <v>1024</v>
      </c>
      <c r="C156" s="2" t="str">
        <f>VLOOKUP(D156,'slb RAW'!$E:$F,2)</f>
        <v>#N/A Field Not Applicable</v>
      </c>
      <c r="D156" s="2" t="s">
        <v>1036</v>
      </c>
      <c r="E156" s="2" t="s">
        <v>1037</v>
      </c>
      <c r="F156" s="2" t="s">
        <v>1027</v>
      </c>
      <c r="G156" s="2" t="s">
        <v>257</v>
      </c>
      <c r="H156" s="2" t="s">
        <v>257</v>
      </c>
      <c r="I156" s="2" t="s">
        <v>185</v>
      </c>
      <c r="J156" s="2" t="b">
        <f t="shared" si="6"/>
        <v>0</v>
      </c>
      <c r="K156" s="2">
        <v>0.313</v>
      </c>
      <c r="L156" s="2" t="s">
        <v>1028</v>
      </c>
      <c r="M156" s="2" t="s">
        <v>242</v>
      </c>
      <c r="N156" s="4" t="s">
        <v>48</v>
      </c>
      <c r="O156" s="2" t="s">
        <v>49</v>
      </c>
      <c r="P156" s="2" t="s">
        <v>50</v>
      </c>
      <c r="Q156" s="2" t="s">
        <v>69</v>
      </c>
      <c r="R156" s="2" t="s">
        <v>52</v>
      </c>
      <c r="S156" s="2" t="s">
        <v>53</v>
      </c>
      <c r="T156" s="2" t="s">
        <v>54</v>
      </c>
      <c r="U156" s="2" t="s">
        <v>55</v>
      </c>
      <c r="V156" s="2" t="s">
        <v>70</v>
      </c>
      <c r="W156" s="2" t="s">
        <v>71</v>
      </c>
      <c r="X156" s="2">
        <v>281097500</v>
      </c>
      <c r="Y156" s="2" t="s">
        <v>58</v>
      </c>
      <c r="Z156" s="2" t="s">
        <v>59</v>
      </c>
      <c r="AA156" s="2" t="s">
        <v>60</v>
      </c>
      <c r="AB156" s="2" t="s">
        <v>61</v>
      </c>
      <c r="AC156" s="2" t="s">
        <v>176</v>
      </c>
      <c r="AD156" s="2" t="s">
        <v>191</v>
      </c>
      <c r="AE156" s="2" t="s">
        <v>1030</v>
      </c>
      <c r="AF156" s="5">
        <v>3</v>
      </c>
      <c r="AG156" s="5">
        <v>3</v>
      </c>
      <c r="AH156" s="2" t="str">
        <f t="shared" si="0"/>
        <v>yes</v>
      </c>
      <c r="AI156" s="2" t="str" cm="1">
        <f t="array" ref="AI156">_xlfn.IFS(AF156&lt;25,"Less",AF156=25,"Equal",AF156&gt;25,"More")</f>
        <v>Less</v>
      </c>
      <c r="AJ156" s="6"/>
      <c r="AK156" s="6" t="s">
        <v>64</v>
      </c>
      <c r="AL156" s="2" t="s">
        <v>1031</v>
      </c>
      <c r="AM156" s="5" t="str">
        <f>VLOOKUP(D156,'slb RAW'!$E$2:$AF$293,9)</f>
        <v>#N/A N/A</v>
      </c>
      <c r="AN156" s="2" t="str">
        <f>VLOOKUP(D156,'slb RAW'!$E$2:$AE$293,27)</f>
        <v>#N/A N/A</v>
      </c>
      <c r="AO156" s="2" t="e">
        <f>VLOOKUP(C156,'Refinitiv SLB'!F156:S333,14)</f>
        <v>#N/A</v>
      </c>
      <c r="AP156" s="2" t="str">
        <f t="shared" si="1"/>
        <v>#N/A N/A</v>
      </c>
      <c r="AQ156" s="7" t="str">
        <f t="shared" si="2"/>
        <v>RHI Magnesita GmbHAT MATURITYFLOATINGEURSr Unsecured</v>
      </c>
      <c r="AR156" s="5" t="b">
        <f ca="1">ISNUMBER( IFERROR(VLOOKUP(A156,Pairs!$E$2:$E$57,1,FALSE),FALSE))</f>
        <v>0</v>
      </c>
      <c r="AS156" s="5"/>
      <c r="AT156" s="5"/>
    </row>
    <row r="157" spans="1:46" ht="15.75" customHeight="1" x14ac:dyDescent="0.2">
      <c r="A157" s="2">
        <v>210</v>
      </c>
      <c r="B157" s="2" t="s">
        <v>1024</v>
      </c>
      <c r="C157" s="2" t="str">
        <f>VLOOKUP(D157,'slb RAW'!$E:$F,2)</f>
        <v>#N/A Field Not Applicable</v>
      </c>
      <c r="D157" s="2" t="s">
        <v>1038</v>
      </c>
      <c r="E157" s="2" t="s">
        <v>1039</v>
      </c>
      <c r="F157" s="2" t="s">
        <v>1027</v>
      </c>
      <c r="G157" s="2" t="s">
        <v>257</v>
      </c>
      <c r="H157" s="2" t="s">
        <v>257</v>
      </c>
      <c r="I157" s="2" t="s">
        <v>185</v>
      </c>
      <c r="J157" s="2" t="b">
        <f t="shared" si="6"/>
        <v>0</v>
      </c>
      <c r="K157" s="2">
        <v>0.75</v>
      </c>
      <c r="L157" s="2" t="s">
        <v>1028</v>
      </c>
      <c r="M157" s="2" t="s">
        <v>1040</v>
      </c>
      <c r="N157" s="2">
        <v>3.9800000000000002E-2</v>
      </c>
      <c r="O157" s="2" t="s">
        <v>49</v>
      </c>
      <c r="P157" s="2" t="s">
        <v>50</v>
      </c>
      <c r="Q157" s="2" t="s">
        <v>1041</v>
      </c>
      <c r="R157" s="2" t="s">
        <v>52</v>
      </c>
      <c r="S157" s="2" t="s">
        <v>53</v>
      </c>
      <c r="T157" s="2" t="s">
        <v>54</v>
      </c>
      <c r="U157" s="2" t="s">
        <v>55</v>
      </c>
      <c r="V157" s="2" t="s">
        <v>56</v>
      </c>
      <c r="W157" s="2" t="s">
        <v>57</v>
      </c>
      <c r="X157" s="2">
        <v>281097500</v>
      </c>
      <c r="Y157" s="2" t="s">
        <v>58</v>
      </c>
      <c r="Z157" s="2" t="s">
        <v>59</v>
      </c>
      <c r="AA157" s="2" t="s">
        <v>60</v>
      </c>
      <c r="AB157" s="2" t="s">
        <v>61</v>
      </c>
      <c r="AC157" s="2" t="s">
        <v>176</v>
      </c>
      <c r="AD157" s="2" t="s">
        <v>191</v>
      </c>
      <c r="AE157" s="2" t="s">
        <v>1030</v>
      </c>
      <c r="AF157" s="5">
        <v>3</v>
      </c>
      <c r="AG157" s="5">
        <v>3</v>
      </c>
      <c r="AH157" s="2" t="str">
        <f t="shared" si="0"/>
        <v>yes</v>
      </c>
      <c r="AI157" s="2" t="str" cm="1">
        <f t="array" ref="AI157">_xlfn.IFS(AF157&lt;25,"Less",AF157=25,"Equal",AF157&gt;25,"More")</f>
        <v>Less</v>
      </c>
      <c r="AJ157" s="6"/>
      <c r="AK157" s="6" t="s">
        <v>64</v>
      </c>
      <c r="AL157" s="2" t="s">
        <v>1031</v>
      </c>
      <c r="AM157" s="5" t="str">
        <f>VLOOKUP(D157,'slb RAW'!$E$2:$AF$293,9)</f>
        <v>#N/A N/A</v>
      </c>
      <c r="AN157" s="2" t="str">
        <f>VLOOKUP(D157,'slb RAW'!$E$2:$AE$293,27)</f>
        <v>#N/A N/A</v>
      </c>
      <c r="AO157" s="2" t="e">
        <f>VLOOKUP(C157,'Refinitiv SLB'!F157:S334,14)</f>
        <v>#N/A</v>
      </c>
      <c r="AP157" s="2" t="str">
        <f t="shared" si="1"/>
        <v>#N/A N/A</v>
      </c>
      <c r="AQ157" s="7" t="str">
        <f t="shared" si="2"/>
        <v>RHI Magnesita GmbHAT MATURITYFIXEDEURSr Unsecured</v>
      </c>
      <c r="AR157" s="5" t="b">
        <f ca="1">ISNUMBER( IFERROR(VLOOKUP(A157,Pairs!$E$2:$E$57,1,FALSE),FALSE))</f>
        <v>0</v>
      </c>
      <c r="AS157" s="5"/>
      <c r="AT157" s="5"/>
    </row>
    <row r="158" spans="1:46" s="80" customFormat="1" ht="15.75" customHeight="1" x14ac:dyDescent="0.2">
      <c r="A158" s="79">
        <v>246</v>
      </c>
      <c r="B158" s="79" t="s">
        <v>1042</v>
      </c>
      <c r="C158" s="79" t="str">
        <f>VLOOKUP(D158,'slb RAW'!$E:$F,2)</f>
        <v>XS2406607098</v>
      </c>
      <c r="D158" s="79" t="s">
        <v>1043</v>
      </c>
      <c r="E158" s="79" t="s">
        <v>1044</v>
      </c>
      <c r="F158" s="79" t="s">
        <v>1045</v>
      </c>
      <c r="G158" s="79" t="s">
        <v>366</v>
      </c>
      <c r="H158" s="79" t="s">
        <v>366</v>
      </c>
      <c r="I158" s="79" t="s">
        <v>1046</v>
      </c>
      <c r="J158" s="2" t="b">
        <f t="shared" si="6"/>
        <v>0</v>
      </c>
      <c r="K158" s="79">
        <v>3.75</v>
      </c>
      <c r="L158" s="79" t="s">
        <v>1047</v>
      </c>
      <c r="M158" s="79" t="s">
        <v>1048</v>
      </c>
      <c r="N158" s="79">
        <v>3.75</v>
      </c>
      <c r="O158" s="79" t="s">
        <v>115</v>
      </c>
      <c r="P158" s="79" t="s">
        <v>116</v>
      </c>
      <c r="Q158" s="79" t="s">
        <v>173</v>
      </c>
      <c r="R158" s="79" t="s">
        <v>52</v>
      </c>
      <c r="S158" s="79" t="s">
        <v>53</v>
      </c>
      <c r="T158" s="79" t="s">
        <v>296</v>
      </c>
      <c r="U158" s="79" t="s">
        <v>55</v>
      </c>
      <c r="V158" s="79" t="s">
        <v>56</v>
      </c>
      <c r="W158" s="79" t="s">
        <v>71</v>
      </c>
      <c r="X158" s="79">
        <v>1275076000</v>
      </c>
      <c r="Y158" s="79" t="s">
        <v>1049</v>
      </c>
      <c r="Z158" s="79" t="s">
        <v>1050</v>
      </c>
      <c r="AA158" s="79" t="s">
        <v>60</v>
      </c>
      <c r="AB158" s="79" t="s">
        <v>61</v>
      </c>
      <c r="AC158" s="79" t="s">
        <v>227</v>
      </c>
      <c r="AD158" s="79" t="s">
        <v>1050</v>
      </c>
      <c r="AE158" s="79" t="s">
        <v>1051</v>
      </c>
      <c r="AF158" s="82">
        <v>12.5</v>
      </c>
      <c r="AG158" s="82"/>
      <c r="AH158" s="79" t="str">
        <f t="shared" si="0"/>
        <v/>
      </c>
      <c r="AI158" s="2" t="str" cm="1">
        <f t="array" ref="AI158">_xlfn.IFS(AF158&lt;25,"Less",AF158=25,"Equal",AF158&gt;25,"More")</f>
        <v>Less</v>
      </c>
      <c r="AJ158" s="82"/>
      <c r="AK158" s="82" t="s">
        <v>611</v>
      </c>
      <c r="AL158" s="79" t="s">
        <v>1052</v>
      </c>
      <c r="AM158" s="83">
        <f>VLOOKUP(D158,'slb RAW'!$E$2:$AF$293,9)</f>
        <v>3.75</v>
      </c>
      <c r="AN158" s="79">
        <f>VLOOKUP(D158,'slb RAW'!$E$2:$AE$293,27)</f>
        <v>3.6909999999999998</v>
      </c>
      <c r="AO158" s="79" t="e">
        <f>VLOOKUP(C158,'Refinitiv SLB'!F158:S335,14)</f>
        <v>#N/A</v>
      </c>
      <c r="AP158" s="79">
        <f t="shared" si="1"/>
        <v>3.6909999999999998</v>
      </c>
      <c r="AQ158" s="84" t="str">
        <f t="shared" si="2"/>
        <v>Teva Pharmaceutical Finance Netherlands II BVCALLABLEFIXEDEURSr Unsecured</v>
      </c>
      <c r="AR158" s="83" t="b">
        <f ca="1">ISNUMBER( IFERROR(VLOOKUP(A158,Pairs!$E$2:$E$57,1,FALSE),FALSE))</f>
        <v>1</v>
      </c>
      <c r="AS158" s="83"/>
      <c r="AT158" s="83"/>
    </row>
    <row r="159" spans="1:46" ht="15.75" customHeight="1" x14ac:dyDescent="0.2">
      <c r="A159" s="2">
        <v>247</v>
      </c>
      <c r="B159" s="2" t="s">
        <v>1042</v>
      </c>
      <c r="C159" s="2" t="str">
        <f>VLOOKUP(D159,'slb RAW'!$E:$F,2)</f>
        <v>XS2406607171</v>
      </c>
      <c r="D159" s="2" t="s">
        <v>1053</v>
      </c>
      <c r="E159" s="2" t="s">
        <v>1054</v>
      </c>
      <c r="F159" s="2" t="s">
        <v>1045</v>
      </c>
      <c r="G159" s="2" t="s">
        <v>366</v>
      </c>
      <c r="H159" s="2" t="s">
        <v>366</v>
      </c>
      <c r="I159" s="2" t="s">
        <v>1046</v>
      </c>
      <c r="J159" s="2" t="b">
        <f t="shared" si="6"/>
        <v>0</v>
      </c>
      <c r="K159" s="2">
        <v>4.375</v>
      </c>
      <c r="L159" s="2" t="s">
        <v>1047</v>
      </c>
      <c r="M159" s="2" t="s">
        <v>1055</v>
      </c>
      <c r="N159" s="2">
        <v>4.375</v>
      </c>
      <c r="O159" s="2" t="s">
        <v>115</v>
      </c>
      <c r="P159" s="2" t="s">
        <v>116</v>
      </c>
      <c r="Q159" s="2" t="s">
        <v>173</v>
      </c>
      <c r="R159" s="2" t="s">
        <v>52</v>
      </c>
      <c r="S159" s="2" t="s">
        <v>53</v>
      </c>
      <c r="T159" s="2" t="s">
        <v>296</v>
      </c>
      <c r="U159" s="2" t="s">
        <v>55</v>
      </c>
      <c r="V159" s="2" t="s">
        <v>56</v>
      </c>
      <c r="W159" s="2" t="s">
        <v>71</v>
      </c>
      <c r="X159" s="2">
        <v>1738740000</v>
      </c>
      <c r="Y159" s="2" t="s">
        <v>1049</v>
      </c>
      <c r="Z159" s="2" t="s">
        <v>1050</v>
      </c>
      <c r="AA159" s="2" t="s">
        <v>60</v>
      </c>
      <c r="AB159" s="2" t="s">
        <v>61</v>
      </c>
      <c r="AC159" s="2" t="s">
        <v>227</v>
      </c>
      <c r="AD159" s="2" t="s">
        <v>1050</v>
      </c>
      <c r="AE159" s="2" t="s">
        <v>1056</v>
      </c>
      <c r="AF159" s="5">
        <v>15</v>
      </c>
      <c r="AG159" s="6"/>
      <c r="AH159" s="2" t="str">
        <f t="shared" si="0"/>
        <v/>
      </c>
      <c r="AI159" s="2" t="str" cm="1">
        <f t="array" ref="AI159">_xlfn.IFS(AF159&lt;25,"Less",AF159=25,"Equal",AF159&gt;25,"More")</f>
        <v>Less</v>
      </c>
      <c r="AJ159" s="6"/>
      <c r="AK159" s="6" t="s">
        <v>611</v>
      </c>
      <c r="AL159" s="2" t="s">
        <v>1057</v>
      </c>
      <c r="AM159" s="5">
        <f>VLOOKUP(D159,'slb RAW'!$E$2:$AF$293,9)</f>
        <v>4.375</v>
      </c>
      <c r="AN159" s="2">
        <f>VLOOKUP(D159,'slb RAW'!$E$2:$AE$293,27)</f>
        <v>4.375</v>
      </c>
      <c r="AO159" s="2" t="e">
        <f>VLOOKUP(C159,'Refinitiv SLB'!F159:S336,14)</f>
        <v>#N/A</v>
      </c>
      <c r="AP159" s="2">
        <f t="shared" si="1"/>
        <v>4.375</v>
      </c>
      <c r="AQ159" s="7" t="str">
        <f t="shared" si="2"/>
        <v>Teva Pharmaceutical Finance Netherlands II BVCALLABLEFIXEDEURSr Unsecured</v>
      </c>
      <c r="AR159" s="5" t="b">
        <f ca="1">ISNUMBER( IFERROR(VLOOKUP(A159,Pairs!$E$2:$E$57,1,FALSE),FALSE))</f>
        <v>0</v>
      </c>
      <c r="AS159" s="5"/>
      <c r="AT159" s="5"/>
    </row>
    <row r="160" spans="1:46" ht="15.75" customHeight="1" x14ac:dyDescent="0.2">
      <c r="A160" s="2">
        <v>248</v>
      </c>
      <c r="B160" s="2" t="s">
        <v>1058</v>
      </c>
      <c r="C160" s="2" t="str">
        <f>VLOOKUP(D160,'slb RAW'!$E:$F,2)</f>
        <v>US88167AAQ40</v>
      </c>
      <c r="D160" s="2" t="s">
        <v>1059</v>
      </c>
      <c r="E160" s="2" t="s">
        <v>1060</v>
      </c>
      <c r="F160" s="2" t="s">
        <v>1045</v>
      </c>
      <c r="G160" s="2" t="s">
        <v>366</v>
      </c>
      <c r="H160" s="2" t="s">
        <v>366</v>
      </c>
      <c r="I160" s="2" t="s">
        <v>1046</v>
      </c>
      <c r="J160" s="2" t="b">
        <f t="shared" si="6"/>
        <v>0</v>
      </c>
      <c r="K160" s="2">
        <v>5.125</v>
      </c>
      <c r="L160" s="2" t="s">
        <v>1047</v>
      </c>
      <c r="M160" s="2" t="s">
        <v>1061</v>
      </c>
      <c r="N160" s="2">
        <v>5.125</v>
      </c>
      <c r="O160" s="2" t="s">
        <v>115</v>
      </c>
      <c r="P160" s="2" t="s">
        <v>116</v>
      </c>
      <c r="Q160" s="2" t="s">
        <v>173</v>
      </c>
      <c r="R160" s="2" t="s">
        <v>52</v>
      </c>
      <c r="S160" s="2" t="s">
        <v>262</v>
      </c>
      <c r="T160" s="2" t="s">
        <v>296</v>
      </c>
      <c r="U160" s="2" t="s">
        <v>55</v>
      </c>
      <c r="V160" s="2" t="s">
        <v>56</v>
      </c>
      <c r="W160" s="2" t="s">
        <v>71</v>
      </c>
      <c r="X160" s="2">
        <v>1000000000</v>
      </c>
      <c r="Y160" s="2" t="s">
        <v>1049</v>
      </c>
      <c r="Z160" s="2" t="s">
        <v>1050</v>
      </c>
      <c r="AA160" s="2" t="s">
        <v>60</v>
      </c>
      <c r="AB160" s="2" t="s">
        <v>61</v>
      </c>
      <c r="AC160" s="2" t="s">
        <v>227</v>
      </c>
      <c r="AD160" s="2" t="s">
        <v>1050</v>
      </c>
      <c r="AE160" s="2" t="s">
        <v>1062</v>
      </c>
      <c r="AF160" s="6">
        <v>25</v>
      </c>
      <c r="AG160" s="6"/>
      <c r="AH160" s="2" t="str">
        <f t="shared" si="0"/>
        <v/>
      </c>
      <c r="AI160" s="2" t="str" cm="1">
        <f t="array" ref="AI160">_xlfn.IFS(AF160&lt;25,"Less",AF160=25,"Equal",AF160&gt;25,"More")</f>
        <v>Equal</v>
      </c>
      <c r="AJ160" s="6" t="s">
        <v>5517</v>
      </c>
      <c r="AK160" s="6" t="s">
        <v>611</v>
      </c>
      <c r="AL160" s="2" t="s">
        <v>1063</v>
      </c>
      <c r="AM160" s="5">
        <f>VLOOKUP(D160,'slb RAW'!$E$2:$AF$293,9)</f>
        <v>5.125</v>
      </c>
      <c r="AN160" s="2">
        <f>VLOOKUP(D160,'slb RAW'!$E$2:$AE$293,27)</f>
        <v>5.0679999999999996</v>
      </c>
      <c r="AO160" s="2">
        <f>VLOOKUP(C160,'Refinitiv SLB'!F160:S337,14)</f>
        <v>3.0232000000000001</v>
      </c>
      <c r="AP160" s="2">
        <f t="shared" si="1"/>
        <v>5.0679999999999996</v>
      </c>
      <c r="AQ160" s="7" t="str">
        <f t="shared" si="2"/>
        <v>Teva Pharmaceutical Finance Netherlands III BVCALLABLEFIXEDUSDSr Unsecured</v>
      </c>
      <c r="AR160" s="5" t="b">
        <f ca="1">ISNUMBER( IFERROR(VLOOKUP(A160,Pairs!$E$2:$E$57,1,FALSE),FALSE))</f>
        <v>1</v>
      </c>
      <c r="AS160" s="5"/>
      <c r="AT160" s="5"/>
    </row>
    <row r="161" spans="1:46" s="80" customFormat="1" ht="15.75" customHeight="1" x14ac:dyDescent="0.2">
      <c r="A161" s="79">
        <v>249</v>
      </c>
      <c r="B161" s="79" t="s">
        <v>1058</v>
      </c>
      <c r="C161" s="79" t="str">
        <f>VLOOKUP(D161,'slb RAW'!$E:$F,2)</f>
        <v>US88167AAP66</v>
      </c>
      <c r="D161" s="79" t="s">
        <v>1064</v>
      </c>
      <c r="E161" s="79" t="s">
        <v>1065</v>
      </c>
      <c r="F161" s="79" t="s">
        <v>1045</v>
      </c>
      <c r="G161" s="79" t="s">
        <v>366</v>
      </c>
      <c r="H161" s="79" t="s">
        <v>366</v>
      </c>
      <c r="I161" s="79" t="s">
        <v>1046</v>
      </c>
      <c r="J161" s="2" t="b">
        <f t="shared" si="6"/>
        <v>0</v>
      </c>
      <c r="K161" s="79">
        <v>4.75</v>
      </c>
      <c r="L161" s="79" t="s">
        <v>1047</v>
      </c>
      <c r="M161" s="79" t="s">
        <v>1048</v>
      </c>
      <c r="N161" s="79">
        <v>4.75</v>
      </c>
      <c r="O161" s="79" t="s">
        <v>115</v>
      </c>
      <c r="P161" s="79" t="s">
        <v>116</v>
      </c>
      <c r="Q161" s="79" t="s">
        <v>173</v>
      </c>
      <c r="R161" s="79" t="s">
        <v>52</v>
      </c>
      <c r="S161" s="79" t="s">
        <v>262</v>
      </c>
      <c r="T161" s="79" t="s">
        <v>296</v>
      </c>
      <c r="U161" s="79" t="s">
        <v>55</v>
      </c>
      <c r="V161" s="79" t="s">
        <v>56</v>
      </c>
      <c r="W161" s="79" t="s">
        <v>71</v>
      </c>
      <c r="X161" s="79">
        <v>1000000000</v>
      </c>
      <c r="Y161" s="79" t="s">
        <v>1049</v>
      </c>
      <c r="Z161" s="79" t="s">
        <v>1050</v>
      </c>
      <c r="AA161" s="79" t="s">
        <v>60</v>
      </c>
      <c r="AB161" s="79" t="s">
        <v>61</v>
      </c>
      <c r="AC161" s="79" t="s">
        <v>227</v>
      </c>
      <c r="AD161" s="79" t="s">
        <v>1050</v>
      </c>
      <c r="AE161" s="96" t="s">
        <v>5506</v>
      </c>
      <c r="AF161" s="82">
        <v>45</v>
      </c>
      <c r="AG161" s="82"/>
      <c r="AH161" s="79" t="str">
        <f t="shared" si="0"/>
        <v/>
      </c>
      <c r="AI161" s="2" t="str" cm="1">
        <f t="array" ref="AI161">_xlfn.IFS(AF161&lt;25,"Less",AF161=25,"Equal",AF161&gt;25,"More")</f>
        <v>More</v>
      </c>
      <c r="AJ161" s="82" t="s">
        <v>5517</v>
      </c>
      <c r="AK161" s="82" t="s">
        <v>611</v>
      </c>
      <c r="AL161" s="79" t="s">
        <v>1063</v>
      </c>
      <c r="AM161" s="83">
        <f>VLOOKUP(D161,'slb RAW'!$E$2:$AF$293,9)</f>
        <v>4.75</v>
      </c>
      <c r="AN161" s="79" t="str">
        <f>VLOOKUP(D161,'slb RAW'!$E$2:$AE$293,27)</f>
        <v>#N/A N/A</v>
      </c>
      <c r="AO161" s="79" t="e">
        <f>VLOOKUP(C161,'Refinitiv SLB'!F161:S338,14)</f>
        <v>#N/A</v>
      </c>
      <c r="AP161" s="79">
        <f t="shared" si="1"/>
        <v>4.75</v>
      </c>
      <c r="AQ161" s="84" t="str">
        <f t="shared" si="2"/>
        <v>Teva Pharmaceutical Finance Netherlands III BVCALLABLEFIXEDUSDSr Unsecured</v>
      </c>
      <c r="AR161" s="83" t="b">
        <f ca="1">ISNUMBER( IFERROR(VLOOKUP(A161,Pairs!$E$2:$E$57,1,FALSE),FALSE))</f>
        <v>1</v>
      </c>
      <c r="AS161" s="83"/>
      <c r="AT161" s="83"/>
    </row>
    <row r="162" spans="1:46" s="80" customFormat="1" ht="15.75" customHeight="1" x14ac:dyDescent="0.2">
      <c r="A162" s="79">
        <v>17</v>
      </c>
      <c r="B162" s="79" t="s">
        <v>1066</v>
      </c>
      <c r="C162" s="79" t="str">
        <f>VLOOKUP(D162,'slb RAW'!$E:$F,2)</f>
        <v>FR0014006G24</v>
      </c>
      <c r="D162" s="79" t="s">
        <v>1067</v>
      </c>
      <c r="E162" s="79" t="s">
        <v>1068</v>
      </c>
      <c r="F162" s="79" t="s">
        <v>1069</v>
      </c>
      <c r="G162" s="79" t="s">
        <v>184</v>
      </c>
      <c r="H162" s="79" t="s">
        <v>184</v>
      </c>
      <c r="I162" s="79" t="s">
        <v>184</v>
      </c>
      <c r="J162" s="2" t="b">
        <f t="shared" si="6"/>
        <v>1</v>
      </c>
      <c r="K162" s="79">
        <v>1</v>
      </c>
      <c r="L162" s="79" t="s">
        <v>1070</v>
      </c>
      <c r="M162" s="79" t="s">
        <v>1071</v>
      </c>
      <c r="N162" s="79">
        <v>1.109</v>
      </c>
      <c r="O162" s="79" t="s">
        <v>115</v>
      </c>
      <c r="P162" s="79" t="s">
        <v>116</v>
      </c>
      <c r="Q162" s="79" t="s">
        <v>173</v>
      </c>
      <c r="R162" s="79" t="s">
        <v>52</v>
      </c>
      <c r="S162" s="79" t="s">
        <v>53</v>
      </c>
      <c r="T162" s="79" t="s">
        <v>189</v>
      </c>
      <c r="U162" s="79" t="s">
        <v>55</v>
      </c>
      <c r="V162" s="79" t="s">
        <v>56</v>
      </c>
      <c r="W162" s="79" t="s">
        <v>57</v>
      </c>
      <c r="X162" s="79">
        <v>915936000</v>
      </c>
      <c r="Y162" s="79" t="s">
        <v>377</v>
      </c>
      <c r="Z162" s="79" t="s">
        <v>1072</v>
      </c>
      <c r="AA162" s="79" t="s">
        <v>60</v>
      </c>
      <c r="AB162" s="79" t="s">
        <v>61</v>
      </c>
      <c r="AC162" s="79" t="s">
        <v>377</v>
      </c>
      <c r="AD162" s="79" t="s">
        <v>377</v>
      </c>
      <c r="AE162" s="79" t="s">
        <v>1073</v>
      </c>
      <c r="AF162" s="82">
        <v>17.5</v>
      </c>
      <c r="AG162" s="82"/>
      <c r="AH162" s="79" t="str">
        <f t="shared" si="0"/>
        <v/>
      </c>
      <c r="AI162" s="2" t="str" cm="1">
        <f t="array" ref="AI162">_xlfn.IFS(AF162&lt;25,"Less",AF162=25,"Equal",AF162&gt;25,"More")</f>
        <v>Less</v>
      </c>
      <c r="AJ162" s="82"/>
      <c r="AK162" s="82" t="s">
        <v>125</v>
      </c>
      <c r="AL162" s="79" t="s">
        <v>1074</v>
      </c>
      <c r="AM162" s="83">
        <f>VLOOKUP(D162,'slb RAW'!$E$2:$AF$293,9)</f>
        <v>1.109</v>
      </c>
      <c r="AN162" s="79">
        <f>VLOOKUP(D162,'slb RAW'!$E$2:$AE$293,27)</f>
        <v>1.01</v>
      </c>
      <c r="AO162" s="79" t="e">
        <f>VLOOKUP(C162,'Refinitiv SLB'!F162:S339,14)</f>
        <v>#N/A</v>
      </c>
      <c r="AP162" s="79">
        <f t="shared" si="1"/>
        <v>1.01</v>
      </c>
      <c r="AQ162" s="84" t="str">
        <f t="shared" si="2"/>
        <v>Atos SECALLABLEFIXEDEURSr Unsecured</v>
      </c>
      <c r="AR162" s="83" t="b">
        <f ca="1">ISNUMBER( IFERROR(VLOOKUP(A162,Pairs!$E$2:$E$57,1,FALSE),FALSE))</f>
        <v>1</v>
      </c>
      <c r="AS162" s="83"/>
      <c r="AT162" s="83"/>
    </row>
    <row r="163" spans="1:46" ht="15.75" customHeight="1" x14ac:dyDescent="0.2">
      <c r="A163" s="2">
        <v>110</v>
      </c>
      <c r="B163" s="2" t="s">
        <v>1075</v>
      </c>
      <c r="C163" s="2" t="str">
        <f>VLOOKUP(D163,'slb RAW'!$E:$F,2)</f>
        <v>#N/A Field Not Applicable</v>
      </c>
      <c r="D163" s="2" t="s">
        <v>1076</v>
      </c>
      <c r="E163" s="2" t="s">
        <v>1077</v>
      </c>
      <c r="F163" s="2" t="s">
        <v>1078</v>
      </c>
      <c r="G163" s="2" t="s">
        <v>184</v>
      </c>
      <c r="H163" s="2" t="s">
        <v>184</v>
      </c>
      <c r="I163" s="2" t="s">
        <v>184</v>
      </c>
      <c r="J163" s="2" t="b">
        <f t="shared" si="6"/>
        <v>1</v>
      </c>
      <c r="K163" s="2">
        <v>0</v>
      </c>
      <c r="L163" s="2" t="s">
        <v>1079</v>
      </c>
      <c r="M163" s="2" t="s">
        <v>1080</v>
      </c>
      <c r="N163" s="4" t="s">
        <v>48</v>
      </c>
      <c r="O163" s="2" t="s">
        <v>49</v>
      </c>
      <c r="P163" s="2" t="s">
        <v>50</v>
      </c>
      <c r="Q163" s="2" t="s">
        <v>1081</v>
      </c>
      <c r="R163" s="2" t="s">
        <v>52</v>
      </c>
      <c r="S163" s="2" t="s">
        <v>53</v>
      </c>
      <c r="T163" s="2" t="s">
        <v>54</v>
      </c>
      <c r="U163" s="2" t="s">
        <v>884</v>
      </c>
      <c r="V163" s="2" t="s">
        <v>70</v>
      </c>
      <c r="W163" s="2" t="s">
        <v>71</v>
      </c>
      <c r="X163" s="2">
        <v>759049700</v>
      </c>
      <c r="Y163" s="2" t="s">
        <v>134</v>
      </c>
      <c r="Z163" s="2" t="s">
        <v>543</v>
      </c>
      <c r="AA163" s="2" t="s">
        <v>60</v>
      </c>
      <c r="AB163" s="2" t="s">
        <v>61</v>
      </c>
      <c r="AC163" s="2" t="s">
        <v>136</v>
      </c>
      <c r="AD163" s="2" t="s">
        <v>544</v>
      </c>
      <c r="AE163" s="2" t="s">
        <v>1082</v>
      </c>
      <c r="AF163" s="5">
        <v>10</v>
      </c>
      <c r="AG163" s="6"/>
      <c r="AH163" s="2" t="str">
        <f t="shared" si="0"/>
        <v/>
      </c>
      <c r="AI163" s="2" t="str" cm="1">
        <f t="array" ref="AI163">_xlfn.IFS(AF163&lt;25,"Less",AF163=25,"Equal",AF163&gt;25,"More")</f>
        <v>Less</v>
      </c>
      <c r="AJ163" s="6"/>
      <c r="AK163" s="6" t="s">
        <v>125</v>
      </c>
      <c r="AL163" s="2" t="s">
        <v>1083</v>
      </c>
      <c r="AM163" s="5" t="str">
        <f>VLOOKUP(D163,'slb RAW'!$E$2:$AF$293,9)</f>
        <v>#N/A N/A</v>
      </c>
      <c r="AN163" s="2" t="str">
        <f>VLOOKUP(D163,'slb RAW'!$E$2:$AE$293,27)</f>
        <v>#N/A N/A</v>
      </c>
      <c r="AO163" s="2" t="e">
        <f>VLOOKUP(C163,'Refinitiv SLB'!F163:S340,14)</f>
        <v>#N/A</v>
      </c>
      <c r="AP163" s="2" t="str">
        <f t="shared" si="1"/>
        <v>#N/A N/A</v>
      </c>
      <c r="AQ163" s="7" t="str">
        <f t="shared" si="2"/>
        <v>Faurecia SEAT MATURITYFLOATINGEURSr Unsecured</v>
      </c>
      <c r="AR163" s="5" t="b">
        <f ca="1">ISNUMBER( IFERROR(VLOOKUP(A163,Pairs!$E$2:$E$57,1,FALSE),FALSE))</f>
        <v>1</v>
      </c>
      <c r="AS163" s="5"/>
      <c r="AT163" s="5"/>
    </row>
    <row r="164" spans="1:46" ht="15.75" customHeight="1" x14ac:dyDescent="0.2">
      <c r="A164" s="2">
        <v>106</v>
      </c>
      <c r="B164" s="2" t="s">
        <v>1075</v>
      </c>
      <c r="C164" s="2" t="str">
        <f>VLOOKUP(D164,'slb RAW'!$E:$F,2)</f>
        <v>#N/A Field Not Applicable</v>
      </c>
      <c r="D164" s="2" t="s">
        <v>1084</v>
      </c>
      <c r="E164" s="2" t="s">
        <v>1085</v>
      </c>
      <c r="F164" s="2" t="s">
        <v>1078</v>
      </c>
      <c r="G164" s="2" t="s">
        <v>184</v>
      </c>
      <c r="H164" s="2" t="s">
        <v>184</v>
      </c>
      <c r="I164" s="2" t="s">
        <v>184</v>
      </c>
      <c r="J164" s="2" t="b">
        <f t="shared" si="6"/>
        <v>1</v>
      </c>
      <c r="K164" s="2">
        <v>0</v>
      </c>
      <c r="L164" s="2" t="s">
        <v>1079</v>
      </c>
      <c r="M164" s="2" t="s">
        <v>1086</v>
      </c>
      <c r="N164" s="4" t="s">
        <v>48</v>
      </c>
      <c r="O164" s="2" t="s">
        <v>49</v>
      </c>
      <c r="P164" s="2" t="s">
        <v>50</v>
      </c>
      <c r="Q164" s="2" t="s">
        <v>1087</v>
      </c>
      <c r="R164" s="2" t="s">
        <v>52</v>
      </c>
      <c r="S164" s="2" t="s">
        <v>53</v>
      </c>
      <c r="T164" s="2" t="s">
        <v>54</v>
      </c>
      <c r="U164" s="2" t="s">
        <v>884</v>
      </c>
      <c r="V164" s="2" t="s">
        <v>70</v>
      </c>
      <c r="W164" s="2" t="s">
        <v>71</v>
      </c>
      <c r="X164" s="2">
        <v>759049700</v>
      </c>
      <c r="Y164" s="2" t="s">
        <v>134</v>
      </c>
      <c r="Z164" s="2" t="s">
        <v>543</v>
      </c>
      <c r="AA164" s="2" t="s">
        <v>60</v>
      </c>
      <c r="AB164" s="2" t="s">
        <v>61</v>
      </c>
      <c r="AC164" s="2" t="s">
        <v>136</v>
      </c>
      <c r="AD164" s="2" t="s">
        <v>544</v>
      </c>
      <c r="AE164" s="2" t="s">
        <v>1082</v>
      </c>
      <c r="AF164" s="5">
        <v>10</v>
      </c>
      <c r="AG164" s="6"/>
      <c r="AH164" s="2" t="str">
        <f t="shared" si="0"/>
        <v/>
      </c>
      <c r="AI164" s="2" t="str" cm="1">
        <f t="array" ref="AI164">_xlfn.IFS(AF164&lt;25,"Less",AF164=25,"Equal",AF164&gt;25,"More")</f>
        <v>Less</v>
      </c>
      <c r="AJ164" s="6"/>
      <c r="AK164" s="6" t="s">
        <v>125</v>
      </c>
      <c r="AL164" s="2" t="s">
        <v>1083</v>
      </c>
      <c r="AM164" s="5" t="str">
        <f>VLOOKUP(D164,'slb RAW'!$E$2:$AF$293,9)</f>
        <v>#N/A N/A</v>
      </c>
      <c r="AN164" s="2" t="str">
        <f>VLOOKUP(D164,'slb RAW'!$E$2:$AE$293,27)</f>
        <v>#N/A N/A</v>
      </c>
      <c r="AO164" s="2" t="e">
        <f>VLOOKUP(C164,'Refinitiv SLB'!F164:S341,14)</f>
        <v>#N/A</v>
      </c>
      <c r="AP164" s="2" t="str">
        <f t="shared" si="1"/>
        <v>#N/A N/A</v>
      </c>
      <c r="AQ164" s="7" t="str">
        <f t="shared" si="2"/>
        <v>Faurecia SEAT MATURITYFLOATINGEURSr Unsecured</v>
      </c>
      <c r="AR164" s="5" t="b">
        <f ca="1">ISNUMBER( IFERROR(VLOOKUP(A164,Pairs!$E$2:$E$57,1,FALSE),FALSE))</f>
        <v>1</v>
      </c>
      <c r="AS164" s="5"/>
      <c r="AT164" s="5"/>
    </row>
    <row r="165" spans="1:46" ht="15.75" customHeight="1" x14ac:dyDescent="0.2">
      <c r="A165" s="2">
        <v>105</v>
      </c>
      <c r="B165" s="2" t="s">
        <v>1075</v>
      </c>
      <c r="C165" s="2" t="str">
        <f>VLOOKUP(D165,'slb RAW'!$E:$F,2)</f>
        <v>#N/A Field Not Applicable</v>
      </c>
      <c r="D165" s="2" t="s">
        <v>1088</v>
      </c>
      <c r="E165" s="2" t="s">
        <v>1089</v>
      </c>
      <c r="F165" s="2" t="s">
        <v>1078</v>
      </c>
      <c r="G165" s="2" t="s">
        <v>184</v>
      </c>
      <c r="H165" s="2" t="s">
        <v>184</v>
      </c>
      <c r="I165" s="2" t="s">
        <v>184</v>
      </c>
      <c r="J165" s="2" t="b">
        <f t="shared" si="6"/>
        <v>1</v>
      </c>
      <c r="K165" s="2">
        <v>0</v>
      </c>
      <c r="L165" s="2" t="s">
        <v>1079</v>
      </c>
      <c r="M165" s="2" t="s">
        <v>1090</v>
      </c>
      <c r="N165" s="4" t="s">
        <v>48</v>
      </c>
      <c r="O165" s="2" t="s">
        <v>49</v>
      </c>
      <c r="P165" s="2" t="s">
        <v>50</v>
      </c>
      <c r="Q165" s="2" t="s">
        <v>76</v>
      </c>
      <c r="R165" s="2" t="s">
        <v>52</v>
      </c>
      <c r="S165" s="2" t="s">
        <v>262</v>
      </c>
      <c r="T165" s="2" t="s">
        <v>54</v>
      </c>
      <c r="U165" s="2" t="s">
        <v>884</v>
      </c>
      <c r="V165" s="2" t="s">
        <v>70</v>
      </c>
      <c r="W165" s="2" t="s">
        <v>391</v>
      </c>
      <c r="X165" s="2">
        <v>33500000</v>
      </c>
      <c r="Y165" s="2" t="s">
        <v>134</v>
      </c>
      <c r="Z165" s="2" t="s">
        <v>543</v>
      </c>
      <c r="AA165" s="2" t="s">
        <v>60</v>
      </c>
      <c r="AB165" s="2" t="s">
        <v>61</v>
      </c>
      <c r="AC165" s="2" t="s">
        <v>136</v>
      </c>
      <c r="AD165" s="2" t="s">
        <v>544</v>
      </c>
      <c r="AE165" s="2" t="s">
        <v>1091</v>
      </c>
      <c r="AF165" s="5">
        <v>10</v>
      </c>
      <c r="AG165" s="6"/>
      <c r="AH165" s="2" t="str">
        <f t="shared" si="0"/>
        <v/>
      </c>
      <c r="AI165" s="2" t="str" cm="1">
        <f t="array" ref="AI165">_xlfn.IFS(AF165&lt;25,"Less",AF165=25,"Equal",AF165&gt;25,"More")</f>
        <v>Less</v>
      </c>
      <c r="AJ165" s="6"/>
      <c r="AK165" s="6" t="s">
        <v>125</v>
      </c>
      <c r="AL165" s="2" t="s">
        <v>1092</v>
      </c>
      <c r="AM165" s="5" t="str">
        <f>VLOOKUP(D165,'slb RAW'!$E$2:$AF$293,9)</f>
        <v>#N/A N/A</v>
      </c>
      <c r="AN165" s="2" t="str">
        <f>VLOOKUP(D165,'slb RAW'!$E$2:$AE$293,27)</f>
        <v>#N/A N/A</v>
      </c>
      <c r="AO165" s="2" t="e">
        <f>VLOOKUP(C165,'Refinitiv SLB'!F165:S342,14)</f>
        <v>#N/A</v>
      </c>
      <c r="AP165" s="2" t="str">
        <f t="shared" si="1"/>
        <v>#N/A N/A</v>
      </c>
      <c r="AQ165" s="7" t="str">
        <f t="shared" si="2"/>
        <v>Faurecia SEAT MATURITYFLOATINGUSDSr Unsecured</v>
      </c>
      <c r="AR165" s="5" t="b">
        <f ca="1">ISNUMBER( IFERROR(VLOOKUP(A165,Pairs!$E$2:$E$57,1,FALSE),FALSE))</f>
        <v>0</v>
      </c>
      <c r="AS165" s="5"/>
      <c r="AT165" s="5"/>
    </row>
    <row r="166" spans="1:46" ht="15.75" customHeight="1" x14ac:dyDescent="0.2">
      <c r="A166" s="2">
        <v>107</v>
      </c>
      <c r="B166" s="2" t="s">
        <v>1075</v>
      </c>
      <c r="C166" s="2" t="str">
        <f>VLOOKUP(D166,'slb RAW'!$E:$F,2)</f>
        <v>#N/A Field Not Applicable</v>
      </c>
      <c r="D166" s="2" t="s">
        <v>1093</v>
      </c>
      <c r="E166" s="2" t="s">
        <v>1094</v>
      </c>
      <c r="F166" s="2" t="s">
        <v>1078</v>
      </c>
      <c r="G166" s="2" t="s">
        <v>184</v>
      </c>
      <c r="H166" s="2" t="s">
        <v>184</v>
      </c>
      <c r="I166" s="2" t="s">
        <v>184</v>
      </c>
      <c r="J166" s="2" t="b">
        <f t="shared" si="6"/>
        <v>1</v>
      </c>
      <c r="K166" s="2">
        <v>0</v>
      </c>
      <c r="L166" s="2" t="s">
        <v>1079</v>
      </c>
      <c r="M166" s="2" t="s">
        <v>1095</v>
      </c>
      <c r="N166" s="4" t="s">
        <v>48</v>
      </c>
      <c r="O166" s="2" t="s">
        <v>49</v>
      </c>
      <c r="P166" s="2" t="s">
        <v>50</v>
      </c>
      <c r="Q166" s="2" t="s">
        <v>1096</v>
      </c>
      <c r="R166" s="2" t="s">
        <v>52</v>
      </c>
      <c r="S166" s="2" t="s">
        <v>53</v>
      </c>
      <c r="T166" s="2" t="s">
        <v>54</v>
      </c>
      <c r="U166" s="2" t="s">
        <v>884</v>
      </c>
      <c r="V166" s="2" t="s">
        <v>70</v>
      </c>
      <c r="W166" s="2" t="s">
        <v>71</v>
      </c>
      <c r="X166" s="2">
        <v>793037000</v>
      </c>
      <c r="Y166" s="2" t="s">
        <v>134</v>
      </c>
      <c r="Z166" s="2" t="s">
        <v>543</v>
      </c>
      <c r="AA166" s="2" t="s">
        <v>60</v>
      </c>
      <c r="AB166" s="2" t="s">
        <v>61</v>
      </c>
      <c r="AC166" s="2" t="s">
        <v>136</v>
      </c>
      <c r="AD166" s="2" t="s">
        <v>544</v>
      </c>
      <c r="AE166" s="2" t="s">
        <v>1082</v>
      </c>
      <c r="AF166" s="5">
        <v>10</v>
      </c>
      <c r="AG166" s="6"/>
      <c r="AH166" s="2" t="str">
        <f t="shared" si="0"/>
        <v/>
      </c>
      <c r="AI166" s="2" t="str" cm="1">
        <f t="array" ref="AI166">_xlfn.IFS(AF166&lt;25,"Less",AF166=25,"Equal",AF166&gt;25,"More")</f>
        <v>Less</v>
      </c>
      <c r="AJ166" s="6"/>
      <c r="AK166" s="6" t="s">
        <v>125</v>
      </c>
      <c r="AL166" s="2" t="s">
        <v>1097</v>
      </c>
      <c r="AM166" s="5" t="str">
        <f>VLOOKUP(D166,'slb RAW'!$E$2:$AF$293,9)</f>
        <v>#N/A N/A</v>
      </c>
      <c r="AN166" s="2" t="str">
        <f>VLOOKUP(D166,'slb RAW'!$E$2:$AE$293,27)</f>
        <v>#N/A N/A</v>
      </c>
      <c r="AO166" s="2" t="e">
        <f>VLOOKUP(C166,'Refinitiv SLB'!F166:S343,14)</f>
        <v>#N/A</v>
      </c>
      <c r="AP166" s="2" t="str">
        <f t="shared" si="1"/>
        <v>#N/A N/A</v>
      </c>
      <c r="AQ166" s="7" t="str">
        <f t="shared" si="2"/>
        <v>Faurecia SEAT MATURITYFLOATINGEURSr Unsecured</v>
      </c>
      <c r="AR166" s="5" t="b">
        <f ca="1">ISNUMBER( IFERROR(VLOOKUP(A166,Pairs!$E$2:$E$57,1,FALSE),FALSE))</f>
        <v>0</v>
      </c>
      <c r="AS166" s="5"/>
      <c r="AT166" s="5"/>
    </row>
    <row r="167" spans="1:46" ht="15.75" customHeight="1" x14ac:dyDescent="0.2">
      <c r="A167" s="2">
        <v>175</v>
      </c>
      <c r="B167" s="2" t="s">
        <v>1098</v>
      </c>
      <c r="C167" s="2" t="str">
        <f>VLOOKUP(D167,'slb RAW'!$E:$F,2)</f>
        <v>XS2406727409</v>
      </c>
      <c r="D167" s="2" t="s">
        <v>1099</v>
      </c>
      <c r="E167" s="2" t="s">
        <v>1100</v>
      </c>
      <c r="F167" s="2" t="s">
        <v>1101</v>
      </c>
      <c r="G167" s="2" t="s">
        <v>169</v>
      </c>
      <c r="H167" s="2" t="s">
        <v>169</v>
      </c>
      <c r="I167" s="2" t="s">
        <v>184</v>
      </c>
      <c r="J167" s="2" t="b">
        <f t="shared" si="6"/>
        <v>0</v>
      </c>
      <c r="K167" s="2">
        <v>5.625</v>
      </c>
      <c r="L167" s="2" t="s">
        <v>1102</v>
      </c>
      <c r="M167" s="2" t="s">
        <v>1015</v>
      </c>
      <c r="N167" s="8">
        <v>5.6561000000000003</v>
      </c>
      <c r="O167" s="2" t="s">
        <v>115</v>
      </c>
      <c r="P167" s="2" t="s">
        <v>116</v>
      </c>
      <c r="Q167" s="2" t="s">
        <v>261</v>
      </c>
      <c r="R167" s="2" t="s">
        <v>458</v>
      </c>
      <c r="S167" s="2" t="s">
        <v>53</v>
      </c>
      <c r="T167" s="2" t="s">
        <v>350</v>
      </c>
      <c r="U167" s="2" t="s">
        <v>55</v>
      </c>
      <c r="V167" s="2" t="s">
        <v>56</v>
      </c>
      <c r="W167" s="2" t="s">
        <v>71</v>
      </c>
      <c r="X167" s="2">
        <v>511641000</v>
      </c>
      <c r="Y167" s="2" t="s">
        <v>85</v>
      </c>
      <c r="Z167" s="2" t="s">
        <v>514</v>
      </c>
      <c r="AA167" s="2" t="s">
        <v>60</v>
      </c>
      <c r="AB167" s="2" t="s">
        <v>61</v>
      </c>
      <c r="AC167" s="2" t="s">
        <v>87</v>
      </c>
      <c r="AD167" s="2" t="s">
        <v>514</v>
      </c>
      <c r="AE167" s="2" t="s">
        <v>1103</v>
      </c>
      <c r="AF167" s="6">
        <v>25</v>
      </c>
      <c r="AG167" s="6"/>
      <c r="AH167" s="2" t="str">
        <f t="shared" si="0"/>
        <v/>
      </c>
      <c r="AI167" s="2" t="str" cm="1">
        <f t="array" ref="AI167">_xlfn.IFS(AF167&lt;25,"Less",AF167=25,"Equal",AF167&gt;25,"More")</f>
        <v>Equal</v>
      </c>
      <c r="AJ167" s="6"/>
      <c r="AK167" s="6" t="s">
        <v>125</v>
      </c>
      <c r="AL167" s="2" t="s">
        <v>1104</v>
      </c>
      <c r="AM167" s="5">
        <f>VLOOKUP(D167,'slb RAW'!$E$2:$AF$293,9)</f>
        <v>5.625</v>
      </c>
      <c r="AN167" s="2">
        <f>VLOOKUP(D167,'slb RAW'!$E$2:$AE$293,27)</f>
        <v>5.5609999999999999</v>
      </c>
      <c r="AO167" s="2" t="e">
        <f>VLOOKUP(C167,'Refinitiv SLB'!F167:S344,14)</f>
        <v>#N/A</v>
      </c>
      <c r="AP167" s="2">
        <f t="shared" si="1"/>
        <v>5.5609999999999999</v>
      </c>
      <c r="AQ167" s="7" t="str">
        <f t="shared" si="2"/>
        <v>Lune Holdings SarlCALLABLEFIXEDEURSecured</v>
      </c>
      <c r="AR167" s="5" t="b">
        <f ca="1">ISNUMBER( IFERROR(VLOOKUP(A167,Pairs!$E$2:$E$57,1,FALSE),FALSE))</f>
        <v>0</v>
      </c>
      <c r="AS167" s="5"/>
      <c r="AT167" s="5"/>
    </row>
    <row r="168" spans="1:46" ht="15.75" customHeight="1" x14ac:dyDescent="0.2">
      <c r="A168" s="2">
        <v>176</v>
      </c>
      <c r="B168" s="2" t="s">
        <v>1098</v>
      </c>
      <c r="C168" s="2" t="str">
        <f>VLOOKUP(D168,'slb RAW'!$E:$F,2)</f>
        <v>XS2406727151</v>
      </c>
      <c r="D168" s="2" t="s">
        <v>1105</v>
      </c>
      <c r="E168" s="2" t="s">
        <v>1106</v>
      </c>
      <c r="F168" s="2" t="s">
        <v>1101</v>
      </c>
      <c r="G168" s="2" t="s">
        <v>169</v>
      </c>
      <c r="H168" s="2" t="s">
        <v>169</v>
      </c>
      <c r="I168" s="2" t="s">
        <v>184</v>
      </c>
      <c r="J168" s="2" t="b">
        <f t="shared" si="6"/>
        <v>0</v>
      </c>
      <c r="K168" s="2">
        <v>5.625</v>
      </c>
      <c r="L168" s="2" t="s">
        <v>1102</v>
      </c>
      <c r="M168" s="2" t="s">
        <v>1015</v>
      </c>
      <c r="N168" s="8">
        <v>5.6367000000000003</v>
      </c>
      <c r="O168" s="2" t="s">
        <v>115</v>
      </c>
      <c r="P168" s="2" t="s">
        <v>116</v>
      </c>
      <c r="Q168" s="2" t="s">
        <v>270</v>
      </c>
      <c r="R168" s="2" t="s">
        <v>458</v>
      </c>
      <c r="S168" s="2" t="s">
        <v>53</v>
      </c>
      <c r="T168" s="2" t="s">
        <v>350</v>
      </c>
      <c r="U168" s="2" t="s">
        <v>55</v>
      </c>
      <c r="V168" s="2" t="s">
        <v>56</v>
      </c>
      <c r="W168" s="2" t="s">
        <v>71</v>
      </c>
      <c r="X168" s="2">
        <v>511641000</v>
      </c>
      <c r="Y168" s="2" t="s">
        <v>85</v>
      </c>
      <c r="Z168" s="2" t="s">
        <v>514</v>
      </c>
      <c r="AA168" s="2" t="s">
        <v>60</v>
      </c>
      <c r="AB168" s="2" t="s">
        <v>61</v>
      </c>
      <c r="AC168" s="2" t="s">
        <v>87</v>
      </c>
      <c r="AD168" s="2" t="s">
        <v>514</v>
      </c>
      <c r="AE168" s="2" t="s">
        <v>1103</v>
      </c>
      <c r="AF168" s="5">
        <v>25</v>
      </c>
      <c r="AG168" s="6"/>
      <c r="AH168" s="2" t="str">
        <f t="shared" si="0"/>
        <v/>
      </c>
      <c r="AI168" s="2" t="str" cm="1">
        <f t="array" ref="AI168">_xlfn.IFS(AF168&lt;25,"Less",AF168=25,"Equal",AF168&gt;25,"More")</f>
        <v>Equal</v>
      </c>
      <c r="AJ168" s="6"/>
      <c r="AK168" s="6" t="s">
        <v>125</v>
      </c>
      <c r="AL168" s="2" t="s">
        <v>1107</v>
      </c>
      <c r="AM168" s="5">
        <f>VLOOKUP(D168,'slb RAW'!$E$2:$AF$293,9)</f>
        <v>5.625</v>
      </c>
      <c r="AN168" s="2">
        <f>VLOOKUP(D168,'slb RAW'!$E$2:$AE$293,27)</f>
        <v>5.569</v>
      </c>
      <c r="AO168" s="2" t="e">
        <f>VLOOKUP(C168,'Refinitiv SLB'!F168:S345,14)</f>
        <v>#N/A</v>
      </c>
      <c r="AP168" s="2">
        <f t="shared" si="1"/>
        <v>5.569</v>
      </c>
      <c r="AQ168" s="7" t="str">
        <f t="shared" si="2"/>
        <v>Lune Holdings SarlCALLABLEFIXEDEURSecured</v>
      </c>
      <c r="AR168" s="5" t="b">
        <f ca="1">ISNUMBER( IFERROR(VLOOKUP(A168,Pairs!$E$2:$E$57,1,FALSE),FALSE))</f>
        <v>0</v>
      </c>
      <c r="AS168" s="5"/>
      <c r="AT168" s="5"/>
    </row>
    <row r="169" spans="1:46" ht="15.75" customHeight="1" x14ac:dyDescent="0.2">
      <c r="A169" s="2">
        <v>225</v>
      </c>
      <c r="B169" s="2" t="s">
        <v>499</v>
      </c>
      <c r="C169" s="2" t="str">
        <f>VLOOKUP(D169,'slb RAW'!$E:$F,2)</f>
        <v>XS2403428472</v>
      </c>
      <c r="D169" s="2" t="s">
        <v>1108</v>
      </c>
      <c r="E169" s="2" t="s">
        <v>1109</v>
      </c>
      <c r="F169" s="2" t="s">
        <v>502</v>
      </c>
      <c r="G169" s="2" t="s">
        <v>184</v>
      </c>
      <c r="H169" s="2" t="s">
        <v>184</v>
      </c>
      <c r="I169" s="2" t="s">
        <v>184</v>
      </c>
      <c r="J169" s="2" t="b">
        <f t="shared" si="6"/>
        <v>1</v>
      </c>
      <c r="K169" s="2">
        <v>2.125</v>
      </c>
      <c r="L169" s="2" t="s">
        <v>936</v>
      </c>
      <c r="M169" s="2" t="s">
        <v>1110</v>
      </c>
      <c r="N169" s="2">
        <v>2.125</v>
      </c>
      <c r="O169" s="2" t="s">
        <v>115</v>
      </c>
      <c r="P169" s="2" t="s">
        <v>116</v>
      </c>
      <c r="Q169" s="2" t="s">
        <v>173</v>
      </c>
      <c r="R169" s="2" t="s">
        <v>52</v>
      </c>
      <c r="S169" s="2" t="s">
        <v>53</v>
      </c>
      <c r="T169" s="2" t="s">
        <v>296</v>
      </c>
      <c r="U169" s="2" t="s">
        <v>55</v>
      </c>
      <c r="V169" s="2" t="s">
        <v>56</v>
      </c>
      <c r="W169" s="2" t="s">
        <v>71</v>
      </c>
      <c r="X169" s="2">
        <v>690738000</v>
      </c>
      <c r="Y169" s="2" t="s">
        <v>58</v>
      </c>
      <c r="Z169" s="2" t="s">
        <v>505</v>
      </c>
      <c r="AA169" s="2" t="s">
        <v>60</v>
      </c>
      <c r="AB169" s="2" t="s">
        <v>61</v>
      </c>
      <c r="AC169" s="2" t="s">
        <v>176</v>
      </c>
      <c r="AD169" s="2" t="s">
        <v>191</v>
      </c>
      <c r="AE169" s="2" t="s">
        <v>856</v>
      </c>
      <c r="AF169" s="5">
        <v>25</v>
      </c>
      <c r="AG169" s="6"/>
      <c r="AH169" s="2" t="str">
        <f t="shared" si="0"/>
        <v/>
      </c>
      <c r="AI169" s="2" t="str" cm="1">
        <f t="array" ref="AI169">_xlfn.IFS(AF169&lt;25,"Less",AF169=25,"Equal",AF169&gt;25,"More")</f>
        <v>Equal</v>
      </c>
      <c r="AJ169" s="6"/>
      <c r="AK169" s="6" t="s">
        <v>125</v>
      </c>
      <c r="AL169" s="2" t="s">
        <v>1111</v>
      </c>
      <c r="AM169" s="5">
        <f>VLOOKUP(D169,'slb RAW'!$E$2:$AF$293,9)</f>
        <v>2.125</v>
      </c>
      <c r="AN169" s="2">
        <f>VLOOKUP(D169,'slb RAW'!$E$2:$AE$293,27)</f>
        <v>2.105</v>
      </c>
      <c r="AO169" s="2" t="e">
        <f>VLOOKUP(C169,'Refinitiv SLB'!F169:S346,14)</f>
        <v>#N/A</v>
      </c>
      <c r="AP169" s="2">
        <f t="shared" si="1"/>
        <v>2.105</v>
      </c>
      <c r="AQ169" s="7" t="str">
        <f t="shared" si="2"/>
        <v>Rexel SACALLABLEFIXEDEURSr Unsecured</v>
      </c>
      <c r="AR169" s="5" t="b">
        <f ca="1">ISNUMBER( IFERROR(VLOOKUP(A169,Pairs!$E$2:$E$57,1,FALSE),FALSE))</f>
        <v>0</v>
      </c>
      <c r="AS169" s="5"/>
      <c r="AT169" s="5"/>
    </row>
    <row r="170" spans="1:46" ht="15.75" customHeight="1" x14ac:dyDescent="0.2">
      <c r="A170" s="2">
        <v>104</v>
      </c>
      <c r="B170" s="2" t="s">
        <v>1075</v>
      </c>
      <c r="C170" s="2" t="str">
        <f>VLOOKUP(D170,'slb RAW'!$E:$F,2)</f>
        <v>XS2405483301</v>
      </c>
      <c r="D170" s="2" t="s">
        <v>1112</v>
      </c>
      <c r="E170" s="2" t="s">
        <v>1113</v>
      </c>
      <c r="F170" s="2" t="s">
        <v>1078</v>
      </c>
      <c r="G170" s="2" t="s">
        <v>184</v>
      </c>
      <c r="H170" s="2" t="s">
        <v>184</v>
      </c>
      <c r="I170" s="2" t="s">
        <v>184</v>
      </c>
      <c r="J170" s="2" t="b">
        <f t="shared" si="6"/>
        <v>1</v>
      </c>
      <c r="K170" s="2">
        <v>2.75</v>
      </c>
      <c r="L170" s="2" t="s">
        <v>936</v>
      </c>
      <c r="M170" s="2" t="s">
        <v>1114</v>
      </c>
      <c r="N170" s="2">
        <v>2.75</v>
      </c>
      <c r="O170" s="2" t="s">
        <v>115</v>
      </c>
      <c r="P170" s="2" t="s">
        <v>116</v>
      </c>
      <c r="Q170" s="2" t="s">
        <v>173</v>
      </c>
      <c r="R170" s="2" t="s">
        <v>52</v>
      </c>
      <c r="S170" s="2" t="s">
        <v>53</v>
      </c>
      <c r="T170" s="2" t="s">
        <v>884</v>
      </c>
      <c r="U170" s="2" t="s">
        <v>884</v>
      </c>
      <c r="V170" s="2" t="s">
        <v>56</v>
      </c>
      <c r="W170" s="2" t="s">
        <v>71</v>
      </c>
      <c r="X170" s="2">
        <v>1381476000</v>
      </c>
      <c r="Y170" s="2" t="s">
        <v>134</v>
      </c>
      <c r="Z170" s="2" t="s">
        <v>543</v>
      </c>
      <c r="AA170" s="2" t="s">
        <v>60</v>
      </c>
      <c r="AB170" s="2" t="s">
        <v>61</v>
      </c>
      <c r="AC170" s="2" t="s">
        <v>136</v>
      </c>
      <c r="AD170" s="2" t="s">
        <v>544</v>
      </c>
      <c r="AE170" s="13" t="s">
        <v>1115</v>
      </c>
      <c r="AF170" s="5">
        <v>25</v>
      </c>
      <c r="AG170" s="6"/>
      <c r="AH170" s="2" t="str">
        <f t="shared" si="0"/>
        <v/>
      </c>
      <c r="AI170" s="2" t="str" cm="1">
        <f t="array" ref="AI170">_xlfn.IFS(AF170&lt;25,"Less",AF170=25,"Equal",AF170&gt;25,"More")</f>
        <v>Equal</v>
      </c>
      <c r="AJ170" s="6"/>
      <c r="AK170" s="6" t="s">
        <v>125</v>
      </c>
      <c r="AL170" s="2" t="s">
        <v>1116</v>
      </c>
      <c r="AM170" s="5">
        <f>VLOOKUP(D170,'slb RAW'!$E$2:$AF$293,9)</f>
        <v>2.75</v>
      </c>
      <c r="AN170" s="2">
        <f>VLOOKUP(D170,'slb RAW'!$E$2:$AE$293,27)</f>
        <v>2.3980000000000001</v>
      </c>
      <c r="AO170" s="2" t="e">
        <f>VLOOKUP(C170,'Refinitiv SLB'!F170:S347,14)</f>
        <v>#N/A</v>
      </c>
      <c r="AP170" s="2">
        <f t="shared" si="1"/>
        <v>2.3980000000000001</v>
      </c>
      <c r="AQ170" s="7" t="str">
        <f t="shared" si="2"/>
        <v>Faurecia SECALLABLEFIXEDEURSr Unsecured</v>
      </c>
      <c r="AR170" s="5" t="b">
        <f ca="1">ISNUMBER( IFERROR(VLOOKUP(A170,Pairs!$E$2:$E$57,1,FALSE),FALSE))</f>
        <v>1</v>
      </c>
      <c r="AS170" s="5"/>
      <c r="AT170" s="5"/>
    </row>
    <row r="171" spans="1:46" ht="15.75" customHeight="1" x14ac:dyDescent="0.2">
      <c r="A171" s="2">
        <v>266</v>
      </c>
      <c r="B171" s="2" t="s">
        <v>573</v>
      </c>
      <c r="C171" s="2" t="str">
        <f>VLOOKUP(D171,'slb RAW'!$E:$F,2)</f>
        <v>FR0014006EG0</v>
      </c>
      <c r="D171" s="2" t="s">
        <v>1117</v>
      </c>
      <c r="E171" s="2" t="s">
        <v>1118</v>
      </c>
      <c r="F171" s="2" t="s">
        <v>576</v>
      </c>
      <c r="G171" s="2" t="s">
        <v>184</v>
      </c>
      <c r="H171" s="2" t="s">
        <v>184</v>
      </c>
      <c r="I171" s="2" t="s">
        <v>184</v>
      </c>
      <c r="J171" s="2" t="b">
        <f t="shared" si="6"/>
        <v>1</v>
      </c>
      <c r="K171" s="2">
        <v>1.875</v>
      </c>
      <c r="L171" s="2" t="s">
        <v>936</v>
      </c>
      <c r="M171" s="2" t="s">
        <v>937</v>
      </c>
      <c r="N171" s="2">
        <v>2</v>
      </c>
      <c r="O171" s="2" t="s">
        <v>115</v>
      </c>
      <c r="P171" s="2" t="s">
        <v>116</v>
      </c>
      <c r="Q171" s="2" t="s">
        <v>173</v>
      </c>
      <c r="R171" s="2" t="s">
        <v>52</v>
      </c>
      <c r="S171" s="2" t="s">
        <v>53</v>
      </c>
      <c r="T171" s="2" t="s">
        <v>189</v>
      </c>
      <c r="U171" s="2" t="s">
        <v>55</v>
      </c>
      <c r="V171" s="2" t="s">
        <v>56</v>
      </c>
      <c r="W171" s="2" t="s">
        <v>57</v>
      </c>
      <c r="X171" s="2">
        <v>575615000</v>
      </c>
      <c r="Y171" s="2" t="s">
        <v>85</v>
      </c>
      <c r="Z171" s="2" t="s">
        <v>264</v>
      </c>
      <c r="AA171" s="2" t="s">
        <v>60</v>
      </c>
      <c r="AB171" s="2" t="s">
        <v>61</v>
      </c>
      <c r="AC171" s="2" t="s">
        <v>176</v>
      </c>
      <c r="AD171" s="2" t="s">
        <v>578</v>
      </c>
      <c r="AE171" s="2" t="s">
        <v>1119</v>
      </c>
      <c r="AF171" s="6">
        <v>25</v>
      </c>
      <c r="AG171" s="6"/>
      <c r="AH171" s="2" t="str">
        <f t="shared" si="0"/>
        <v/>
      </c>
      <c r="AI171" s="2" t="str" cm="1">
        <f t="array" ref="AI171">_xlfn.IFS(AF171&lt;25,"Less",AF171=25,"Equal",AF171&gt;25,"More")</f>
        <v>Equal</v>
      </c>
      <c r="AJ171" s="6" t="s">
        <v>5517</v>
      </c>
      <c r="AK171" s="6" t="s">
        <v>125</v>
      </c>
      <c r="AL171" s="2" t="s">
        <v>1120</v>
      </c>
      <c r="AM171" s="5">
        <f>VLOOKUP(D171,'slb RAW'!$E$2:$AF$293,9)</f>
        <v>2</v>
      </c>
      <c r="AN171" s="2">
        <f>VLOOKUP(D171,'slb RAW'!$E$2:$AE$293,27)</f>
        <v>1.8</v>
      </c>
      <c r="AO171" s="2" t="e">
        <f>VLOOKUP(C171,'Refinitiv SLB'!F171:S348,14)</f>
        <v>#N/A</v>
      </c>
      <c r="AP171" s="2">
        <f t="shared" si="1"/>
        <v>1.8</v>
      </c>
      <c r="AQ171" s="7" t="str">
        <f t="shared" si="2"/>
        <v>Verallia SACALLABLEFIXEDEURSr Unsecured</v>
      </c>
      <c r="AR171" s="5" t="b">
        <f ca="1">ISNUMBER( IFERROR(VLOOKUP(A171,Pairs!$E$2:$E$57,1,FALSE),FALSE))</f>
        <v>0</v>
      </c>
      <c r="AS171" s="5"/>
      <c r="AT171" s="5"/>
    </row>
    <row r="172" spans="1:46" ht="15.75" customHeight="1" x14ac:dyDescent="0.2">
      <c r="A172" s="2">
        <v>160</v>
      </c>
      <c r="B172" s="2" t="s">
        <v>1121</v>
      </c>
      <c r="C172" s="2" t="str">
        <f>VLOOKUP(D172,'slb RAW'!$E:$F,2)</f>
        <v>XS2406890066</v>
      </c>
      <c r="D172" s="2" t="s">
        <v>1122</v>
      </c>
      <c r="E172" s="2" t="s">
        <v>1123</v>
      </c>
      <c r="F172" s="2" t="s">
        <v>1124</v>
      </c>
      <c r="G172" s="2" t="s">
        <v>366</v>
      </c>
      <c r="H172" s="2" t="s">
        <v>366</v>
      </c>
      <c r="I172" s="2" t="s">
        <v>366</v>
      </c>
      <c r="J172" s="2" t="b">
        <f t="shared" si="6"/>
        <v>1</v>
      </c>
      <c r="K172" s="2">
        <v>0.875</v>
      </c>
      <c r="L172" s="2" t="s">
        <v>1125</v>
      </c>
      <c r="M172" s="2" t="s">
        <v>1126</v>
      </c>
      <c r="N172" s="2">
        <v>0.98399999999999999</v>
      </c>
      <c r="O172" s="2" t="s">
        <v>115</v>
      </c>
      <c r="P172" s="2" t="s">
        <v>116</v>
      </c>
      <c r="Q172" s="2" t="s">
        <v>1127</v>
      </c>
      <c r="R172" s="2" t="s">
        <v>52</v>
      </c>
      <c r="S172" s="2" t="s">
        <v>53</v>
      </c>
      <c r="T172" s="2" t="s">
        <v>496</v>
      </c>
      <c r="U172" s="2" t="s">
        <v>133</v>
      </c>
      <c r="V172" s="2" t="s">
        <v>56</v>
      </c>
      <c r="W172" s="2" t="s">
        <v>57</v>
      </c>
      <c r="X172" s="2">
        <v>796999000</v>
      </c>
      <c r="Y172" s="2" t="s">
        <v>308</v>
      </c>
      <c r="Z172" s="2" t="s">
        <v>1128</v>
      </c>
      <c r="AA172" s="2" t="s">
        <v>60</v>
      </c>
      <c r="AB172" s="2" t="s">
        <v>61</v>
      </c>
      <c r="AC172" s="2" t="s">
        <v>308</v>
      </c>
      <c r="AD172" s="2" t="s">
        <v>1129</v>
      </c>
      <c r="AE172" s="2" t="s">
        <v>1130</v>
      </c>
      <c r="AF172" s="5">
        <v>37.5</v>
      </c>
      <c r="AG172" s="6"/>
      <c r="AH172" s="2" t="str">
        <f t="shared" si="0"/>
        <v/>
      </c>
      <c r="AI172" s="2" t="str" cm="1">
        <f t="array" ref="AI172">_xlfn.IFS(AF172&lt;25,"Less",AF172=25,"Equal",AF172&gt;25,"More")</f>
        <v>More</v>
      </c>
      <c r="AJ172" s="6"/>
      <c r="AK172" s="6" t="s">
        <v>125</v>
      </c>
      <c r="AL172" s="2" t="s">
        <v>1131</v>
      </c>
      <c r="AM172" s="5">
        <f>VLOOKUP(D172,'slb RAW'!$E$2:$AF$293,9)</f>
        <v>0.98399999999999999</v>
      </c>
      <c r="AN172" s="2">
        <f>VLOOKUP(D172,'slb RAW'!$E$2:$AE$293,27)</f>
        <v>1.0209999999999999</v>
      </c>
      <c r="AO172" s="2" t="e">
        <f>VLOOKUP(C172,'Refinitiv SLB'!F172:S349,14)</f>
        <v>#N/A</v>
      </c>
      <c r="AP172" s="2">
        <f t="shared" si="1"/>
        <v>1.0209999999999999</v>
      </c>
      <c r="AQ172" s="7" t="str">
        <f t="shared" si="2"/>
        <v>Koninklijke KPN NVCALLABLEFIXEDEURSr Unsecured</v>
      </c>
      <c r="AR172" s="5" t="b">
        <f ca="1">ISNUMBER( IFERROR(VLOOKUP(A172,Pairs!$E$2:$E$57,1,FALSE),FALSE))</f>
        <v>1</v>
      </c>
      <c r="AS172" s="5"/>
      <c r="AT172" s="5"/>
    </row>
    <row r="173" spans="1:46" s="80" customFormat="1" ht="15.75" customHeight="1" x14ac:dyDescent="0.2">
      <c r="A173" s="79">
        <v>124</v>
      </c>
      <c r="B173" s="79" t="s">
        <v>1132</v>
      </c>
      <c r="C173" s="79" t="str">
        <f>VLOOKUP(D173,'slb RAW'!$E:$F,2)</f>
        <v>XS2407955827</v>
      </c>
      <c r="D173" s="79" t="s">
        <v>1133</v>
      </c>
      <c r="E173" s="79" t="s">
        <v>1134</v>
      </c>
      <c r="F173" s="79" t="s">
        <v>1135</v>
      </c>
      <c r="G173" s="79" t="s">
        <v>45</v>
      </c>
      <c r="H173" s="79" t="s">
        <v>45</v>
      </c>
      <c r="I173" s="79" t="s">
        <v>45</v>
      </c>
      <c r="J173" s="2" t="b">
        <f t="shared" si="6"/>
        <v>1</v>
      </c>
      <c r="K173" s="79">
        <v>0.5</v>
      </c>
      <c r="L173" s="79" t="s">
        <v>1136</v>
      </c>
      <c r="M173" s="79" t="s">
        <v>1137</v>
      </c>
      <c r="N173" s="81">
        <v>0.56440000000000001</v>
      </c>
      <c r="O173" s="79" t="s">
        <v>115</v>
      </c>
      <c r="P173" s="79" t="s">
        <v>116</v>
      </c>
      <c r="Q173" s="79" t="s">
        <v>225</v>
      </c>
      <c r="R173" s="79" t="s">
        <v>52</v>
      </c>
      <c r="S173" s="79" t="s">
        <v>53</v>
      </c>
      <c r="T173" s="79" t="s">
        <v>117</v>
      </c>
      <c r="U173" s="79" t="s">
        <v>420</v>
      </c>
      <c r="V173" s="79" t="s">
        <v>56</v>
      </c>
      <c r="W173" s="79" t="s">
        <v>57</v>
      </c>
      <c r="X173" s="79">
        <v>565950000</v>
      </c>
      <c r="Y173" s="79" t="s">
        <v>421</v>
      </c>
      <c r="Z173" s="79" t="s">
        <v>228</v>
      </c>
      <c r="AA173" s="79" t="s">
        <v>60</v>
      </c>
      <c r="AB173" s="79" t="s">
        <v>61</v>
      </c>
      <c r="AC173" s="79" t="s">
        <v>227</v>
      </c>
      <c r="AD173" s="79" t="s">
        <v>228</v>
      </c>
      <c r="AE173" s="79" t="s">
        <v>1138</v>
      </c>
      <c r="AF173" s="82">
        <v>75</v>
      </c>
      <c r="AG173" s="82"/>
      <c r="AH173" s="79" t="str">
        <f t="shared" si="0"/>
        <v/>
      </c>
      <c r="AI173" s="2" t="str" cm="1">
        <f t="array" ref="AI173">_xlfn.IFS(AF173&lt;25,"Less",AF173=25,"Equal",AF173&gt;25,"More")</f>
        <v>More</v>
      </c>
      <c r="AJ173" s="82" t="s">
        <v>5517</v>
      </c>
      <c r="AK173" s="82" t="s">
        <v>125</v>
      </c>
      <c r="AL173" s="79" t="s">
        <v>1139</v>
      </c>
      <c r="AM173" s="83" t="str">
        <f>VLOOKUP(D173,'slb RAW'!$E$2:$AF$293,9)</f>
        <v>#N/A N/A</v>
      </c>
      <c r="AN173" s="79">
        <f>VLOOKUP(D173,'slb RAW'!$E$2:$AE$293,27)</f>
        <v>0.55000000000000004</v>
      </c>
      <c r="AO173" s="79" t="e">
        <f>VLOOKUP(C173,'Refinitiv SLB'!F173:S350,14)</f>
        <v>#N/A</v>
      </c>
      <c r="AP173" s="79">
        <f t="shared" si="1"/>
        <v>0.55000000000000004</v>
      </c>
      <c r="AQ173" s="84" t="str">
        <f t="shared" si="2"/>
        <v>Henkel AG &amp; Co KGaACALLABLEFIXEDEURSr Unsecured</v>
      </c>
      <c r="AR173" s="83" t="b">
        <f ca="1">ISNUMBER( IFERROR(VLOOKUP(A173,Pairs!$E$2:$E$57,1,FALSE),FALSE))</f>
        <v>0</v>
      </c>
      <c r="AS173" s="83"/>
      <c r="AT173" s="83"/>
    </row>
    <row r="174" spans="1:46" s="80" customFormat="1" ht="15.75" customHeight="1" x14ac:dyDescent="0.2">
      <c r="A174" s="79">
        <v>125</v>
      </c>
      <c r="B174" s="79" t="s">
        <v>1132</v>
      </c>
      <c r="C174" s="79" t="str">
        <f>VLOOKUP(D174,'slb RAW'!$E:$F,2)</f>
        <v>XS2407954002</v>
      </c>
      <c r="D174" s="79" t="s">
        <v>1140</v>
      </c>
      <c r="E174" s="79" t="s">
        <v>1141</v>
      </c>
      <c r="F174" s="79" t="s">
        <v>1135</v>
      </c>
      <c r="G174" s="79" t="s">
        <v>45</v>
      </c>
      <c r="H174" s="79" t="s">
        <v>45</v>
      </c>
      <c r="I174" s="79" t="s">
        <v>45</v>
      </c>
      <c r="J174" s="2" t="b">
        <f t="shared" si="6"/>
        <v>1</v>
      </c>
      <c r="K174" s="79">
        <v>1.75</v>
      </c>
      <c r="L174" s="79" t="s">
        <v>1136</v>
      </c>
      <c r="M174" s="79" t="s">
        <v>1142</v>
      </c>
      <c r="N174" s="79">
        <v>1.8149999999999999</v>
      </c>
      <c r="O174" s="79" t="s">
        <v>115</v>
      </c>
      <c r="P174" s="79" t="s">
        <v>116</v>
      </c>
      <c r="Q174" s="79" t="s">
        <v>225</v>
      </c>
      <c r="R174" s="79" t="s">
        <v>52</v>
      </c>
      <c r="S174" s="79" t="s">
        <v>262</v>
      </c>
      <c r="T174" s="79" t="s">
        <v>117</v>
      </c>
      <c r="U174" s="79" t="s">
        <v>420</v>
      </c>
      <c r="V174" s="79" t="s">
        <v>56</v>
      </c>
      <c r="W174" s="79" t="s">
        <v>57</v>
      </c>
      <c r="X174" s="79">
        <v>250000000</v>
      </c>
      <c r="Y174" s="79" t="s">
        <v>421</v>
      </c>
      <c r="Z174" s="79" t="s">
        <v>228</v>
      </c>
      <c r="AA174" s="79" t="s">
        <v>60</v>
      </c>
      <c r="AB174" s="79" t="s">
        <v>61</v>
      </c>
      <c r="AC174" s="79" t="s">
        <v>227</v>
      </c>
      <c r="AD174" s="79" t="s">
        <v>228</v>
      </c>
      <c r="AE174" s="79" t="s">
        <v>1143</v>
      </c>
      <c r="AF174" s="83">
        <v>50</v>
      </c>
      <c r="AG174" s="82"/>
      <c r="AH174" s="79" t="str">
        <f t="shared" si="0"/>
        <v/>
      </c>
      <c r="AI174" s="2" t="str" cm="1">
        <f t="array" ref="AI174">_xlfn.IFS(AF174&lt;25,"Less",AF174=25,"Equal",AF174&gt;25,"More")</f>
        <v>More</v>
      </c>
      <c r="AJ174" s="82" t="s">
        <v>5517</v>
      </c>
      <c r="AK174" s="82" t="s">
        <v>125</v>
      </c>
      <c r="AL174" s="79" t="s">
        <v>1144</v>
      </c>
      <c r="AM174" s="83">
        <f>VLOOKUP(D174,'slb RAW'!$E$2:$AF$293,9)</f>
        <v>1.8149999999999999</v>
      </c>
      <c r="AN174" s="79" t="str">
        <f>VLOOKUP(D174,'slb RAW'!$E$2:$AE$293,27)</f>
        <v>#N/A N/A</v>
      </c>
      <c r="AO174" s="79" t="e">
        <f>VLOOKUP(C174,'Refinitiv SLB'!F174:S351,14)</f>
        <v>#N/A</v>
      </c>
      <c r="AP174" s="79">
        <f t="shared" si="1"/>
        <v>1.8149999999999999</v>
      </c>
      <c r="AQ174" s="84" t="str">
        <f t="shared" si="2"/>
        <v>Henkel AG &amp; Co KGaACALLABLEFIXEDUSDSr Unsecured</v>
      </c>
      <c r="AR174" s="83" t="b">
        <f ca="1">ISNUMBER( IFERROR(VLOOKUP(A174,Pairs!$E$2:$E$57,1,FALSE),FALSE))</f>
        <v>0</v>
      </c>
      <c r="AS174" s="83"/>
      <c r="AT174" s="83"/>
    </row>
    <row r="175" spans="1:46" ht="15.75" customHeight="1" x14ac:dyDescent="0.2">
      <c r="A175" s="2">
        <v>155</v>
      </c>
      <c r="B175" s="2" t="s">
        <v>1145</v>
      </c>
      <c r="C175" s="2" t="str">
        <f>VLOOKUP(D175,'slb RAW'!$E:$F,2)</f>
        <v>SE0013360534</v>
      </c>
      <c r="D175" s="2" t="s">
        <v>1146</v>
      </c>
      <c r="E175" s="2" t="s">
        <v>1147</v>
      </c>
      <c r="F175" s="2" t="s">
        <v>1148</v>
      </c>
      <c r="G175" s="2" t="s">
        <v>367</v>
      </c>
      <c r="H175" s="2" t="s">
        <v>367</v>
      </c>
      <c r="I175" s="2" t="s">
        <v>367</v>
      </c>
      <c r="J175" s="2" t="b">
        <f t="shared" si="6"/>
        <v>1</v>
      </c>
      <c r="K175" s="2">
        <v>0.627</v>
      </c>
      <c r="L175" s="2" t="s">
        <v>1149</v>
      </c>
      <c r="M175" s="2" t="s">
        <v>1150</v>
      </c>
      <c r="N175" s="8">
        <v>0.78510000000000002</v>
      </c>
      <c r="O175" s="2" t="s">
        <v>49</v>
      </c>
      <c r="P175" s="2" t="s">
        <v>50</v>
      </c>
      <c r="Q175" s="2" t="s">
        <v>685</v>
      </c>
      <c r="R175" s="2" t="s">
        <v>52</v>
      </c>
      <c r="S175" s="2" t="s">
        <v>686</v>
      </c>
      <c r="T175" s="2" t="s">
        <v>54</v>
      </c>
      <c r="U175" s="2" t="s">
        <v>420</v>
      </c>
      <c r="V175" s="2" t="s">
        <v>70</v>
      </c>
      <c r="W175" s="2" t="s">
        <v>391</v>
      </c>
      <c r="X175" s="2">
        <v>165837000</v>
      </c>
      <c r="Y175" s="2" t="s">
        <v>484</v>
      </c>
      <c r="Z175" s="2" t="s">
        <v>562</v>
      </c>
      <c r="AA175" s="2" t="s">
        <v>60</v>
      </c>
      <c r="AB175" s="2" t="s">
        <v>486</v>
      </c>
      <c r="AC175" s="2" t="s">
        <v>1151</v>
      </c>
      <c r="AD175" s="2" t="s">
        <v>1151</v>
      </c>
      <c r="AE175" s="2" t="s">
        <v>1152</v>
      </c>
      <c r="AF175" s="5">
        <v>22.5</v>
      </c>
      <c r="AG175" s="6"/>
      <c r="AH175" s="2" t="str">
        <f t="shared" si="0"/>
        <v/>
      </c>
      <c r="AI175" s="2" t="str" cm="1">
        <f t="array" ref="AI175">_xlfn.IFS(AF175&lt;25,"Less",AF175=25,"Equal",AF175&gt;25,"More")</f>
        <v>Less</v>
      </c>
      <c r="AJ175" s="6" t="s">
        <v>5517</v>
      </c>
      <c r="AK175" s="6" t="s">
        <v>611</v>
      </c>
      <c r="AL175" s="2" t="s">
        <v>1153</v>
      </c>
      <c r="AM175" s="5" t="str">
        <f>VLOOKUP(D175,'slb RAW'!$E$2:$AF$293,9)</f>
        <v>#N/A N/A</v>
      </c>
      <c r="AN175" s="2">
        <f>VLOOKUP(D175,'slb RAW'!$E$2:$AE$293,27)</f>
        <v>0.53600000000000003</v>
      </c>
      <c r="AO175" s="2" t="e">
        <f>VLOOKUP(C175,'Refinitiv SLB'!F175:S352,14)</f>
        <v>#N/A</v>
      </c>
      <c r="AP175" s="2">
        <f t="shared" si="1"/>
        <v>0.53600000000000003</v>
      </c>
      <c r="AQ175" s="7" t="str">
        <f t="shared" si="2"/>
        <v>Kinnevik ABAT MATURITYFLOATINGSEKSr Unsecured</v>
      </c>
      <c r="AR175" s="5" t="b">
        <f ca="1">ISNUMBER( IFERROR(VLOOKUP(A175,Pairs!$E$2:$E$57,1,FALSE),FALSE))</f>
        <v>1</v>
      </c>
      <c r="AS175" s="5"/>
      <c r="AT175" s="5"/>
    </row>
    <row r="176" spans="1:46" ht="15.75" customHeight="1" x14ac:dyDescent="0.2">
      <c r="A176" s="2">
        <v>156</v>
      </c>
      <c r="B176" s="2" t="s">
        <v>1145</v>
      </c>
      <c r="C176" s="2" t="str">
        <f>VLOOKUP(D176,'slb RAW'!$E:$F,2)</f>
        <v>SE0013360542</v>
      </c>
      <c r="D176" s="2" t="s">
        <v>1154</v>
      </c>
      <c r="E176" s="2" t="s">
        <v>1155</v>
      </c>
      <c r="F176" s="2" t="s">
        <v>1148</v>
      </c>
      <c r="G176" s="2" t="s">
        <v>367</v>
      </c>
      <c r="H176" s="2" t="s">
        <v>367</v>
      </c>
      <c r="I176" s="2" t="s">
        <v>367</v>
      </c>
      <c r="J176" s="2" t="b">
        <f t="shared" si="6"/>
        <v>1</v>
      </c>
      <c r="K176" s="2">
        <v>0.82700000000000007</v>
      </c>
      <c r="L176" s="2" t="s">
        <v>1149</v>
      </c>
      <c r="M176" s="2" t="s">
        <v>1156</v>
      </c>
      <c r="N176" s="8">
        <v>0.58579999999999999</v>
      </c>
      <c r="O176" s="2" t="s">
        <v>49</v>
      </c>
      <c r="P176" s="2" t="s">
        <v>50</v>
      </c>
      <c r="Q176" s="2" t="s">
        <v>685</v>
      </c>
      <c r="R176" s="2" t="s">
        <v>52</v>
      </c>
      <c r="S176" s="2" t="s">
        <v>686</v>
      </c>
      <c r="T176" s="2" t="s">
        <v>54</v>
      </c>
      <c r="U176" s="2" t="s">
        <v>420</v>
      </c>
      <c r="V176" s="2" t="s">
        <v>70</v>
      </c>
      <c r="W176" s="2" t="s">
        <v>391</v>
      </c>
      <c r="X176" s="2">
        <v>55279000</v>
      </c>
      <c r="Y176" s="2" t="s">
        <v>484</v>
      </c>
      <c r="Z176" s="2" t="s">
        <v>562</v>
      </c>
      <c r="AA176" s="2" t="s">
        <v>60</v>
      </c>
      <c r="AB176" s="2" t="s">
        <v>486</v>
      </c>
      <c r="AC176" s="2" t="s">
        <v>1151</v>
      </c>
      <c r="AD176" s="2" t="s">
        <v>1151</v>
      </c>
      <c r="AE176" s="2" t="s">
        <v>1152</v>
      </c>
      <c r="AF176" s="5">
        <v>22.5</v>
      </c>
      <c r="AG176" s="6"/>
      <c r="AH176" s="2" t="str">
        <f t="shared" si="0"/>
        <v/>
      </c>
      <c r="AI176" s="2" t="str" cm="1">
        <f t="array" ref="AI176">_xlfn.IFS(AF176&lt;25,"Less",AF176=25,"Equal",AF176&gt;25,"More")</f>
        <v>Less</v>
      </c>
      <c r="AJ176" s="6" t="s">
        <v>5517</v>
      </c>
      <c r="AK176" s="6" t="s">
        <v>611</v>
      </c>
      <c r="AL176" s="2" t="s">
        <v>1153</v>
      </c>
      <c r="AM176" s="5" t="str">
        <f>VLOOKUP(D176,'slb RAW'!$E$2:$AF$293,9)</f>
        <v>#N/A N/A</v>
      </c>
      <c r="AN176" s="2">
        <f>VLOOKUP(D176,'slb RAW'!$E$2:$AE$293,27)</f>
        <v>0.72799999999999998</v>
      </c>
      <c r="AO176" s="2" t="e">
        <f>VLOOKUP(C176,'Refinitiv SLB'!F176:S353,14)</f>
        <v>#N/A</v>
      </c>
      <c r="AP176" s="2">
        <f t="shared" si="1"/>
        <v>0.72799999999999998</v>
      </c>
      <c r="AQ176" s="7" t="str">
        <f t="shared" si="2"/>
        <v>Kinnevik ABAT MATURITYFLOATINGSEKSr Unsecured</v>
      </c>
      <c r="AR176" s="5" t="b">
        <f ca="1">ISNUMBER( IFERROR(VLOOKUP(A176,Pairs!$E$2:$E$57,1,FALSE),FALSE))</f>
        <v>0</v>
      </c>
      <c r="AS176" s="5"/>
      <c r="AT176" s="5"/>
    </row>
    <row r="177" spans="1:46" ht="15.75" customHeight="1" x14ac:dyDescent="0.2">
      <c r="A177" s="2">
        <v>6</v>
      </c>
      <c r="B177" s="2" t="s">
        <v>1157</v>
      </c>
      <c r="C177" s="2" t="str">
        <f>VLOOKUP(D177,'slb RAW'!$E:$F,2)</f>
        <v>FR0014006ND8</v>
      </c>
      <c r="D177" s="2" t="s">
        <v>1158</v>
      </c>
      <c r="E177" s="2" t="s">
        <v>1159</v>
      </c>
      <c r="F177" s="2" t="s">
        <v>1160</v>
      </c>
      <c r="G177" s="2" t="s">
        <v>184</v>
      </c>
      <c r="H177" s="2" t="s">
        <v>184</v>
      </c>
      <c r="I177" s="2" t="s">
        <v>184</v>
      </c>
      <c r="J177" s="2" t="b">
        <f t="shared" si="6"/>
        <v>1</v>
      </c>
      <c r="K177" s="2">
        <v>2.375</v>
      </c>
      <c r="L177" s="2" t="s">
        <v>1161</v>
      </c>
      <c r="M177" s="2" t="s">
        <v>1162</v>
      </c>
      <c r="N177" s="2">
        <v>2.5</v>
      </c>
      <c r="O177" s="2" t="s">
        <v>115</v>
      </c>
      <c r="P177" s="2" t="s">
        <v>116</v>
      </c>
      <c r="Q177" s="2" t="s">
        <v>173</v>
      </c>
      <c r="R177" s="2" t="s">
        <v>52</v>
      </c>
      <c r="S177" s="2" t="s">
        <v>53</v>
      </c>
      <c r="T177" s="2" t="s">
        <v>263</v>
      </c>
      <c r="U177" s="2" t="s">
        <v>117</v>
      </c>
      <c r="V177" s="2" t="s">
        <v>56</v>
      </c>
      <c r="W177" s="2" t="s">
        <v>57</v>
      </c>
      <c r="X177" s="2">
        <v>788774000</v>
      </c>
      <c r="Y177" s="2" t="s">
        <v>134</v>
      </c>
      <c r="Z177" s="2" t="s">
        <v>534</v>
      </c>
      <c r="AA177" s="2" t="s">
        <v>60</v>
      </c>
      <c r="AB177" s="2" t="s">
        <v>61</v>
      </c>
      <c r="AC177" s="2" t="s">
        <v>136</v>
      </c>
      <c r="AD177" s="2" t="s">
        <v>1163</v>
      </c>
      <c r="AE177" s="2" t="s">
        <v>1164</v>
      </c>
      <c r="AF177" s="5">
        <v>25</v>
      </c>
      <c r="AG177" s="6"/>
      <c r="AH177" s="2" t="str">
        <f t="shared" si="0"/>
        <v/>
      </c>
      <c r="AI177" s="2" t="str" cm="1">
        <f t="array" ref="AI177">_xlfn.IFS(AF177&lt;25,"Less",AF177=25,"Equal",AF177&gt;25,"More")</f>
        <v>Equal</v>
      </c>
      <c r="AJ177" s="6" t="s">
        <v>5517</v>
      </c>
      <c r="AK177" s="6" t="s">
        <v>125</v>
      </c>
      <c r="AL177" s="2" t="s">
        <v>1165</v>
      </c>
      <c r="AM177" s="5">
        <f>VLOOKUP(D177,'slb RAW'!$E$2:$AF$293,9)</f>
        <v>2.5</v>
      </c>
      <c r="AN177" s="2">
        <f>VLOOKUP(D177,'slb RAW'!$E$2:$AE$293,27)</f>
        <v>2.4079999999999999</v>
      </c>
      <c r="AO177" s="2" t="e">
        <f>VLOOKUP(C177,'Refinitiv SLB'!F177:S354,14)</f>
        <v>#N/A</v>
      </c>
      <c r="AP177" s="2">
        <f t="shared" si="1"/>
        <v>2.4079999999999999</v>
      </c>
      <c r="AQ177" s="7" t="str">
        <f t="shared" si="2"/>
        <v>Accor SACALLABLEFIXEDEURSr Unsecured</v>
      </c>
      <c r="AR177" s="5" t="b">
        <f ca="1">ISNUMBER( IFERROR(VLOOKUP(A177,Pairs!$E$2:$E$57,1,FALSE),FALSE))</f>
        <v>1</v>
      </c>
      <c r="AS177" s="5"/>
      <c r="AT177" s="5"/>
    </row>
    <row r="178" spans="1:46" ht="15.75" customHeight="1" x14ac:dyDescent="0.2">
      <c r="A178" s="2">
        <v>3</v>
      </c>
      <c r="B178" s="2" t="s">
        <v>1166</v>
      </c>
      <c r="C178" s="2" t="str">
        <f>VLOOKUP(D178,'slb RAW'!$E:$F,2)</f>
        <v>XS2412267358</v>
      </c>
      <c r="D178" s="2" t="s">
        <v>1167</v>
      </c>
      <c r="E178" s="2" t="s">
        <v>1168</v>
      </c>
      <c r="F178" s="2" t="s">
        <v>1169</v>
      </c>
      <c r="G178" s="2" t="s">
        <v>199</v>
      </c>
      <c r="H178" s="2" t="s">
        <v>199</v>
      </c>
      <c r="I178" s="2" t="s">
        <v>199</v>
      </c>
      <c r="J178" s="2" t="b">
        <f t="shared" si="6"/>
        <v>1</v>
      </c>
      <c r="K178" s="2">
        <v>1</v>
      </c>
      <c r="L178" s="2" t="s">
        <v>1170</v>
      </c>
      <c r="M178" s="2" t="s">
        <v>1171</v>
      </c>
      <c r="N178" s="2">
        <v>1.054</v>
      </c>
      <c r="O178" s="2" t="s">
        <v>115</v>
      </c>
      <c r="P178" s="2" t="s">
        <v>116</v>
      </c>
      <c r="Q178" s="2" t="s">
        <v>225</v>
      </c>
      <c r="R178" s="2" t="s">
        <v>52</v>
      </c>
      <c r="S178" s="2" t="s">
        <v>53</v>
      </c>
      <c r="T178" s="2" t="s">
        <v>496</v>
      </c>
      <c r="U178" s="2" t="s">
        <v>55</v>
      </c>
      <c r="V178" s="2" t="s">
        <v>56</v>
      </c>
      <c r="W178" s="2" t="s">
        <v>57</v>
      </c>
      <c r="X178" s="2">
        <v>840712500</v>
      </c>
      <c r="Y178" s="2" t="s">
        <v>58</v>
      </c>
      <c r="Z178" s="2" t="s">
        <v>505</v>
      </c>
      <c r="AA178" s="2" t="s">
        <v>60</v>
      </c>
      <c r="AB178" s="2" t="s">
        <v>61</v>
      </c>
      <c r="AC178" s="2" t="s">
        <v>279</v>
      </c>
      <c r="AD178" s="2" t="s">
        <v>280</v>
      </c>
      <c r="AE178" s="2" t="s">
        <v>1172</v>
      </c>
      <c r="AF178" s="5">
        <v>50</v>
      </c>
      <c r="AG178" s="6"/>
      <c r="AH178" s="2" t="str">
        <f t="shared" si="0"/>
        <v/>
      </c>
      <c r="AI178" s="2" t="str" cm="1">
        <f t="array" ref="AI178">_xlfn.IFS(AF178&lt;25,"Less",AF178=25,"Equal",AF178&gt;25,"More")</f>
        <v>More</v>
      </c>
      <c r="AJ178" s="6"/>
      <c r="AK178" s="6" t="s">
        <v>125</v>
      </c>
      <c r="AL178" s="2" t="s">
        <v>1173</v>
      </c>
      <c r="AM178" s="5">
        <f>VLOOKUP(D178,'slb RAW'!$E$2:$AF$293,9)</f>
        <v>1.054</v>
      </c>
      <c r="AN178" s="2">
        <f>VLOOKUP(D178,'slb RAW'!$E$2:$AE$293,27)</f>
        <v>0.92700000000000005</v>
      </c>
      <c r="AO178" s="2" t="e">
        <f>VLOOKUP(C178,'Refinitiv SLB'!F178:S355,14)</f>
        <v>#N/A</v>
      </c>
      <c r="AP178" s="2">
        <f t="shared" si="1"/>
        <v>0.92700000000000005</v>
      </c>
      <c r="AQ178" s="7" t="str">
        <f t="shared" si="2"/>
        <v>ASTM SpACALLABLEFIXEDEURSr Unsecured</v>
      </c>
      <c r="AR178" s="5" t="b">
        <f ca="1">ISNUMBER( IFERROR(VLOOKUP(A178,Pairs!$E$2:$E$57,1,FALSE),FALSE))</f>
        <v>0</v>
      </c>
      <c r="AS178" s="5"/>
      <c r="AT178" s="5"/>
    </row>
    <row r="179" spans="1:46" ht="15.75" customHeight="1" x14ac:dyDescent="0.2">
      <c r="A179" s="2">
        <v>4</v>
      </c>
      <c r="B179" s="2" t="s">
        <v>1166</v>
      </c>
      <c r="C179" s="2" t="str">
        <f>VLOOKUP(D179,'slb RAW'!$E:$F,2)</f>
        <v>XS2412267515</v>
      </c>
      <c r="D179" s="2" t="s">
        <v>1174</v>
      </c>
      <c r="E179" s="2" t="s">
        <v>1175</v>
      </c>
      <c r="F179" s="2" t="s">
        <v>1169</v>
      </c>
      <c r="G179" s="2" t="s">
        <v>199</v>
      </c>
      <c r="H179" s="2" t="s">
        <v>199</v>
      </c>
      <c r="I179" s="2" t="s">
        <v>199</v>
      </c>
      <c r="J179" s="2" t="b">
        <f t="shared" si="6"/>
        <v>1</v>
      </c>
      <c r="K179" s="2">
        <v>1.5</v>
      </c>
      <c r="L179" s="2" t="s">
        <v>1170</v>
      </c>
      <c r="M179" s="2" t="s">
        <v>1176</v>
      </c>
      <c r="N179" s="2">
        <v>1.675</v>
      </c>
      <c r="O179" s="2" t="s">
        <v>115</v>
      </c>
      <c r="P179" s="2" t="s">
        <v>116</v>
      </c>
      <c r="Q179" s="2" t="s">
        <v>225</v>
      </c>
      <c r="R179" s="2" t="s">
        <v>52</v>
      </c>
      <c r="S179" s="2" t="s">
        <v>53</v>
      </c>
      <c r="T179" s="2" t="s">
        <v>496</v>
      </c>
      <c r="U179" s="2" t="s">
        <v>55</v>
      </c>
      <c r="V179" s="2" t="s">
        <v>56</v>
      </c>
      <c r="W179" s="2" t="s">
        <v>57</v>
      </c>
      <c r="X179" s="2">
        <v>1401187500</v>
      </c>
      <c r="Y179" s="2" t="s">
        <v>58</v>
      </c>
      <c r="Z179" s="2" t="s">
        <v>505</v>
      </c>
      <c r="AA179" s="2" t="s">
        <v>60</v>
      </c>
      <c r="AB179" s="2" t="s">
        <v>61</v>
      </c>
      <c r="AC179" s="2" t="s">
        <v>279</v>
      </c>
      <c r="AD179" s="2" t="s">
        <v>280</v>
      </c>
      <c r="AE179" s="2" t="s">
        <v>1177</v>
      </c>
      <c r="AF179" s="5">
        <v>50</v>
      </c>
      <c r="AG179" s="6"/>
      <c r="AH179" s="2" t="str">
        <f t="shared" si="0"/>
        <v/>
      </c>
      <c r="AI179" s="2" t="str" cm="1">
        <f t="array" ref="AI179">_xlfn.IFS(AF179&lt;25,"Less",AF179=25,"Equal",AF179&gt;25,"More")</f>
        <v>More</v>
      </c>
      <c r="AJ179" s="6"/>
      <c r="AK179" s="6" t="s">
        <v>125</v>
      </c>
      <c r="AL179" s="2" t="s">
        <v>1173</v>
      </c>
      <c r="AM179" s="5">
        <f>VLOOKUP(D179,'slb RAW'!$E$2:$AF$293,9)</f>
        <v>1.675</v>
      </c>
      <c r="AN179" s="2">
        <f>VLOOKUP(D179,'slb RAW'!$E$2:$AE$293,27)</f>
        <v>1.65</v>
      </c>
      <c r="AO179" s="2" t="e">
        <f>VLOOKUP(C179,'Refinitiv SLB'!F179:S356,14)</f>
        <v>#N/A</v>
      </c>
      <c r="AP179" s="2">
        <f t="shared" si="1"/>
        <v>1.65</v>
      </c>
      <c r="AQ179" s="7" t="str">
        <f t="shared" si="2"/>
        <v>ASTM SpACALLABLEFIXEDEURSr Unsecured</v>
      </c>
      <c r="AR179" s="5" t="b">
        <f ca="1">ISNUMBER( IFERROR(VLOOKUP(A179,Pairs!$E$2:$E$57,1,FALSE),FALSE))</f>
        <v>0</v>
      </c>
      <c r="AS179" s="5"/>
      <c r="AT179" s="5"/>
    </row>
    <row r="180" spans="1:46" ht="15.75" customHeight="1" x14ac:dyDescent="0.2">
      <c r="A180" s="2">
        <v>5</v>
      </c>
      <c r="B180" s="2" t="s">
        <v>1166</v>
      </c>
      <c r="C180" s="2" t="str">
        <f>VLOOKUP(D180,'slb RAW'!$E:$F,2)</f>
        <v>XS2412267788</v>
      </c>
      <c r="D180" s="2" t="s">
        <v>1178</v>
      </c>
      <c r="E180" s="2" t="s">
        <v>1179</v>
      </c>
      <c r="F180" s="2" t="s">
        <v>1169</v>
      </c>
      <c r="G180" s="2" t="s">
        <v>199</v>
      </c>
      <c r="H180" s="2" t="s">
        <v>199</v>
      </c>
      <c r="I180" s="2" t="s">
        <v>199</v>
      </c>
      <c r="J180" s="2" t="b">
        <f t="shared" si="6"/>
        <v>1</v>
      </c>
      <c r="K180" s="2">
        <v>2.375</v>
      </c>
      <c r="L180" s="14">
        <v>44525</v>
      </c>
      <c r="M180" s="2" t="s">
        <v>1180</v>
      </c>
      <c r="N180" s="9">
        <v>2.3946000000000001</v>
      </c>
      <c r="O180" s="2" t="s">
        <v>115</v>
      </c>
      <c r="P180" s="2" t="s">
        <v>116</v>
      </c>
      <c r="Q180" s="2" t="s">
        <v>225</v>
      </c>
      <c r="R180" s="2" t="s">
        <v>52</v>
      </c>
      <c r="S180" s="2" t="s">
        <v>53</v>
      </c>
      <c r="T180" s="2" t="s">
        <v>496</v>
      </c>
      <c r="U180" s="2" t="s">
        <v>55</v>
      </c>
      <c r="V180" s="2" t="s">
        <v>56</v>
      </c>
      <c r="W180" s="2" t="s">
        <v>57</v>
      </c>
      <c r="X180" s="2">
        <v>1120950000</v>
      </c>
      <c r="Y180" s="2" t="s">
        <v>58</v>
      </c>
      <c r="Z180" s="2" t="s">
        <v>505</v>
      </c>
      <c r="AA180" s="2" t="s">
        <v>60</v>
      </c>
      <c r="AB180" s="2" t="s">
        <v>61</v>
      </c>
      <c r="AC180" s="2" t="s">
        <v>279</v>
      </c>
      <c r="AD180" s="2" t="s">
        <v>280</v>
      </c>
      <c r="AE180" s="2" t="s">
        <v>1181</v>
      </c>
      <c r="AF180" s="5">
        <v>50</v>
      </c>
      <c r="AG180" s="6"/>
      <c r="AH180" s="2" t="str">
        <f t="shared" si="0"/>
        <v/>
      </c>
      <c r="AI180" s="2" t="str" cm="1">
        <f t="array" ref="AI180">_xlfn.IFS(AF180&lt;25,"Less",AF180=25,"Equal",AF180&gt;25,"More")</f>
        <v>More</v>
      </c>
      <c r="AJ180" s="6"/>
      <c r="AK180" s="6" t="s">
        <v>125</v>
      </c>
      <c r="AL180" s="2" t="s">
        <v>1182</v>
      </c>
      <c r="AM180" s="5" t="str">
        <f>VLOOKUP(D180,'slb RAW'!$E$2:$AF$293,9)</f>
        <v>#N/A N/A</v>
      </c>
      <c r="AN180" s="2">
        <f>VLOOKUP(D180,'slb RAW'!$E$2:$AE$293,27)</f>
        <v>2.3759999999999999</v>
      </c>
      <c r="AO180" s="2" t="e">
        <f>VLOOKUP(C180,'Refinitiv SLB'!F180:S357,14)</f>
        <v>#N/A</v>
      </c>
      <c r="AP180" s="2">
        <f t="shared" si="1"/>
        <v>2.3759999999999999</v>
      </c>
      <c r="AQ180" s="7" t="str">
        <f t="shared" si="2"/>
        <v>ASTM SpACALLABLEFIXEDEURSr Unsecured</v>
      </c>
      <c r="AR180" s="5" t="b">
        <f ca="1">ISNUMBER( IFERROR(VLOOKUP(A180,Pairs!$E$2:$E$57,1,FALSE),FALSE))</f>
        <v>0</v>
      </c>
      <c r="AS180" s="5"/>
      <c r="AT180" s="5"/>
    </row>
    <row r="181" spans="1:46" ht="15.75" customHeight="1" x14ac:dyDescent="0.2">
      <c r="A181" s="2">
        <v>178</v>
      </c>
      <c r="B181" s="2" t="s">
        <v>1183</v>
      </c>
      <c r="C181" s="2" t="str">
        <f>VLOOKUP(D181,'slb RAW'!$E:$F,2)</f>
        <v>FR0014004UD8</v>
      </c>
      <c r="D181" s="2" t="s">
        <v>1184</v>
      </c>
      <c r="E181" s="2" t="s">
        <v>1185</v>
      </c>
      <c r="F181" s="2" t="s">
        <v>1186</v>
      </c>
      <c r="G181" s="2" t="s">
        <v>184</v>
      </c>
      <c r="H181" s="2" t="s">
        <v>184</v>
      </c>
      <c r="I181" s="2" t="s">
        <v>184</v>
      </c>
      <c r="J181" s="2" t="b">
        <f t="shared" si="6"/>
        <v>1</v>
      </c>
      <c r="K181" s="2">
        <v>2.6</v>
      </c>
      <c r="L181" s="2" t="s">
        <v>1187</v>
      </c>
      <c r="M181" s="2" t="s">
        <v>1188</v>
      </c>
      <c r="N181" s="8">
        <v>0.56840000000000002</v>
      </c>
      <c r="O181" s="2" t="s">
        <v>49</v>
      </c>
      <c r="P181" s="2" t="s">
        <v>50</v>
      </c>
      <c r="Q181" s="2" t="s">
        <v>173</v>
      </c>
      <c r="R181" s="2" t="s">
        <v>52</v>
      </c>
      <c r="S181" s="2" t="s">
        <v>53</v>
      </c>
      <c r="T181" s="2" t="s">
        <v>139</v>
      </c>
      <c r="U181" s="2" t="s">
        <v>55</v>
      </c>
      <c r="V181" s="2" t="s">
        <v>56</v>
      </c>
      <c r="W181" s="2" t="s">
        <v>57</v>
      </c>
      <c r="X181" s="2">
        <v>54609300</v>
      </c>
      <c r="Y181" s="2" t="s">
        <v>484</v>
      </c>
      <c r="Z181" s="2" t="s">
        <v>562</v>
      </c>
      <c r="AA181" s="2" t="s">
        <v>60</v>
      </c>
      <c r="AB181" s="2" t="s">
        <v>486</v>
      </c>
      <c r="AC181" s="2" t="s">
        <v>1151</v>
      </c>
      <c r="AD181" s="2" t="s">
        <v>1151</v>
      </c>
      <c r="AE181" s="2" t="s">
        <v>1189</v>
      </c>
      <c r="AF181" s="5">
        <v>50</v>
      </c>
      <c r="AG181" s="5">
        <v>50</v>
      </c>
      <c r="AH181" s="2" t="str">
        <f t="shared" si="0"/>
        <v>yes</v>
      </c>
      <c r="AI181" s="2" t="str" cm="1">
        <f t="array" ref="AI181">_xlfn.IFS(AF181&lt;25,"Less",AF181=25,"Equal",AF181&gt;25,"More")</f>
        <v>More</v>
      </c>
      <c r="AJ181" s="6"/>
      <c r="AK181" s="6" t="s">
        <v>611</v>
      </c>
      <c r="AL181" s="2" t="s">
        <v>1190</v>
      </c>
      <c r="AM181" s="5" t="str">
        <f>VLOOKUP(D181,'slb RAW'!$E$2:$AF$293,9)</f>
        <v>#N/A N/A</v>
      </c>
      <c r="AN181" s="2" t="str">
        <f>VLOOKUP(D181,'slb RAW'!$E$2:$AE$293,27)</f>
        <v>#N/A N/A</v>
      </c>
      <c r="AO181" s="2" t="e">
        <f>VLOOKUP(C181,'Refinitiv SLB'!F181:S358,14)</f>
        <v>#N/A</v>
      </c>
      <c r="AP181" s="2" t="str">
        <f t="shared" si="1"/>
        <v>#N/A N/A</v>
      </c>
      <c r="AQ181" s="7" t="str">
        <f t="shared" si="2"/>
        <v>M FINANCE SASUAT MATURITYFIXEDEURSr Unsecured</v>
      </c>
      <c r="AR181" s="5" t="b">
        <f ca="1">ISNUMBER( IFERROR(VLOOKUP(A181,Pairs!$E$2:$E$57,1,FALSE),FALSE))</f>
        <v>0</v>
      </c>
      <c r="AS181" s="5"/>
      <c r="AT181" s="5"/>
    </row>
    <row r="182" spans="1:46" ht="15.75" customHeight="1" x14ac:dyDescent="0.2">
      <c r="A182" s="2">
        <v>177</v>
      </c>
      <c r="B182" s="2" t="s">
        <v>1183</v>
      </c>
      <c r="C182" s="2" t="str">
        <f>VLOOKUP(D182,'slb RAW'!$E:$F,2)</f>
        <v>FR0014004UB2</v>
      </c>
      <c r="D182" s="2" t="s">
        <v>1191</v>
      </c>
      <c r="E182" s="2" t="s">
        <v>1192</v>
      </c>
      <c r="F182" s="2" t="s">
        <v>1186</v>
      </c>
      <c r="G182" s="2" t="s">
        <v>184</v>
      </c>
      <c r="H182" s="2" t="s">
        <v>184</v>
      </c>
      <c r="I182" s="2" t="s">
        <v>184</v>
      </c>
      <c r="J182" s="2" t="b">
        <f t="shared" si="6"/>
        <v>1</v>
      </c>
      <c r="K182" s="2">
        <v>2.4750000000000001</v>
      </c>
      <c r="L182" s="2" t="s">
        <v>1187</v>
      </c>
      <c r="M182" s="2" t="s">
        <v>1193</v>
      </c>
      <c r="N182" s="8">
        <v>0.45250000000000001</v>
      </c>
      <c r="O182" s="2" t="s">
        <v>49</v>
      </c>
      <c r="P182" s="2" t="s">
        <v>50</v>
      </c>
      <c r="Q182" s="2" t="s">
        <v>173</v>
      </c>
      <c r="R182" s="2" t="s">
        <v>52</v>
      </c>
      <c r="S182" s="2" t="s">
        <v>53</v>
      </c>
      <c r="T182" s="2" t="s">
        <v>139</v>
      </c>
      <c r="U182" s="2" t="s">
        <v>55</v>
      </c>
      <c r="V182" s="2" t="s">
        <v>56</v>
      </c>
      <c r="W182" s="2" t="s">
        <v>57</v>
      </c>
      <c r="X182" s="2">
        <v>110380500</v>
      </c>
      <c r="Y182" s="2" t="s">
        <v>484</v>
      </c>
      <c r="Z182" s="2" t="s">
        <v>562</v>
      </c>
      <c r="AA182" s="2" t="s">
        <v>60</v>
      </c>
      <c r="AB182" s="2" t="s">
        <v>486</v>
      </c>
      <c r="AC182" s="2" t="s">
        <v>1151</v>
      </c>
      <c r="AD182" s="2" t="s">
        <v>1151</v>
      </c>
      <c r="AE182" s="2" t="s">
        <v>1189</v>
      </c>
      <c r="AF182" s="5">
        <v>50</v>
      </c>
      <c r="AG182" s="5">
        <v>50</v>
      </c>
      <c r="AH182" s="2" t="str">
        <f t="shared" si="0"/>
        <v>yes</v>
      </c>
      <c r="AI182" s="2" t="str" cm="1">
        <f t="array" ref="AI182">_xlfn.IFS(AF182&lt;25,"Less",AF182=25,"Equal",AF182&gt;25,"More")</f>
        <v>More</v>
      </c>
      <c r="AJ182" s="6"/>
      <c r="AK182" s="6" t="s">
        <v>611</v>
      </c>
      <c r="AL182" s="2" t="s">
        <v>1194</v>
      </c>
      <c r="AM182" s="5" t="str">
        <f>VLOOKUP(D182,'slb RAW'!$E$2:$AF$293,9)</f>
        <v>#N/A N/A</v>
      </c>
      <c r="AN182" s="2" t="str">
        <f>VLOOKUP(D182,'slb RAW'!$E$2:$AE$293,27)</f>
        <v>#N/A N/A</v>
      </c>
      <c r="AO182" s="2" t="e">
        <f>VLOOKUP(C182,'Refinitiv SLB'!F182:S359,14)</f>
        <v>#N/A</v>
      </c>
      <c r="AP182" s="2" t="str">
        <f t="shared" si="1"/>
        <v>#N/A N/A</v>
      </c>
      <c r="AQ182" s="7" t="str">
        <f t="shared" si="2"/>
        <v>M FINANCE SASUAT MATURITYFIXEDEURSr Unsecured</v>
      </c>
      <c r="AR182" s="5" t="b">
        <f ca="1">ISNUMBER( IFERROR(VLOOKUP(A182,Pairs!$E$2:$E$57,1,FALSE),FALSE))</f>
        <v>0</v>
      </c>
      <c r="AS182" s="5"/>
      <c r="AT182" s="5"/>
    </row>
    <row r="183" spans="1:46" ht="15.75" customHeight="1" x14ac:dyDescent="0.2">
      <c r="A183" s="2">
        <v>179</v>
      </c>
      <c r="B183" s="2" t="s">
        <v>1183</v>
      </c>
      <c r="C183" s="2" t="str">
        <f>VLOOKUP(D183,'slb RAW'!$E:$F,2)</f>
        <v>FR0014004UC0</v>
      </c>
      <c r="D183" s="2" t="s">
        <v>1195</v>
      </c>
      <c r="E183" s="2" t="s">
        <v>1196</v>
      </c>
      <c r="F183" s="2" t="s">
        <v>1186</v>
      </c>
      <c r="G183" s="2" t="s">
        <v>184</v>
      </c>
      <c r="H183" s="2" t="s">
        <v>184</v>
      </c>
      <c r="I183" s="2" t="s">
        <v>184</v>
      </c>
      <c r="J183" s="2" t="b">
        <f t="shared" si="6"/>
        <v>1</v>
      </c>
      <c r="K183" s="2">
        <v>2.95</v>
      </c>
      <c r="L183" s="2" t="s">
        <v>1187</v>
      </c>
      <c r="M183" s="2" t="s">
        <v>1197</v>
      </c>
      <c r="N183" s="8">
        <v>0.80320000000000003</v>
      </c>
      <c r="O183" s="2" t="s">
        <v>49</v>
      </c>
      <c r="P183" s="2" t="s">
        <v>50</v>
      </c>
      <c r="Q183" s="2" t="s">
        <v>553</v>
      </c>
      <c r="R183" s="2" t="s">
        <v>52</v>
      </c>
      <c r="S183" s="2" t="s">
        <v>53</v>
      </c>
      <c r="T183" s="2" t="s">
        <v>139</v>
      </c>
      <c r="U183" s="2" t="s">
        <v>55</v>
      </c>
      <c r="V183" s="2" t="s">
        <v>56</v>
      </c>
      <c r="W183" s="2" t="s">
        <v>57</v>
      </c>
      <c r="X183" s="2">
        <v>9295200</v>
      </c>
      <c r="Y183" s="2" t="s">
        <v>484</v>
      </c>
      <c r="Z183" s="2" t="s">
        <v>562</v>
      </c>
      <c r="AA183" s="2" t="s">
        <v>60</v>
      </c>
      <c r="AB183" s="2" t="s">
        <v>486</v>
      </c>
      <c r="AC183" s="2" t="s">
        <v>1151</v>
      </c>
      <c r="AD183" s="2" t="s">
        <v>1151</v>
      </c>
      <c r="AE183" s="2" t="s">
        <v>1189</v>
      </c>
      <c r="AF183" s="5">
        <v>50</v>
      </c>
      <c r="AG183" s="5">
        <v>50</v>
      </c>
      <c r="AH183" s="2" t="str">
        <f t="shared" si="0"/>
        <v>yes</v>
      </c>
      <c r="AI183" s="2" t="str" cm="1">
        <f t="array" ref="AI183">_xlfn.IFS(AF183&lt;25,"Less",AF183=25,"Equal",AF183&gt;25,"More")</f>
        <v>More</v>
      </c>
      <c r="AJ183" s="6"/>
      <c r="AK183" s="6" t="s">
        <v>611</v>
      </c>
      <c r="AL183" s="2" t="s">
        <v>1194</v>
      </c>
      <c r="AM183" s="5" t="str">
        <f>VLOOKUP(D183,'slb RAW'!$E$2:$AF$293,9)</f>
        <v>#N/A N/A</v>
      </c>
      <c r="AN183" s="2" t="str">
        <f>VLOOKUP(D183,'slb RAW'!$E$2:$AE$293,27)</f>
        <v>#N/A N/A</v>
      </c>
      <c r="AO183" s="2" t="e">
        <f>VLOOKUP(C183,'Refinitiv SLB'!F183:S360,14)</f>
        <v>#N/A</v>
      </c>
      <c r="AP183" s="2" t="str">
        <f t="shared" si="1"/>
        <v>#N/A N/A</v>
      </c>
      <c r="AQ183" s="7" t="str">
        <f t="shared" si="2"/>
        <v>M FINANCE SASUAT MATURITYFIXEDEURSr Unsecured</v>
      </c>
      <c r="AR183" s="5" t="b">
        <f ca="1">ISNUMBER( IFERROR(VLOOKUP(A183,Pairs!$E$2:$E$57,1,FALSE),FALSE))</f>
        <v>0</v>
      </c>
      <c r="AS183" s="5"/>
      <c r="AT183" s="5"/>
    </row>
    <row r="184" spans="1:46" s="80" customFormat="1" ht="15.75" customHeight="1" x14ac:dyDescent="0.2">
      <c r="A184" s="79">
        <v>182</v>
      </c>
      <c r="B184" s="79" t="s">
        <v>1198</v>
      </c>
      <c r="C184" s="79" t="str">
        <f>VLOOKUP(D184,'slb RAW'!$E:$F,2)</f>
        <v>PTMENYOM0005</v>
      </c>
      <c r="D184" s="79" t="s">
        <v>1199</v>
      </c>
      <c r="E184" s="79" t="s">
        <v>1200</v>
      </c>
      <c r="F184" s="79" t="s">
        <v>1201</v>
      </c>
      <c r="G184" s="79" t="s">
        <v>1202</v>
      </c>
      <c r="H184" s="79" t="s">
        <v>1202</v>
      </c>
      <c r="I184" s="79" t="s">
        <v>1202</v>
      </c>
      <c r="J184" s="2" t="b">
        <f t="shared" si="6"/>
        <v>1</v>
      </c>
      <c r="K184" s="79">
        <v>4.25</v>
      </c>
      <c r="L184" s="79" t="s">
        <v>1203</v>
      </c>
      <c r="M184" s="79" t="s">
        <v>1204</v>
      </c>
      <c r="N184" s="81">
        <v>4.1913999999999998</v>
      </c>
      <c r="O184" s="79" t="s">
        <v>1205</v>
      </c>
      <c r="P184" s="79" t="s">
        <v>50</v>
      </c>
      <c r="Q184" s="79" t="s">
        <v>173</v>
      </c>
      <c r="R184" s="79" t="s">
        <v>52</v>
      </c>
      <c r="S184" s="79" t="s">
        <v>53</v>
      </c>
      <c r="T184" s="79" t="s">
        <v>139</v>
      </c>
      <c r="U184" s="79" t="s">
        <v>55</v>
      </c>
      <c r="V184" s="79" t="s">
        <v>56</v>
      </c>
      <c r="W184" s="79" t="s">
        <v>71</v>
      </c>
      <c r="X184" s="79">
        <v>149192434.875</v>
      </c>
      <c r="Y184" s="79" t="s">
        <v>58</v>
      </c>
      <c r="Z184" s="79" t="s">
        <v>505</v>
      </c>
      <c r="AA184" s="79" t="s">
        <v>60</v>
      </c>
      <c r="AB184" s="79" t="s">
        <v>61</v>
      </c>
      <c r="AC184" s="79" t="s">
        <v>62</v>
      </c>
      <c r="AD184" s="79" t="s">
        <v>62</v>
      </c>
      <c r="AE184" s="79" t="s">
        <v>1206</v>
      </c>
      <c r="AF184" s="113" t="s">
        <v>139</v>
      </c>
      <c r="AG184" s="82"/>
      <c r="AH184" s="79" t="str">
        <f t="shared" si="0"/>
        <v/>
      </c>
      <c r="AI184" s="113" t="s">
        <v>139</v>
      </c>
      <c r="AJ184" s="82"/>
      <c r="AK184" s="82" t="s">
        <v>251</v>
      </c>
      <c r="AL184" s="79" t="s">
        <v>1207</v>
      </c>
      <c r="AM184" s="83" t="str">
        <f>VLOOKUP(D184,'slb RAW'!$E$2:$AF$293,9)</f>
        <v>#N/A N/A</v>
      </c>
      <c r="AN184" s="79" t="str">
        <f>VLOOKUP(D184,'slb RAW'!$E$2:$AE$293,27)</f>
        <v>#N/A N/A</v>
      </c>
      <c r="AO184" s="79" t="e">
        <f>VLOOKUP(C184,'Refinitiv SLB'!F184:S361,14)</f>
        <v>#N/A</v>
      </c>
      <c r="AP184" s="79" t="str">
        <f t="shared" si="1"/>
        <v>#N/A N/A</v>
      </c>
      <c r="AQ184" s="84" t="str">
        <f t="shared" si="2"/>
        <v>Mota-Engil SGPS SASINKABLEFIXEDEURSr Unsecured</v>
      </c>
      <c r="AR184" s="83" t="b">
        <f ca="1">ISNUMBER( IFERROR(VLOOKUP(A184,Pairs!$E$2:$E$57,1,FALSE),FALSE))</f>
        <v>1</v>
      </c>
      <c r="AS184" s="83"/>
      <c r="AT184" s="83"/>
    </row>
    <row r="185" spans="1:46" ht="15.75" customHeight="1" x14ac:dyDescent="0.2">
      <c r="A185" s="2">
        <v>173</v>
      </c>
      <c r="B185" s="2" t="s">
        <v>1208</v>
      </c>
      <c r="C185" s="2" t="str">
        <f>VLOOKUP(D185,'slb RAW'!$E:$F,2)</f>
        <v>SE0013360559</v>
      </c>
      <c r="D185" s="2" t="s">
        <v>1209</v>
      </c>
      <c r="E185" s="2" t="s">
        <v>1210</v>
      </c>
      <c r="F185" s="2" t="s">
        <v>1211</v>
      </c>
      <c r="G185" s="2" t="s">
        <v>367</v>
      </c>
      <c r="H185" s="2" t="s">
        <v>367</v>
      </c>
      <c r="I185" s="2" t="s">
        <v>367</v>
      </c>
      <c r="J185" s="2" t="b">
        <f t="shared" si="6"/>
        <v>1</v>
      </c>
      <c r="K185" s="2">
        <v>1.29</v>
      </c>
      <c r="L185" s="2" t="s">
        <v>1212</v>
      </c>
      <c r="M185" s="2" t="s">
        <v>1213</v>
      </c>
      <c r="N185" s="8">
        <v>1.29</v>
      </c>
      <c r="O185" s="2" t="s">
        <v>49</v>
      </c>
      <c r="P185" s="2" t="s">
        <v>50</v>
      </c>
      <c r="Q185" s="2" t="s">
        <v>685</v>
      </c>
      <c r="R185" s="2" t="s">
        <v>52</v>
      </c>
      <c r="S185" s="2" t="s">
        <v>686</v>
      </c>
      <c r="T185" s="2" t="s">
        <v>139</v>
      </c>
      <c r="U185" s="2" t="s">
        <v>55</v>
      </c>
      <c r="V185" s="2" t="s">
        <v>70</v>
      </c>
      <c r="W185" s="2" t="s">
        <v>391</v>
      </c>
      <c r="X185" s="2">
        <v>165808500</v>
      </c>
      <c r="Y185" s="2" t="s">
        <v>134</v>
      </c>
      <c r="Z185" s="2" t="s">
        <v>676</v>
      </c>
      <c r="AA185" s="2" t="s">
        <v>60</v>
      </c>
      <c r="AB185" s="2" t="s">
        <v>61</v>
      </c>
      <c r="AC185" s="2" t="s">
        <v>136</v>
      </c>
      <c r="AD185" s="2" t="s">
        <v>310</v>
      </c>
      <c r="AE185" s="2" t="s">
        <v>1214</v>
      </c>
      <c r="AF185" s="11">
        <v>100</v>
      </c>
      <c r="AG185" s="6"/>
      <c r="AH185" s="2" t="str">
        <f t="shared" si="0"/>
        <v/>
      </c>
      <c r="AI185" s="2" t="str" cm="1">
        <f t="array" ref="AI185">_xlfn.IFS(AF185&lt;25,"Less",AF185=25,"Equal",AF185&gt;25,"More")</f>
        <v>More</v>
      </c>
      <c r="AJ185" s="6"/>
      <c r="AK185" s="6" t="s">
        <v>125</v>
      </c>
      <c r="AL185" s="2" t="s">
        <v>1215</v>
      </c>
      <c r="AM185" s="5" t="str">
        <f>VLOOKUP(D185,'slb RAW'!$E$2:$AF$293,9)</f>
        <v>#N/A N/A</v>
      </c>
      <c r="AN185" s="2" t="str">
        <f>VLOOKUP(D185,'slb RAW'!$E$2:$AE$293,27)</f>
        <v>#N/A N/A</v>
      </c>
      <c r="AO185" s="2" t="e">
        <f>VLOOKUP(C185,'Refinitiv SLB'!F185:S362,14)</f>
        <v>#N/A</v>
      </c>
      <c r="AP185" s="2" t="str">
        <f t="shared" si="1"/>
        <v>#N/A N/A</v>
      </c>
      <c r="AQ185" s="7" t="str">
        <f t="shared" si="2"/>
        <v>Loomis ABAT MATURITYFLOATINGSEKSr Unsecured</v>
      </c>
      <c r="AR185" s="5" t="b">
        <f ca="1">ISNUMBER( IFERROR(VLOOKUP(A185,Pairs!$E$2:$E$57,1,FALSE),FALSE))</f>
        <v>0</v>
      </c>
      <c r="AS185" s="5"/>
      <c r="AT185" s="5"/>
    </row>
    <row r="186" spans="1:46" ht="15.75" customHeight="1" x14ac:dyDescent="0.2">
      <c r="A186" s="2">
        <v>163</v>
      </c>
      <c r="B186" s="2" t="s">
        <v>1216</v>
      </c>
      <c r="C186" s="2" t="str">
        <f>VLOOKUP(D186,'slb RAW'!$E:$F,2)</f>
        <v>XS2415386726</v>
      </c>
      <c r="D186" s="2" t="s">
        <v>1217</v>
      </c>
      <c r="E186" s="2" t="s">
        <v>1218</v>
      </c>
      <c r="F186" s="2" t="s">
        <v>1219</v>
      </c>
      <c r="G186" s="2" t="s">
        <v>45</v>
      </c>
      <c r="H186" s="2" t="s">
        <v>45</v>
      </c>
      <c r="I186" s="2" t="s">
        <v>45</v>
      </c>
      <c r="J186" s="2" t="b">
        <f t="shared" si="6"/>
        <v>1</v>
      </c>
      <c r="K186" s="2">
        <v>0.625</v>
      </c>
      <c r="L186" s="2" t="s">
        <v>1220</v>
      </c>
      <c r="M186" s="2" t="s">
        <v>1221</v>
      </c>
      <c r="N186" s="2">
        <v>0.73799999999999999</v>
      </c>
      <c r="O186" s="2" t="s">
        <v>115</v>
      </c>
      <c r="P186" s="2" t="s">
        <v>116</v>
      </c>
      <c r="Q186" s="2" t="s">
        <v>225</v>
      </c>
      <c r="R186" s="2" t="s">
        <v>52</v>
      </c>
      <c r="S186" s="2" t="s">
        <v>53</v>
      </c>
      <c r="T186" s="2" t="s">
        <v>174</v>
      </c>
      <c r="U186" s="2" t="s">
        <v>420</v>
      </c>
      <c r="V186" s="2" t="s">
        <v>56</v>
      </c>
      <c r="W186" s="2" t="s">
        <v>57</v>
      </c>
      <c r="X186" s="2">
        <v>679416000</v>
      </c>
      <c r="Y186" s="2" t="s">
        <v>85</v>
      </c>
      <c r="Z186" s="2" t="s">
        <v>514</v>
      </c>
      <c r="AA186" s="2" t="s">
        <v>60</v>
      </c>
      <c r="AB186" s="2" t="s">
        <v>61</v>
      </c>
      <c r="AC186" s="2" t="s">
        <v>87</v>
      </c>
      <c r="AD186" s="2" t="s">
        <v>514</v>
      </c>
      <c r="AE186" s="2" t="s">
        <v>1222</v>
      </c>
      <c r="AF186" s="6">
        <v>25</v>
      </c>
      <c r="AG186" s="6"/>
      <c r="AH186" s="2" t="str">
        <f t="shared" si="0"/>
        <v/>
      </c>
      <c r="AI186" s="2" t="str" cm="1">
        <f t="array" ref="AI186">_xlfn.IFS(AF186&lt;25,"Less",AF186=25,"Equal",AF186&gt;25,"More")</f>
        <v>Equal</v>
      </c>
      <c r="AJ186" s="6"/>
      <c r="AK186" s="6" t="s">
        <v>125</v>
      </c>
      <c r="AL186" s="2" t="s">
        <v>1223</v>
      </c>
      <c r="AM186" s="5">
        <f>VLOOKUP(D186,'slb RAW'!$E$2:$AF$293,9)</f>
        <v>0.73799999999999999</v>
      </c>
      <c r="AN186" s="2">
        <f>VLOOKUP(D186,'slb RAW'!$E$2:$AE$293,27)</f>
        <v>0.58099999999999996</v>
      </c>
      <c r="AO186" s="2" t="e">
        <f>VLOOKUP(C186,'Refinitiv SLB'!F186:S363,14)</f>
        <v>#N/A</v>
      </c>
      <c r="AP186" s="2">
        <f t="shared" si="1"/>
        <v>0.58099999999999996</v>
      </c>
      <c r="AQ186" s="7" t="str">
        <f t="shared" si="2"/>
        <v>LANXESS AGCALLABLEFIXEDEURSr Unsecured</v>
      </c>
      <c r="AR186" s="5" t="b">
        <f ca="1">ISNUMBER( IFERROR(VLOOKUP(A186,Pairs!$E$2:$E$57,1,FALSE),FALSE))</f>
        <v>1</v>
      </c>
      <c r="AS186" s="5"/>
      <c r="AT186" s="5"/>
    </row>
    <row r="187" spans="1:46" ht="15.75" customHeight="1" x14ac:dyDescent="0.2">
      <c r="A187" s="2">
        <v>154</v>
      </c>
      <c r="B187" s="2" t="s">
        <v>1224</v>
      </c>
      <c r="C187" s="2" t="str">
        <f>VLOOKUP(D187,'slb RAW'!$E:$F,2)</f>
        <v>XS2414830963</v>
      </c>
      <c r="D187" s="2" t="s">
        <v>1225</v>
      </c>
      <c r="E187" s="2" t="s">
        <v>1226</v>
      </c>
      <c r="F187" s="2" t="s">
        <v>1227</v>
      </c>
      <c r="G187" s="2" t="s">
        <v>594</v>
      </c>
      <c r="H187" s="2" t="s">
        <v>594</v>
      </c>
      <c r="I187" s="2" t="s">
        <v>594</v>
      </c>
      <c r="J187" s="2" t="b">
        <f t="shared" si="6"/>
        <v>1</v>
      </c>
      <c r="K187" s="2">
        <v>0.875</v>
      </c>
      <c r="L187" s="2" t="s">
        <v>1220</v>
      </c>
      <c r="M187" s="2" t="s">
        <v>1228</v>
      </c>
      <c r="N187" s="2">
        <v>0.93100000000000005</v>
      </c>
      <c r="O187" s="2" t="s">
        <v>115</v>
      </c>
      <c r="P187" s="2" t="s">
        <v>116</v>
      </c>
      <c r="Q187" s="2" t="s">
        <v>173</v>
      </c>
      <c r="R187" s="2" t="s">
        <v>52</v>
      </c>
      <c r="S187" s="2" t="s">
        <v>53</v>
      </c>
      <c r="T187" s="2" t="s">
        <v>174</v>
      </c>
      <c r="U187" s="2" t="s">
        <v>55</v>
      </c>
      <c r="V187" s="2" t="s">
        <v>56</v>
      </c>
      <c r="W187" s="2" t="s">
        <v>57</v>
      </c>
      <c r="X187" s="2">
        <v>849270000</v>
      </c>
      <c r="Y187" s="2" t="s">
        <v>421</v>
      </c>
      <c r="Z187" s="2" t="s">
        <v>663</v>
      </c>
      <c r="AA187" s="2" t="s">
        <v>60</v>
      </c>
      <c r="AB187" s="2" t="s">
        <v>61</v>
      </c>
      <c r="AC187" s="2" t="s">
        <v>227</v>
      </c>
      <c r="AD187" s="2" t="s">
        <v>664</v>
      </c>
      <c r="AE187" s="2" t="s">
        <v>1229</v>
      </c>
      <c r="AF187" s="5">
        <v>100</v>
      </c>
      <c r="AG187" s="6"/>
      <c r="AH187" s="2" t="str">
        <f t="shared" si="0"/>
        <v/>
      </c>
      <c r="AI187" s="2" t="str" cm="1">
        <f t="array" ref="AI187">_xlfn.IFS(AF187&lt;25,"Less",AF187=25,"Equal",AF187&gt;25,"More")</f>
        <v>More</v>
      </c>
      <c r="AJ187" s="6" t="s">
        <v>5517</v>
      </c>
      <c r="AK187" s="6" t="s">
        <v>125</v>
      </c>
      <c r="AL187" s="2" t="s">
        <v>1230</v>
      </c>
      <c r="AM187" s="5">
        <f>VLOOKUP(D187,'slb RAW'!$E$2:$AF$293,9)</f>
        <v>0.93100000000000005</v>
      </c>
      <c r="AN187" s="2">
        <f>VLOOKUP(D187,'slb RAW'!$E$2:$AE$293,27)</f>
        <v>0.81799999999999995</v>
      </c>
      <c r="AO187" s="2" t="e">
        <f>VLOOKUP(C187,'Refinitiv SLB'!F187:S364,14)</f>
        <v>#N/A</v>
      </c>
      <c r="AP187" s="2">
        <f t="shared" si="1"/>
        <v>0.81799999999999995</v>
      </c>
      <c r="AQ187" s="7" t="str">
        <f t="shared" si="2"/>
        <v>Kerry Group Financial Services Unltd CoCALLABLEFIXEDEURSr Unsecured</v>
      </c>
      <c r="AR187" s="5" t="b">
        <f ca="1">ISNUMBER( IFERROR(VLOOKUP(A187,Pairs!$E$2:$E$57,1,FALSE),FALSE))</f>
        <v>1</v>
      </c>
      <c r="AS187" s="5"/>
      <c r="AT187" s="5"/>
    </row>
    <row r="188" spans="1:46" s="80" customFormat="1" ht="15.75" customHeight="1" x14ac:dyDescent="0.2">
      <c r="A188" s="79">
        <v>152</v>
      </c>
      <c r="B188" s="79" t="s">
        <v>1231</v>
      </c>
      <c r="C188" s="79" t="str">
        <f>VLOOKUP(D188,'slb RAW'!$E:$F,2)</f>
        <v>SE0017085285</v>
      </c>
      <c r="D188" s="79" t="s">
        <v>1232</v>
      </c>
      <c r="E188" s="79" t="s">
        <v>1233</v>
      </c>
      <c r="F188" s="79" t="s">
        <v>1234</v>
      </c>
      <c r="G188" s="79" t="s">
        <v>367</v>
      </c>
      <c r="H188" s="79" t="s">
        <v>367</v>
      </c>
      <c r="I188" s="79" t="s">
        <v>367</v>
      </c>
      <c r="J188" s="2" t="b">
        <f t="shared" si="6"/>
        <v>1</v>
      </c>
      <c r="K188" s="79">
        <v>6</v>
      </c>
      <c r="L188" s="79" t="s">
        <v>1028</v>
      </c>
      <c r="M188" s="79" t="s">
        <v>1235</v>
      </c>
      <c r="N188" s="81">
        <v>5.8059000000000003</v>
      </c>
      <c r="O188" s="79" t="s">
        <v>115</v>
      </c>
      <c r="P188" s="79" t="s">
        <v>116</v>
      </c>
      <c r="Q188" s="79" t="s">
        <v>685</v>
      </c>
      <c r="R188" s="79" t="s">
        <v>458</v>
      </c>
      <c r="S188" s="79" t="s">
        <v>686</v>
      </c>
      <c r="T188" s="79" t="s">
        <v>54</v>
      </c>
      <c r="U188" s="79" t="s">
        <v>55</v>
      </c>
      <c r="V188" s="79" t="s">
        <v>70</v>
      </c>
      <c r="W188" s="79" t="s">
        <v>391</v>
      </c>
      <c r="X188" s="79">
        <v>158862000</v>
      </c>
      <c r="Y188" s="79" t="s">
        <v>134</v>
      </c>
      <c r="Z188" s="79" t="s">
        <v>1236</v>
      </c>
      <c r="AA188" s="79" t="s">
        <v>60</v>
      </c>
      <c r="AB188" s="79" t="s">
        <v>61</v>
      </c>
      <c r="AC188" s="79" t="s">
        <v>176</v>
      </c>
      <c r="AD188" s="79" t="s">
        <v>177</v>
      </c>
      <c r="AE188" s="79" t="s">
        <v>1237</v>
      </c>
      <c r="AF188" s="83">
        <v>50</v>
      </c>
      <c r="AG188" s="82"/>
      <c r="AH188" s="79" t="str">
        <f t="shared" si="0"/>
        <v/>
      </c>
      <c r="AI188" s="2" t="str" cm="1">
        <f t="array" ref="AI188">_xlfn.IFS(AF188&lt;25,"Less",AF188=25,"Equal",AF188&gt;25,"More")</f>
        <v>More</v>
      </c>
      <c r="AJ188" s="82"/>
      <c r="AK188" s="82" t="s">
        <v>125</v>
      </c>
      <c r="AL188" s="79" t="s">
        <v>1238</v>
      </c>
      <c r="AM188" s="83" t="str">
        <f>VLOOKUP(D188,'slb RAW'!$E$2:$AF$293,9)</f>
        <v>#N/A N/A</v>
      </c>
      <c r="AN188" s="79">
        <f>VLOOKUP(D188,'slb RAW'!$E$2:$AE$293,27)</f>
        <v>5.7210000000000001</v>
      </c>
      <c r="AO188" s="79" t="e">
        <f>VLOOKUP(C188,'Refinitiv SLB'!F188:S365,14)</f>
        <v>#N/A</v>
      </c>
      <c r="AP188" s="79">
        <f t="shared" si="1"/>
        <v>5.7210000000000001</v>
      </c>
      <c r="AQ188" s="84" t="str">
        <f t="shared" si="2"/>
        <v>Kahrs BondCo ABCALLABLEFLOATINGSEKSecured</v>
      </c>
      <c r="AR188" s="83" t="b">
        <f ca="1">ISNUMBER( IFERROR(VLOOKUP(A188,Pairs!$E$2:$E$57,1,FALSE),FALSE))</f>
        <v>0</v>
      </c>
      <c r="AS188" s="83"/>
      <c r="AT188" s="83"/>
    </row>
    <row r="189" spans="1:46" ht="15.75" customHeight="1" x14ac:dyDescent="0.2">
      <c r="A189" s="2">
        <v>226</v>
      </c>
      <c r="B189" s="2" t="s">
        <v>1239</v>
      </c>
      <c r="C189" s="2" t="str">
        <f>VLOOKUP(D189,'slb RAW'!$E:$F,2)</f>
        <v>XS2417499832</v>
      </c>
      <c r="D189" s="2" t="s">
        <v>1240</v>
      </c>
      <c r="E189" s="2" t="s">
        <v>1241</v>
      </c>
      <c r="F189" s="2" t="s">
        <v>1242</v>
      </c>
      <c r="G189" s="2" t="s">
        <v>199</v>
      </c>
      <c r="H189" s="2" t="s">
        <v>199</v>
      </c>
      <c r="I189" s="2" t="s">
        <v>199</v>
      </c>
      <c r="J189" s="2" t="b">
        <f t="shared" si="6"/>
        <v>1</v>
      </c>
      <c r="K189" s="2">
        <v>5.25</v>
      </c>
      <c r="L189" s="2" t="s">
        <v>1243</v>
      </c>
      <c r="M189" s="2" t="s">
        <v>224</v>
      </c>
      <c r="N189" s="8">
        <v>5.4771000000000001</v>
      </c>
      <c r="O189" s="2" t="s">
        <v>115</v>
      </c>
      <c r="P189" s="2" t="s">
        <v>116</v>
      </c>
      <c r="Q189" s="2" t="s">
        <v>261</v>
      </c>
      <c r="R189" s="2" t="s">
        <v>458</v>
      </c>
      <c r="S189" s="2" t="s">
        <v>53</v>
      </c>
      <c r="T189" s="2" t="s">
        <v>350</v>
      </c>
      <c r="U189" s="2" t="s">
        <v>55</v>
      </c>
      <c r="V189" s="2" t="s">
        <v>70</v>
      </c>
      <c r="W189" s="2" t="s">
        <v>391</v>
      </c>
      <c r="X189" s="2">
        <v>501595100</v>
      </c>
      <c r="Y189" s="2" t="s">
        <v>85</v>
      </c>
      <c r="Z189" s="2" t="s">
        <v>264</v>
      </c>
      <c r="AA189" s="2" t="s">
        <v>60</v>
      </c>
      <c r="AB189" s="2" t="s">
        <v>61</v>
      </c>
      <c r="AC189" s="2" t="s">
        <v>87</v>
      </c>
      <c r="AD189" s="2" t="s">
        <v>265</v>
      </c>
      <c r="AE189" s="2" t="s">
        <v>1244</v>
      </c>
      <c r="AF189" s="6">
        <v>75</v>
      </c>
      <c r="AG189" s="6"/>
      <c r="AH189" s="2" t="str">
        <f t="shared" si="0"/>
        <v/>
      </c>
      <c r="AI189" s="2" t="str" cm="1">
        <f t="array" ref="AI189">_xlfn.IFS(AF189&lt;25,"Less",AF189=25,"Equal",AF189&gt;25,"More")</f>
        <v>More</v>
      </c>
      <c r="AJ189" s="6" t="s">
        <v>5517</v>
      </c>
      <c r="AK189" s="6" t="s">
        <v>125</v>
      </c>
      <c r="AL189" s="2" t="s">
        <v>1245</v>
      </c>
      <c r="AM189" s="5" t="str">
        <f>VLOOKUP(D189,'slb RAW'!$E$2:$AF$293,9)</f>
        <v>#N/A N/A</v>
      </c>
      <c r="AN189" s="2">
        <f>VLOOKUP(D189,'slb RAW'!$E$2:$AE$293,27)</f>
        <v>5.5110000000000001</v>
      </c>
      <c r="AO189" s="2" t="e">
        <f>VLOOKUP(C189,'Refinitiv SLB'!F189:S366,14)</f>
        <v>#N/A</v>
      </c>
      <c r="AP189" s="2">
        <f t="shared" si="1"/>
        <v>5.5110000000000001</v>
      </c>
      <c r="AQ189" s="7" t="str">
        <f t="shared" si="2"/>
        <v>Rimini Bidco SpACALLABLEFLOATINGEURSecured</v>
      </c>
      <c r="AR189" s="5" t="b">
        <f ca="1">ISNUMBER( IFERROR(VLOOKUP(A189,Pairs!$E$2:$E$57,1,FALSE),FALSE))</f>
        <v>0</v>
      </c>
      <c r="AS189" s="5"/>
      <c r="AT189" s="5"/>
    </row>
    <row r="190" spans="1:46" ht="15.75" customHeight="1" x14ac:dyDescent="0.2">
      <c r="A190" s="2">
        <v>227</v>
      </c>
      <c r="B190" s="2" t="s">
        <v>1239</v>
      </c>
      <c r="C190" s="2" t="str">
        <f>VLOOKUP(D190,'slb RAW'!$E:$F,2)</f>
        <v>XS2417486771</v>
      </c>
      <c r="D190" s="2" t="s">
        <v>1246</v>
      </c>
      <c r="E190" s="2" t="s">
        <v>1247</v>
      </c>
      <c r="F190" s="2" t="s">
        <v>1242</v>
      </c>
      <c r="G190" s="2" t="s">
        <v>199</v>
      </c>
      <c r="H190" s="2" t="s">
        <v>199</v>
      </c>
      <c r="I190" s="2" t="s">
        <v>199</v>
      </c>
      <c r="J190" s="2" t="b">
        <f t="shared" si="6"/>
        <v>1</v>
      </c>
      <c r="K190" s="2">
        <v>5.25</v>
      </c>
      <c r="L190" s="2" t="s">
        <v>1243</v>
      </c>
      <c r="M190" s="2" t="s">
        <v>224</v>
      </c>
      <c r="N190" s="8">
        <v>5.1708999999999996</v>
      </c>
      <c r="O190" s="2" t="s">
        <v>115</v>
      </c>
      <c r="P190" s="2" t="s">
        <v>116</v>
      </c>
      <c r="Q190" s="2" t="s">
        <v>270</v>
      </c>
      <c r="R190" s="2" t="s">
        <v>458</v>
      </c>
      <c r="S190" s="2" t="s">
        <v>53</v>
      </c>
      <c r="T190" s="2" t="s">
        <v>350</v>
      </c>
      <c r="U190" s="2" t="s">
        <v>55</v>
      </c>
      <c r="V190" s="2" t="s">
        <v>70</v>
      </c>
      <c r="W190" s="2" t="s">
        <v>391</v>
      </c>
      <c r="X190" s="2">
        <v>501595100</v>
      </c>
      <c r="Y190" s="2" t="s">
        <v>85</v>
      </c>
      <c r="Z190" s="2" t="s">
        <v>264</v>
      </c>
      <c r="AA190" s="2" t="s">
        <v>60</v>
      </c>
      <c r="AB190" s="2" t="s">
        <v>61</v>
      </c>
      <c r="AC190" s="2" t="s">
        <v>87</v>
      </c>
      <c r="AD190" s="2" t="s">
        <v>265</v>
      </c>
      <c r="AE190" s="2" t="s">
        <v>1244</v>
      </c>
      <c r="AF190" s="6">
        <v>75</v>
      </c>
      <c r="AG190" s="6"/>
      <c r="AH190" s="2" t="str">
        <f t="shared" si="0"/>
        <v/>
      </c>
      <c r="AI190" s="2" t="str" cm="1">
        <f t="array" ref="AI190">_xlfn.IFS(AF190&lt;25,"Less",AF190=25,"Equal",AF190&gt;25,"More")</f>
        <v>More</v>
      </c>
      <c r="AJ190" s="6" t="s">
        <v>5517</v>
      </c>
      <c r="AK190" s="6" t="s">
        <v>125</v>
      </c>
      <c r="AL190" s="2" t="s">
        <v>1248</v>
      </c>
      <c r="AM190" s="5" t="str">
        <f>VLOOKUP(D190,'slb RAW'!$E$2:$AF$293,9)</f>
        <v>#N/A N/A</v>
      </c>
      <c r="AN190" s="2">
        <f>VLOOKUP(D190,'slb RAW'!$E$2:$AE$293,27)</f>
        <v>5.5</v>
      </c>
      <c r="AO190" s="2" t="e">
        <f>VLOOKUP(C190,'Refinitiv SLB'!F190:S367,14)</f>
        <v>#N/A</v>
      </c>
      <c r="AP190" s="2">
        <f t="shared" si="1"/>
        <v>5.5</v>
      </c>
      <c r="AQ190" s="7" t="str">
        <f t="shared" si="2"/>
        <v>Rimini Bidco SpACALLABLEFLOATINGEURSecured</v>
      </c>
      <c r="AR190" s="5" t="b">
        <f ca="1">ISNUMBER( IFERROR(VLOOKUP(A190,Pairs!$E$2:$E$57,1,FALSE),FALSE))</f>
        <v>0</v>
      </c>
      <c r="AS190" s="5"/>
      <c r="AT190" s="5"/>
    </row>
    <row r="191" spans="1:46" ht="15.75" customHeight="1" x14ac:dyDescent="0.2">
      <c r="A191" s="2">
        <v>73</v>
      </c>
      <c r="B191" s="2" t="s">
        <v>1249</v>
      </c>
      <c r="C191" s="2" t="str">
        <f>VLOOKUP(D191,'slb RAW'!$E:$F,2)</f>
        <v>SE0016274260</v>
      </c>
      <c r="D191" s="2" t="s">
        <v>1250</v>
      </c>
      <c r="E191" s="2" t="s">
        <v>1251</v>
      </c>
      <c r="F191" s="2" t="s">
        <v>1252</v>
      </c>
      <c r="G191" s="2" t="s">
        <v>367</v>
      </c>
      <c r="H191" s="2" t="s">
        <v>367</v>
      </c>
      <c r="I191" s="2" t="s">
        <v>367</v>
      </c>
      <c r="J191" s="2" t="b">
        <f t="shared" si="6"/>
        <v>1</v>
      </c>
      <c r="K191" s="2">
        <v>0.92099999999999993</v>
      </c>
      <c r="L191" s="2" t="s">
        <v>1243</v>
      </c>
      <c r="M191" s="2" t="s">
        <v>224</v>
      </c>
      <c r="N191" s="10">
        <v>0.74580000000000002</v>
      </c>
      <c r="O191" s="2" t="s">
        <v>49</v>
      </c>
      <c r="P191" s="2" t="s">
        <v>50</v>
      </c>
      <c r="Q191" s="2" t="s">
        <v>685</v>
      </c>
      <c r="R191" s="2" t="s">
        <v>52</v>
      </c>
      <c r="S191" s="2" t="s">
        <v>686</v>
      </c>
      <c r="T191" s="2" t="s">
        <v>54</v>
      </c>
      <c r="U191" s="2" t="s">
        <v>55</v>
      </c>
      <c r="V191" s="2" t="s">
        <v>70</v>
      </c>
      <c r="W191" s="2" t="s">
        <v>391</v>
      </c>
      <c r="X191" s="2">
        <v>125879000</v>
      </c>
      <c r="Y191" s="2" t="s">
        <v>1049</v>
      </c>
      <c r="Z191" s="2" t="s">
        <v>1253</v>
      </c>
      <c r="AA191" s="2" t="s">
        <v>60</v>
      </c>
      <c r="AB191" s="2" t="s">
        <v>61</v>
      </c>
      <c r="AC191" s="2" t="s">
        <v>227</v>
      </c>
      <c r="AD191" s="2" t="s">
        <v>1254</v>
      </c>
      <c r="AE191" s="2" t="s">
        <v>1255</v>
      </c>
      <c r="AF191" s="11">
        <v>100</v>
      </c>
      <c r="AG191" s="6"/>
      <c r="AH191" s="2" t="str">
        <f t="shared" si="0"/>
        <v/>
      </c>
      <c r="AI191" s="2" t="str" cm="1">
        <f t="array" ref="AI191">_xlfn.IFS(AF191&lt;25,"Less",AF191=25,"Equal",AF191&gt;25,"More")</f>
        <v>More</v>
      </c>
      <c r="AJ191" s="11"/>
      <c r="AK191" s="11" t="s">
        <v>125</v>
      </c>
      <c r="AL191" s="2" t="s">
        <v>1256</v>
      </c>
      <c r="AM191" s="5" t="str">
        <f>VLOOKUP(D191,'slb RAW'!$E$2:$AF$293,9)</f>
        <v>#N/A N/A</v>
      </c>
      <c r="AN191" s="2">
        <f>VLOOKUP(D191,'slb RAW'!$E$2:$AE$293,27)</f>
        <v>0.69399999999999995</v>
      </c>
      <c r="AO191" s="2" t="e">
        <f>VLOOKUP(C191,'Refinitiv SLB'!F191:S368,14)</f>
        <v>#N/A</v>
      </c>
      <c r="AP191" s="2">
        <f t="shared" si="1"/>
        <v>0.69399999999999995</v>
      </c>
      <c r="AQ191" s="7" t="str">
        <f t="shared" si="2"/>
        <v>Elekta ABAT MATURITYFLOATINGSEKSr Unsecured</v>
      </c>
      <c r="AR191" s="5" t="b">
        <f ca="1">ISNUMBER( IFERROR(VLOOKUP(A191,Pairs!$E$2:$E$57,1,FALSE),FALSE))</f>
        <v>1</v>
      </c>
      <c r="AS191" s="5"/>
      <c r="AT191" s="5"/>
    </row>
    <row r="192" spans="1:46" ht="15.75" customHeight="1" x14ac:dyDescent="0.2">
      <c r="A192" s="2">
        <v>74</v>
      </c>
      <c r="B192" s="2" t="s">
        <v>1249</v>
      </c>
      <c r="C192" s="2" t="str">
        <f>VLOOKUP(D192,'slb RAW'!$E:$F,2)</f>
        <v>SE0016274278</v>
      </c>
      <c r="D192" s="2" t="s">
        <v>1257</v>
      </c>
      <c r="E192" s="2" t="s">
        <v>1258</v>
      </c>
      <c r="F192" s="2" t="s">
        <v>1252</v>
      </c>
      <c r="G192" s="2" t="s">
        <v>367</v>
      </c>
      <c r="H192" s="2" t="s">
        <v>367</v>
      </c>
      <c r="I192" s="2" t="s">
        <v>367</v>
      </c>
      <c r="J192" s="2" t="b">
        <f t="shared" si="6"/>
        <v>1</v>
      </c>
      <c r="K192" s="2">
        <v>1.925</v>
      </c>
      <c r="L192" s="2" t="s">
        <v>1243</v>
      </c>
      <c r="M192" s="2" t="s">
        <v>249</v>
      </c>
      <c r="N192" s="10">
        <v>1.8956</v>
      </c>
      <c r="O192" s="2" t="s">
        <v>49</v>
      </c>
      <c r="P192" s="2" t="s">
        <v>50</v>
      </c>
      <c r="Q192" s="2" t="s">
        <v>685</v>
      </c>
      <c r="R192" s="2" t="s">
        <v>52</v>
      </c>
      <c r="S192" s="2" t="s">
        <v>686</v>
      </c>
      <c r="T192" s="2" t="s">
        <v>54</v>
      </c>
      <c r="U192" s="2" t="s">
        <v>55</v>
      </c>
      <c r="V192" s="2" t="s">
        <v>56</v>
      </c>
      <c r="W192" s="2" t="s">
        <v>57</v>
      </c>
      <c r="X192" s="2">
        <v>38311000</v>
      </c>
      <c r="Y192" s="2" t="s">
        <v>1049</v>
      </c>
      <c r="Z192" s="2" t="s">
        <v>1253</v>
      </c>
      <c r="AA192" s="2" t="s">
        <v>60</v>
      </c>
      <c r="AB192" s="2" t="s">
        <v>61</v>
      </c>
      <c r="AC192" s="2" t="s">
        <v>227</v>
      </c>
      <c r="AD192" s="2" t="s">
        <v>1254</v>
      </c>
      <c r="AE192" s="2" t="s">
        <v>1259</v>
      </c>
      <c r="AF192" s="5">
        <v>35</v>
      </c>
      <c r="AG192" s="6"/>
      <c r="AH192" s="2" t="str">
        <f t="shared" si="0"/>
        <v/>
      </c>
      <c r="AI192" s="2" t="str" cm="1">
        <f t="array" ref="AI192">_xlfn.IFS(AF192&lt;25,"Less",AF192=25,"Equal",AF192&gt;25,"More")</f>
        <v>More</v>
      </c>
      <c r="AJ192" s="11"/>
      <c r="AK192" s="11" t="s">
        <v>125</v>
      </c>
      <c r="AL192" s="2" t="s">
        <v>1260</v>
      </c>
      <c r="AM192" s="5" t="str">
        <f>VLOOKUP(D192,'slb RAW'!$E$2:$AF$293,9)</f>
        <v>#N/A N/A</v>
      </c>
      <c r="AN192" s="2">
        <f>VLOOKUP(D192,'slb RAW'!$E$2:$AE$293,27)</f>
        <v>1.843</v>
      </c>
      <c r="AO192" s="2" t="e">
        <f>VLOOKUP(C192,'Refinitiv SLB'!F192:S369,14)</f>
        <v>#N/A</v>
      </c>
      <c r="AP192" s="2">
        <f t="shared" si="1"/>
        <v>1.843</v>
      </c>
      <c r="AQ192" s="7" t="str">
        <f t="shared" si="2"/>
        <v>Elekta ABAT MATURITYFIXEDSEKSr Unsecured</v>
      </c>
      <c r="AR192" s="5" t="b">
        <f ca="1">ISNUMBER( IFERROR(VLOOKUP(A192,Pairs!$E$2:$E$57,1,FALSE),FALSE))</f>
        <v>0</v>
      </c>
      <c r="AS192" s="5"/>
      <c r="AT192" s="5"/>
    </row>
    <row r="193" spans="1:46" ht="15.75" customHeight="1" x14ac:dyDescent="0.2">
      <c r="A193" s="2">
        <v>116</v>
      </c>
      <c r="B193" s="2" t="s">
        <v>1261</v>
      </c>
      <c r="C193" s="2" t="str">
        <f>VLOOKUP(D193,'slb RAW'!$E:$F,2)</f>
        <v>GRC145121CD2</v>
      </c>
      <c r="D193" s="2" t="s">
        <v>1262</v>
      </c>
      <c r="E193" s="2" t="s">
        <v>1263</v>
      </c>
      <c r="F193" s="2" t="s">
        <v>1264</v>
      </c>
      <c r="G193" s="2" t="s">
        <v>407</v>
      </c>
      <c r="H193" s="2" t="s">
        <v>407</v>
      </c>
      <c r="I193" s="2" t="s">
        <v>407</v>
      </c>
      <c r="J193" s="2" t="b">
        <f t="shared" si="6"/>
        <v>1</v>
      </c>
      <c r="K193" s="2">
        <v>2.2999999999999998</v>
      </c>
      <c r="L193" s="2" t="s">
        <v>1243</v>
      </c>
      <c r="M193" s="2" t="s">
        <v>249</v>
      </c>
      <c r="N193" s="8">
        <v>2.3151000000000002</v>
      </c>
      <c r="O193" s="2" t="s">
        <v>115</v>
      </c>
      <c r="P193" s="2" t="s">
        <v>116</v>
      </c>
      <c r="Q193" s="2" t="s">
        <v>173</v>
      </c>
      <c r="R193" s="2" t="s">
        <v>118</v>
      </c>
      <c r="S193" s="2" t="s">
        <v>53</v>
      </c>
      <c r="T193" s="2" t="s">
        <v>54</v>
      </c>
      <c r="U193" s="2" t="s">
        <v>55</v>
      </c>
      <c r="V193" s="2" t="s">
        <v>56</v>
      </c>
      <c r="W193" s="2" t="s">
        <v>71</v>
      </c>
      <c r="X193" s="2">
        <v>338154000</v>
      </c>
      <c r="Y193" s="2" t="s">
        <v>58</v>
      </c>
      <c r="Z193" s="2" t="s">
        <v>505</v>
      </c>
      <c r="AA193" s="2" t="s">
        <v>60</v>
      </c>
      <c r="AB193" s="2" t="s">
        <v>61</v>
      </c>
      <c r="AC193" s="2" t="s">
        <v>279</v>
      </c>
      <c r="AD193" s="2" t="s">
        <v>280</v>
      </c>
      <c r="AE193" s="2" t="s">
        <v>1265</v>
      </c>
      <c r="AF193" s="5">
        <v>20</v>
      </c>
      <c r="AG193" s="6"/>
      <c r="AH193" s="2" t="str">
        <f t="shared" si="0"/>
        <v/>
      </c>
      <c r="AI193" s="2" t="str" cm="1">
        <f t="array" ref="AI193">_xlfn.IFS(AF193&lt;25,"Less",AF193=25,"Equal",AF193&gt;25,"More")</f>
        <v>Less</v>
      </c>
      <c r="AJ193" s="6"/>
      <c r="AK193" s="6" t="s">
        <v>125</v>
      </c>
      <c r="AL193" s="2" t="s">
        <v>1266</v>
      </c>
      <c r="AM193" s="5" t="str">
        <f>VLOOKUP(D193,'slb RAW'!$E$2:$AF$293,9)</f>
        <v>#N/A N/A</v>
      </c>
      <c r="AN193" s="2">
        <f>VLOOKUP(D193,'slb RAW'!$E$2:$AE$293,27)</f>
        <v>2.2999999999999998</v>
      </c>
      <c r="AO193" s="2" t="e">
        <f>VLOOKUP(C193,'Refinitiv SLB'!F193:S370,14)</f>
        <v>#N/A</v>
      </c>
      <c r="AP193" s="2">
        <f t="shared" si="1"/>
        <v>2.2999999999999998</v>
      </c>
      <c r="AQ193" s="7" t="str">
        <f t="shared" si="2"/>
        <v>GEK Terna Holding Real Estate Construction SACALLABLEFIXEDEURUnsecured</v>
      </c>
      <c r="AR193" s="5" t="b">
        <f ca="1">ISNUMBER( IFERROR(VLOOKUP(A193,Pairs!$E$2:$E$57,1,FALSE),FALSE))</f>
        <v>0</v>
      </c>
      <c r="AS193" s="5"/>
      <c r="AT193" s="5"/>
    </row>
    <row r="194" spans="1:46" ht="15.75" customHeight="1" x14ac:dyDescent="0.2">
      <c r="A194" s="2">
        <v>212</v>
      </c>
      <c r="B194" s="2" t="s">
        <v>1024</v>
      </c>
      <c r="C194" s="2" t="str">
        <f>VLOOKUP(D194,'slb RAW'!$E:$F,2)</f>
        <v>#N/A Field Not Applicable</v>
      </c>
      <c r="D194" s="2" t="s">
        <v>1267</v>
      </c>
      <c r="E194" s="2" t="s">
        <v>1268</v>
      </c>
      <c r="F194" s="2" t="s">
        <v>1027</v>
      </c>
      <c r="G194" s="2" t="s">
        <v>257</v>
      </c>
      <c r="H194" s="2" t="s">
        <v>257</v>
      </c>
      <c r="I194" s="2" t="s">
        <v>185</v>
      </c>
      <c r="J194" s="2" t="b">
        <f t="shared" si="6"/>
        <v>0</v>
      </c>
      <c r="K194" s="2">
        <v>1.2769999999999999</v>
      </c>
      <c r="L194" s="2" t="s">
        <v>1028</v>
      </c>
      <c r="M194" s="2" t="s">
        <v>1029</v>
      </c>
      <c r="N194" s="2">
        <v>1.2445999999999999</v>
      </c>
      <c r="O194" s="2" t="s">
        <v>49</v>
      </c>
      <c r="P194" s="2" t="s">
        <v>50</v>
      </c>
      <c r="Q194" s="2" t="s">
        <v>1269</v>
      </c>
      <c r="R194" s="2" t="s">
        <v>52</v>
      </c>
      <c r="S194" s="2" t="s">
        <v>53</v>
      </c>
      <c r="T194" s="2" t="s">
        <v>54</v>
      </c>
      <c r="U194" s="2" t="s">
        <v>55</v>
      </c>
      <c r="V194" s="2" t="s">
        <v>56</v>
      </c>
      <c r="W194" s="2" t="s">
        <v>57</v>
      </c>
      <c r="X194" s="2">
        <v>281097500</v>
      </c>
      <c r="Y194" s="2" t="s">
        <v>58</v>
      </c>
      <c r="Z194" s="2" t="s">
        <v>59</v>
      </c>
      <c r="AA194" s="2" t="s">
        <v>60</v>
      </c>
      <c r="AB194" s="2" t="s">
        <v>61</v>
      </c>
      <c r="AC194" s="2" t="s">
        <v>176</v>
      </c>
      <c r="AD194" s="2" t="s">
        <v>191</v>
      </c>
      <c r="AE194" s="2" t="s">
        <v>1030</v>
      </c>
      <c r="AF194" s="5">
        <v>3</v>
      </c>
      <c r="AG194" s="5">
        <v>3</v>
      </c>
      <c r="AH194" s="2" t="str">
        <f t="shared" si="0"/>
        <v>yes</v>
      </c>
      <c r="AI194" s="2" t="str" cm="1">
        <f t="array" ref="AI194">_xlfn.IFS(AF194&lt;25,"Less",AF194=25,"Equal",AF194&gt;25,"More")</f>
        <v>Less</v>
      </c>
      <c r="AJ194" s="6"/>
      <c r="AK194" s="6" t="s">
        <v>64</v>
      </c>
      <c r="AL194" s="2" t="s">
        <v>1270</v>
      </c>
      <c r="AM194" s="5" t="str">
        <f>VLOOKUP(D194,'slb RAW'!$E$2:$AF$293,9)</f>
        <v>#N/A N/A</v>
      </c>
      <c r="AN194" s="2" t="str">
        <f>VLOOKUP(D194,'slb RAW'!$E$2:$AE$293,27)</f>
        <v>#N/A N/A</v>
      </c>
      <c r="AO194" s="2" t="e">
        <f>VLOOKUP(C194,'Refinitiv SLB'!F194:S371,14)</f>
        <v>#N/A</v>
      </c>
      <c r="AP194" s="2" t="str">
        <f t="shared" si="1"/>
        <v>#N/A N/A</v>
      </c>
      <c r="AQ194" s="7" t="str">
        <f t="shared" si="2"/>
        <v>RHI Magnesita GmbHAT MATURITYFIXEDEURSr Unsecured</v>
      </c>
      <c r="AR194" s="5" t="b">
        <f ca="1">ISNUMBER( IFERROR(VLOOKUP(A194,Pairs!$E$2:$E$57,1,FALSE),FALSE))</f>
        <v>0</v>
      </c>
      <c r="AS194" s="5"/>
      <c r="AT194" s="5"/>
    </row>
    <row r="195" spans="1:46" ht="15.75" customHeight="1" x14ac:dyDescent="0.2">
      <c r="A195" s="2">
        <v>206</v>
      </c>
      <c r="B195" s="2" t="s">
        <v>1024</v>
      </c>
      <c r="C195" s="2" t="str">
        <f>VLOOKUP(D195,'slb RAW'!$E:$F,2)</f>
        <v>#N/A Field Not Applicable</v>
      </c>
      <c r="D195" s="2" t="s">
        <v>1271</v>
      </c>
      <c r="E195" s="2" t="s">
        <v>1272</v>
      </c>
      <c r="F195" s="2" t="s">
        <v>1027</v>
      </c>
      <c r="G195" s="2" t="s">
        <v>257</v>
      </c>
      <c r="H195" s="2" t="s">
        <v>257</v>
      </c>
      <c r="I195" s="2" t="s">
        <v>185</v>
      </c>
      <c r="J195" s="2" t="b">
        <f t="shared" ref="J195:J258" si="7">H195=I195</f>
        <v>0</v>
      </c>
      <c r="K195" s="2">
        <v>0.21299999999999999</v>
      </c>
      <c r="L195" s="2" t="s">
        <v>1028</v>
      </c>
      <c r="M195" s="2" t="s">
        <v>1040</v>
      </c>
      <c r="N195" s="4" t="s">
        <v>48</v>
      </c>
      <c r="O195" s="2" t="s">
        <v>49</v>
      </c>
      <c r="P195" s="2" t="s">
        <v>50</v>
      </c>
      <c r="Q195" s="2" t="s">
        <v>1273</v>
      </c>
      <c r="R195" s="2" t="s">
        <v>52</v>
      </c>
      <c r="S195" s="2" t="s">
        <v>53</v>
      </c>
      <c r="T195" s="2" t="s">
        <v>54</v>
      </c>
      <c r="U195" s="2" t="s">
        <v>55</v>
      </c>
      <c r="V195" s="2" t="s">
        <v>70</v>
      </c>
      <c r="W195" s="2" t="s">
        <v>71</v>
      </c>
      <c r="X195" s="2">
        <v>281097500</v>
      </c>
      <c r="Y195" s="2" t="s">
        <v>58</v>
      </c>
      <c r="Z195" s="2" t="s">
        <v>59</v>
      </c>
      <c r="AA195" s="2" t="s">
        <v>60</v>
      </c>
      <c r="AB195" s="2" t="s">
        <v>61</v>
      </c>
      <c r="AC195" s="2" t="s">
        <v>176</v>
      </c>
      <c r="AD195" s="2" t="s">
        <v>191</v>
      </c>
      <c r="AE195" s="2" t="s">
        <v>1030</v>
      </c>
      <c r="AF195" s="5">
        <v>3</v>
      </c>
      <c r="AG195" s="5">
        <v>3</v>
      </c>
      <c r="AH195" s="2" t="str">
        <f t="shared" si="0"/>
        <v>yes</v>
      </c>
      <c r="AI195" s="2" t="str" cm="1">
        <f t="array" ref="AI195">_xlfn.IFS(AF195&lt;25,"Less",AF195=25,"Equal",AF195&gt;25,"More")</f>
        <v>Less</v>
      </c>
      <c r="AJ195" s="6"/>
      <c r="AK195" s="6" t="s">
        <v>64</v>
      </c>
      <c r="AL195" s="2" t="s">
        <v>1031</v>
      </c>
      <c r="AM195" s="5" t="str">
        <f>VLOOKUP(D195,'slb RAW'!$E$2:$AF$293,9)</f>
        <v>#N/A N/A</v>
      </c>
      <c r="AN195" s="2" t="str">
        <f>VLOOKUP(D195,'slb RAW'!$E$2:$AE$293,27)</f>
        <v>#N/A N/A</v>
      </c>
      <c r="AO195" s="2" t="e">
        <f>VLOOKUP(C195,'Refinitiv SLB'!F195:S372,14)</f>
        <v>#N/A</v>
      </c>
      <c r="AP195" s="2" t="str">
        <f t="shared" si="1"/>
        <v>#N/A N/A</v>
      </c>
      <c r="AQ195" s="7" t="str">
        <f t="shared" si="2"/>
        <v>RHI Magnesita GmbHAT MATURITYFLOATINGEURSr Unsecured</v>
      </c>
      <c r="AR195" s="5" t="b">
        <f ca="1">ISNUMBER( IFERROR(VLOOKUP(A195,Pairs!$E$2:$E$57,1,FALSE),FALSE))</f>
        <v>0</v>
      </c>
      <c r="AS195" s="5"/>
      <c r="AT195" s="5"/>
    </row>
    <row r="196" spans="1:46" ht="15.75" customHeight="1" x14ac:dyDescent="0.2">
      <c r="A196" s="2">
        <v>211</v>
      </c>
      <c r="B196" s="2" t="s">
        <v>1024</v>
      </c>
      <c r="C196" s="2" t="str">
        <f>VLOOKUP(D196,'slb RAW'!$E:$F,2)</f>
        <v>#N/A Field Not Applicable</v>
      </c>
      <c r="D196" s="2" t="s">
        <v>1274</v>
      </c>
      <c r="E196" s="2" t="s">
        <v>1275</v>
      </c>
      <c r="F196" s="2" t="s">
        <v>1027</v>
      </c>
      <c r="G196" s="2" t="s">
        <v>257</v>
      </c>
      <c r="H196" s="2" t="s">
        <v>257</v>
      </c>
      <c r="I196" s="2" t="s">
        <v>185</v>
      </c>
      <c r="J196" s="2" t="b">
        <f t="shared" si="7"/>
        <v>0</v>
      </c>
      <c r="K196" s="2">
        <v>0.85</v>
      </c>
      <c r="L196" s="2" t="s">
        <v>1028</v>
      </c>
      <c r="M196" s="2" t="s">
        <v>242</v>
      </c>
      <c r="N196" s="2">
        <v>0.19570000000000001</v>
      </c>
      <c r="O196" s="2" t="s">
        <v>49</v>
      </c>
      <c r="P196" s="2" t="s">
        <v>50</v>
      </c>
      <c r="Q196" s="2" t="s">
        <v>101</v>
      </c>
      <c r="R196" s="2" t="s">
        <v>52</v>
      </c>
      <c r="S196" s="2" t="s">
        <v>53</v>
      </c>
      <c r="T196" s="2" t="s">
        <v>54</v>
      </c>
      <c r="U196" s="2" t="s">
        <v>55</v>
      </c>
      <c r="V196" s="2" t="s">
        <v>56</v>
      </c>
      <c r="W196" s="2" t="s">
        <v>57</v>
      </c>
      <c r="X196" s="2">
        <v>281097500</v>
      </c>
      <c r="Y196" s="2" t="s">
        <v>58</v>
      </c>
      <c r="Z196" s="2" t="s">
        <v>59</v>
      </c>
      <c r="AA196" s="2" t="s">
        <v>60</v>
      </c>
      <c r="AB196" s="2" t="s">
        <v>61</v>
      </c>
      <c r="AC196" s="2" t="s">
        <v>176</v>
      </c>
      <c r="AD196" s="2" t="s">
        <v>191</v>
      </c>
      <c r="AE196" s="2" t="s">
        <v>1030</v>
      </c>
      <c r="AF196" s="5">
        <v>3</v>
      </c>
      <c r="AG196" s="5">
        <v>3</v>
      </c>
      <c r="AH196" s="2" t="str">
        <f t="shared" si="0"/>
        <v>yes</v>
      </c>
      <c r="AI196" s="2" t="str" cm="1">
        <f t="array" ref="AI196">_xlfn.IFS(AF196&lt;25,"Less",AF196=25,"Equal",AF196&gt;25,"More")</f>
        <v>Less</v>
      </c>
      <c r="AJ196" s="6"/>
      <c r="AK196" s="6" t="s">
        <v>64</v>
      </c>
      <c r="AL196" s="2" t="s">
        <v>1031</v>
      </c>
      <c r="AM196" s="5" t="str">
        <f>VLOOKUP(D196,'slb RAW'!$E$2:$AF$293,9)</f>
        <v>#N/A N/A</v>
      </c>
      <c r="AN196" s="2">
        <f>VLOOKUP(D196,'slb RAW'!$E$2:$AE$293,27)</f>
        <v>0.157</v>
      </c>
      <c r="AO196" s="2" t="e">
        <f>VLOOKUP(C196,'Refinitiv SLB'!F196:S373,14)</f>
        <v>#N/A</v>
      </c>
      <c r="AP196" s="2">
        <f t="shared" si="1"/>
        <v>0.157</v>
      </c>
      <c r="AQ196" s="7" t="str">
        <f t="shared" si="2"/>
        <v>RHI Magnesita GmbHAT MATURITYFIXEDEURSr Unsecured</v>
      </c>
      <c r="AR196" s="5" t="b">
        <f ca="1">ISNUMBER( IFERROR(VLOOKUP(A196,Pairs!$E$2:$E$57,1,FALSE),FALSE))</f>
        <v>0</v>
      </c>
      <c r="AS196" s="5"/>
      <c r="AT196" s="5"/>
    </row>
    <row r="197" spans="1:46" s="80" customFormat="1" ht="15.75" customHeight="1" x14ac:dyDescent="0.2">
      <c r="A197" s="79">
        <v>278</v>
      </c>
      <c r="B197" s="79" t="s">
        <v>1276</v>
      </c>
      <c r="C197" s="79" t="str">
        <f>VLOOKUP(D197,'slb RAW'!$E:$F,2)</f>
        <v>SE0016831150</v>
      </c>
      <c r="D197" s="79" t="s">
        <v>1277</v>
      </c>
      <c r="E197" s="79" t="s">
        <v>1278</v>
      </c>
      <c r="F197" s="79" t="s">
        <v>1279</v>
      </c>
      <c r="G197" s="79" t="s">
        <v>367</v>
      </c>
      <c r="H197" s="79" t="s">
        <v>367</v>
      </c>
      <c r="I197" s="79" t="s">
        <v>367</v>
      </c>
      <c r="J197" s="2" t="b">
        <f t="shared" si="7"/>
        <v>1</v>
      </c>
      <c r="K197" s="79">
        <v>8.8010000000000002</v>
      </c>
      <c r="L197" s="79" t="s">
        <v>1280</v>
      </c>
      <c r="M197" s="79" t="s">
        <v>1281</v>
      </c>
      <c r="N197" s="97">
        <v>7.6839000000000004</v>
      </c>
      <c r="O197" s="79" t="s">
        <v>115</v>
      </c>
      <c r="P197" s="79" t="s">
        <v>116</v>
      </c>
      <c r="Q197" s="79" t="s">
        <v>685</v>
      </c>
      <c r="R197" s="79" t="s">
        <v>458</v>
      </c>
      <c r="S197" s="79" t="s">
        <v>686</v>
      </c>
      <c r="T197" s="79" t="s">
        <v>54</v>
      </c>
      <c r="U197" s="79" t="s">
        <v>55</v>
      </c>
      <c r="V197" s="79" t="s">
        <v>70</v>
      </c>
      <c r="W197" s="79" t="s">
        <v>391</v>
      </c>
      <c r="X197" s="79">
        <v>52704000</v>
      </c>
      <c r="Y197" s="79" t="s">
        <v>134</v>
      </c>
      <c r="Z197" s="79" t="s">
        <v>1282</v>
      </c>
      <c r="AA197" s="79" t="s">
        <v>60</v>
      </c>
      <c r="AB197" s="79" t="s">
        <v>61</v>
      </c>
      <c r="AC197" s="79" t="s">
        <v>62</v>
      </c>
      <c r="AD197" s="79" t="s">
        <v>62</v>
      </c>
      <c r="AE197" s="79" t="s">
        <v>1283</v>
      </c>
      <c r="AF197" s="113">
        <v>75</v>
      </c>
      <c r="AG197" s="82"/>
      <c r="AH197" s="79" t="str">
        <f t="shared" si="0"/>
        <v/>
      </c>
      <c r="AI197" s="2" t="str" cm="1">
        <f t="array" ref="AI197">_xlfn.IFS(AF197&lt;25,"Less",AF197=25,"Equal",AF197&gt;25,"More")</f>
        <v>More</v>
      </c>
      <c r="AJ197" s="82"/>
      <c r="AK197" s="82" t="s">
        <v>251</v>
      </c>
      <c r="AL197" s="79" t="s">
        <v>1284</v>
      </c>
      <c r="AM197" s="83" t="str">
        <f>VLOOKUP(D197,'slb RAW'!$E$2:$AF$293,9)</f>
        <v>#N/A N/A</v>
      </c>
      <c r="AN197" s="79" t="str">
        <f>VLOOKUP(D197,'slb RAW'!$E$2:$AE$293,27)</f>
        <v>#N/A N/A</v>
      </c>
      <c r="AO197" s="79" t="e">
        <f>VLOOKUP(C197,'Refinitiv SLB'!F197:S374,14)</f>
        <v>#N/A</v>
      </c>
      <c r="AP197" s="79" t="str">
        <f t="shared" si="1"/>
        <v>#N/A N/A</v>
      </c>
      <c r="AQ197" s="84" t="str">
        <f t="shared" si="2"/>
        <v>YA Holding ABCALLABLEFLOATINGSEKSecured</v>
      </c>
      <c r="AR197" s="83" t="b">
        <f ca="1">ISNUMBER( IFERROR(VLOOKUP(A197,Pairs!$E$2:$E$57,1,FALSE),FALSE))</f>
        <v>0</v>
      </c>
      <c r="AS197" s="83"/>
      <c r="AT197" s="83"/>
    </row>
    <row r="198" spans="1:46" ht="15.75" customHeight="1" x14ac:dyDescent="0.2">
      <c r="A198" s="2">
        <v>221</v>
      </c>
      <c r="B198" s="2" t="s">
        <v>995</v>
      </c>
      <c r="C198" s="2" t="str">
        <f>VLOOKUP(D198,'slb RAW'!$E:$F,2)</f>
        <v>#N/A Field Not Applicable</v>
      </c>
      <c r="D198" s="2" t="s">
        <v>1285</v>
      </c>
      <c r="E198" s="2" t="s">
        <v>1286</v>
      </c>
      <c r="F198" s="2" t="s">
        <v>998</v>
      </c>
      <c r="G198" s="2" t="s">
        <v>45</v>
      </c>
      <c r="H198" s="2" t="s">
        <v>45</v>
      </c>
      <c r="I198" s="2" t="s">
        <v>45</v>
      </c>
      <c r="J198" s="2" t="b">
        <f t="shared" si="7"/>
        <v>1</v>
      </c>
      <c r="K198" s="2">
        <v>0</v>
      </c>
      <c r="L198" s="2" t="s">
        <v>999</v>
      </c>
      <c r="M198" s="2" t="s">
        <v>1287</v>
      </c>
      <c r="N198" s="4" t="s">
        <v>48</v>
      </c>
      <c r="O198" s="2" t="s">
        <v>49</v>
      </c>
      <c r="P198" s="2" t="s">
        <v>50</v>
      </c>
      <c r="Q198" s="2" t="s">
        <v>157</v>
      </c>
      <c r="R198" s="2" t="s">
        <v>52</v>
      </c>
      <c r="S198" s="2" t="s">
        <v>53</v>
      </c>
      <c r="T198" s="2" t="s">
        <v>54</v>
      </c>
      <c r="U198" s="2" t="s">
        <v>55</v>
      </c>
      <c r="V198" s="2" t="s">
        <v>70</v>
      </c>
      <c r="W198" s="2" t="s">
        <v>71</v>
      </c>
      <c r="X198" s="2">
        <v>225864000</v>
      </c>
      <c r="Y198" s="2" t="s">
        <v>85</v>
      </c>
      <c r="Z198" s="2" t="s">
        <v>514</v>
      </c>
      <c r="AA198" s="2" t="s">
        <v>60</v>
      </c>
      <c r="AB198" s="2" t="s">
        <v>61</v>
      </c>
      <c r="AC198" s="2" t="s">
        <v>87</v>
      </c>
      <c r="AD198" s="2" t="s">
        <v>514</v>
      </c>
      <c r="AE198" s="2" t="s">
        <v>1001</v>
      </c>
      <c r="AF198" s="82">
        <v>6</v>
      </c>
      <c r="AG198" s="6">
        <v>6</v>
      </c>
      <c r="AH198" s="2" t="str">
        <f t="shared" si="0"/>
        <v>yes</v>
      </c>
      <c r="AI198" s="2" t="str" cm="1">
        <f t="array" ref="AI198">_xlfn.IFS(AF198&lt;25,"Less",AF198=25,"Equal",AF198&gt;25,"More")</f>
        <v>Less</v>
      </c>
      <c r="AJ198" s="6" t="s">
        <v>5517</v>
      </c>
      <c r="AK198" s="6" t="s">
        <v>611</v>
      </c>
      <c r="AL198" s="2" t="s">
        <v>1002</v>
      </c>
      <c r="AM198" s="5" t="str">
        <f>VLOOKUP(D198,'slb RAW'!$E$2:$AF$293,9)</f>
        <v>#N/A N/A</v>
      </c>
      <c r="AN198" s="2" t="str">
        <f>VLOOKUP(D198,'slb RAW'!$E$2:$AE$293,27)</f>
        <v>#N/A N/A</v>
      </c>
      <c r="AO198" s="2" t="e">
        <f>VLOOKUP(C198,'Refinitiv SLB'!F198:S375,14)</f>
        <v>#N/A</v>
      </c>
      <c r="AP198" s="2" t="str">
        <f t="shared" si="1"/>
        <v>#N/A N/A</v>
      </c>
      <c r="AQ198" s="7" t="str">
        <f t="shared" si="2"/>
        <v>Renolit SEAT MATURITYFLOATINGEURSr Unsecured</v>
      </c>
      <c r="AR198" s="5" t="b">
        <f ca="1">ISNUMBER( IFERROR(VLOOKUP(A198,Pairs!$E$2:$E$57,1,FALSE),FALSE))</f>
        <v>0</v>
      </c>
      <c r="AS198" s="5"/>
      <c r="AT198" s="5"/>
    </row>
    <row r="199" spans="1:46" ht="15.75" customHeight="1" x14ac:dyDescent="0.2">
      <c r="A199" s="2">
        <v>218</v>
      </c>
      <c r="B199" s="2" t="s">
        <v>995</v>
      </c>
      <c r="C199" s="2" t="str">
        <f>VLOOKUP(D199,'slb RAW'!$E:$F,2)</f>
        <v>#N/A Field Not Applicable</v>
      </c>
      <c r="D199" s="2" t="s">
        <v>1288</v>
      </c>
      <c r="E199" s="2" t="s">
        <v>1289</v>
      </c>
      <c r="F199" s="2" t="s">
        <v>998</v>
      </c>
      <c r="G199" s="2" t="s">
        <v>45</v>
      </c>
      <c r="H199" s="2" t="s">
        <v>45</v>
      </c>
      <c r="I199" s="2" t="s">
        <v>45</v>
      </c>
      <c r="J199" s="2" t="b">
        <f t="shared" si="7"/>
        <v>1</v>
      </c>
      <c r="K199" s="2">
        <v>0</v>
      </c>
      <c r="L199" s="2" t="s">
        <v>999</v>
      </c>
      <c r="M199" s="2" t="s">
        <v>1290</v>
      </c>
      <c r="N199" s="4" t="s">
        <v>48</v>
      </c>
      <c r="O199" s="2" t="s">
        <v>49</v>
      </c>
      <c r="P199" s="2" t="s">
        <v>50</v>
      </c>
      <c r="Q199" s="2" t="s">
        <v>161</v>
      </c>
      <c r="R199" s="2" t="s">
        <v>52</v>
      </c>
      <c r="S199" s="2" t="s">
        <v>53</v>
      </c>
      <c r="T199" s="2" t="s">
        <v>54</v>
      </c>
      <c r="U199" s="2" t="s">
        <v>55</v>
      </c>
      <c r="V199" s="2" t="s">
        <v>70</v>
      </c>
      <c r="W199" s="2" t="s">
        <v>71</v>
      </c>
      <c r="X199" s="2">
        <v>225864000</v>
      </c>
      <c r="Y199" s="2" t="s">
        <v>85</v>
      </c>
      <c r="Z199" s="2" t="s">
        <v>514</v>
      </c>
      <c r="AA199" s="2" t="s">
        <v>60</v>
      </c>
      <c r="AB199" s="2" t="s">
        <v>61</v>
      </c>
      <c r="AC199" s="2" t="s">
        <v>87</v>
      </c>
      <c r="AD199" s="2" t="s">
        <v>514</v>
      </c>
      <c r="AE199" s="2" t="s">
        <v>1001</v>
      </c>
      <c r="AF199" s="82">
        <v>6</v>
      </c>
      <c r="AG199" s="6">
        <v>6</v>
      </c>
      <c r="AH199" s="2" t="str">
        <f t="shared" si="0"/>
        <v>yes</v>
      </c>
      <c r="AI199" s="2" t="str" cm="1">
        <f t="array" ref="AI199">_xlfn.IFS(AF199&lt;25,"Less",AF199=25,"Equal",AF199&gt;25,"More")</f>
        <v>Less</v>
      </c>
      <c r="AJ199" s="6" t="s">
        <v>5517</v>
      </c>
      <c r="AK199" s="6" t="s">
        <v>611</v>
      </c>
      <c r="AL199" s="2" t="s">
        <v>1002</v>
      </c>
      <c r="AM199" s="5" t="str">
        <f>VLOOKUP(D199,'slb RAW'!$E$2:$AF$293,9)</f>
        <v>#N/A N/A</v>
      </c>
      <c r="AN199" s="2" t="str">
        <f>VLOOKUP(D199,'slb RAW'!$E$2:$AE$293,27)</f>
        <v>#N/A N/A</v>
      </c>
      <c r="AO199" s="2" t="e">
        <f>VLOOKUP(C199,'Refinitiv SLB'!F199:S376,14)</f>
        <v>#N/A</v>
      </c>
      <c r="AP199" s="2" t="str">
        <f t="shared" si="1"/>
        <v>#N/A N/A</v>
      </c>
      <c r="AQ199" s="7" t="str">
        <f t="shared" si="2"/>
        <v>Renolit SEAT MATURITYFLOATINGEURSr Unsecured</v>
      </c>
      <c r="AR199" s="5" t="b">
        <f ca="1">ISNUMBER( IFERROR(VLOOKUP(A199,Pairs!$E$2:$E$57,1,FALSE),FALSE))</f>
        <v>0</v>
      </c>
      <c r="AS199" s="5"/>
      <c r="AT199" s="5"/>
    </row>
    <row r="200" spans="1:46" ht="15.75" customHeight="1" x14ac:dyDescent="0.2">
      <c r="A200" s="2">
        <v>27</v>
      </c>
      <c r="B200" s="2" t="s">
        <v>1291</v>
      </c>
      <c r="C200" s="2" t="str">
        <f>VLOOKUP(D200,'slb RAW'!$E:$F,2)</f>
        <v>#N/A Field Not Applicable</v>
      </c>
      <c r="D200" s="2" t="s">
        <v>1292</v>
      </c>
      <c r="E200" s="2" t="s">
        <v>1293</v>
      </c>
      <c r="F200" s="2" t="s">
        <v>1294</v>
      </c>
      <c r="G200" s="2" t="s">
        <v>45</v>
      </c>
      <c r="H200" s="2" t="s">
        <v>45</v>
      </c>
      <c r="I200" s="2" t="s">
        <v>45</v>
      </c>
      <c r="J200" s="2" t="b">
        <f t="shared" si="7"/>
        <v>1</v>
      </c>
      <c r="K200" s="3">
        <v>0</v>
      </c>
      <c r="L200" s="2" t="s">
        <v>1295</v>
      </c>
      <c r="M200" s="2" t="s">
        <v>1296</v>
      </c>
      <c r="N200" s="4" t="s">
        <v>48</v>
      </c>
      <c r="O200" s="2" t="s">
        <v>49</v>
      </c>
      <c r="P200" s="2" t="s">
        <v>50</v>
      </c>
      <c r="Q200" s="2" t="s">
        <v>51</v>
      </c>
      <c r="R200" s="2" t="s">
        <v>52</v>
      </c>
      <c r="S200" s="2" t="s">
        <v>53</v>
      </c>
      <c r="T200" s="2" t="s">
        <v>54</v>
      </c>
      <c r="U200" s="2" t="s">
        <v>55</v>
      </c>
      <c r="V200" s="2" t="s">
        <v>56</v>
      </c>
      <c r="W200" s="2" t="s">
        <v>57</v>
      </c>
      <c r="X200" s="2">
        <v>394352000</v>
      </c>
      <c r="Y200" s="2" t="s">
        <v>421</v>
      </c>
      <c r="Z200" s="2" t="s">
        <v>976</v>
      </c>
      <c r="AA200" s="2" t="s">
        <v>60</v>
      </c>
      <c r="AB200" s="2" t="s">
        <v>61</v>
      </c>
      <c r="AC200" s="2" t="s">
        <v>227</v>
      </c>
      <c r="AD200" s="2" t="s">
        <v>664</v>
      </c>
      <c r="AE200" s="2" t="s">
        <v>1297</v>
      </c>
      <c r="AF200" s="6" t="s">
        <v>139</v>
      </c>
      <c r="AG200" s="6"/>
      <c r="AH200" s="2" t="str">
        <f t="shared" si="0"/>
        <v/>
      </c>
      <c r="AI200" s="6" t="s">
        <v>139</v>
      </c>
      <c r="AJ200" s="6"/>
      <c r="AK200" s="6" t="s">
        <v>64</v>
      </c>
      <c r="AL200" s="2" t="s">
        <v>1298</v>
      </c>
      <c r="AM200" s="5" t="str">
        <f>VLOOKUP(D200,'slb RAW'!$E$2:$AF$293,9)</f>
        <v>#N/A N/A</v>
      </c>
      <c r="AN200" s="2" t="str">
        <f>VLOOKUP(D200,'slb RAW'!$E$2:$AE$293,27)</f>
        <v>#N/A N/A</v>
      </c>
      <c r="AO200" s="2" t="e">
        <f>VLOOKUP(C200,'Refinitiv SLB'!F200:S377,14)</f>
        <v>#N/A</v>
      </c>
      <c r="AP200" s="2" t="str">
        <f t="shared" si="1"/>
        <v>#N/A N/A</v>
      </c>
      <c r="AQ200" s="7" t="str">
        <f t="shared" si="2"/>
        <v>BayWa AGAT MATURITYFIXEDEURSr Unsecured</v>
      </c>
      <c r="AR200" s="5" t="b">
        <f ca="1">ISNUMBER( IFERROR(VLOOKUP(A200,Pairs!$E$2:$E$57,1,FALSE),FALSE))</f>
        <v>0</v>
      </c>
      <c r="AS200" s="5"/>
      <c r="AT200" s="5"/>
    </row>
    <row r="201" spans="1:46" ht="15.75" customHeight="1" x14ac:dyDescent="0.2">
      <c r="A201" s="2">
        <v>28</v>
      </c>
      <c r="B201" s="2" t="s">
        <v>1291</v>
      </c>
      <c r="C201" s="2" t="str">
        <f>VLOOKUP(D201,'slb RAW'!$E:$F,2)</f>
        <v>#N/A Field Not Applicable</v>
      </c>
      <c r="D201" s="2" t="s">
        <v>1299</v>
      </c>
      <c r="E201" s="2" t="s">
        <v>1300</v>
      </c>
      <c r="F201" s="2" t="s">
        <v>1294</v>
      </c>
      <c r="G201" s="2" t="s">
        <v>45</v>
      </c>
      <c r="H201" s="2" t="s">
        <v>45</v>
      </c>
      <c r="I201" s="2" t="s">
        <v>45</v>
      </c>
      <c r="J201" s="2" t="b">
        <f t="shared" si="7"/>
        <v>1</v>
      </c>
      <c r="K201" s="3">
        <v>0</v>
      </c>
      <c r="L201" s="2" t="s">
        <v>1295</v>
      </c>
      <c r="M201" s="2" t="s">
        <v>1301</v>
      </c>
      <c r="N201" s="4" t="s">
        <v>48</v>
      </c>
      <c r="O201" s="2" t="s">
        <v>49</v>
      </c>
      <c r="P201" s="2" t="s">
        <v>50</v>
      </c>
      <c r="Q201" s="2" t="s">
        <v>101</v>
      </c>
      <c r="R201" s="2" t="s">
        <v>52</v>
      </c>
      <c r="S201" s="2" t="s">
        <v>53</v>
      </c>
      <c r="T201" s="2" t="s">
        <v>54</v>
      </c>
      <c r="U201" s="2" t="s">
        <v>55</v>
      </c>
      <c r="V201" s="2" t="s">
        <v>56</v>
      </c>
      <c r="W201" s="2" t="s">
        <v>57</v>
      </c>
      <c r="X201" s="2">
        <v>394352000</v>
      </c>
      <c r="Y201" s="2" t="s">
        <v>421</v>
      </c>
      <c r="Z201" s="2" t="s">
        <v>976</v>
      </c>
      <c r="AA201" s="2" t="s">
        <v>60</v>
      </c>
      <c r="AB201" s="2" t="s">
        <v>61</v>
      </c>
      <c r="AC201" s="2" t="s">
        <v>227</v>
      </c>
      <c r="AD201" s="2" t="s">
        <v>664</v>
      </c>
      <c r="AE201" s="2" t="s">
        <v>1297</v>
      </c>
      <c r="AF201" s="6" t="s">
        <v>139</v>
      </c>
      <c r="AG201" s="6"/>
      <c r="AH201" s="2" t="str">
        <f t="shared" si="0"/>
        <v/>
      </c>
      <c r="AI201" s="6" t="s">
        <v>139</v>
      </c>
      <c r="AJ201" s="6"/>
      <c r="AK201" s="6" t="s">
        <v>64</v>
      </c>
      <c r="AL201" s="2" t="s">
        <v>1298</v>
      </c>
      <c r="AM201" s="5" t="str">
        <f>VLOOKUP(D201,'slb RAW'!$E$2:$AF$293,9)</f>
        <v>#N/A N/A</v>
      </c>
      <c r="AN201" s="2" t="str">
        <f>VLOOKUP(D201,'slb RAW'!$E$2:$AE$293,27)</f>
        <v>#N/A N/A</v>
      </c>
      <c r="AO201" s="2" t="e">
        <f>VLOOKUP(C201,'Refinitiv SLB'!F201:S378,14)</f>
        <v>#N/A</v>
      </c>
      <c r="AP201" s="2" t="str">
        <f t="shared" si="1"/>
        <v>#N/A N/A</v>
      </c>
      <c r="AQ201" s="7" t="str">
        <f t="shared" si="2"/>
        <v>BayWa AGAT MATURITYFIXEDEURSr Unsecured</v>
      </c>
      <c r="AR201" s="5" t="b">
        <f ca="1">ISNUMBER( IFERROR(VLOOKUP(A201,Pairs!$E$2:$E$57,1,FALSE),FALSE))</f>
        <v>0</v>
      </c>
      <c r="AS201" s="5"/>
      <c r="AT201" s="5"/>
    </row>
    <row r="202" spans="1:46" ht="15.75" customHeight="1" x14ac:dyDescent="0.2">
      <c r="A202" s="2">
        <v>25</v>
      </c>
      <c r="B202" s="2" t="s">
        <v>1291</v>
      </c>
      <c r="C202" s="2" t="str">
        <f>VLOOKUP(D202,'slb RAW'!$E:$F,2)</f>
        <v>#N/A Field Not Applicable</v>
      </c>
      <c r="D202" s="2" t="s">
        <v>1302</v>
      </c>
      <c r="E202" s="2" t="s">
        <v>1303</v>
      </c>
      <c r="F202" s="2" t="s">
        <v>1294</v>
      </c>
      <c r="G202" s="2" t="s">
        <v>45</v>
      </c>
      <c r="H202" s="2" t="s">
        <v>45</v>
      </c>
      <c r="I202" s="2" t="s">
        <v>45</v>
      </c>
      <c r="J202" s="2" t="b">
        <f t="shared" si="7"/>
        <v>1</v>
      </c>
      <c r="K202" s="3">
        <v>0</v>
      </c>
      <c r="L202" s="2" t="s">
        <v>1295</v>
      </c>
      <c r="M202" s="2" t="s">
        <v>1301</v>
      </c>
      <c r="N202" s="4" t="s">
        <v>48</v>
      </c>
      <c r="O202" s="2" t="s">
        <v>49</v>
      </c>
      <c r="P202" s="2" t="s">
        <v>50</v>
      </c>
      <c r="Q202" s="2" t="s">
        <v>84</v>
      </c>
      <c r="R202" s="2" t="s">
        <v>52</v>
      </c>
      <c r="S202" s="2" t="s">
        <v>53</v>
      </c>
      <c r="T202" s="2" t="s">
        <v>54</v>
      </c>
      <c r="U202" s="2" t="s">
        <v>55</v>
      </c>
      <c r="V202" s="2" t="s">
        <v>70</v>
      </c>
      <c r="W202" s="2" t="s">
        <v>71</v>
      </c>
      <c r="X202" s="2">
        <v>394352000</v>
      </c>
      <c r="Y202" s="2" t="s">
        <v>421</v>
      </c>
      <c r="Z202" s="2" t="s">
        <v>976</v>
      </c>
      <c r="AA202" s="2" t="s">
        <v>60</v>
      </c>
      <c r="AB202" s="2" t="s">
        <v>61</v>
      </c>
      <c r="AC202" s="2" t="s">
        <v>227</v>
      </c>
      <c r="AD202" s="2" t="s">
        <v>664</v>
      </c>
      <c r="AE202" s="2" t="s">
        <v>1297</v>
      </c>
      <c r="AF202" s="6" t="s">
        <v>139</v>
      </c>
      <c r="AG202" s="6"/>
      <c r="AH202" s="2" t="str">
        <f t="shared" si="0"/>
        <v/>
      </c>
      <c r="AI202" s="6" t="s">
        <v>139</v>
      </c>
      <c r="AJ202" s="6"/>
      <c r="AK202" s="6" t="s">
        <v>64</v>
      </c>
      <c r="AL202" s="2" t="s">
        <v>1298</v>
      </c>
      <c r="AM202" s="5" t="str">
        <f>VLOOKUP(D202,'slb RAW'!$E$2:$AF$293,9)</f>
        <v>#N/A N/A</v>
      </c>
      <c r="AN202" s="2" t="str">
        <f>VLOOKUP(D202,'slb RAW'!$E$2:$AE$293,27)</f>
        <v>#N/A N/A</v>
      </c>
      <c r="AO202" s="2" t="e">
        <f>VLOOKUP(C202,'Refinitiv SLB'!F202:S379,14)</f>
        <v>#N/A</v>
      </c>
      <c r="AP202" s="2" t="str">
        <f t="shared" si="1"/>
        <v>#N/A N/A</v>
      </c>
      <c r="AQ202" s="7" t="str">
        <f t="shared" si="2"/>
        <v>BayWa AGAT MATURITYFLOATINGEURSr Unsecured</v>
      </c>
      <c r="AR202" s="5" t="b">
        <f ca="1">ISNUMBER( IFERROR(VLOOKUP(A202,Pairs!$E$2:$E$57,1,FALSE),FALSE))</f>
        <v>0</v>
      </c>
      <c r="AS202" s="5"/>
      <c r="AT202" s="5"/>
    </row>
    <row r="203" spans="1:46" ht="15.75" customHeight="1" x14ac:dyDescent="0.2">
      <c r="A203" s="2">
        <v>29</v>
      </c>
      <c r="B203" s="2" t="s">
        <v>1291</v>
      </c>
      <c r="C203" s="2" t="str">
        <f>VLOOKUP(D203,'slb RAW'!$E:$F,2)</f>
        <v>#N/A Field Not Applicable</v>
      </c>
      <c r="D203" s="2" t="s">
        <v>1304</v>
      </c>
      <c r="E203" s="2" t="s">
        <v>1305</v>
      </c>
      <c r="F203" s="2" t="s">
        <v>1294</v>
      </c>
      <c r="G203" s="2" t="s">
        <v>45</v>
      </c>
      <c r="H203" s="2" t="s">
        <v>45</v>
      </c>
      <c r="I203" s="2" t="s">
        <v>45</v>
      </c>
      <c r="J203" s="2" t="b">
        <f t="shared" si="7"/>
        <v>1</v>
      </c>
      <c r="K203" s="3">
        <v>0</v>
      </c>
      <c r="L203" s="2" t="s">
        <v>1295</v>
      </c>
      <c r="M203" s="2" t="s">
        <v>1306</v>
      </c>
      <c r="N203" s="4" t="s">
        <v>48</v>
      </c>
      <c r="O203" s="2" t="s">
        <v>49</v>
      </c>
      <c r="P203" s="2" t="s">
        <v>50</v>
      </c>
      <c r="Q203" s="2" t="s">
        <v>104</v>
      </c>
      <c r="R203" s="2" t="s">
        <v>52</v>
      </c>
      <c r="S203" s="2" t="s">
        <v>53</v>
      </c>
      <c r="T203" s="2" t="s">
        <v>54</v>
      </c>
      <c r="U203" s="2" t="s">
        <v>55</v>
      </c>
      <c r="V203" s="2" t="s">
        <v>56</v>
      </c>
      <c r="W203" s="2" t="s">
        <v>57</v>
      </c>
      <c r="X203" s="2">
        <v>394352000</v>
      </c>
      <c r="Y203" s="2" t="s">
        <v>421</v>
      </c>
      <c r="Z203" s="2" t="s">
        <v>976</v>
      </c>
      <c r="AA203" s="2" t="s">
        <v>60</v>
      </c>
      <c r="AB203" s="2" t="s">
        <v>61</v>
      </c>
      <c r="AC203" s="2" t="s">
        <v>227</v>
      </c>
      <c r="AD203" s="2" t="s">
        <v>664</v>
      </c>
      <c r="AE203" s="2" t="s">
        <v>1297</v>
      </c>
      <c r="AF203" s="6" t="s">
        <v>139</v>
      </c>
      <c r="AG203" s="6"/>
      <c r="AH203" s="2" t="str">
        <f t="shared" si="0"/>
        <v/>
      </c>
      <c r="AI203" s="6" t="s">
        <v>139</v>
      </c>
      <c r="AJ203" s="6"/>
      <c r="AK203" s="6" t="s">
        <v>64</v>
      </c>
      <c r="AL203" s="2" t="s">
        <v>1298</v>
      </c>
      <c r="AM203" s="5" t="str">
        <f>VLOOKUP(D203,'slb RAW'!$E$2:$AF$293,9)</f>
        <v>#N/A N/A</v>
      </c>
      <c r="AN203" s="2" t="str">
        <f>VLOOKUP(D203,'slb RAW'!$E$2:$AE$293,27)</f>
        <v>#N/A N/A</v>
      </c>
      <c r="AO203" s="2" t="e">
        <f>VLOOKUP(C203,'Refinitiv SLB'!F203:S380,14)</f>
        <v>#N/A</v>
      </c>
      <c r="AP203" s="2" t="str">
        <f t="shared" si="1"/>
        <v>#N/A N/A</v>
      </c>
      <c r="AQ203" s="7" t="str">
        <f t="shared" si="2"/>
        <v>BayWa AGAT MATURITYFIXEDEURSr Unsecured</v>
      </c>
      <c r="AR203" s="5" t="b">
        <f ca="1">ISNUMBER( IFERROR(VLOOKUP(A203,Pairs!$E$2:$E$57,1,FALSE),FALSE))</f>
        <v>0</v>
      </c>
      <c r="AS203" s="5"/>
      <c r="AT203" s="5"/>
    </row>
    <row r="204" spans="1:46" ht="15.75" customHeight="1" x14ac:dyDescent="0.2">
      <c r="A204" s="2">
        <v>26</v>
      </c>
      <c r="B204" s="2" t="s">
        <v>1291</v>
      </c>
      <c r="C204" s="2" t="str">
        <f>VLOOKUP(D204,'slb RAW'!$E:$F,2)</f>
        <v>#N/A Field Not Applicable</v>
      </c>
      <c r="D204" s="2" t="s">
        <v>1307</v>
      </c>
      <c r="E204" s="2" t="s">
        <v>1308</v>
      </c>
      <c r="F204" s="2" t="s">
        <v>1294</v>
      </c>
      <c r="G204" s="2" t="s">
        <v>45</v>
      </c>
      <c r="H204" s="2" t="s">
        <v>45</v>
      </c>
      <c r="I204" s="2" t="s">
        <v>45</v>
      </c>
      <c r="J204" s="2" t="b">
        <f t="shared" si="7"/>
        <v>1</v>
      </c>
      <c r="K204" s="3">
        <v>0</v>
      </c>
      <c r="L204" s="2" t="s">
        <v>1295</v>
      </c>
      <c r="M204" s="2" t="s">
        <v>1306</v>
      </c>
      <c r="N204" s="4" t="s">
        <v>48</v>
      </c>
      <c r="O204" s="2" t="s">
        <v>49</v>
      </c>
      <c r="P204" s="2" t="s">
        <v>50</v>
      </c>
      <c r="Q204" s="2" t="s">
        <v>94</v>
      </c>
      <c r="R204" s="2" t="s">
        <v>52</v>
      </c>
      <c r="S204" s="2" t="s">
        <v>53</v>
      </c>
      <c r="T204" s="2" t="s">
        <v>54</v>
      </c>
      <c r="U204" s="2" t="s">
        <v>55</v>
      </c>
      <c r="V204" s="2" t="s">
        <v>56</v>
      </c>
      <c r="W204" s="2" t="s">
        <v>57</v>
      </c>
      <c r="X204" s="2">
        <v>394352000</v>
      </c>
      <c r="Y204" s="2" t="s">
        <v>421</v>
      </c>
      <c r="Z204" s="2" t="s">
        <v>976</v>
      </c>
      <c r="AA204" s="2" t="s">
        <v>60</v>
      </c>
      <c r="AB204" s="2" t="s">
        <v>61</v>
      </c>
      <c r="AC204" s="2" t="s">
        <v>227</v>
      </c>
      <c r="AD204" s="2" t="s">
        <v>664</v>
      </c>
      <c r="AE204" s="2" t="s">
        <v>1297</v>
      </c>
      <c r="AF204" s="6" t="s">
        <v>139</v>
      </c>
      <c r="AG204" s="6"/>
      <c r="AH204" s="2" t="str">
        <f t="shared" si="0"/>
        <v/>
      </c>
      <c r="AI204" s="6" t="s">
        <v>139</v>
      </c>
      <c r="AJ204" s="6"/>
      <c r="AK204" s="6" t="s">
        <v>64</v>
      </c>
      <c r="AL204" s="2" t="s">
        <v>1298</v>
      </c>
      <c r="AM204" s="5" t="str">
        <f>VLOOKUP(D204,'slb RAW'!$E$2:$AF$293,9)</f>
        <v>#N/A N/A</v>
      </c>
      <c r="AN204" s="2" t="str">
        <f>VLOOKUP(D204,'slb RAW'!$E$2:$AE$293,27)</f>
        <v>#N/A N/A</v>
      </c>
      <c r="AO204" s="2" t="e">
        <f>VLOOKUP(C204,'Refinitiv SLB'!F204:S381,14)</f>
        <v>#N/A</v>
      </c>
      <c r="AP204" s="2" t="str">
        <f t="shared" si="1"/>
        <v>#N/A N/A</v>
      </c>
      <c r="AQ204" s="7" t="str">
        <f t="shared" si="2"/>
        <v>BayWa AGAT MATURITYFIXEDEURSr Unsecured</v>
      </c>
      <c r="AR204" s="5" t="b">
        <f ca="1">ISNUMBER( IFERROR(VLOOKUP(A204,Pairs!$E$2:$E$57,1,FALSE),FALSE))</f>
        <v>0</v>
      </c>
      <c r="AS204" s="5"/>
      <c r="AT204" s="5"/>
    </row>
    <row r="205" spans="1:46" ht="15.75" customHeight="1" x14ac:dyDescent="0.2">
      <c r="A205" s="2">
        <v>108</v>
      </c>
      <c r="B205" s="2" t="s">
        <v>1075</v>
      </c>
      <c r="C205" s="2" t="str">
        <f>VLOOKUP(D205,'slb RAW'!$E:$F,2)</f>
        <v>#N/A Field Not Applicable</v>
      </c>
      <c r="D205" s="2" t="s">
        <v>1309</v>
      </c>
      <c r="E205" s="2" t="s">
        <v>1310</v>
      </c>
      <c r="F205" s="2" t="s">
        <v>1078</v>
      </c>
      <c r="G205" s="2" t="s">
        <v>184</v>
      </c>
      <c r="H205" s="2" t="s">
        <v>184</v>
      </c>
      <c r="I205" s="2" t="s">
        <v>184</v>
      </c>
      <c r="J205" s="2" t="b">
        <f t="shared" si="7"/>
        <v>1</v>
      </c>
      <c r="K205" s="2">
        <v>0</v>
      </c>
      <c r="L205" s="2" t="s">
        <v>1079</v>
      </c>
      <c r="M205" s="2" t="s">
        <v>1095</v>
      </c>
      <c r="N205" s="4" t="s">
        <v>48</v>
      </c>
      <c r="O205" s="2" t="s">
        <v>49</v>
      </c>
      <c r="P205" s="2" t="s">
        <v>50</v>
      </c>
      <c r="Q205" s="2" t="s">
        <v>1311</v>
      </c>
      <c r="R205" s="2" t="s">
        <v>52</v>
      </c>
      <c r="S205" s="2" t="s">
        <v>53</v>
      </c>
      <c r="T205" s="2" t="s">
        <v>54</v>
      </c>
      <c r="U205" s="2" t="s">
        <v>884</v>
      </c>
      <c r="V205" s="2" t="s">
        <v>56</v>
      </c>
      <c r="W205" s="2" t="s">
        <v>57</v>
      </c>
      <c r="X205" s="2">
        <v>458828550</v>
      </c>
      <c r="Y205" s="2" t="s">
        <v>134</v>
      </c>
      <c r="Z205" s="2" t="s">
        <v>543</v>
      </c>
      <c r="AA205" s="2" t="s">
        <v>60</v>
      </c>
      <c r="AB205" s="2" t="s">
        <v>61</v>
      </c>
      <c r="AC205" s="2" t="s">
        <v>136</v>
      </c>
      <c r="AD205" s="2" t="s">
        <v>544</v>
      </c>
      <c r="AE205" s="2" t="s">
        <v>1082</v>
      </c>
      <c r="AF205" s="5">
        <v>10</v>
      </c>
      <c r="AG205" s="6"/>
      <c r="AH205" s="2" t="str">
        <f t="shared" si="0"/>
        <v/>
      </c>
      <c r="AI205" s="2" t="str" cm="1">
        <f t="array" ref="AI205">_xlfn.IFS(AF205&lt;25,"Less",AF205=25,"Equal",AF205&gt;25,"More")</f>
        <v>Less</v>
      </c>
      <c r="AJ205" s="6"/>
      <c r="AK205" s="6" t="s">
        <v>125</v>
      </c>
      <c r="AL205" s="2" t="s">
        <v>1312</v>
      </c>
      <c r="AM205" s="5" t="str">
        <f>VLOOKUP(D205,'slb RAW'!$E$2:$AF$293,9)</f>
        <v>#N/A N/A</v>
      </c>
      <c r="AN205" s="2" t="str">
        <f>VLOOKUP(D205,'slb RAW'!$E$2:$AE$293,27)</f>
        <v>#N/A N/A</v>
      </c>
      <c r="AO205" s="2" t="e">
        <f>VLOOKUP(C205,'Refinitiv SLB'!F205:S382,14)</f>
        <v>#N/A</v>
      </c>
      <c r="AP205" s="2" t="str">
        <f t="shared" si="1"/>
        <v>#N/A N/A</v>
      </c>
      <c r="AQ205" s="7" t="str">
        <f t="shared" si="2"/>
        <v>Faurecia SEAT MATURITYFIXEDEURSr Unsecured</v>
      </c>
      <c r="AR205" s="5" t="b">
        <f ca="1">ISNUMBER( IFERROR(VLOOKUP(A205,Pairs!$E$2:$E$57,1,FALSE),FALSE))</f>
        <v>0</v>
      </c>
      <c r="AS205" s="5"/>
      <c r="AT205" s="5"/>
    </row>
    <row r="206" spans="1:46" ht="15.75" customHeight="1" x14ac:dyDescent="0.2">
      <c r="A206" s="2">
        <v>109</v>
      </c>
      <c r="B206" s="2" t="s">
        <v>1075</v>
      </c>
      <c r="C206" s="2" t="str">
        <f>VLOOKUP(D206,'slb RAW'!$E:$F,2)</f>
        <v>#N/A Field Not Applicable</v>
      </c>
      <c r="D206" s="2" t="s">
        <v>1313</v>
      </c>
      <c r="E206" s="2" t="s">
        <v>1314</v>
      </c>
      <c r="F206" s="2" t="s">
        <v>1078</v>
      </c>
      <c r="G206" s="2" t="s">
        <v>184</v>
      </c>
      <c r="H206" s="2" t="s">
        <v>184</v>
      </c>
      <c r="I206" s="2" t="s">
        <v>184</v>
      </c>
      <c r="J206" s="2" t="b">
        <f t="shared" si="7"/>
        <v>1</v>
      </c>
      <c r="K206" s="2">
        <v>0</v>
      </c>
      <c r="L206" s="2" t="s">
        <v>1079</v>
      </c>
      <c r="M206" s="2" t="s">
        <v>1086</v>
      </c>
      <c r="N206" s="4" t="s">
        <v>48</v>
      </c>
      <c r="O206" s="2" t="s">
        <v>49</v>
      </c>
      <c r="P206" s="2" t="s">
        <v>50</v>
      </c>
      <c r="Q206" s="2" t="s">
        <v>1315</v>
      </c>
      <c r="R206" s="2" t="s">
        <v>52</v>
      </c>
      <c r="S206" s="2" t="s">
        <v>53</v>
      </c>
      <c r="T206" s="2" t="s">
        <v>54</v>
      </c>
      <c r="U206" s="2" t="s">
        <v>884</v>
      </c>
      <c r="V206" s="2" t="s">
        <v>56</v>
      </c>
      <c r="W206" s="2" t="s">
        <v>57</v>
      </c>
      <c r="X206" s="2">
        <v>793037000</v>
      </c>
      <c r="Y206" s="2" t="s">
        <v>134</v>
      </c>
      <c r="Z206" s="2" t="s">
        <v>543</v>
      </c>
      <c r="AA206" s="2" t="s">
        <v>60</v>
      </c>
      <c r="AB206" s="2" t="s">
        <v>61</v>
      </c>
      <c r="AC206" s="2" t="s">
        <v>136</v>
      </c>
      <c r="AD206" s="2" t="s">
        <v>544</v>
      </c>
      <c r="AE206" s="2" t="s">
        <v>1082</v>
      </c>
      <c r="AF206" s="5">
        <v>10</v>
      </c>
      <c r="AG206" s="6"/>
      <c r="AH206" s="2" t="str">
        <f t="shared" si="0"/>
        <v/>
      </c>
      <c r="AI206" s="2" t="str" cm="1">
        <f t="array" ref="AI206">_xlfn.IFS(AF206&lt;25,"Less",AF206=25,"Equal",AF206&gt;25,"More")</f>
        <v>Less</v>
      </c>
      <c r="AJ206" s="6"/>
      <c r="AK206" s="6" t="s">
        <v>125</v>
      </c>
      <c r="AL206" s="2" t="s">
        <v>1312</v>
      </c>
      <c r="AM206" s="5" t="str">
        <f>VLOOKUP(D206,'slb RAW'!$E$2:$AF$293,9)</f>
        <v>#N/A N/A</v>
      </c>
      <c r="AN206" s="2" t="str">
        <f>VLOOKUP(D206,'slb RAW'!$E$2:$AE$293,27)</f>
        <v>#N/A N/A</v>
      </c>
      <c r="AO206" s="2" t="e">
        <f>VLOOKUP(C206,'Refinitiv SLB'!F206:S383,14)</f>
        <v>#N/A</v>
      </c>
      <c r="AP206" s="2" t="str">
        <f t="shared" si="1"/>
        <v>#N/A N/A</v>
      </c>
      <c r="AQ206" s="7" t="str">
        <f t="shared" si="2"/>
        <v>Faurecia SEAT MATURITYFIXEDEURSr Unsecured</v>
      </c>
      <c r="AR206" s="5" t="b">
        <f ca="1">ISNUMBER( IFERROR(VLOOKUP(A206,Pairs!$E$2:$E$57,1,FALSE),FALSE))</f>
        <v>0</v>
      </c>
      <c r="AS206" s="5"/>
      <c r="AT206" s="5"/>
    </row>
    <row r="207" spans="1:46" s="80" customFormat="1" ht="15.75" customHeight="1" x14ac:dyDescent="0.2">
      <c r="A207" s="79">
        <v>261</v>
      </c>
      <c r="B207" s="79" t="s">
        <v>1316</v>
      </c>
      <c r="C207" s="79" t="str">
        <f>VLOOKUP(D207,'slb RAW'!$E:$F,2)</f>
        <v>XS2431016034</v>
      </c>
      <c r="D207" s="79" t="s">
        <v>1317</v>
      </c>
      <c r="E207" s="79" t="s">
        <v>1318</v>
      </c>
      <c r="F207" s="79" t="s">
        <v>1319</v>
      </c>
      <c r="G207" s="79" t="s">
        <v>366</v>
      </c>
      <c r="H207" s="79" t="s">
        <v>366</v>
      </c>
      <c r="I207" s="79" t="s">
        <v>366</v>
      </c>
      <c r="J207" s="2" t="b">
        <f t="shared" si="7"/>
        <v>1</v>
      </c>
      <c r="K207" s="79">
        <v>3.5</v>
      </c>
      <c r="L207" s="79" t="s">
        <v>1320</v>
      </c>
      <c r="M207" s="79" t="s">
        <v>662</v>
      </c>
      <c r="N207" s="79">
        <v>3.5</v>
      </c>
      <c r="O207" s="79" t="s">
        <v>115</v>
      </c>
      <c r="P207" s="79" t="s">
        <v>116</v>
      </c>
      <c r="Q207" s="79" t="s">
        <v>261</v>
      </c>
      <c r="R207" s="79" t="s">
        <v>458</v>
      </c>
      <c r="S207" s="79" t="s">
        <v>53</v>
      </c>
      <c r="T207" s="79" t="s">
        <v>410</v>
      </c>
      <c r="U207" s="79" t="s">
        <v>55</v>
      </c>
      <c r="V207" s="79" t="s">
        <v>56</v>
      </c>
      <c r="W207" s="79" t="s">
        <v>71</v>
      </c>
      <c r="X207" s="79">
        <v>849540000</v>
      </c>
      <c r="Y207" s="79" t="s">
        <v>308</v>
      </c>
      <c r="Z207" s="79" t="s">
        <v>1321</v>
      </c>
      <c r="AA207" s="79" t="s">
        <v>60</v>
      </c>
      <c r="AB207" s="79" t="s">
        <v>61</v>
      </c>
      <c r="AC207" s="79" t="s">
        <v>308</v>
      </c>
      <c r="AD207" s="79" t="s">
        <v>1322</v>
      </c>
      <c r="AE207" s="79" t="s">
        <v>1323</v>
      </c>
      <c r="AF207" s="83">
        <v>12.5</v>
      </c>
      <c r="AG207" s="82"/>
      <c r="AH207" s="79" t="str">
        <f t="shared" si="0"/>
        <v/>
      </c>
      <c r="AI207" s="2" t="str" cm="1">
        <f t="array" ref="AI207">_xlfn.IFS(AF207&lt;25,"Less",AF207=25,"Equal",AF207&gt;25,"More")</f>
        <v>Less</v>
      </c>
      <c r="AJ207" s="82"/>
      <c r="AK207" s="82" t="s">
        <v>125</v>
      </c>
      <c r="AL207" s="79" t="s">
        <v>1324</v>
      </c>
      <c r="AM207" s="83">
        <f>VLOOKUP(D207,'slb RAW'!$E$2:$AF$293,9)</f>
        <v>3.5</v>
      </c>
      <c r="AN207" s="79">
        <f>VLOOKUP(D207,'slb RAW'!$E$2:$AE$293,27)</f>
        <v>3.6840000000000002</v>
      </c>
      <c r="AO207" s="79" t="e">
        <f>VLOOKUP(C207,'Refinitiv SLB'!F207:S384,14)</f>
        <v>#N/A</v>
      </c>
      <c r="AP207" s="79">
        <f t="shared" si="1"/>
        <v>3.6840000000000002</v>
      </c>
      <c r="AQ207" s="84" t="str">
        <f t="shared" si="2"/>
        <v>VZ Secured Financing BVCALLABLEFIXEDEURSecured</v>
      </c>
      <c r="AR207" s="83" t="b">
        <f ca="1">ISNUMBER( IFERROR(VLOOKUP(A207,Pairs!$E$2:$E$57,1,FALSE),FALSE))</f>
        <v>0</v>
      </c>
      <c r="AS207" s="83"/>
      <c r="AT207" s="83"/>
    </row>
    <row r="208" spans="1:46" s="80" customFormat="1" ht="15.75" customHeight="1" x14ac:dyDescent="0.2">
      <c r="A208" s="79">
        <v>259</v>
      </c>
      <c r="B208" s="79" t="s">
        <v>1316</v>
      </c>
      <c r="C208" s="79" t="str">
        <f>VLOOKUP(D208,'slb RAW'!$E:$F,2)</f>
        <v>XS2431015655</v>
      </c>
      <c r="D208" s="79" t="s">
        <v>1325</v>
      </c>
      <c r="E208" s="79" t="s">
        <v>1326</v>
      </c>
      <c r="F208" s="79" t="s">
        <v>1319</v>
      </c>
      <c r="G208" s="79" t="s">
        <v>366</v>
      </c>
      <c r="H208" s="79" t="s">
        <v>366</v>
      </c>
      <c r="I208" s="79" t="s">
        <v>366</v>
      </c>
      <c r="J208" s="2" t="b">
        <f t="shared" si="7"/>
        <v>1</v>
      </c>
      <c r="K208" s="79">
        <v>3.5</v>
      </c>
      <c r="L208" s="79" t="s">
        <v>1320</v>
      </c>
      <c r="M208" s="79" t="s">
        <v>662</v>
      </c>
      <c r="N208" s="79">
        <v>3.5</v>
      </c>
      <c r="O208" s="79" t="s">
        <v>115</v>
      </c>
      <c r="P208" s="79" t="s">
        <v>116</v>
      </c>
      <c r="Q208" s="79" t="s">
        <v>270</v>
      </c>
      <c r="R208" s="79" t="s">
        <v>458</v>
      </c>
      <c r="S208" s="79" t="s">
        <v>53</v>
      </c>
      <c r="T208" s="79" t="s">
        <v>410</v>
      </c>
      <c r="U208" s="79" t="s">
        <v>55</v>
      </c>
      <c r="V208" s="79" t="s">
        <v>56</v>
      </c>
      <c r="W208" s="79" t="s">
        <v>71</v>
      </c>
      <c r="X208" s="79">
        <v>849540000</v>
      </c>
      <c r="Y208" s="79" t="s">
        <v>308</v>
      </c>
      <c r="Z208" s="79" t="s">
        <v>1321</v>
      </c>
      <c r="AA208" s="79" t="s">
        <v>60</v>
      </c>
      <c r="AB208" s="79" t="s">
        <v>61</v>
      </c>
      <c r="AC208" s="79" t="s">
        <v>308</v>
      </c>
      <c r="AD208" s="79" t="s">
        <v>1322</v>
      </c>
      <c r="AE208" s="79" t="s">
        <v>1323</v>
      </c>
      <c r="AF208" s="83">
        <v>12.5</v>
      </c>
      <c r="AG208" s="82"/>
      <c r="AH208" s="79" t="str">
        <f t="shared" si="0"/>
        <v/>
      </c>
      <c r="AI208" s="2" t="str" cm="1">
        <f t="array" ref="AI208">_xlfn.IFS(AF208&lt;25,"Less",AF208=25,"Equal",AF208&gt;25,"More")</f>
        <v>Less</v>
      </c>
      <c r="AJ208" s="82"/>
      <c r="AK208" s="82" t="s">
        <v>125</v>
      </c>
      <c r="AL208" s="79" t="s">
        <v>1324</v>
      </c>
      <c r="AM208" s="83">
        <f>VLOOKUP(D208,'slb RAW'!$E$2:$AF$293,9)</f>
        <v>3.5</v>
      </c>
      <c r="AN208" s="79">
        <f>VLOOKUP(D208,'slb RAW'!$E$2:$AE$293,27)</f>
        <v>3.6779999999999999</v>
      </c>
      <c r="AO208" s="79" t="e">
        <f>VLOOKUP(C208,'Refinitiv SLB'!F208:S385,14)</f>
        <v>#N/A</v>
      </c>
      <c r="AP208" s="79">
        <f t="shared" si="1"/>
        <v>3.6779999999999999</v>
      </c>
      <c r="AQ208" s="84" t="str">
        <f t="shared" si="2"/>
        <v>VZ Secured Financing BVCALLABLEFIXEDEURSecured</v>
      </c>
      <c r="AR208" s="83" t="b">
        <f ca="1">ISNUMBER( IFERROR(VLOOKUP(A208,Pairs!$E$2:$E$57,1,FALSE),FALSE))</f>
        <v>0</v>
      </c>
      <c r="AS208" s="83"/>
      <c r="AT208" s="83"/>
    </row>
    <row r="209" spans="1:46" s="80" customFormat="1" ht="15.75" customHeight="1" x14ac:dyDescent="0.2">
      <c r="A209" s="79">
        <v>260</v>
      </c>
      <c r="B209" s="79" t="s">
        <v>1316</v>
      </c>
      <c r="C209" s="79" t="str">
        <f>VLOOKUP(D209,'slb RAW'!$E:$F,2)</f>
        <v>USN9T19KAA74</v>
      </c>
      <c r="D209" s="79" t="s">
        <v>1327</v>
      </c>
      <c r="E209" s="79" t="s">
        <v>1328</v>
      </c>
      <c r="F209" s="79" t="s">
        <v>1319</v>
      </c>
      <c r="G209" s="79" t="s">
        <v>366</v>
      </c>
      <c r="H209" s="79" t="s">
        <v>366</v>
      </c>
      <c r="I209" s="79" t="s">
        <v>366</v>
      </c>
      <c r="J209" s="2" t="b">
        <f t="shared" si="7"/>
        <v>1</v>
      </c>
      <c r="K209" s="79">
        <v>5</v>
      </c>
      <c r="L209" s="79" t="s">
        <v>1320</v>
      </c>
      <c r="M209" s="79" t="s">
        <v>662</v>
      </c>
      <c r="N209" s="79">
        <v>5.125</v>
      </c>
      <c r="O209" s="79" t="s">
        <v>115</v>
      </c>
      <c r="P209" s="79" t="s">
        <v>116</v>
      </c>
      <c r="Q209" s="79" t="s">
        <v>1329</v>
      </c>
      <c r="R209" s="79" t="s">
        <v>458</v>
      </c>
      <c r="S209" s="79" t="s">
        <v>262</v>
      </c>
      <c r="T209" s="79" t="s">
        <v>410</v>
      </c>
      <c r="U209" s="79" t="s">
        <v>55</v>
      </c>
      <c r="V209" s="79" t="s">
        <v>56</v>
      </c>
      <c r="W209" s="79" t="s">
        <v>71</v>
      </c>
      <c r="X209" s="79">
        <v>1525000000</v>
      </c>
      <c r="Y209" s="79" t="s">
        <v>308</v>
      </c>
      <c r="Z209" s="79" t="s">
        <v>1321</v>
      </c>
      <c r="AA209" s="79" t="s">
        <v>60</v>
      </c>
      <c r="AB209" s="79" t="s">
        <v>61</v>
      </c>
      <c r="AC209" s="79" t="s">
        <v>308</v>
      </c>
      <c r="AD209" s="79" t="s">
        <v>1322</v>
      </c>
      <c r="AE209" s="79" t="s">
        <v>1323</v>
      </c>
      <c r="AF209" s="83">
        <v>12.5</v>
      </c>
      <c r="AG209" s="82"/>
      <c r="AH209" s="79" t="str">
        <f t="shared" si="0"/>
        <v/>
      </c>
      <c r="AI209" s="2" t="str" cm="1">
        <f t="array" ref="AI209">_xlfn.IFS(AF209&lt;25,"Less",AF209=25,"Equal",AF209&gt;25,"More")</f>
        <v>Less</v>
      </c>
      <c r="AJ209" s="82"/>
      <c r="AK209" s="82" t="s">
        <v>125</v>
      </c>
      <c r="AL209" s="79" t="s">
        <v>1330</v>
      </c>
      <c r="AM209" s="83">
        <f>VLOOKUP(D209,'slb RAW'!$E$2:$AF$293,9)</f>
        <v>5.125</v>
      </c>
      <c r="AN209" s="79">
        <f>VLOOKUP(D209,'slb RAW'!$E$2:$AE$293,27)</f>
        <v>5.1070000000000002</v>
      </c>
      <c r="AO209" s="79" t="e">
        <f>VLOOKUP(C209,'Refinitiv SLB'!F209:S386,14)</f>
        <v>#N/A</v>
      </c>
      <c r="AP209" s="79">
        <f t="shared" si="1"/>
        <v>5.1070000000000002</v>
      </c>
      <c r="AQ209" s="84" t="str">
        <f t="shared" si="2"/>
        <v>VZ Secured Financing BVCALLABLEFIXEDUSDSecured</v>
      </c>
      <c r="AR209" s="83" t="b">
        <f ca="1">ISNUMBER( IFERROR(VLOOKUP(A209,Pairs!$E$2:$E$57,1,FALSE),FALSE))</f>
        <v>0</v>
      </c>
      <c r="AS209" s="83"/>
      <c r="AT209" s="83"/>
    </row>
    <row r="210" spans="1:46" s="80" customFormat="1" ht="15.75" customHeight="1" x14ac:dyDescent="0.2">
      <c r="A210" s="79">
        <v>258</v>
      </c>
      <c r="B210" s="79" t="s">
        <v>1316</v>
      </c>
      <c r="C210" s="79" t="str">
        <f>VLOOKUP(D210,'slb RAW'!$E:$F,2)</f>
        <v>US91845AAA34</v>
      </c>
      <c r="D210" s="79" t="s">
        <v>1331</v>
      </c>
      <c r="E210" s="79" t="s">
        <v>1332</v>
      </c>
      <c r="F210" s="79" t="s">
        <v>1319</v>
      </c>
      <c r="G210" s="79" t="s">
        <v>366</v>
      </c>
      <c r="H210" s="79" t="s">
        <v>366</v>
      </c>
      <c r="I210" s="79" t="s">
        <v>366</v>
      </c>
      <c r="J210" s="2" t="b">
        <f t="shared" si="7"/>
        <v>1</v>
      </c>
      <c r="K210" s="79">
        <v>5</v>
      </c>
      <c r="L210" s="79" t="s">
        <v>1320</v>
      </c>
      <c r="M210" s="79" t="s">
        <v>662</v>
      </c>
      <c r="N210" s="79">
        <v>5.125</v>
      </c>
      <c r="O210" s="79" t="s">
        <v>115</v>
      </c>
      <c r="P210" s="79" t="s">
        <v>116</v>
      </c>
      <c r="Q210" s="79" t="s">
        <v>1333</v>
      </c>
      <c r="R210" s="79" t="s">
        <v>458</v>
      </c>
      <c r="S210" s="79" t="s">
        <v>262</v>
      </c>
      <c r="T210" s="79" t="s">
        <v>410</v>
      </c>
      <c r="U210" s="79" t="s">
        <v>55</v>
      </c>
      <c r="V210" s="79" t="s">
        <v>56</v>
      </c>
      <c r="W210" s="79" t="s">
        <v>71</v>
      </c>
      <c r="X210" s="79">
        <v>1525000000</v>
      </c>
      <c r="Y210" s="79" t="s">
        <v>308</v>
      </c>
      <c r="Z210" s="79" t="s">
        <v>1321</v>
      </c>
      <c r="AA210" s="79" t="s">
        <v>60</v>
      </c>
      <c r="AB210" s="79" t="s">
        <v>61</v>
      </c>
      <c r="AC210" s="79" t="s">
        <v>308</v>
      </c>
      <c r="AD210" s="79" t="s">
        <v>1322</v>
      </c>
      <c r="AE210" s="79" t="s">
        <v>1323</v>
      </c>
      <c r="AF210" s="83">
        <v>12.5</v>
      </c>
      <c r="AG210" s="82"/>
      <c r="AH210" s="79" t="str">
        <f t="shared" si="0"/>
        <v/>
      </c>
      <c r="AI210" s="2" t="str" cm="1">
        <f t="array" ref="AI210">_xlfn.IFS(AF210&lt;25,"Less",AF210=25,"Equal",AF210&gt;25,"More")</f>
        <v>Less</v>
      </c>
      <c r="AJ210" s="82"/>
      <c r="AK210" s="82" t="s">
        <v>125</v>
      </c>
      <c r="AL210" s="79" t="s">
        <v>1334</v>
      </c>
      <c r="AM210" s="83">
        <f>VLOOKUP(D210,'slb RAW'!$E$2:$AF$293,9)</f>
        <v>5.125</v>
      </c>
      <c r="AN210" s="79">
        <f>VLOOKUP(D210,'slb RAW'!$E$2:$AE$293,27)</f>
        <v>5.1379999999999999</v>
      </c>
      <c r="AO210" s="79" t="e">
        <f>VLOOKUP(C210,'Refinitiv SLB'!F210:S387,14)</f>
        <v>#N/A</v>
      </c>
      <c r="AP210" s="79">
        <f t="shared" si="1"/>
        <v>5.1379999999999999</v>
      </c>
      <c r="AQ210" s="84" t="str">
        <f t="shared" si="2"/>
        <v>VZ Secured Financing BVCALLABLEFIXEDUSDSecured</v>
      </c>
      <c r="AR210" s="83" t="b">
        <f ca="1">ISNUMBER( IFERROR(VLOOKUP(A210,Pairs!$E$2:$E$57,1,FALSE),FALSE))</f>
        <v>0</v>
      </c>
      <c r="AS210" s="83"/>
      <c r="AT210" s="83"/>
    </row>
    <row r="211" spans="1:46" ht="15.75" customHeight="1" x14ac:dyDescent="0.2">
      <c r="A211" s="2">
        <v>35</v>
      </c>
      <c r="B211" s="2" t="s">
        <v>1335</v>
      </c>
      <c r="C211" s="2" t="str">
        <f>VLOOKUP(D211,'slb RAW'!$E:$F,2)</f>
        <v>XS2432162654</v>
      </c>
      <c r="D211" s="2" t="s">
        <v>1336</v>
      </c>
      <c r="E211" s="2" t="s">
        <v>1337</v>
      </c>
      <c r="F211" s="2" t="s">
        <v>1338</v>
      </c>
      <c r="G211" s="2" t="s">
        <v>169</v>
      </c>
      <c r="H211" s="2" t="s">
        <v>169</v>
      </c>
      <c r="I211" s="2" t="s">
        <v>1339</v>
      </c>
      <c r="J211" s="2" t="b">
        <f t="shared" si="7"/>
        <v>0</v>
      </c>
      <c r="K211" s="2">
        <v>1.75</v>
      </c>
      <c r="L211" s="2" t="s">
        <v>1340</v>
      </c>
      <c r="M211" s="2" t="s">
        <v>1341</v>
      </c>
      <c r="N211" s="2">
        <v>2.0169999999999999</v>
      </c>
      <c r="O211" s="2" t="s">
        <v>115</v>
      </c>
      <c r="P211" s="2" t="s">
        <v>116</v>
      </c>
      <c r="Q211" s="2" t="s">
        <v>225</v>
      </c>
      <c r="R211" s="2" t="s">
        <v>52</v>
      </c>
      <c r="S211" s="2" t="s">
        <v>53</v>
      </c>
      <c r="T211" s="2" t="s">
        <v>174</v>
      </c>
      <c r="U211" s="2" t="s">
        <v>55</v>
      </c>
      <c r="V211" s="2" t="s">
        <v>56</v>
      </c>
      <c r="W211" s="2" t="s">
        <v>57</v>
      </c>
      <c r="X211" s="2">
        <v>798147000</v>
      </c>
      <c r="Y211" s="2" t="s">
        <v>484</v>
      </c>
      <c r="Z211" s="2" t="s">
        <v>598</v>
      </c>
      <c r="AA211" s="2" t="s">
        <v>60</v>
      </c>
      <c r="AB211" s="2" t="s">
        <v>486</v>
      </c>
      <c r="AC211" s="2" t="s">
        <v>1151</v>
      </c>
      <c r="AD211" s="2" t="s">
        <v>1151</v>
      </c>
      <c r="AE211" s="2" t="s">
        <v>1342</v>
      </c>
      <c r="AF211" s="5">
        <v>25</v>
      </c>
      <c r="AG211" s="6"/>
      <c r="AH211" s="2" t="str">
        <f t="shared" si="0"/>
        <v/>
      </c>
      <c r="AI211" s="2" t="str" cm="1">
        <f t="array" ref="AI211">_xlfn.IFS(AF211&lt;25,"Less",AF211=25,"Equal",AF211&gt;25,"More")</f>
        <v>Equal</v>
      </c>
      <c r="AJ211" s="6"/>
      <c r="AK211" s="6" t="s">
        <v>125</v>
      </c>
      <c r="AL211" s="2" t="s">
        <v>1343</v>
      </c>
      <c r="AM211" s="5">
        <f>VLOOKUP(D211,'slb RAW'!$E$2:$AF$293,9)</f>
        <v>2.0169999999999999</v>
      </c>
      <c r="AN211" s="2">
        <f>VLOOKUP(D211,'slb RAW'!$E$2:$AE$293,27)</f>
        <v>2.0209999999999999</v>
      </c>
      <c r="AO211" s="2" t="e">
        <f>VLOOKUP(C211,'Refinitiv SLB'!F211:S388,14)</f>
        <v>#N/A</v>
      </c>
      <c r="AP211" s="2">
        <f t="shared" si="1"/>
        <v>2.0209999999999999</v>
      </c>
      <c r="AQ211" s="7" t="str">
        <f t="shared" si="2"/>
        <v>CPI Property Group SACALLABLEFIXEDEURSr Unsecured</v>
      </c>
      <c r="AR211" s="5" t="b">
        <f ca="1">ISNUMBER( IFERROR(VLOOKUP(A211,Pairs!$E$2:$E$57,1,FALSE),FALSE))</f>
        <v>1</v>
      </c>
      <c r="AS211" s="5"/>
      <c r="AT211" s="5"/>
    </row>
    <row r="212" spans="1:46" ht="15.75" customHeight="1" x14ac:dyDescent="0.2">
      <c r="A212" s="2">
        <v>79</v>
      </c>
      <c r="B212" s="2" t="s">
        <v>641</v>
      </c>
      <c r="C212" s="2" t="str">
        <f>VLOOKUP(D212,'slb RAW'!$E:$F,2)</f>
        <v>XS2432293673</v>
      </c>
      <c r="D212" s="2" t="s">
        <v>1344</v>
      </c>
      <c r="E212" s="2" t="s">
        <v>1345</v>
      </c>
      <c r="F212" s="2" t="s">
        <v>644</v>
      </c>
      <c r="G212" s="2" t="s">
        <v>366</v>
      </c>
      <c r="H212" s="2" t="s">
        <v>366</v>
      </c>
      <c r="I212" s="2" t="s">
        <v>199</v>
      </c>
      <c r="J212" s="2" t="b">
        <f t="shared" si="7"/>
        <v>0</v>
      </c>
      <c r="K212" s="2">
        <v>0.25</v>
      </c>
      <c r="L212" s="2" t="s">
        <v>1346</v>
      </c>
      <c r="M212" s="2" t="s">
        <v>1347</v>
      </c>
      <c r="N212" s="8">
        <v>0.27729999999999999</v>
      </c>
      <c r="O212" s="2" t="s">
        <v>115</v>
      </c>
      <c r="P212" s="2" t="s">
        <v>116</v>
      </c>
      <c r="Q212" s="2" t="s">
        <v>173</v>
      </c>
      <c r="R212" s="2" t="s">
        <v>52</v>
      </c>
      <c r="S212" s="2" t="s">
        <v>53</v>
      </c>
      <c r="T212" s="2" t="s">
        <v>619</v>
      </c>
      <c r="U212" s="2" t="s">
        <v>55</v>
      </c>
      <c r="V212" s="2" t="s">
        <v>56</v>
      </c>
      <c r="W212" s="2" t="s">
        <v>57</v>
      </c>
      <c r="X212" s="2">
        <v>1426475000</v>
      </c>
      <c r="Y212" s="2" t="s">
        <v>120</v>
      </c>
      <c r="Z212" s="2" t="s">
        <v>120</v>
      </c>
      <c r="AA212" s="2" t="s">
        <v>60</v>
      </c>
      <c r="AB212" s="2" t="s">
        <v>121</v>
      </c>
      <c r="AC212" s="2" t="s">
        <v>122</v>
      </c>
      <c r="AD212" s="2" t="s">
        <v>122</v>
      </c>
      <c r="AE212" s="2" t="s">
        <v>785</v>
      </c>
      <c r="AF212" s="5">
        <v>25</v>
      </c>
      <c r="AG212" s="6"/>
      <c r="AH212" s="2" t="str">
        <f t="shared" si="0"/>
        <v/>
      </c>
      <c r="AI212" s="2" t="str" cm="1">
        <f t="array" ref="AI212">_xlfn.IFS(AF212&lt;25,"Less",AF212=25,"Equal",AF212&gt;25,"More")</f>
        <v>Equal</v>
      </c>
      <c r="AJ212" s="6"/>
      <c r="AK212" s="6" t="s">
        <v>125</v>
      </c>
      <c r="AL212" s="2" t="s">
        <v>1348</v>
      </c>
      <c r="AM212" s="5" t="str">
        <f>VLOOKUP(D212,'slb RAW'!$E$2:$AF$293,9)</f>
        <v>#N/A N/A</v>
      </c>
      <c r="AN212" s="2">
        <f>VLOOKUP(D212,'slb RAW'!$E$2:$AE$293,27)</f>
        <v>0.30199999999999999</v>
      </c>
      <c r="AO212" s="2" t="e">
        <f>VLOOKUP(C212,'Refinitiv SLB'!F212:S389,14)</f>
        <v>#N/A</v>
      </c>
      <c r="AP212" s="2">
        <f t="shared" si="1"/>
        <v>0.30199999999999999</v>
      </c>
      <c r="AQ212" s="7" t="str">
        <f t="shared" si="2"/>
        <v>Enel Finance International NVCALLABLEFIXEDEURSr Unsecured</v>
      </c>
      <c r="AR212" s="5" t="b">
        <f ca="1">ISNUMBER( IFERROR(VLOOKUP(A212,Pairs!$E$2:$E$57,1,FALSE),FALSE))</f>
        <v>0</v>
      </c>
      <c r="AS212" s="5"/>
      <c r="AT212" s="5"/>
    </row>
    <row r="213" spans="1:46" ht="15.75" customHeight="1" x14ac:dyDescent="0.2">
      <c r="A213" s="2">
        <v>77</v>
      </c>
      <c r="B213" s="2" t="s">
        <v>641</v>
      </c>
      <c r="C213" s="2" t="str">
        <f>VLOOKUP(D213,'slb RAW'!$E:$F,2)</f>
        <v>XS2432293756</v>
      </c>
      <c r="D213" s="2" t="s">
        <v>1349</v>
      </c>
      <c r="E213" s="2" t="s">
        <v>1350</v>
      </c>
      <c r="F213" s="2" t="s">
        <v>644</v>
      </c>
      <c r="G213" s="2" t="s">
        <v>366</v>
      </c>
      <c r="H213" s="2" t="s">
        <v>366</v>
      </c>
      <c r="I213" s="2" t="s">
        <v>199</v>
      </c>
      <c r="J213" s="2" t="b">
        <f t="shared" si="7"/>
        <v>0</v>
      </c>
      <c r="K213" s="2">
        <v>0.875</v>
      </c>
      <c r="L213" s="2" t="s">
        <v>1346</v>
      </c>
      <c r="M213" s="2" t="s">
        <v>1351</v>
      </c>
      <c r="N213" s="2">
        <v>1.0269999999999999</v>
      </c>
      <c r="O213" s="2" t="s">
        <v>115</v>
      </c>
      <c r="P213" s="2" t="s">
        <v>116</v>
      </c>
      <c r="Q213" s="2" t="s">
        <v>1352</v>
      </c>
      <c r="R213" s="2" t="s">
        <v>52</v>
      </c>
      <c r="S213" s="2" t="s">
        <v>53</v>
      </c>
      <c r="T213" s="2" t="s">
        <v>619</v>
      </c>
      <c r="U213" s="2" t="s">
        <v>55</v>
      </c>
      <c r="V213" s="2" t="s">
        <v>56</v>
      </c>
      <c r="W213" s="2" t="s">
        <v>57</v>
      </c>
      <c r="X213" s="2">
        <v>855885000</v>
      </c>
      <c r="Y213" s="2" t="s">
        <v>120</v>
      </c>
      <c r="Z213" s="2" t="s">
        <v>120</v>
      </c>
      <c r="AA213" s="2" t="s">
        <v>60</v>
      </c>
      <c r="AB213" s="2" t="s">
        <v>121</v>
      </c>
      <c r="AC213" s="2" t="s">
        <v>122</v>
      </c>
      <c r="AD213" s="2" t="s">
        <v>122</v>
      </c>
      <c r="AE213" s="2" t="s">
        <v>1353</v>
      </c>
      <c r="AF213" s="5">
        <v>25</v>
      </c>
      <c r="AG213" s="6"/>
      <c r="AH213" s="2" t="str">
        <f t="shared" si="0"/>
        <v/>
      </c>
      <c r="AI213" s="2" t="str" cm="1">
        <f t="array" ref="AI213">_xlfn.IFS(AF213&lt;25,"Less",AF213=25,"Equal",AF213&gt;25,"More")</f>
        <v>Equal</v>
      </c>
      <c r="AJ213" s="6"/>
      <c r="AK213" s="6" t="s">
        <v>125</v>
      </c>
      <c r="AL213" s="2" t="s">
        <v>1354</v>
      </c>
      <c r="AM213" s="5">
        <f>VLOOKUP(D213,'slb RAW'!$E$2:$AF$293,9)</f>
        <v>1.0269999999999999</v>
      </c>
      <c r="AN213" s="2">
        <f>VLOOKUP(D213,'slb RAW'!$E$2:$AE$293,27)</f>
        <v>1.032</v>
      </c>
      <c r="AO213" s="2" t="e">
        <f>VLOOKUP(C213,'Refinitiv SLB'!F213:S390,14)</f>
        <v>#N/A</v>
      </c>
      <c r="AP213" s="2">
        <f t="shared" si="1"/>
        <v>1.032</v>
      </c>
      <c r="AQ213" s="7" t="str">
        <f t="shared" si="2"/>
        <v>Enel Finance International NVCALLABLEFIXEDEURSr Unsecured</v>
      </c>
      <c r="AR213" s="5" t="b">
        <f ca="1">ISNUMBER( IFERROR(VLOOKUP(A213,Pairs!$E$2:$E$57,1,FALSE),FALSE))</f>
        <v>0</v>
      </c>
      <c r="AS213" s="5"/>
      <c r="AT213" s="5"/>
    </row>
    <row r="214" spans="1:46" ht="15.75" customHeight="1" x14ac:dyDescent="0.2">
      <c r="A214" s="2">
        <v>78</v>
      </c>
      <c r="B214" s="2" t="s">
        <v>641</v>
      </c>
      <c r="C214" s="2" t="str">
        <f>VLOOKUP(D214,'slb RAW'!$E:$F,2)</f>
        <v>XS2432293913</v>
      </c>
      <c r="D214" s="2" t="s">
        <v>1355</v>
      </c>
      <c r="E214" s="2" t="s">
        <v>1356</v>
      </c>
      <c r="F214" s="2" t="s">
        <v>644</v>
      </c>
      <c r="G214" s="2" t="s">
        <v>366</v>
      </c>
      <c r="H214" s="2" t="s">
        <v>366</v>
      </c>
      <c r="I214" s="2" t="s">
        <v>199</v>
      </c>
      <c r="J214" s="2" t="b">
        <f t="shared" si="7"/>
        <v>0</v>
      </c>
      <c r="K214" s="2">
        <v>1.25</v>
      </c>
      <c r="L214" s="2" t="s">
        <v>1346</v>
      </c>
      <c r="M214" s="2" t="s">
        <v>1357</v>
      </c>
      <c r="N214" s="2">
        <v>1.306</v>
      </c>
      <c r="O214" s="2" t="s">
        <v>115</v>
      </c>
      <c r="P214" s="2" t="s">
        <v>116</v>
      </c>
      <c r="Q214" s="2" t="s">
        <v>1352</v>
      </c>
      <c r="R214" s="2" t="s">
        <v>52</v>
      </c>
      <c r="S214" s="2" t="s">
        <v>53</v>
      </c>
      <c r="T214" s="2" t="s">
        <v>619</v>
      </c>
      <c r="U214" s="2" t="s">
        <v>55</v>
      </c>
      <c r="V214" s="2" t="s">
        <v>56</v>
      </c>
      <c r="W214" s="2" t="s">
        <v>57</v>
      </c>
      <c r="X214" s="2">
        <v>855885000</v>
      </c>
      <c r="Y214" s="2" t="s">
        <v>120</v>
      </c>
      <c r="Z214" s="2" t="s">
        <v>120</v>
      </c>
      <c r="AA214" s="2" t="s">
        <v>60</v>
      </c>
      <c r="AB214" s="2" t="s">
        <v>121</v>
      </c>
      <c r="AC214" s="2" t="s">
        <v>122</v>
      </c>
      <c r="AD214" s="2" t="s">
        <v>122</v>
      </c>
      <c r="AE214" s="2" t="s">
        <v>914</v>
      </c>
      <c r="AF214" s="5">
        <v>25</v>
      </c>
      <c r="AG214" s="6"/>
      <c r="AH214" s="2" t="str">
        <f t="shared" si="0"/>
        <v/>
      </c>
      <c r="AI214" s="2" t="str" cm="1">
        <f t="array" ref="AI214">_xlfn.IFS(AF214&lt;25,"Less",AF214=25,"Equal",AF214&gt;25,"More")</f>
        <v>Equal</v>
      </c>
      <c r="AJ214" s="6"/>
      <c r="AK214" s="6" t="s">
        <v>125</v>
      </c>
      <c r="AL214" s="2" t="s">
        <v>1358</v>
      </c>
      <c r="AM214" s="5">
        <f>VLOOKUP(D214,'slb RAW'!$E$2:$AF$293,9)</f>
        <v>1.306</v>
      </c>
      <c r="AN214" s="2">
        <f>VLOOKUP(D214,'slb RAW'!$E$2:$AE$293,27)</f>
        <v>1.3460000000000001</v>
      </c>
      <c r="AO214" s="2" t="e">
        <f>VLOOKUP(C214,'Refinitiv SLB'!F214:S391,14)</f>
        <v>#N/A</v>
      </c>
      <c r="AP214" s="2">
        <f t="shared" si="1"/>
        <v>1.3460000000000001</v>
      </c>
      <c r="AQ214" s="7" t="str">
        <f t="shared" si="2"/>
        <v>Enel Finance International NVCALLABLEFIXEDEURSr Unsecured</v>
      </c>
      <c r="AR214" s="5" t="b">
        <f ca="1">ISNUMBER( IFERROR(VLOOKUP(A214,Pairs!$E$2:$E$57,1,FALSE),FALSE))</f>
        <v>0</v>
      </c>
      <c r="AS214" s="5"/>
      <c r="AT214" s="5"/>
    </row>
    <row r="215" spans="1:46" ht="15.75" customHeight="1" x14ac:dyDescent="0.2">
      <c r="A215" s="2">
        <v>240</v>
      </c>
      <c r="B215" s="2" t="s">
        <v>1359</v>
      </c>
      <c r="C215" s="2" t="str">
        <f>VLOOKUP(D215,'slb RAW'!$E:$F,2)</f>
        <v>XS2433211310</v>
      </c>
      <c r="D215" s="2" t="s">
        <v>1360</v>
      </c>
      <c r="E215" s="2" t="s">
        <v>1361</v>
      </c>
      <c r="F215" s="2" t="s">
        <v>1362</v>
      </c>
      <c r="G215" s="2" t="s">
        <v>199</v>
      </c>
      <c r="H215" s="2" t="s">
        <v>199</v>
      </c>
      <c r="I215" s="2" t="s">
        <v>199</v>
      </c>
      <c r="J215" s="2" t="b">
        <f t="shared" si="7"/>
        <v>1</v>
      </c>
      <c r="K215" s="2">
        <v>0.75</v>
      </c>
      <c r="L215" s="2" t="s">
        <v>1320</v>
      </c>
      <c r="M215" s="2" t="s">
        <v>1363</v>
      </c>
      <c r="N215" s="8">
        <v>1.2725</v>
      </c>
      <c r="O215" s="2" t="s">
        <v>115</v>
      </c>
      <c r="P215" s="2" t="s">
        <v>116</v>
      </c>
      <c r="Q215" s="2" t="s">
        <v>225</v>
      </c>
      <c r="R215" s="2" t="s">
        <v>52</v>
      </c>
      <c r="S215" s="2" t="s">
        <v>53</v>
      </c>
      <c r="T215" s="2" t="s">
        <v>174</v>
      </c>
      <c r="U215" s="2" t="s">
        <v>117</v>
      </c>
      <c r="V215" s="2" t="s">
        <v>56</v>
      </c>
      <c r="W215" s="2" t="s">
        <v>57</v>
      </c>
      <c r="X215" s="2">
        <v>962812000</v>
      </c>
      <c r="Y215" s="2" t="s">
        <v>120</v>
      </c>
      <c r="Z215" s="2" t="s">
        <v>120</v>
      </c>
      <c r="AA215" s="2" t="s">
        <v>60</v>
      </c>
      <c r="AB215" s="2" t="s">
        <v>121</v>
      </c>
      <c r="AC215" s="2" t="s">
        <v>1364</v>
      </c>
      <c r="AD215" s="2" t="s">
        <v>1364</v>
      </c>
      <c r="AE215" s="2" t="s">
        <v>1365</v>
      </c>
      <c r="AF215" s="5">
        <v>25</v>
      </c>
      <c r="AG215" s="6"/>
      <c r="AH215" s="2" t="str">
        <f t="shared" si="0"/>
        <v/>
      </c>
      <c r="AI215" s="2" t="str" cm="1">
        <f t="array" ref="AI215">_xlfn.IFS(AF215&lt;25,"Less",AF215=25,"Equal",AF215&gt;25,"More")</f>
        <v>Equal</v>
      </c>
      <c r="AJ215" s="6"/>
      <c r="AK215" s="6" t="s">
        <v>125</v>
      </c>
      <c r="AL215" s="2" t="s">
        <v>1366</v>
      </c>
      <c r="AM215" s="5" t="str">
        <f>VLOOKUP(D215,'slb RAW'!$E$2:$AF$293,9)</f>
        <v>#N/A N/A</v>
      </c>
      <c r="AN215" s="2">
        <f>VLOOKUP(D215,'slb RAW'!$E$2:$AE$293,27)</f>
        <v>0.84499999999999997</v>
      </c>
      <c r="AO215" s="2" t="e">
        <f>VLOOKUP(C215,'Refinitiv SLB'!F215:S392,14)</f>
        <v>#N/A</v>
      </c>
      <c r="AP215" s="2">
        <f t="shared" si="1"/>
        <v>0.84499999999999997</v>
      </c>
      <c r="AQ215" s="7" t="str">
        <f t="shared" si="2"/>
        <v>Snam SpACALLABLEFIXEDEURSr Unsecured</v>
      </c>
      <c r="AR215" s="5" t="b">
        <f ca="1">ISNUMBER( IFERROR(VLOOKUP(A215,Pairs!$E$2:$E$57,1,FALSE),FALSE))</f>
        <v>1</v>
      </c>
      <c r="AS215" s="5"/>
      <c r="AT215" s="5"/>
    </row>
    <row r="216" spans="1:46" ht="15.75" customHeight="1" x14ac:dyDescent="0.2">
      <c r="A216" s="2">
        <v>241</v>
      </c>
      <c r="B216" s="2" t="s">
        <v>1359</v>
      </c>
      <c r="C216" s="2" t="str">
        <f>VLOOKUP(D216,'slb RAW'!$E:$F,2)</f>
        <v>XS2433226854</v>
      </c>
      <c r="D216" s="2" t="s">
        <v>1367</v>
      </c>
      <c r="E216" s="2" t="s">
        <v>1368</v>
      </c>
      <c r="F216" s="2" t="s">
        <v>1362</v>
      </c>
      <c r="G216" s="2" t="s">
        <v>199</v>
      </c>
      <c r="H216" s="2" t="s">
        <v>199</v>
      </c>
      <c r="I216" s="2" t="s">
        <v>199</v>
      </c>
      <c r="J216" s="2" t="b">
        <f t="shared" si="7"/>
        <v>1</v>
      </c>
      <c r="K216" s="2">
        <v>1.25</v>
      </c>
      <c r="L216" s="2" t="s">
        <v>1320</v>
      </c>
      <c r="M216" s="2" t="s">
        <v>1369</v>
      </c>
      <c r="N216" s="2">
        <v>1.2710000000000001</v>
      </c>
      <c r="O216" s="2" t="s">
        <v>115</v>
      </c>
      <c r="P216" s="2" t="s">
        <v>116</v>
      </c>
      <c r="Q216" s="2" t="s">
        <v>225</v>
      </c>
      <c r="R216" s="2" t="s">
        <v>52</v>
      </c>
      <c r="S216" s="2" t="s">
        <v>53</v>
      </c>
      <c r="T216" s="2" t="s">
        <v>174</v>
      </c>
      <c r="U216" s="2" t="s">
        <v>117</v>
      </c>
      <c r="V216" s="2" t="s">
        <v>56</v>
      </c>
      <c r="W216" s="2" t="s">
        <v>57</v>
      </c>
      <c r="X216" s="2">
        <v>736268000</v>
      </c>
      <c r="Y216" s="2" t="s">
        <v>120</v>
      </c>
      <c r="Z216" s="2" t="s">
        <v>120</v>
      </c>
      <c r="AA216" s="2" t="s">
        <v>60</v>
      </c>
      <c r="AB216" s="2" t="s">
        <v>121</v>
      </c>
      <c r="AC216" s="2" t="s">
        <v>1364</v>
      </c>
      <c r="AD216" s="2" t="s">
        <v>1364</v>
      </c>
      <c r="AE216" s="2" t="s">
        <v>1370</v>
      </c>
      <c r="AF216" s="5">
        <v>25</v>
      </c>
      <c r="AG216" s="6"/>
      <c r="AH216" s="2" t="str">
        <f t="shared" si="0"/>
        <v/>
      </c>
      <c r="AI216" s="2" t="str" cm="1">
        <f t="array" ref="AI216">_xlfn.IFS(AF216&lt;25,"Less",AF216=25,"Equal",AF216&gt;25,"More")</f>
        <v>Equal</v>
      </c>
      <c r="AJ216" s="6"/>
      <c r="AK216" s="6" t="s">
        <v>125</v>
      </c>
      <c r="AL216" s="2" t="s">
        <v>1371</v>
      </c>
      <c r="AM216" s="5">
        <f>VLOOKUP(D216,'slb RAW'!$E$2:$AF$293,9)</f>
        <v>1.2710000000000001</v>
      </c>
      <c r="AN216" s="2">
        <f>VLOOKUP(D216,'slb RAW'!$E$2:$AE$293,27)</f>
        <v>1.2769999999999999</v>
      </c>
      <c r="AO216" s="2" t="e">
        <f>VLOOKUP(C216,'Refinitiv SLB'!F216:S393,14)</f>
        <v>#N/A</v>
      </c>
      <c r="AP216" s="2">
        <f t="shared" si="1"/>
        <v>1.2769999999999999</v>
      </c>
      <c r="AQ216" s="7" t="str">
        <f t="shared" si="2"/>
        <v>Snam SpACALLABLEFIXEDEURSr Unsecured</v>
      </c>
      <c r="AR216" s="5" t="b">
        <f ca="1">ISNUMBER( IFERROR(VLOOKUP(A216,Pairs!$E$2:$E$57,1,FALSE),FALSE))</f>
        <v>1</v>
      </c>
      <c r="AS216" s="5"/>
      <c r="AT216" s="5"/>
    </row>
    <row r="217" spans="1:46" ht="15.75" customHeight="1" x14ac:dyDescent="0.2">
      <c r="A217" s="2">
        <v>289</v>
      </c>
      <c r="B217" s="2" t="s">
        <v>1372</v>
      </c>
      <c r="C217" s="2" t="str">
        <f>VLOOKUP(D217,'slb RAW'!$E:$F,2)</f>
        <v>#N/A Field Not Applicable</v>
      </c>
      <c r="D217" s="2" t="s">
        <v>1373</v>
      </c>
      <c r="E217" s="2" t="s">
        <v>1374</v>
      </c>
      <c r="F217" s="2" t="s">
        <v>1375</v>
      </c>
      <c r="G217" s="2" t="s">
        <v>45</v>
      </c>
      <c r="H217" s="2" t="s">
        <v>45</v>
      </c>
      <c r="I217" s="2" t="s">
        <v>45</v>
      </c>
      <c r="J217" s="2" t="b">
        <f t="shared" si="7"/>
        <v>1</v>
      </c>
      <c r="K217" s="2">
        <v>0</v>
      </c>
      <c r="L217" s="2" t="s">
        <v>1376</v>
      </c>
      <c r="M217" s="2" t="s">
        <v>1377</v>
      </c>
      <c r="N217" s="4" t="s">
        <v>48</v>
      </c>
      <c r="O217" s="2" t="s">
        <v>49</v>
      </c>
      <c r="P217" s="2" t="s">
        <v>50</v>
      </c>
      <c r="Q217" s="2" t="s">
        <v>1378</v>
      </c>
      <c r="R217" s="2" t="s">
        <v>52</v>
      </c>
      <c r="S217" s="2" t="s">
        <v>53</v>
      </c>
      <c r="T217" s="2" t="s">
        <v>54</v>
      </c>
      <c r="U217" s="2" t="s">
        <v>55</v>
      </c>
      <c r="V217" s="2" t="s">
        <v>70</v>
      </c>
      <c r="W217" s="2" t="s">
        <v>71</v>
      </c>
      <c r="X217" s="2">
        <v>558330000</v>
      </c>
      <c r="Y217" s="2" t="s">
        <v>484</v>
      </c>
      <c r="Z217" s="2" t="s">
        <v>598</v>
      </c>
      <c r="AA217" s="2" t="s">
        <v>202</v>
      </c>
      <c r="AB217" s="2" t="s">
        <v>203</v>
      </c>
      <c r="AC217" s="2" t="s">
        <v>203</v>
      </c>
      <c r="AD217" s="2" t="s">
        <v>203</v>
      </c>
      <c r="AE217" s="2" t="s">
        <v>1379</v>
      </c>
      <c r="AF217" s="5">
        <v>1.5</v>
      </c>
      <c r="AG217" s="6"/>
      <c r="AH217" s="2" t="str">
        <f t="shared" si="0"/>
        <v/>
      </c>
      <c r="AI217" s="2" t="str" cm="1">
        <f t="array" ref="AI217">_xlfn.IFS(AF217&lt;25,"Less",AF217=25,"Equal",AF217&gt;25,"More")</f>
        <v>Less</v>
      </c>
      <c r="AJ217" s="6"/>
      <c r="AK217" s="6" t="s">
        <v>611</v>
      </c>
      <c r="AL217" s="2" t="s">
        <v>1380</v>
      </c>
      <c r="AM217" s="5" t="str">
        <f>VLOOKUP(D217,'slb RAW'!$E$2:$AF$293,9)</f>
        <v>#N/A N/A</v>
      </c>
      <c r="AN217" s="2" t="str">
        <f>VLOOKUP(D217,'slb RAW'!$E$2:$AE$293,27)</f>
        <v>#N/A N/A</v>
      </c>
      <c r="AO217" s="2" t="e">
        <f>VLOOKUP(C217,'Refinitiv SLB'!F217:S394,14)</f>
        <v>#N/A</v>
      </c>
      <c r="AP217" s="2" t="str">
        <f t="shared" si="1"/>
        <v>#N/A N/A</v>
      </c>
      <c r="AQ217" s="7" t="str">
        <f t="shared" si="2"/>
        <v>degewo AGAT MATURITYFLOATINGEURSr Unsecured</v>
      </c>
      <c r="AR217" s="5" t="b">
        <f ca="1">ISNUMBER( IFERROR(VLOOKUP(A217,Pairs!$E$2:$E$57,1,FALSE),FALSE))</f>
        <v>0</v>
      </c>
      <c r="AS217" s="5"/>
      <c r="AT217" s="5"/>
    </row>
    <row r="218" spans="1:46" ht="15.75" customHeight="1" x14ac:dyDescent="0.2">
      <c r="A218" s="2">
        <v>281</v>
      </c>
      <c r="B218" s="2" t="s">
        <v>1372</v>
      </c>
      <c r="C218" s="2" t="str">
        <f>VLOOKUP(D218,'slb RAW'!$E:$F,2)</f>
        <v>#N/A Field Not Applicable</v>
      </c>
      <c r="D218" s="2" t="s">
        <v>1381</v>
      </c>
      <c r="E218" s="2" t="s">
        <v>1382</v>
      </c>
      <c r="F218" s="2" t="s">
        <v>1375</v>
      </c>
      <c r="G218" s="2" t="s">
        <v>45</v>
      </c>
      <c r="H218" s="2" t="s">
        <v>45</v>
      </c>
      <c r="I218" s="2" t="s">
        <v>45</v>
      </c>
      <c r="J218" s="2" t="b">
        <f t="shared" si="7"/>
        <v>1</v>
      </c>
      <c r="K218" s="2">
        <v>0</v>
      </c>
      <c r="L218" s="2" t="s">
        <v>1376</v>
      </c>
      <c r="M218" s="2" t="s">
        <v>1383</v>
      </c>
      <c r="N218" s="4" t="s">
        <v>48</v>
      </c>
      <c r="O218" s="2" t="s">
        <v>49</v>
      </c>
      <c r="P218" s="2" t="s">
        <v>50</v>
      </c>
      <c r="Q218" s="2" t="s">
        <v>1384</v>
      </c>
      <c r="R218" s="2" t="s">
        <v>52</v>
      </c>
      <c r="S218" s="2" t="s">
        <v>53</v>
      </c>
      <c r="T218" s="2" t="s">
        <v>54</v>
      </c>
      <c r="U218" s="2" t="s">
        <v>55</v>
      </c>
      <c r="V218" s="2" t="s">
        <v>70</v>
      </c>
      <c r="W218" s="2" t="s">
        <v>71</v>
      </c>
      <c r="X218" s="2">
        <v>558330000</v>
      </c>
      <c r="Y218" s="2" t="s">
        <v>484</v>
      </c>
      <c r="Z218" s="2" t="s">
        <v>598</v>
      </c>
      <c r="AA218" s="2" t="s">
        <v>202</v>
      </c>
      <c r="AB218" s="2" t="s">
        <v>203</v>
      </c>
      <c r="AC218" s="2" t="s">
        <v>203</v>
      </c>
      <c r="AD218" s="2" t="s">
        <v>203</v>
      </c>
      <c r="AE218" s="2" t="s">
        <v>1379</v>
      </c>
      <c r="AF218" s="5">
        <v>1.5</v>
      </c>
      <c r="AG218" s="6"/>
      <c r="AH218" s="2" t="str">
        <f t="shared" si="0"/>
        <v/>
      </c>
      <c r="AI218" s="2" t="str" cm="1">
        <f t="array" ref="AI218">_xlfn.IFS(AF218&lt;25,"Less",AF218=25,"Equal",AF218&gt;25,"More")</f>
        <v>Less</v>
      </c>
      <c r="AJ218" s="6"/>
      <c r="AK218" s="6" t="s">
        <v>611</v>
      </c>
      <c r="AL218" s="2" t="s">
        <v>1380</v>
      </c>
      <c r="AM218" s="5" t="str">
        <f>VLOOKUP(D218,'slb RAW'!$E$2:$AF$293,9)</f>
        <v>#N/A N/A</v>
      </c>
      <c r="AN218" s="2" t="str">
        <f>VLOOKUP(D218,'slb RAW'!$E$2:$AE$293,27)</f>
        <v>#N/A N/A</v>
      </c>
      <c r="AO218" s="2" t="e">
        <f>VLOOKUP(C218,'Refinitiv SLB'!F218:S395,14)</f>
        <v>#N/A</v>
      </c>
      <c r="AP218" s="2" t="str">
        <f t="shared" si="1"/>
        <v>#N/A N/A</v>
      </c>
      <c r="AQ218" s="7" t="str">
        <f t="shared" si="2"/>
        <v>degewo AGAT MATURITYFLOATINGEURSr Unsecured</v>
      </c>
      <c r="AR218" s="5" t="b">
        <f ca="1">ISNUMBER( IFERROR(VLOOKUP(A218,Pairs!$E$2:$E$57,1,FALSE),FALSE))</f>
        <v>0</v>
      </c>
      <c r="AS218" s="5"/>
      <c r="AT218" s="5"/>
    </row>
    <row r="219" spans="1:46" ht="15.75" customHeight="1" x14ac:dyDescent="0.2">
      <c r="A219" s="2">
        <v>282</v>
      </c>
      <c r="B219" s="2" t="s">
        <v>1372</v>
      </c>
      <c r="C219" s="2" t="str">
        <f>VLOOKUP(D219,'slb RAW'!$E:$F,2)</f>
        <v>#N/A Field Not Applicable</v>
      </c>
      <c r="D219" s="2" t="s">
        <v>1385</v>
      </c>
      <c r="E219" s="2" t="s">
        <v>1386</v>
      </c>
      <c r="F219" s="2" t="s">
        <v>1375</v>
      </c>
      <c r="G219" s="2" t="s">
        <v>45</v>
      </c>
      <c r="H219" s="2" t="s">
        <v>45</v>
      </c>
      <c r="I219" s="2" t="s">
        <v>45</v>
      </c>
      <c r="J219" s="2" t="b">
        <f t="shared" si="7"/>
        <v>1</v>
      </c>
      <c r="K219" s="2">
        <v>0</v>
      </c>
      <c r="L219" s="2" t="s">
        <v>1376</v>
      </c>
      <c r="M219" s="2" t="s">
        <v>1387</v>
      </c>
      <c r="N219" s="4" t="s">
        <v>48</v>
      </c>
      <c r="O219" s="2" t="s">
        <v>49</v>
      </c>
      <c r="P219" s="2" t="s">
        <v>50</v>
      </c>
      <c r="Q219" s="2" t="s">
        <v>1388</v>
      </c>
      <c r="R219" s="2" t="s">
        <v>52</v>
      </c>
      <c r="S219" s="2" t="s">
        <v>53</v>
      </c>
      <c r="T219" s="2" t="s">
        <v>54</v>
      </c>
      <c r="U219" s="2" t="s">
        <v>55</v>
      </c>
      <c r="V219" s="2" t="s">
        <v>70</v>
      </c>
      <c r="W219" s="2" t="s">
        <v>71</v>
      </c>
      <c r="X219" s="2">
        <v>558330000</v>
      </c>
      <c r="Y219" s="2" t="s">
        <v>484</v>
      </c>
      <c r="Z219" s="2" t="s">
        <v>598</v>
      </c>
      <c r="AA219" s="2" t="s">
        <v>202</v>
      </c>
      <c r="AB219" s="2" t="s">
        <v>203</v>
      </c>
      <c r="AC219" s="2" t="s">
        <v>203</v>
      </c>
      <c r="AD219" s="2" t="s">
        <v>203</v>
      </c>
      <c r="AE219" s="2" t="s">
        <v>1379</v>
      </c>
      <c r="AF219" s="5">
        <v>1.5</v>
      </c>
      <c r="AG219" s="6"/>
      <c r="AH219" s="2" t="str">
        <f t="shared" si="0"/>
        <v/>
      </c>
      <c r="AI219" s="2" t="str" cm="1">
        <f t="array" ref="AI219">_xlfn.IFS(AF219&lt;25,"Less",AF219=25,"Equal",AF219&gt;25,"More")</f>
        <v>Less</v>
      </c>
      <c r="AJ219" s="6"/>
      <c r="AK219" s="6" t="s">
        <v>611</v>
      </c>
      <c r="AL219" s="2" t="s">
        <v>1380</v>
      </c>
      <c r="AM219" s="5" t="str">
        <f>VLOOKUP(D219,'slb RAW'!$E$2:$AF$293,9)</f>
        <v>#N/A N/A</v>
      </c>
      <c r="AN219" s="2" t="str">
        <f>VLOOKUP(D219,'slb RAW'!$E$2:$AE$293,27)</f>
        <v>#N/A N/A</v>
      </c>
      <c r="AO219" s="2" t="e">
        <f>VLOOKUP(C219,'Refinitiv SLB'!F219:S396,14)</f>
        <v>#N/A</v>
      </c>
      <c r="AP219" s="2" t="str">
        <f t="shared" si="1"/>
        <v>#N/A N/A</v>
      </c>
      <c r="AQ219" s="7" t="str">
        <f t="shared" si="2"/>
        <v>degewo AGAT MATURITYFLOATINGEURSr Unsecured</v>
      </c>
      <c r="AR219" s="5" t="b">
        <f ca="1">ISNUMBER( IFERROR(VLOOKUP(A219,Pairs!$E$2:$E$57,1,FALSE),FALSE))</f>
        <v>0</v>
      </c>
      <c r="AS219" s="5"/>
      <c r="AT219" s="5"/>
    </row>
    <row r="220" spans="1:46" ht="15.75" customHeight="1" x14ac:dyDescent="0.2">
      <c r="A220" s="2">
        <v>283</v>
      </c>
      <c r="B220" s="2" t="s">
        <v>1372</v>
      </c>
      <c r="C220" s="2" t="str">
        <f>VLOOKUP(D220,'slb RAW'!$E:$F,2)</f>
        <v>#N/A Field Not Applicable</v>
      </c>
      <c r="D220" s="2" t="s">
        <v>1389</v>
      </c>
      <c r="E220" s="2" t="s">
        <v>1390</v>
      </c>
      <c r="F220" s="2" t="s">
        <v>1375</v>
      </c>
      <c r="G220" s="2" t="s">
        <v>45</v>
      </c>
      <c r="H220" s="2" t="s">
        <v>45</v>
      </c>
      <c r="I220" s="2" t="s">
        <v>45</v>
      </c>
      <c r="J220" s="2" t="b">
        <f t="shared" si="7"/>
        <v>1</v>
      </c>
      <c r="K220" s="2">
        <v>0</v>
      </c>
      <c r="L220" s="2" t="s">
        <v>1376</v>
      </c>
      <c r="M220" s="2" t="s">
        <v>1391</v>
      </c>
      <c r="N220" s="4" t="s">
        <v>48</v>
      </c>
      <c r="O220" s="2" t="s">
        <v>49</v>
      </c>
      <c r="P220" s="2" t="s">
        <v>50</v>
      </c>
      <c r="Q220" s="2" t="s">
        <v>1392</v>
      </c>
      <c r="R220" s="2" t="s">
        <v>52</v>
      </c>
      <c r="S220" s="2" t="s">
        <v>53</v>
      </c>
      <c r="T220" s="2" t="s">
        <v>54</v>
      </c>
      <c r="U220" s="2" t="s">
        <v>55</v>
      </c>
      <c r="V220" s="2" t="s">
        <v>70</v>
      </c>
      <c r="W220" s="2" t="s">
        <v>71</v>
      </c>
      <c r="X220" s="2">
        <v>558330000</v>
      </c>
      <c r="Y220" s="2" t="s">
        <v>484</v>
      </c>
      <c r="Z220" s="2" t="s">
        <v>598</v>
      </c>
      <c r="AA220" s="2" t="s">
        <v>202</v>
      </c>
      <c r="AB220" s="2" t="s">
        <v>203</v>
      </c>
      <c r="AC220" s="2" t="s">
        <v>203</v>
      </c>
      <c r="AD220" s="2" t="s">
        <v>203</v>
      </c>
      <c r="AE220" s="2" t="s">
        <v>1379</v>
      </c>
      <c r="AF220" s="5">
        <v>1.5</v>
      </c>
      <c r="AG220" s="6"/>
      <c r="AH220" s="2" t="str">
        <f t="shared" si="0"/>
        <v/>
      </c>
      <c r="AI220" s="2" t="str" cm="1">
        <f t="array" ref="AI220">_xlfn.IFS(AF220&lt;25,"Less",AF220=25,"Equal",AF220&gt;25,"More")</f>
        <v>Less</v>
      </c>
      <c r="AJ220" s="6"/>
      <c r="AK220" s="6" t="s">
        <v>611</v>
      </c>
      <c r="AL220" s="2" t="s">
        <v>1380</v>
      </c>
      <c r="AM220" s="5" t="str">
        <f>VLOOKUP(D220,'slb RAW'!$E$2:$AF$293,9)</f>
        <v>#N/A N/A</v>
      </c>
      <c r="AN220" s="2" t="str">
        <f>VLOOKUP(D220,'slb RAW'!$E$2:$AE$293,27)</f>
        <v>#N/A N/A</v>
      </c>
      <c r="AO220" s="2" t="e">
        <f>VLOOKUP(C220,'Refinitiv SLB'!F220:S397,14)</f>
        <v>#N/A</v>
      </c>
      <c r="AP220" s="2" t="str">
        <f t="shared" si="1"/>
        <v>#N/A N/A</v>
      </c>
      <c r="AQ220" s="7" t="str">
        <f t="shared" si="2"/>
        <v>degewo AGAT MATURITYFLOATINGEURSr Unsecured</v>
      </c>
      <c r="AR220" s="5" t="b">
        <f ca="1">ISNUMBER( IFERROR(VLOOKUP(A220,Pairs!$E$2:$E$57,1,FALSE),FALSE))</f>
        <v>0</v>
      </c>
      <c r="AS220" s="5"/>
      <c r="AT220" s="5"/>
    </row>
    <row r="221" spans="1:46" ht="15.75" customHeight="1" x14ac:dyDescent="0.2">
      <c r="A221" s="2">
        <v>290</v>
      </c>
      <c r="B221" s="2" t="s">
        <v>1372</v>
      </c>
      <c r="C221" s="2" t="str">
        <f>VLOOKUP(D221,'slb RAW'!$E:$F,2)</f>
        <v>#N/A Field Not Applicable</v>
      </c>
      <c r="D221" s="2" t="s">
        <v>1393</v>
      </c>
      <c r="E221" s="2" t="s">
        <v>1394</v>
      </c>
      <c r="F221" s="2" t="s">
        <v>1375</v>
      </c>
      <c r="G221" s="2" t="s">
        <v>45</v>
      </c>
      <c r="H221" s="2" t="s">
        <v>45</v>
      </c>
      <c r="I221" s="2" t="s">
        <v>45</v>
      </c>
      <c r="J221" s="2" t="b">
        <f t="shared" si="7"/>
        <v>1</v>
      </c>
      <c r="K221" s="2">
        <v>0</v>
      </c>
      <c r="L221" s="2" t="s">
        <v>1376</v>
      </c>
      <c r="M221" s="2" t="s">
        <v>1395</v>
      </c>
      <c r="N221" s="4" t="s">
        <v>48</v>
      </c>
      <c r="O221" s="2" t="s">
        <v>49</v>
      </c>
      <c r="P221" s="2" t="s">
        <v>50</v>
      </c>
      <c r="Q221" s="2" t="s">
        <v>1396</v>
      </c>
      <c r="R221" s="2" t="s">
        <v>52</v>
      </c>
      <c r="S221" s="2" t="s">
        <v>53</v>
      </c>
      <c r="T221" s="2" t="s">
        <v>54</v>
      </c>
      <c r="U221" s="2" t="s">
        <v>55</v>
      </c>
      <c r="V221" s="2" t="s">
        <v>70</v>
      </c>
      <c r="W221" s="2" t="s">
        <v>71</v>
      </c>
      <c r="X221" s="2">
        <v>558330000</v>
      </c>
      <c r="Y221" s="2" t="s">
        <v>484</v>
      </c>
      <c r="Z221" s="2" t="s">
        <v>598</v>
      </c>
      <c r="AA221" s="2" t="s">
        <v>202</v>
      </c>
      <c r="AB221" s="2" t="s">
        <v>203</v>
      </c>
      <c r="AC221" s="2" t="s">
        <v>203</v>
      </c>
      <c r="AD221" s="2" t="s">
        <v>203</v>
      </c>
      <c r="AE221" s="2" t="s">
        <v>1379</v>
      </c>
      <c r="AF221" s="5">
        <v>1.5</v>
      </c>
      <c r="AG221" s="6"/>
      <c r="AH221" s="2" t="str">
        <f t="shared" si="0"/>
        <v/>
      </c>
      <c r="AI221" s="2" t="str" cm="1">
        <f t="array" ref="AI221">_xlfn.IFS(AF221&lt;25,"Less",AF221=25,"Equal",AF221&gt;25,"More")</f>
        <v>Less</v>
      </c>
      <c r="AJ221" s="6"/>
      <c r="AK221" s="6" t="s">
        <v>611</v>
      </c>
      <c r="AL221" s="2" t="s">
        <v>1380</v>
      </c>
      <c r="AM221" s="5" t="str">
        <f>VLOOKUP(D221,'slb RAW'!$E$2:$AF$293,9)</f>
        <v>#N/A N/A</v>
      </c>
      <c r="AN221" s="2" t="str">
        <f>VLOOKUP(D221,'slb RAW'!$E$2:$AE$293,27)</f>
        <v>#N/A N/A</v>
      </c>
      <c r="AO221" s="2" t="e">
        <f>VLOOKUP(C221,'Refinitiv SLB'!F221:S398,14)</f>
        <v>#N/A</v>
      </c>
      <c r="AP221" s="2" t="str">
        <f t="shared" si="1"/>
        <v>#N/A N/A</v>
      </c>
      <c r="AQ221" s="7" t="str">
        <f t="shared" si="2"/>
        <v>degewo AGAT MATURITYFLOATINGEURSr Unsecured</v>
      </c>
      <c r="AR221" s="5" t="b">
        <f ca="1">ISNUMBER( IFERROR(VLOOKUP(A221,Pairs!$E$2:$E$57,1,FALSE),FALSE))</f>
        <v>0</v>
      </c>
      <c r="AS221" s="5"/>
      <c r="AT221" s="5"/>
    </row>
    <row r="222" spans="1:46" ht="15.75" customHeight="1" x14ac:dyDescent="0.2">
      <c r="A222" s="2">
        <v>284</v>
      </c>
      <c r="B222" s="2" t="s">
        <v>1372</v>
      </c>
      <c r="C222" s="2" t="str">
        <f>VLOOKUP(D222,'slb RAW'!$E:$F,2)</f>
        <v>#N/A Field Not Applicable</v>
      </c>
      <c r="D222" s="2" t="s">
        <v>1397</v>
      </c>
      <c r="E222" s="2" t="s">
        <v>1398</v>
      </c>
      <c r="F222" s="2" t="s">
        <v>1375</v>
      </c>
      <c r="G222" s="2" t="s">
        <v>45</v>
      </c>
      <c r="H222" s="2" t="s">
        <v>45</v>
      </c>
      <c r="I222" s="2" t="s">
        <v>45</v>
      </c>
      <c r="J222" s="2" t="b">
        <f t="shared" si="7"/>
        <v>1</v>
      </c>
      <c r="K222" s="2">
        <v>0</v>
      </c>
      <c r="L222" s="2" t="s">
        <v>1376</v>
      </c>
      <c r="M222" s="2" t="s">
        <v>1399</v>
      </c>
      <c r="N222" s="4" t="s">
        <v>48</v>
      </c>
      <c r="O222" s="2" t="s">
        <v>49</v>
      </c>
      <c r="P222" s="2" t="s">
        <v>50</v>
      </c>
      <c r="Q222" s="2" t="s">
        <v>1400</v>
      </c>
      <c r="R222" s="2" t="s">
        <v>52</v>
      </c>
      <c r="S222" s="2" t="s">
        <v>53</v>
      </c>
      <c r="T222" s="2" t="s">
        <v>54</v>
      </c>
      <c r="U222" s="2" t="s">
        <v>55</v>
      </c>
      <c r="V222" s="2" t="s">
        <v>70</v>
      </c>
      <c r="W222" s="2" t="s">
        <v>71</v>
      </c>
      <c r="X222" s="2">
        <v>558330000</v>
      </c>
      <c r="Y222" s="2" t="s">
        <v>484</v>
      </c>
      <c r="Z222" s="2" t="s">
        <v>598</v>
      </c>
      <c r="AA222" s="2" t="s">
        <v>202</v>
      </c>
      <c r="AB222" s="2" t="s">
        <v>203</v>
      </c>
      <c r="AC222" s="2" t="s">
        <v>203</v>
      </c>
      <c r="AD222" s="2" t="s">
        <v>203</v>
      </c>
      <c r="AE222" s="2" t="s">
        <v>1379</v>
      </c>
      <c r="AF222" s="5">
        <v>1.5</v>
      </c>
      <c r="AG222" s="6"/>
      <c r="AH222" s="2" t="str">
        <f t="shared" si="0"/>
        <v/>
      </c>
      <c r="AI222" s="2" t="str" cm="1">
        <f t="array" ref="AI222">_xlfn.IFS(AF222&lt;25,"Less",AF222=25,"Equal",AF222&gt;25,"More")</f>
        <v>Less</v>
      </c>
      <c r="AJ222" s="6"/>
      <c r="AK222" s="6" t="s">
        <v>611</v>
      </c>
      <c r="AL222" s="2" t="s">
        <v>1380</v>
      </c>
      <c r="AM222" s="5" t="str">
        <f>VLOOKUP(D222,'slb RAW'!$E$2:$AF$293,9)</f>
        <v>#N/A N/A</v>
      </c>
      <c r="AN222" s="2" t="str">
        <f>VLOOKUP(D222,'slb RAW'!$E$2:$AE$293,27)</f>
        <v>#N/A N/A</v>
      </c>
      <c r="AO222" s="2" t="e">
        <f>VLOOKUP(C222,'Refinitiv SLB'!F222:S399,14)</f>
        <v>#N/A</v>
      </c>
      <c r="AP222" s="2" t="str">
        <f t="shared" si="1"/>
        <v>#N/A N/A</v>
      </c>
      <c r="AQ222" s="7" t="str">
        <f t="shared" si="2"/>
        <v>degewo AGAT MATURITYFLOATINGEURSr Unsecured</v>
      </c>
      <c r="AR222" s="5" t="b">
        <f ca="1">ISNUMBER( IFERROR(VLOOKUP(A222,Pairs!$E$2:$E$57,1,FALSE),FALSE))</f>
        <v>0</v>
      </c>
      <c r="AS222" s="5"/>
      <c r="AT222" s="5"/>
    </row>
    <row r="223" spans="1:46" ht="15.75" customHeight="1" x14ac:dyDescent="0.2">
      <c r="A223" s="2">
        <v>285</v>
      </c>
      <c r="B223" s="2" t="s">
        <v>1372</v>
      </c>
      <c r="C223" s="2" t="str">
        <f>VLOOKUP(D223,'slb RAW'!$E:$F,2)</f>
        <v>#N/A Field Not Applicable</v>
      </c>
      <c r="D223" s="2" t="s">
        <v>1401</v>
      </c>
      <c r="E223" s="2" t="s">
        <v>1402</v>
      </c>
      <c r="F223" s="2" t="s">
        <v>1375</v>
      </c>
      <c r="G223" s="2" t="s">
        <v>45</v>
      </c>
      <c r="H223" s="2" t="s">
        <v>45</v>
      </c>
      <c r="I223" s="2" t="s">
        <v>45</v>
      </c>
      <c r="J223" s="2" t="b">
        <f t="shared" si="7"/>
        <v>1</v>
      </c>
      <c r="K223" s="2">
        <v>0</v>
      </c>
      <c r="L223" s="2" t="s">
        <v>1376</v>
      </c>
      <c r="M223" s="2" t="s">
        <v>1403</v>
      </c>
      <c r="N223" s="4" t="s">
        <v>48</v>
      </c>
      <c r="O223" s="2" t="s">
        <v>49</v>
      </c>
      <c r="P223" s="2" t="s">
        <v>50</v>
      </c>
      <c r="Q223" s="2" t="s">
        <v>51</v>
      </c>
      <c r="R223" s="2" t="s">
        <v>52</v>
      </c>
      <c r="S223" s="2" t="s">
        <v>53</v>
      </c>
      <c r="T223" s="2" t="s">
        <v>54</v>
      </c>
      <c r="U223" s="2" t="s">
        <v>55</v>
      </c>
      <c r="V223" s="2" t="s">
        <v>70</v>
      </c>
      <c r="W223" s="2" t="s">
        <v>71</v>
      </c>
      <c r="X223" s="2">
        <v>558330000</v>
      </c>
      <c r="Y223" s="2" t="s">
        <v>484</v>
      </c>
      <c r="Z223" s="2" t="s">
        <v>598</v>
      </c>
      <c r="AA223" s="2" t="s">
        <v>202</v>
      </c>
      <c r="AB223" s="2" t="s">
        <v>203</v>
      </c>
      <c r="AC223" s="2" t="s">
        <v>203</v>
      </c>
      <c r="AD223" s="2" t="s">
        <v>203</v>
      </c>
      <c r="AE223" s="2" t="s">
        <v>1379</v>
      </c>
      <c r="AF223" s="5">
        <v>1.5</v>
      </c>
      <c r="AG223" s="6"/>
      <c r="AH223" s="2" t="str">
        <f t="shared" si="0"/>
        <v/>
      </c>
      <c r="AI223" s="2" t="str" cm="1">
        <f t="array" ref="AI223">_xlfn.IFS(AF223&lt;25,"Less",AF223=25,"Equal",AF223&gt;25,"More")</f>
        <v>Less</v>
      </c>
      <c r="AJ223" s="6"/>
      <c r="AK223" s="6" t="s">
        <v>611</v>
      </c>
      <c r="AL223" s="2" t="s">
        <v>1380</v>
      </c>
      <c r="AM223" s="5" t="str">
        <f>VLOOKUP(D223,'slb RAW'!$E$2:$AF$293,9)</f>
        <v>#N/A N/A</v>
      </c>
      <c r="AN223" s="2" t="str">
        <f>VLOOKUP(D223,'slb RAW'!$E$2:$AE$293,27)</f>
        <v>#N/A N/A</v>
      </c>
      <c r="AO223" s="2" t="e">
        <f>VLOOKUP(C223,'Refinitiv SLB'!F223:S400,14)</f>
        <v>#N/A</v>
      </c>
      <c r="AP223" s="2" t="str">
        <f t="shared" si="1"/>
        <v>#N/A N/A</v>
      </c>
      <c r="AQ223" s="7" t="str">
        <f t="shared" si="2"/>
        <v>degewo AGAT MATURITYFLOATINGEURSr Unsecured</v>
      </c>
      <c r="AR223" s="5" t="b">
        <f ca="1">ISNUMBER( IFERROR(VLOOKUP(A223,Pairs!$E$2:$E$57,1,FALSE),FALSE))</f>
        <v>0</v>
      </c>
      <c r="AS223" s="5"/>
      <c r="AT223" s="5"/>
    </row>
    <row r="224" spans="1:46" ht="15.75" customHeight="1" x14ac:dyDescent="0.2">
      <c r="A224" s="2">
        <v>286</v>
      </c>
      <c r="B224" s="2" t="s">
        <v>1372</v>
      </c>
      <c r="C224" s="2" t="str">
        <f>VLOOKUP(D224,'slb RAW'!$E:$F,2)</f>
        <v>#N/A Field Not Applicable</v>
      </c>
      <c r="D224" s="2" t="s">
        <v>1404</v>
      </c>
      <c r="E224" s="2" t="s">
        <v>1405</v>
      </c>
      <c r="F224" s="2" t="s">
        <v>1375</v>
      </c>
      <c r="G224" s="2" t="s">
        <v>45</v>
      </c>
      <c r="H224" s="2" t="s">
        <v>45</v>
      </c>
      <c r="I224" s="2" t="s">
        <v>45</v>
      </c>
      <c r="J224" s="2" t="b">
        <f t="shared" si="7"/>
        <v>1</v>
      </c>
      <c r="K224" s="2">
        <v>0</v>
      </c>
      <c r="L224" s="2" t="s">
        <v>1376</v>
      </c>
      <c r="M224" s="2" t="s">
        <v>1406</v>
      </c>
      <c r="N224" s="4" t="s">
        <v>48</v>
      </c>
      <c r="O224" s="2" t="s">
        <v>49</v>
      </c>
      <c r="P224" s="2" t="s">
        <v>50</v>
      </c>
      <c r="Q224" s="2" t="s">
        <v>69</v>
      </c>
      <c r="R224" s="2" t="s">
        <v>52</v>
      </c>
      <c r="S224" s="2" t="s">
        <v>53</v>
      </c>
      <c r="T224" s="2" t="s">
        <v>54</v>
      </c>
      <c r="U224" s="2" t="s">
        <v>55</v>
      </c>
      <c r="V224" s="2" t="s">
        <v>70</v>
      </c>
      <c r="W224" s="2" t="s">
        <v>71</v>
      </c>
      <c r="X224" s="2">
        <v>558330000</v>
      </c>
      <c r="Y224" s="2" t="s">
        <v>484</v>
      </c>
      <c r="Z224" s="2" t="s">
        <v>598</v>
      </c>
      <c r="AA224" s="2" t="s">
        <v>202</v>
      </c>
      <c r="AB224" s="2" t="s">
        <v>203</v>
      </c>
      <c r="AC224" s="2" t="s">
        <v>203</v>
      </c>
      <c r="AD224" s="2" t="s">
        <v>203</v>
      </c>
      <c r="AE224" s="2" t="s">
        <v>1379</v>
      </c>
      <c r="AF224" s="5">
        <v>1.5</v>
      </c>
      <c r="AG224" s="6"/>
      <c r="AH224" s="2" t="str">
        <f t="shared" si="0"/>
        <v/>
      </c>
      <c r="AI224" s="2" t="str" cm="1">
        <f t="array" ref="AI224">_xlfn.IFS(AF224&lt;25,"Less",AF224=25,"Equal",AF224&gt;25,"More")</f>
        <v>Less</v>
      </c>
      <c r="AJ224" s="6"/>
      <c r="AK224" s="6" t="s">
        <v>611</v>
      </c>
      <c r="AL224" s="2" t="s">
        <v>1380</v>
      </c>
      <c r="AM224" s="5" t="str">
        <f>VLOOKUP(D224,'slb RAW'!$E$2:$AF$293,9)</f>
        <v>#N/A N/A</v>
      </c>
      <c r="AN224" s="2" t="str">
        <f>VLOOKUP(D224,'slb RAW'!$E$2:$AE$293,27)</f>
        <v>#N/A N/A</v>
      </c>
      <c r="AO224" s="2" t="e">
        <f>VLOOKUP(C224,'Refinitiv SLB'!F224:S401,14)</f>
        <v>#N/A</v>
      </c>
      <c r="AP224" s="2" t="str">
        <f t="shared" si="1"/>
        <v>#N/A N/A</v>
      </c>
      <c r="AQ224" s="7" t="str">
        <f t="shared" si="2"/>
        <v>degewo AGAT MATURITYFLOATINGEURSr Unsecured</v>
      </c>
      <c r="AR224" s="5" t="b">
        <f ca="1">ISNUMBER( IFERROR(VLOOKUP(A224,Pairs!$E$2:$E$57,1,FALSE),FALSE))</f>
        <v>0</v>
      </c>
      <c r="AS224" s="5"/>
      <c r="AT224" s="5"/>
    </row>
    <row r="225" spans="1:46" ht="15.75" customHeight="1" x14ac:dyDescent="0.2">
      <c r="A225" s="2">
        <v>287</v>
      </c>
      <c r="B225" s="2" t="s">
        <v>1372</v>
      </c>
      <c r="C225" s="2" t="str">
        <f>VLOOKUP(D225,'slb RAW'!$E:$F,2)</f>
        <v>#N/A Field Not Applicable</v>
      </c>
      <c r="D225" s="2" t="s">
        <v>1407</v>
      </c>
      <c r="E225" s="2" t="s">
        <v>1408</v>
      </c>
      <c r="F225" s="2" t="s">
        <v>1375</v>
      </c>
      <c r="G225" s="2" t="s">
        <v>45</v>
      </c>
      <c r="H225" s="2" t="s">
        <v>45</v>
      </c>
      <c r="I225" s="2" t="s">
        <v>45</v>
      </c>
      <c r="J225" s="2" t="b">
        <f t="shared" si="7"/>
        <v>1</v>
      </c>
      <c r="K225" s="2">
        <v>0</v>
      </c>
      <c r="L225" s="2" t="s">
        <v>1376</v>
      </c>
      <c r="M225" s="2" t="s">
        <v>1409</v>
      </c>
      <c r="N225" s="4" t="s">
        <v>48</v>
      </c>
      <c r="O225" s="2" t="s">
        <v>49</v>
      </c>
      <c r="P225" s="2" t="s">
        <v>50</v>
      </c>
      <c r="Q225" s="2" t="s">
        <v>76</v>
      </c>
      <c r="R225" s="2" t="s">
        <v>52</v>
      </c>
      <c r="S225" s="2" t="s">
        <v>53</v>
      </c>
      <c r="T225" s="2" t="s">
        <v>54</v>
      </c>
      <c r="U225" s="2" t="s">
        <v>55</v>
      </c>
      <c r="V225" s="2" t="s">
        <v>70</v>
      </c>
      <c r="W225" s="2" t="s">
        <v>71</v>
      </c>
      <c r="X225" s="2">
        <v>558330000</v>
      </c>
      <c r="Y225" s="2" t="s">
        <v>484</v>
      </c>
      <c r="Z225" s="2" t="s">
        <v>598</v>
      </c>
      <c r="AA225" s="2" t="s">
        <v>202</v>
      </c>
      <c r="AB225" s="2" t="s">
        <v>203</v>
      </c>
      <c r="AC225" s="2" t="s">
        <v>203</v>
      </c>
      <c r="AD225" s="2" t="s">
        <v>203</v>
      </c>
      <c r="AE225" s="2" t="s">
        <v>1379</v>
      </c>
      <c r="AF225" s="5">
        <v>1.5</v>
      </c>
      <c r="AG225" s="6"/>
      <c r="AH225" s="2" t="str">
        <f t="shared" si="0"/>
        <v/>
      </c>
      <c r="AI225" s="2" t="str" cm="1">
        <f t="array" ref="AI225">_xlfn.IFS(AF225&lt;25,"Less",AF225=25,"Equal",AF225&gt;25,"More")</f>
        <v>Less</v>
      </c>
      <c r="AJ225" s="6"/>
      <c r="AK225" s="6" t="s">
        <v>611</v>
      </c>
      <c r="AL225" s="2" t="s">
        <v>1380</v>
      </c>
      <c r="AM225" s="5" t="str">
        <f>VLOOKUP(D225,'slb RAW'!$E$2:$AF$293,9)</f>
        <v>#N/A N/A</v>
      </c>
      <c r="AN225" s="2" t="str">
        <f>VLOOKUP(D225,'slb RAW'!$E$2:$AE$293,27)</f>
        <v>#N/A N/A</v>
      </c>
      <c r="AO225" s="2" t="e">
        <f>VLOOKUP(C225,'Refinitiv SLB'!F225:S402,14)</f>
        <v>#N/A</v>
      </c>
      <c r="AP225" s="2" t="str">
        <f t="shared" si="1"/>
        <v>#N/A N/A</v>
      </c>
      <c r="AQ225" s="7" t="str">
        <f t="shared" si="2"/>
        <v>degewo AGAT MATURITYFLOATINGEURSr Unsecured</v>
      </c>
      <c r="AR225" s="5" t="b">
        <f ca="1">ISNUMBER( IFERROR(VLOOKUP(A225,Pairs!$E$2:$E$57,1,FALSE),FALSE))</f>
        <v>0</v>
      </c>
      <c r="AS225" s="5"/>
      <c r="AT225" s="5"/>
    </row>
    <row r="226" spans="1:46" ht="15.75" customHeight="1" x14ac:dyDescent="0.2">
      <c r="A226" s="2">
        <v>288</v>
      </c>
      <c r="B226" s="2" t="s">
        <v>1372</v>
      </c>
      <c r="C226" s="2" t="str">
        <f>VLOOKUP(D226,'slb RAW'!$E:$F,2)</f>
        <v>#N/A Field Not Applicable</v>
      </c>
      <c r="D226" s="2" t="s">
        <v>1410</v>
      </c>
      <c r="E226" s="2" t="s">
        <v>1411</v>
      </c>
      <c r="F226" s="2" t="s">
        <v>1375</v>
      </c>
      <c r="G226" s="2" t="s">
        <v>45</v>
      </c>
      <c r="H226" s="2" t="s">
        <v>45</v>
      </c>
      <c r="I226" s="2" t="s">
        <v>45</v>
      </c>
      <c r="J226" s="2" t="b">
        <f t="shared" si="7"/>
        <v>1</v>
      </c>
      <c r="K226" s="2">
        <v>0</v>
      </c>
      <c r="L226" s="2" t="s">
        <v>1376</v>
      </c>
      <c r="M226" s="2" t="s">
        <v>1412</v>
      </c>
      <c r="N226" s="4" t="s">
        <v>48</v>
      </c>
      <c r="O226" s="2" t="s">
        <v>49</v>
      </c>
      <c r="P226" s="2" t="s">
        <v>50</v>
      </c>
      <c r="Q226" s="2" t="s">
        <v>144</v>
      </c>
      <c r="R226" s="2" t="s">
        <v>52</v>
      </c>
      <c r="S226" s="2" t="s">
        <v>53</v>
      </c>
      <c r="T226" s="2" t="s">
        <v>54</v>
      </c>
      <c r="U226" s="2" t="s">
        <v>55</v>
      </c>
      <c r="V226" s="2" t="s">
        <v>70</v>
      </c>
      <c r="W226" s="2" t="s">
        <v>71</v>
      </c>
      <c r="X226" s="2">
        <v>558330000</v>
      </c>
      <c r="Y226" s="2" t="s">
        <v>484</v>
      </c>
      <c r="Z226" s="2" t="s">
        <v>598</v>
      </c>
      <c r="AA226" s="2" t="s">
        <v>202</v>
      </c>
      <c r="AB226" s="2" t="s">
        <v>203</v>
      </c>
      <c r="AC226" s="2" t="s">
        <v>203</v>
      </c>
      <c r="AD226" s="2" t="s">
        <v>203</v>
      </c>
      <c r="AE226" s="2" t="s">
        <v>1379</v>
      </c>
      <c r="AF226" s="5">
        <v>1.5</v>
      </c>
      <c r="AG226" s="6"/>
      <c r="AH226" s="2" t="str">
        <f t="shared" si="0"/>
        <v/>
      </c>
      <c r="AI226" s="2" t="str" cm="1">
        <f t="array" ref="AI226">_xlfn.IFS(AF226&lt;25,"Less",AF226=25,"Equal",AF226&gt;25,"More")</f>
        <v>Less</v>
      </c>
      <c r="AJ226" s="6"/>
      <c r="AK226" s="6" t="s">
        <v>611</v>
      </c>
      <c r="AL226" s="2" t="s">
        <v>1380</v>
      </c>
      <c r="AM226" s="5" t="str">
        <f>VLOOKUP(D226,'slb RAW'!$E$2:$AF$293,9)</f>
        <v>#N/A N/A</v>
      </c>
      <c r="AN226" s="2" t="str">
        <f>VLOOKUP(D226,'slb RAW'!$E$2:$AE$293,27)</f>
        <v>#N/A N/A</v>
      </c>
      <c r="AO226" s="2" t="e">
        <f>VLOOKUP(C226,'Refinitiv SLB'!F226:S403,14)</f>
        <v>#N/A</v>
      </c>
      <c r="AP226" s="2" t="str">
        <f t="shared" si="1"/>
        <v>#N/A N/A</v>
      </c>
      <c r="AQ226" s="7" t="str">
        <f t="shared" si="2"/>
        <v>degewo AGAT MATURITYFLOATINGEURSr Unsecured</v>
      </c>
      <c r="AR226" s="5" t="b">
        <f ca="1">ISNUMBER( IFERROR(VLOOKUP(A226,Pairs!$E$2:$E$57,1,FALSE),FALSE))</f>
        <v>0</v>
      </c>
      <c r="AS226" s="5"/>
      <c r="AT226" s="5"/>
    </row>
    <row r="227" spans="1:46" ht="15.75" customHeight="1" x14ac:dyDescent="0.2">
      <c r="A227" s="2">
        <v>277</v>
      </c>
      <c r="B227" s="2" t="s">
        <v>1413</v>
      </c>
      <c r="C227" s="2" t="str">
        <f>VLOOKUP(D227,'slb RAW'!$E:$F,2)</f>
        <v>XS2437324333</v>
      </c>
      <c r="D227" s="2" t="s">
        <v>1414</v>
      </c>
      <c r="E227" s="2" t="s">
        <v>1415</v>
      </c>
      <c r="F227" s="2" t="s">
        <v>1416</v>
      </c>
      <c r="G227" s="2" t="s">
        <v>199</v>
      </c>
      <c r="H227" s="2" t="s">
        <v>199</v>
      </c>
      <c r="I227" s="2" t="s">
        <v>199</v>
      </c>
      <c r="J227" s="2" t="b">
        <f t="shared" si="7"/>
        <v>1</v>
      </c>
      <c r="K227" s="2">
        <v>3.875</v>
      </c>
      <c r="L227" s="2" t="s">
        <v>1417</v>
      </c>
      <c r="M227" s="2" t="s">
        <v>1418</v>
      </c>
      <c r="N227" s="15">
        <v>3.879</v>
      </c>
      <c r="O227" s="2" t="s">
        <v>115</v>
      </c>
      <c r="P227" s="2" t="s">
        <v>116</v>
      </c>
      <c r="Q227" s="2" t="s">
        <v>173</v>
      </c>
      <c r="R227" s="2" t="s">
        <v>52</v>
      </c>
      <c r="S227" s="2" t="s">
        <v>53</v>
      </c>
      <c r="T227" s="2" t="s">
        <v>296</v>
      </c>
      <c r="U227" s="2" t="s">
        <v>55</v>
      </c>
      <c r="V227" s="2" t="s">
        <v>56</v>
      </c>
      <c r="W227" s="2" t="s">
        <v>57</v>
      </c>
      <c r="X227" s="2">
        <v>446048000</v>
      </c>
      <c r="Y227" s="2" t="s">
        <v>58</v>
      </c>
      <c r="Z227" s="2" t="s">
        <v>505</v>
      </c>
      <c r="AA227" s="2" t="s">
        <v>60</v>
      </c>
      <c r="AB227" s="2" t="s">
        <v>61</v>
      </c>
      <c r="AC227" s="2" t="s">
        <v>62</v>
      </c>
      <c r="AD227" s="2" t="s">
        <v>62</v>
      </c>
      <c r="AE227" s="2" t="s">
        <v>1419</v>
      </c>
      <c r="AF227" s="5">
        <v>75</v>
      </c>
      <c r="AG227" s="6"/>
      <c r="AH227" s="2" t="str">
        <f t="shared" si="0"/>
        <v/>
      </c>
      <c r="AI227" s="2" t="str" cm="1">
        <f t="array" ref="AI227">_xlfn.IFS(AF227&lt;25,"Less",AF227=25,"Equal",AF227&gt;25,"More")</f>
        <v>More</v>
      </c>
      <c r="AJ227" s="6"/>
      <c r="AK227" s="6" t="s">
        <v>125</v>
      </c>
      <c r="AL227" s="2" t="s">
        <v>1420</v>
      </c>
      <c r="AM227" s="5">
        <f>VLOOKUP(D227,'slb RAW'!$E$2:$AF$293,9)</f>
        <v>3.879</v>
      </c>
      <c r="AN227" s="2">
        <f>VLOOKUP(D227,'slb RAW'!$E$2:$AE$293,27)</f>
        <v>4.0060000000000002</v>
      </c>
      <c r="AO227" s="2" t="e">
        <f>VLOOKUP(C227,'Refinitiv SLB'!F227:S404,14)</f>
        <v>#N/A</v>
      </c>
      <c r="AP227" s="2">
        <f t="shared" si="1"/>
        <v>4.0060000000000002</v>
      </c>
      <c r="AQ227" s="7" t="str">
        <f t="shared" si="2"/>
        <v>Webuild SpACALLABLEFIXEDEURSr Unsecured</v>
      </c>
      <c r="AR227" s="5" t="b">
        <f ca="1">ISNUMBER( IFERROR(VLOOKUP(A227,Pairs!$E$2:$E$57,1,FALSE),FALSE))</f>
        <v>1</v>
      </c>
      <c r="AS227" s="5"/>
      <c r="AT227" s="5"/>
    </row>
    <row r="228" spans="1:46" s="80" customFormat="1" ht="15.75" customHeight="1" x14ac:dyDescent="0.2">
      <c r="A228" s="79">
        <v>101</v>
      </c>
      <c r="B228" s="79" t="s">
        <v>1421</v>
      </c>
      <c r="C228" s="79" t="str">
        <f>VLOOKUP(D228,'slb RAW'!$E:$F,2)</f>
        <v>XS2436585355</v>
      </c>
      <c r="D228" s="79" t="s">
        <v>1422</v>
      </c>
      <c r="E228" s="79" t="s">
        <v>1423</v>
      </c>
      <c r="F228" s="79" t="s">
        <v>1424</v>
      </c>
      <c r="G228" s="79" t="s">
        <v>199</v>
      </c>
      <c r="H228" s="79" t="s">
        <v>199</v>
      </c>
      <c r="I228" s="79" t="s">
        <v>199</v>
      </c>
      <c r="J228" s="2" t="b">
        <f t="shared" si="7"/>
        <v>1</v>
      </c>
      <c r="K228" s="79">
        <v>5.625</v>
      </c>
      <c r="L228" s="79" t="s">
        <v>1425</v>
      </c>
      <c r="M228" s="79" t="s">
        <v>1426</v>
      </c>
      <c r="N228" s="81">
        <v>5.8300999999999998</v>
      </c>
      <c r="O228" s="79" t="s">
        <v>115</v>
      </c>
      <c r="P228" s="79" t="s">
        <v>116</v>
      </c>
      <c r="Q228" s="79" t="s">
        <v>270</v>
      </c>
      <c r="R228" s="79" t="s">
        <v>458</v>
      </c>
      <c r="S228" s="79" t="s">
        <v>53</v>
      </c>
      <c r="T228" s="79" t="s">
        <v>350</v>
      </c>
      <c r="U228" s="79" t="s">
        <v>55</v>
      </c>
      <c r="V228" s="79" t="s">
        <v>56</v>
      </c>
      <c r="W228" s="79" t="s">
        <v>71</v>
      </c>
      <c r="X228" s="79">
        <v>401278500</v>
      </c>
      <c r="Y228" s="79" t="s">
        <v>85</v>
      </c>
      <c r="Z228" s="79" t="s">
        <v>514</v>
      </c>
      <c r="AA228" s="79" t="s">
        <v>60</v>
      </c>
      <c r="AB228" s="79" t="s">
        <v>61</v>
      </c>
      <c r="AC228" s="79" t="s">
        <v>87</v>
      </c>
      <c r="AD228" s="79" t="s">
        <v>514</v>
      </c>
      <c r="AE228" s="79" t="s">
        <v>1427</v>
      </c>
      <c r="AF228" s="82">
        <v>60</v>
      </c>
      <c r="AG228" s="82"/>
      <c r="AH228" s="79" t="str">
        <f t="shared" si="0"/>
        <v/>
      </c>
      <c r="AI228" s="2" t="str" cm="1">
        <f t="array" ref="AI228">_xlfn.IFS(AF228&lt;25,"Less",AF228=25,"Equal",AF228&gt;25,"More")</f>
        <v>More</v>
      </c>
      <c r="AJ228" s="82" t="s">
        <v>5517</v>
      </c>
      <c r="AK228" s="82" t="s">
        <v>125</v>
      </c>
      <c r="AL228" s="79" t="s">
        <v>1428</v>
      </c>
      <c r="AM228" s="83" t="str">
        <f>VLOOKUP(D228,'slb RAW'!$E$2:$AF$293,9)</f>
        <v>#N/A N/A</v>
      </c>
      <c r="AN228" s="79">
        <f>VLOOKUP(D228,'slb RAW'!$E$2:$AE$293,27)</f>
        <v>5.7370000000000001</v>
      </c>
      <c r="AO228" s="79" t="e">
        <f>VLOOKUP(C228,'Refinitiv SLB'!F228:S405,14)</f>
        <v>#N/A</v>
      </c>
      <c r="AP228" s="79">
        <f t="shared" si="1"/>
        <v>5.7370000000000001</v>
      </c>
      <c r="AQ228" s="84" t="str">
        <f t="shared" si="2"/>
        <v>FIS Fabbrica Italiana Sintetici SpACALLABLEFIXEDEURSecured</v>
      </c>
      <c r="AR228" s="83" t="b">
        <f ca="1">ISNUMBER( IFERROR(VLOOKUP(A228,Pairs!$E$2:$E$57,1,FALSE),FALSE))</f>
        <v>0</v>
      </c>
      <c r="AS228" s="83"/>
      <c r="AT228" s="83"/>
    </row>
    <row r="229" spans="1:46" s="80" customFormat="1" ht="15.75" customHeight="1" x14ac:dyDescent="0.2">
      <c r="A229" s="79">
        <v>100</v>
      </c>
      <c r="B229" s="79" t="s">
        <v>1421</v>
      </c>
      <c r="C229" s="79" t="str">
        <f>VLOOKUP(D229,'slb RAW'!$E:$F,2)</f>
        <v>XS2436586247</v>
      </c>
      <c r="D229" s="79" t="s">
        <v>1429</v>
      </c>
      <c r="E229" s="79" t="s">
        <v>1430</v>
      </c>
      <c r="F229" s="79" t="s">
        <v>1424</v>
      </c>
      <c r="G229" s="79" t="s">
        <v>199</v>
      </c>
      <c r="H229" s="79" t="s">
        <v>199</v>
      </c>
      <c r="I229" s="79" t="s">
        <v>199</v>
      </c>
      <c r="J229" s="2" t="b">
        <f t="shared" si="7"/>
        <v>1</v>
      </c>
      <c r="K229" s="79">
        <v>5.625</v>
      </c>
      <c r="L229" s="79" t="s">
        <v>1425</v>
      </c>
      <c r="M229" s="79" t="s">
        <v>1426</v>
      </c>
      <c r="N229" s="81">
        <v>5.8429000000000002</v>
      </c>
      <c r="O229" s="79" t="s">
        <v>115</v>
      </c>
      <c r="P229" s="79" t="s">
        <v>116</v>
      </c>
      <c r="Q229" s="79" t="s">
        <v>261</v>
      </c>
      <c r="R229" s="79" t="s">
        <v>458</v>
      </c>
      <c r="S229" s="79" t="s">
        <v>53</v>
      </c>
      <c r="T229" s="79" t="s">
        <v>350</v>
      </c>
      <c r="U229" s="79" t="s">
        <v>55</v>
      </c>
      <c r="V229" s="79" t="s">
        <v>56</v>
      </c>
      <c r="W229" s="79" t="s">
        <v>71</v>
      </c>
      <c r="X229" s="79">
        <v>401278500</v>
      </c>
      <c r="Y229" s="79" t="s">
        <v>85</v>
      </c>
      <c r="Z229" s="79" t="s">
        <v>514</v>
      </c>
      <c r="AA229" s="79" t="s">
        <v>60</v>
      </c>
      <c r="AB229" s="79" t="s">
        <v>61</v>
      </c>
      <c r="AC229" s="79" t="s">
        <v>87</v>
      </c>
      <c r="AD229" s="79" t="s">
        <v>514</v>
      </c>
      <c r="AE229" s="79" t="s">
        <v>1427</v>
      </c>
      <c r="AF229" s="82">
        <v>60</v>
      </c>
      <c r="AG229" s="82"/>
      <c r="AH229" s="79" t="str">
        <f t="shared" si="0"/>
        <v/>
      </c>
      <c r="AI229" s="2" t="str" cm="1">
        <f t="array" ref="AI229">_xlfn.IFS(AF229&lt;25,"Less",AF229=25,"Equal",AF229&gt;25,"More")</f>
        <v>More</v>
      </c>
      <c r="AJ229" s="82" t="s">
        <v>5517</v>
      </c>
      <c r="AK229" s="82" t="s">
        <v>125</v>
      </c>
      <c r="AL229" s="79" t="s">
        <v>1428</v>
      </c>
      <c r="AM229" s="83" t="str">
        <f>VLOOKUP(D229,'slb RAW'!$E$2:$AF$293,9)</f>
        <v>#N/A N/A</v>
      </c>
      <c r="AN229" s="79">
        <f>VLOOKUP(D229,'slb RAW'!$E$2:$AE$293,27)</f>
        <v>5.79</v>
      </c>
      <c r="AO229" s="79" t="e">
        <f>VLOOKUP(C229,'Refinitiv SLB'!F229:S406,14)</f>
        <v>#N/A</v>
      </c>
      <c r="AP229" s="79">
        <f t="shared" si="1"/>
        <v>5.79</v>
      </c>
      <c r="AQ229" s="84" t="str">
        <f t="shared" si="2"/>
        <v>FIS Fabbrica Italiana Sintetici SpACALLABLEFIXEDEURSecured</v>
      </c>
      <c r="AR229" s="83" t="b">
        <f ca="1">ISNUMBER( IFERROR(VLOOKUP(A229,Pairs!$E$2:$E$57,1,FALSE),FALSE))</f>
        <v>0</v>
      </c>
      <c r="AS229" s="83"/>
      <c r="AT229" s="83"/>
    </row>
    <row r="230" spans="1:46" s="80" customFormat="1" ht="15.75" customHeight="1" x14ac:dyDescent="0.2">
      <c r="A230" s="79">
        <v>18</v>
      </c>
      <c r="B230" s="79" t="s">
        <v>1431</v>
      </c>
      <c r="C230" s="79" t="str">
        <f>VLOOKUP(D230,'slb RAW'!$E:$F,2)</f>
        <v>SE0013883428</v>
      </c>
      <c r="D230" s="79" t="s">
        <v>1432</v>
      </c>
      <c r="E230" s="79" t="s">
        <v>1433</v>
      </c>
      <c r="F230" s="79" t="s">
        <v>1434</v>
      </c>
      <c r="G230" s="79" t="s">
        <v>367</v>
      </c>
      <c r="H230" s="79" t="s">
        <v>367</v>
      </c>
      <c r="I230" s="79" t="s">
        <v>367</v>
      </c>
      <c r="J230" s="2" t="b">
        <f t="shared" si="7"/>
        <v>1</v>
      </c>
      <c r="K230" s="79">
        <v>1.3320000000000001</v>
      </c>
      <c r="L230" s="79" t="s">
        <v>1435</v>
      </c>
      <c r="M230" s="79" t="s">
        <v>1436</v>
      </c>
      <c r="N230" s="98">
        <v>1.4698</v>
      </c>
      <c r="O230" s="79" t="s">
        <v>49</v>
      </c>
      <c r="P230" s="79" t="s">
        <v>50</v>
      </c>
      <c r="Q230" s="79" t="s">
        <v>173</v>
      </c>
      <c r="R230" s="79" t="s">
        <v>52</v>
      </c>
      <c r="S230" s="79" t="s">
        <v>686</v>
      </c>
      <c r="T230" s="79" t="s">
        <v>54</v>
      </c>
      <c r="U230" s="79" t="s">
        <v>55</v>
      </c>
      <c r="V230" s="79" t="s">
        <v>70</v>
      </c>
      <c r="W230" s="79" t="s">
        <v>391</v>
      </c>
      <c r="X230" s="79">
        <v>107087000</v>
      </c>
      <c r="Y230" s="79" t="s">
        <v>484</v>
      </c>
      <c r="Z230" s="79" t="s">
        <v>598</v>
      </c>
      <c r="AA230" s="79" t="s">
        <v>60</v>
      </c>
      <c r="AB230" s="79" t="s">
        <v>61</v>
      </c>
      <c r="AC230" s="79" t="s">
        <v>136</v>
      </c>
      <c r="AD230" s="79" t="s">
        <v>310</v>
      </c>
      <c r="AE230" s="79" t="s">
        <v>1437</v>
      </c>
      <c r="AF230" s="113">
        <v>100</v>
      </c>
      <c r="AG230" s="82"/>
      <c r="AH230" s="79" t="str">
        <f t="shared" si="0"/>
        <v/>
      </c>
      <c r="AI230" s="2" t="str" cm="1">
        <f t="array" ref="AI230">_xlfn.IFS(AF230&lt;25,"Less",AF230=25,"Equal",AF230&gt;25,"More")</f>
        <v>More</v>
      </c>
      <c r="AJ230" s="82" t="s">
        <v>5517</v>
      </c>
      <c r="AK230" s="82" t="s">
        <v>611</v>
      </c>
      <c r="AL230" s="79" t="s">
        <v>1438</v>
      </c>
      <c r="AM230" s="83" t="str">
        <f>VLOOKUP(D230,'slb RAW'!$E$2:$AF$293,9)</f>
        <v>#N/A N/A</v>
      </c>
      <c r="AN230" s="79">
        <f>VLOOKUP(D230,'slb RAW'!$E$2:$AE$293,27)</f>
        <v>1.417</v>
      </c>
      <c r="AO230" s="79" t="e">
        <f>VLOOKUP(C230,'Refinitiv SLB'!F230:S407,14)</f>
        <v>#N/A</v>
      </c>
      <c r="AP230" s="79">
        <f t="shared" si="1"/>
        <v>1.417</v>
      </c>
      <c r="AQ230" s="84" t="str">
        <f t="shared" si="2"/>
        <v>Atrium Ljungberg ABAT MATURITYFLOATINGSEKSr Unsecured</v>
      </c>
      <c r="AR230" s="83" t="b">
        <f ca="1">ISNUMBER( IFERROR(VLOOKUP(A230,Pairs!$E$2:$E$57,1,FALSE),FALSE))</f>
        <v>0</v>
      </c>
      <c r="AS230" s="83"/>
      <c r="AT230" s="83"/>
    </row>
    <row r="231" spans="1:46" ht="15.75" customHeight="1" x14ac:dyDescent="0.2">
      <c r="A231" s="2">
        <v>271</v>
      </c>
      <c r="B231" s="2" t="s">
        <v>1439</v>
      </c>
      <c r="C231" s="2" t="str">
        <f>VLOOKUP(D231,'slb RAW'!$E:$F,2)</f>
        <v>XS2449928543</v>
      </c>
      <c r="D231" s="2" t="s">
        <v>1440</v>
      </c>
      <c r="E231" s="2" t="s">
        <v>1441</v>
      </c>
      <c r="F231" s="2" t="s">
        <v>1442</v>
      </c>
      <c r="G231" s="2" t="s">
        <v>366</v>
      </c>
      <c r="H231" s="2" t="s">
        <v>366</v>
      </c>
      <c r="I231" s="2" t="s">
        <v>366</v>
      </c>
      <c r="J231" s="2" t="b">
        <f t="shared" si="7"/>
        <v>1</v>
      </c>
      <c r="K231" s="2">
        <v>1.5</v>
      </c>
      <c r="L231" s="2" t="s">
        <v>1443</v>
      </c>
      <c r="M231" s="2" t="s">
        <v>1444</v>
      </c>
      <c r="N231" s="2">
        <v>1.524</v>
      </c>
      <c r="O231" s="2" t="s">
        <v>115</v>
      </c>
      <c r="P231" s="2" t="s">
        <v>116</v>
      </c>
      <c r="Q231" s="2" t="s">
        <v>225</v>
      </c>
      <c r="R231" s="2" t="s">
        <v>52</v>
      </c>
      <c r="S231" s="2" t="s">
        <v>53</v>
      </c>
      <c r="T231" s="2" t="s">
        <v>189</v>
      </c>
      <c r="U231" s="2" t="s">
        <v>55</v>
      </c>
      <c r="V231" s="2" t="s">
        <v>56</v>
      </c>
      <c r="W231" s="2" t="s">
        <v>57</v>
      </c>
      <c r="X231" s="2">
        <v>546920000</v>
      </c>
      <c r="Y231" s="2" t="s">
        <v>213</v>
      </c>
      <c r="Z231" s="2" t="s">
        <v>960</v>
      </c>
      <c r="AA231" s="2" t="s">
        <v>60</v>
      </c>
      <c r="AB231" s="2" t="s">
        <v>61</v>
      </c>
      <c r="AC231" s="2" t="s">
        <v>176</v>
      </c>
      <c r="AD231" s="2" t="s">
        <v>191</v>
      </c>
      <c r="AE231" s="2" t="s">
        <v>1445</v>
      </c>
      <c r="AF231" s="5">
        <v>25</v>
      </c>
      <c r="AG231" s="6"/>
      <c r="AH231" s="2" t="str">
        <f t="shared" si="0"/>
        <v/>
      </c>
      <c r="AI231" s="2" t="str" cm="1">
        <f t="array" ref="AI231">_xlfn.IFS(AF231&lt;25,"Less",AF231=25,"Equal",AF231&gt;25,"More")</f>
        <v>Equal</v>
      </c>
      <c r="AJ231" s="6"/>
      <c r="AK231" s="6" t="s">
        <v>125</v>
      </c>
      <c r="AL231" s="2" t="s">
        <v>1446</v>
      </c>
      <c r="AM231" s="5">
        <f>VLOOKUP(D231,'slb RAW'!$E$2:$AF$293,9)</f>
        <v>1.524</v>
      </c>
      <c r="AN231" s="2">
        <f>VLOOKUP(D231,'slb RAW'!$E$2:$AE$293,27)</f>
        <v>1.516</v>
      </c>
      <c r="AO231" s="2" t="e">
        <f>VLOOKUP(C231,'Refinitiv SLB'!F231:S408,14)</f>
        <v>#N/A</v>
      </c>
      <c r="AP231" s="2">
        <f t="shared" si="1"/>
        <v>1.516</v>
      </c>
      <c r="AQ231" s="7" t="str">
        <f t="shared" si="2"/>
        <v>Vestas Wind Systems Finance BVCALLABLEFIXEDEURSr Unsecured</v>
      </c>
      <c r="AR231" s="5" t="b">
        <f ca="1">ISNUMBER( IFERROR(VLOOKUP(A231,Pairs!$E$2:$E$57,1,FALSE),FALSE))</f>
        <v>0</v>
      </c>
      <c r="AS231" s="5"/>
      <c r="AT231" s="5"/>
    </row>
    <row r="232" spans="1:46" ht="15.75" customHeight="1" x14ac:dyDescent="0.2">
      <c r="A232" s="2">
        <v>272</v>
      </c>
      <c r="B232" s="2" t="s">
        <v>1439</v>
      </c>
      <c r="C232" s="2" t="str">
        <f>VLOOKUP(D232,'slb RAW'!$E:$F,2)</f>
        <v>XS2449929517</v>
      </c>
      <c r="D232" s="2" t="s">
        <v>1447</v>
      </c>
      <c r="E232" s="2" t="s">
        <v>1448</v>
      </c>
      <c r="F232" s="2" t="s">
        <v>1442</v>
      </c>
      <c r="G232" s="2" t="s">
        <v>366</v>
      </c>
      <c r="H232" s="2" t="s">
        <v>366</v>
      </c>
      <c r="I232" s="2" t="s">
        <v>366</v>
      </c>
      <c r="J232" s="2" t="b">
        <f t="shared" si="7"/>
        <v>1</v>
      </c>
      <c r="K232" s="2">
        <v>2</v>
      </c>
      <c r="L232" s="2" t="s">
        <v>1443</v>
      </c>
      <c r="M232" s="2" t="s">
        <v>1449</v>
      </c>
      <c r="N232" s="2">
        <v>2.1190000000000002</v>
      </c>
      <c r="O232" s="2" t="s">
        <v>115</v>
      </c>
      <c r="P232" s="2" t="s">
        <v>116</v>
      </c>
      <c r="Q232" s="2" t="s">
        <v>225</v>
      </c>
      <c r="R232" s="2" t="s">
        <v>52</v>
      </c>
      <c r="S232" s="2" t="s">
        <v>53</v>
      </c>
      <c r="T232" s="2" t="s">
        <v>189</v>
      </c>
      <c r="U232" s="2" t="s">
        <v>55</v>
      </c>
      <c r="V232" s="2" t="s">
        <v>56</v>
      </c>
      <c r="W232" s="2" t="s">
        <v>57</v>
      </c>
      <c r="X232" s="2">
        <v>546920000</v>
      </c>
      <c r="Y232" s="2" t="s">
        <v>213</v>
      </c>
      <c r="Z232" s="2" t="s">
        <v>960</v>
      </c>
      <c r="AA232" s="2" t="s">
        <v>60</v>
      </c>
      <c r="AB232" s="2" t="s">
        <v>61</v>
      </c>
      <c r="AC232" s="2" t="s">
        <v>176</v>
      </c>
      <c r="AD232" s="2" t="s">
        <v>191</v>
      </c>
      <c r="AE232" s="2" t="s">
        <v>1445</v>
      </c>
      <c r="AF232" s="5">
        <v>25</v>
      </c>
      <c r="AG232" s="6"/>
      <c r="AH232" s="2" t="str">
        <f t="shared" si="0"/>
        <v/>
      </c>
      <c r="AI232" s="2" t="str" cm="1">
        <f t="array" ref="AI232">_xlfn.IFS(AF232&lt;25,"Less",AF232=25,"Equal",AF232&gt;25,"More")</f>
        <v>Equal</v>
      </c>
      <c r="AJ232" s="6"/>
      <c r="AK232" s="6" t="s">
        <v>125</v>
      </c>
      <c r="AL232" s="2" t="s">
        <v>1446</v>
      </c>
      <c r="AM232" s="5">
        <f>VLOOKUP(D232,'slb RAW'!$E$2:$AF$293,9)</f>
        <v>2.1190000000000002</v>
      </c>
      <c r="AN232" s="2">
        <f>VLOOKUP(D232,'slb RAW'!$E$2:$AE$293,27)</f>
        <v>2.1259999999999999</v>
      </c>
      <c r="AO232" s="2" t="e">
        <f>VLOOKUP(C232,'Refinitiv SLB'!F232:S409,14)</f>
        <v>#N/A</v>
      </c>
      <c r="AP232" s="2">
        <f t="shared" si="1"/>
        <v>2.1259999999999999</v>
      </c>
      <c r="AQ232" s="7" t="str">
        <f t="shared" si="2"/>
        <v>Vestas Wind Systems Finance BVCALLABLEFIXEDEURSr Unsecured</v>
      </c>
      <c r="AR232" s="5" t="b">
        <f ca="1">ISNUMBER( IFERROR(VLOOKUP(A232,Pairs!$E$2:$E$57,1,FALSE),FALSE))</f>
        <v>0</v>
      </c>
      <c r="AS232" s="5"/>
      <c r="AT232" s="5"/>
    </row>
    <row r="233" spans="1:46" ht="15.75" customHeight="1" x14ac:dyDescent="0.2">
      <c r="A233" s="2">
        <v>264</v>
      </c>
      <c r="B233" s="2" t="s">
        <v>1450</v>
      </c>
      <c r="C233" s="2" t="str">
        <f>VLOOKUP(D233,'slb RAW'!$E:$F,2)</f>
        <v>#N/A Field Not Applicable</v>
      </c>
      <c r="D233" s="2" t="s">
        <v>1451</v>
      </c>
      <c r="E233" s="2" t="s">
        <v>1452</v>
      </c>
      <c r="F233" s="2" t="s">
        <v>1453</v>
      </c>
      <c r="G233" s="2" t="s">
        <v>45</v>
      </c>
      <c r="H233" s="2" t="s">
        <v>45</v>
      </c>
      <c r="I233" s="2" t="s">
        <v>45</v>
      </c>
      <c r="J233" s="2" t="b">
        <f t="shared" si="7"/>
        <v>1</v>
      </c>
      <c r="K233" s="2">
        <v>0</v>
      </c>
      <c r="L233" s="2" t="s">
        <v>1454</v>
      </c>
      <c r="M233" s="2" t="s">
        <v>1455</v>
      </c>
      <c r="N233" s="4" t="s">
        <v>48</v>
      </c>
      <c r="O233" s="2" t="s">
        <v>49</v>
      </c>
      <c r="P233" s="2" t="s">
        <v>50</v>
      </c>
      <c r="Q233" s="2" t="s">
        <v>69</v>
      </c>
      <c r="R233" s="2" t="s">
        <v>52</v>
      </c>
      <c r="S233" s="2" t="s">
        <v>53</v>
      </c>
      <c r="T233" s="2" t="s">
        <v>54</v>
      </c>
      <c r="U233" s="2" t="s">
        <v>55</v>
      </c>
      <c r="V233" s="2" t="s">
        <v>70</v>
      </c>
      <c r="W233" s="2" t="s">
        <v>71</v>
      </c>
      <c r="X233" s="2">
        <v>278932500</v>
      </c>
      <c r="Y233" s="2" t="s">
        <v>421</v>
      </c>
      <c r="Z233" s="2" t="s">
        <v>228</v>
      </c>
      <c r="AA233" s="2" t="s">
        <v>60</v>
      </c>
      <c r="AB233" s="2" t="s">
        <v>61</v>
      </c>
      <c r="AC233" s="2" t="s">
        <v>176</v>
      </c>
      <c r="AD233" s="2" t="s">
        <v>191</v>
      </c>
      <c r="AE233" s="2" t="s">
        <v>1456</v>
      </c>
      <c r="AF233" s="5">
        <v>2.5</v>
      </c>
      <c r="AG233" s="5">
        <v>2.5</v>
      </c>
      <c r="AH233" s="2" t="str">
        <f t="shared" si="0"/>
        <v>yes</v>
      </c>
      <c r="AI233" s="2" t="str" cm="1">
        <f t="array" ref="AI233">_xlfn.IFS(AF233&lt;25,"Less",AF233=25,"Equal",AF233&gt;25,"More")</f>
        <v>Less</v>
      </c>
      <c r="AJ233" s="6"/>
      <c r="AK233" s="6" t="s">
        <v>64</v>
      </c>
      <c r="AL233" s="2" t="s">
        <v>1457</v>
      </c>
      <c r="AM233" s="5" t="str">
        <f>VLOOKUP(D233,'slb RAW'!$E$2:$AF$293,9)</f>
        <v>#N/A N/A</v>
      </c>
      <c r="AN233" s="2" t="str">
        <f>VLOOKUP(D233,'slb RAW'!$E$2:$AE$293,27)</f>
        <v>#N/A N/A</v>
      </c>
      <c r="AO233" s="2" t="e">
        <f>VLOOKUP(C233,'Refinitiv SLB'!F233:S410,14)</f>
        <v>#N/A</v>
      </c>
      <c r="AP233" s="2" t="str">
        <f t="shared" si="1"/>
        <v>#N/A N/A</v>
      </c>
      <c r="AQ233" s="7" t="str">
        <f t="shared" si="2"/>
        <v>Varta AGAT MATURITYFLOATINGEURSr Unsecured</v>
      </c>
      <c r="AR233" s="5" t="b">
        <f ca="1">ISNUMBER( IFERROR(VLOOKUP(A233,Pairs!$E$2:$E$57,1,FALSE),FALSE))</f>
        <v>0</v>
      </c>
      <c r="AS233" s="5"/>
      <c r="AT233" s="5"/>
    </row>
    <row r="234" spans="1:46" ht="15.75" customHeight="1" x14ac:dyDescent="0.2">
      <c r="A234" s="2">
        <v>263</v>
      </c>
      <c r="B234" s="2" t="s">
        <v>1450</v>
      </c>
      <c r="C234" s="2" t="str">
        <f>VLOOKUP(D234,'slb RAW'!$E:$F,2)</f>
        <v>#N/A Field Not Applicable</v>
      </c>
      <c r="D234" s="2" t="s">
        <v>1458</v>
      </c>
      <c r="E234" s="2" t="s">
        <v>1459</v>
      </c>
      <c r="F234" s="2" t="s">
        <v>1453</v>
      </c>
      <c r="G234" s="2" t="s">
        <v>45</v>
      </c>
      <c r="H234" s="2" t="s">
        <v>45</v>
      </c>
      <c r="I234" s="2" t="s">
        <v>45</v>
      </c>
      <c r="J234" s="2" t="b">
        <f t="shared" si="7"/>
        <v>1</v>
      </c>
      <c r="K234" s="2">
        <v>0</v>
      </c>
      <c r="L234" s="2" t="s">
        <v>1454</v>
      </c>
      <c r="M234" s="2" t="s">
        <v>1460</v>
      </c>
      <c r="N234" s="4" t="s">
        <v>48</v>
      </c>
      <c r="O234" s="2" t="s">
        <v>49</v>
      </c>
      <c r="P234" s="2" t="s">
        <v>50</v>
      </c>
      <c r="Q234" s="2" t="s">
        <v>76</v>
      </c>
      <c r="R234" s="2" t="s">
        <v>52</v>
      </c>
      <c r="S234" s="2" t="s">
        <v>53</v>
      </c>
      <c r="T234" s="2" t="s">
        <v>54</v>
      </c>
      <c r="U234" s="2" t="s">
        <v>55</v>
      </c>
      <c r="V234" s="2" t="s">
        <v>70</v>
      </c>
      <c r="W234" s="2" t="s">
        <v>71</v>
      </c>
      <c r="X234" s="2">
        <v>278932500</v>
      </c>
      <c r="Y234" s="2" t="s">
        <v>421</v>
      </c>
      <c r="Z234" s="2" t="s">
        <v>228</v>
      </c>
      <c r="AA234" s="2" t="s">
        <v>60</v>
      </c>
      <c r="AB234" s="2" t="s">
        <v>61</v>
      </c>
      <c r="AC234" s="2" t="s">
        <v>176</v>
      </c>
      <c r="AD234" s="2" t="s">
        <v>191</v>
      </c>
      <c r="AE234" s="2" t="s">
        <v>1456</v>
      </c>
      <c r="AF234" s="5">
        <v>2.5</v>
      </c>
      <c r="AG234" s="5">
        <v>2.5</v>
      </c>
      <c r="AH234" s="2" t="str">
        <f t="shared" si="0"/>
        <v>yes</v>
      </c>
      <c r="AI234" s="2" t="str" cm="1">
        <f t="array" ref="AI234">_xlfn.IFS(AF234&lt;25,"Less",AF234=25,"Equal",AF234&gt;25,"More")</f>
        <v>Less</v>
      </c>
      <c r="AJ234" s="6"/>
      <c r="AK234" s="6" t="s">
        <v>64</v>
      </c>
      <c r="AL234" s="2" t="s">
        <v>1457</v>
      </c>
      <c r="AM234" s="5" t="str">
        <f>VLOOKUP(D234,'slb RAW'!$E$2:$AF$293,9)</f>
        <v>#N/A N/A</v>
      </c>
      <c r="AN234" s="2" t="str">
        <f>VLOOKUP(D234,'slb RAW'!$E$2:$AE$293,27)</f>
        <v>#N/A N/A</v>
      </c>
      <c r="AO234" s="2" t="e">
        <f>VLOOKUP(C234,'Refinitiv SLB'!F234:S411,14)</f>
        <v>#N/A</v>
      </c>
      <c r="AP234" s="2" t="str">
        <f t="shared" si="1"/>
        <v>#N/A N/A</v>
      </c>
      <c r="AQ234" s="7" t="str">
        <f t="shared" si="2"/>
        <v>Varta AGAT MATURITYFLOATINGEURSr Unsecured</v>
      </c>
      <c r="AR234" s="5" t="b">
        <f ca="1">ISNUMBER( IFERROR(VLOOKUP(A234,Pairs!$E$2:$E$57,1,FALSE),FALSE))</f>
        <v>0</v>
      </c>
      <c r="AS234" s="5"/>
      <c r="AT234" s="5"/>
    </row>
    <row r="235" spans="1:46" ht="15.75" customHeight="1" x14ac:dyDescent="0.2">
      <c r="A235" s="2">
        <v>2</v>
      </c>
      <c r="B235" s="2" t="s">
        <v>774</v>
      </c>
      <c r="C235" s="2" t="str">
        <f>VLOOKUP(D235,'slb RAW'!$E:$F,2)</f>
        <v>XS2457496359</v>
      </c>
      <c r="D235" s="2" t="s">
        <v>1461</v>
      </c>
      <c r="E235" s="2" t="s">
        <v>1462</v>
      </c>
      <c r="F235" s="2" t="s">
        <v>777</v>
      </c>
      <c r="G235" s="2" t="s">
        <v>199</v>
      </c>
      <c r="H235" s="2" t="s">
        <v>199</v>
      </c>
      <c r="I235" s="2" t="s">
        <v>199</v>
      </c>
      <c r="J235" s="2" t="b">
        <f t="shared" si="7"/>
        <v>1</v>
      </c>
      <c r="K235" s="2">
        <v>1.5</v>
      </c>
      <c r="L235" s="2" t="s">
        <v>1463</v>
      </c>
      <c r="M235" s="2" t="s">
        <v>1464</v>
      </c>
      <c r="N235" s="2">
        <v>1.6220000000000001</v>
      </c>
      <c r="O235" s="2" t="s">
        <v>115</v>
      </c>
      <c r="P235" s="2" t="s">
        <v>116</v>
      </c>
      <c r="Q235" s="2" t="s">
        <v>225</v>
      </c>
      <c r="R235" s="2" t="s">
        <v>52</v>
      </c>
      <c r="S235" s="2" t="s">
        <v>53</v>
      </c>
      <c r="T235" s="2" t="s">
        <v>174</v>
      </c>
      <c r="U235" s="2" t="s">
        <v>55</v>
      </c>
      <c r="V235" s="2" t="s">
        <v>56</v>
      </c>
      <c r="W235" s="2" t="s">
        <v>57</v>
      </c>
      <c r="X235" s="2">
        <v>549215000</v>
      </c>
      <c r="Y235" s="2" t="s">
        <v>120</v>
      </c>
      <c r="Z235" s="2" t="s">
        <v>237</v>
      </c>
      <c r="AA235" s="2" t="s">
        <v>202</v>
      </c>
      <c r="AB235" s="2" t="s">
        <v>203</v>
      </c>
      <c r="AC235" s="2" t="s">
        <v>203</v>
      </c>
      <c r="AD235" s="2" t="s">
        <v>203</v>
      </c>
      <c r="AE235" s="2" t="s">
        <v>1465</v>
      </c>
      <c r="AF235" s="5">
        <v>25</v>
      </c>
      <c r="AG235" s="6"/>
      <c r="AH235" s="2" t="str">
        <f t="shared" si="0"/>
        <v/>
      </c>
      <c r="AI235" s="2" t="str" cm="1">
        <f t="array" ref="AI235">_xlfn.IFS(AF235&lt;25,"Less",AF235=25,"Equal",AF235&gt;25,"More")</f>
        <v>Equal</v>
      </c>
      <c r="AJ235" s="6"/>
      <c r="AK235" s="6" t="s">
        <v>125</v>
      </c>
      <c r="AL235" s="2" t="s">
        <v>1466</v>
      </c>
      <c r="AM235" s="5">
        <f>VLOOKUP(D235,'slb RAW'!$E$2:$AF$293,9)</f>
        <v>1.6220000000000001</v>
      </c>
      <c r="AN235" s="2">
        <f>VLOOKUP(D235,'slb RAW'!$E$2:$AE$293,27)</f>
        <v>1.7070000000000001</v>
      </c>
      <c r="AO235" s="2" t="e">
        <f>VLOOKUP(C235,'Refinitiv SLB'!F235:S412,14)</f>
        <v>#N/A</v>
      </c>
      <c r="AP235" s="2">
        <f t="shared" si="1"/>
        <v>1.7070000000000001</v>
      </c>
      <c r="AQ235" s="7" t="str">
        <f t="shared" si="2"/>
        <v>A2A SpACALLABLEFIXEDEURSr Unsecured</v>
      </c>
      <c r="AR235" s="5" t="b">
        <f ca="1">ISNUMBER( IFERROR(VLOOKUP(A235,Pairs!$E$2:$E$57,1,FALSE),FALSE))</f>
        <v>1</v>
      </c>
      <c r="AS235" s="5"/>
      <c r="AT235" s="5"/>
    </row>
    <row r="236" spans="1:46" ht="15.75" customHeight="1" x14ac:dyDescent="0.2">
      <c r="A236" s="2">
        <v>162</v>
      </c>
      <c r="B236" s="2" t="s">
        <v>1216</v>
      </c>
      <c r="C236" s="2" t="str">
        <f>VLOOKUP(D236,'slb RAW'!$E:$F,2)</f>
        <v>XS2459163619</v>
      </c>
      <c r="D236" s="2" t="s">
        <v>1467</v>
      </c>
      <c r="E236" s="2" t="s">
        <v>1468</v>
      </c>
      <c r="F236" s="2" t="s">
        <v>1219</v>
      </c>
      <c r="G236" s="2" t="s">
        <v>45</v>
      </c>
      <c r="H236" s="2" t="s">
        <v>45</v>
      </c>
      <c r="I236" s="2" t="s">
        <v>45</v>
      </c>
      <c r="J236" s="2" t="b">
        <f t="shared" si="7"/>
        <v>1</v>
      </c>
      <c r="K236" s="2">
        <v>1.75</v>
      </c>
      <c r="L236" s="2" t="s">
        <v>1469</v>
      </c>
      <c r="M236" s="2" t="s">
        <v>1470</v>
      </c>
      <c r="N236" s="2">
        <v>1.8129999999999999</v>
      </c>
      <c r="O236" s="2" t="s">
        <v>115</v>
      </c>
      <c r="P236" s="2" t="s">
        <v>116</v>
      </c>
      <c r="Q236" s="2" t="s">
        <v>225</v>
      </c>
      <c r="R236" s="2" t="s">
        <v>52</v>
      </c>
      <c r="S236" s="2" t="s">
        <v>53</v>
      </c>
      <c r="T236" s="2" t="s">
        <v>174</v>
      </c>
      <c r="U236" s="2" t="s">
        <v>420</v>
      </c>
      <c r="V236" s="2" t="s">
        <v>56</v>
      </c>
      <c r="W236" s="2" t="s">
        <v>57</v>
      </c>
      <c r="X236" s="2">
        <v>661404000</v>
      </c>
      <c r="Y236" s="2" t="s">
        <v>85</v>
      </c>
      <c r="Z236" s="2" t="s">
        <v>514</v>
      </c>
      <c r="AA236" s="2" t="s">
        <v>60</v>
      </c>
      <c r="AB236" s="2" t="s">
        <v>61</v>
      </c>
      <c r="AC236" s="2" t="s">
        <v>87</v>
      </c>
      <c r="AD236" s="2" t="s">
        <v>514</v>
      </c>
      <c r="AE236" s="2" t="s">
        <v>1471</v>
      </c>
      <c r="AF236" s="5">
        <v>25</v>
      </c>
      <c r="AG236" s="6"/>
      <c r="AH236" s="2" t="str">
        <f t="shared" si="0"/>
        <v/>
      </c>
      <c r="AI236" s="2" t="str" cm="1">
        <f t="array" ref="AI236">_xlfn.IFS(AF236&lt;25,"Less",AF236=25,"Equal",AF236&gt;25,"More")</f>
        <v>Equal</v>
      </c>
      <c r="AJ236" s="6"/>
      <c r="AK236" s="6" t="s">
        <v>125</v>
      </c>
      <c r="AL236" s="2" t="s">
        <v>1472</v>
      </c>
      <c r="AM236" s="5">
        <f>VLOOKUP(D236,'slb RAW'!$E$2:$AF$293,9)</f>
        <v>1.8129999999999999</v>
      </c>
      <c r="AN236" s="2">
        <f>VLOOKUP(D236,'slb RAW'!$E$2:$AE$293,27)</f>
        <v>1.8520000000000001</v>
      </c>
      <c r="AO236" s="2" t="e">
        <f>VLOOKUP(C236,'Refinitiv SLB'!F236:S413,14)</f>
        <v>#N/A</v>
      </c>
      <c r="AP236" s="2">
        <f t="shared" si="1"/>
        <v>1.8520000000000001</v>
      </c>
      <c r="AQ236" s="7" t="str">
        <f t="shared" si="2"/>
        <v>LANXESS AGCALLABLEFIXEDEURSr Unsecured</v>
      </c>
      <c r="AR236" s="5" t="b">
        <f ca="1">ISNUMBER( IFERROR(VLOOKUP(A236,Pairs!$E$2:$E$57,1,FALSE),FALSE))</f>
        <v>1</v>
      </c>
      <c r="AS236" s="5"/>
      <c r="AT236" s="5"/>
    </row>
    <row r="237" spans="1:46" ht="15.75" customHeight="1" x14ac:dyDescent="0.2">
      <c r="A237" s="2">
        <v>161</v>
      </c>
      <c r="B237" s="2" t="s">
        <v>1473</v>
      </c>
      <c r="C237" s="2" t="str">
        <f>VLOOKUP(D237,'slb RAW'!$E:$F,2)</f>
        <v>FR0014009EJ8</v>
      </c>
      <c r="D237" s="2" t="s">
        <v>1474</v>
      </c>
      <c r="E237" s="2" t="s">
        <v>1475</v>
      </c>
      <c r="F237" s="2" t="s">
        <v>1476</v>
      </c>
      <c r="G237" s="2" t="s">
        <v>184</v>
      </c>
      <c r="H237" s="2" t="s">
        <v>184</v>
      </c>
      <c r="I237" s="2" t="s">
        <v>184</v>
      </c>
      <c r="J237" s="2" t="b">
        <f t="shared" si="7"/>
        <v>1</v>
      </c>
      <c r="K237" s="2">
        <v>0.875</v>
      </c>
      <c r="L237" s="2" t="s">
        <v>1477</v>
      </c>
      <c r="M237" s="2" t="s">
        <v>1478</v>
      </c>
      <c r="N237" s="2">
        <v>0.90100000000000002</v>
      </c>
      <c r="O237" s="2" t="s">
        <v>115</v>
      </c>
      <c r="P237" s="2" t="s">
        <v>116</v>
      </c>
      <c r="Q237" s="2" t="s">
        <v>173</v>
      </c>
      <c r="R237" s="2" t="s">
        <v>52</v>
      </c>
      <c r="S237" s="2" t="s">
        <v>53</v>
      </c>
      <c r="T237" s="2" t="s">
        <v>420</v>
      </c>
      <c r="U237" s="2" t="s">
        <v>133</v>
      </c>
      <c r="V237" s="2" t="s">
        <v>56</v>
      </c>
      <c r="W237" s="2" t="s">
        <v>57</v>
      </c>
      <c r="X237" s="2">
        <v>1385037500</v>
      </c>
      <c r="Y237" s="2" t="s">
        <v>421</v>
      </c>
      <c r="Z237" s="2" t="s">
        <v>228</v>
      </c>
      <c r="AA237" s="2" t="s">
        <v>60</v>
      </c>
      <c r="AB237" s="2" t="s">
        <v>61</v>
      </c>
      <c r="AC237" s="2" t="s">
        <v>227</v>
      </c>
      <c r="AD237" s="2" t="s">
        <v>228</v>
      </c>
      <c r="AE237" s="2" t="s">
        <v>1479</v>
      </c>
      <c r="AF237" s="5">
        <v>37.5</v>
      </c>
      <c r="AG237" s="6"/>
      <c r="AH237" s="2" t="str">
        <f t="shared" si="0"/>
        <v/>
      </c>
      <c r="AI237" s="2" t="str" cm="1">
        <f t="array" ref="AI237">_xlfn.IFS(AF237&lt;25,"Less",AF237=25,"Equal",AF237&gt;25,"More")</f>
        <v>More</v>
      </c>
      <c r="AJ237" s="6" t="s">
        <v>5517</v>
      </c>
      <c r="AK237" s="6" t="s">
        <v>125</v>
      </c>
      <c r="AL237" s="2" t="s">
        <v>1480</v>
      </c>
      <c r="AM237" s="5">
        <f>VLOOKUP(D237,'slb RAW'!$E$2:$AF$293,9)</f>
        <v>0.90100000000000002</v>
      </c>
      <c r="AN237" s="2">
        <f>VLOOKUP(D237,'slb RAW'!$E$2:$AE$293,27)</f>
        <v>0.85699999999999998</v>
      </c>
      <c r="AO237" s="2" t="e">
        <f>VLOOKUP(C237,'Refinitiv SLB'!F237:S414,14)</f>
        <v>#N/A</v>
      </c>
      <c r="AP237" s="2">
        <f t="shared" si="1"/>
        <v>0.85699999999999998</v>
      </c>
      <c r="AQ237" s="7" t="str">
        <f t="shared" si="2"/>
        <v>L'Oreal SACALLABLEFIXEDEURSr Unsecured</v>
      </c>
      <c r="AR237" s="5" t="b">
        <f ca="1">ISNUMBER( IFERROR(VLOOKUP(A237,Pairs!$E$2:$E$57,1,FALSE),FALSE))</f>
        <v>1</v>
      </c>
      <c r="AS237" s="5"/>
      <c r="AT237" s="5"/>
    </row>
    <row r="238" spans="1:46" s="80" customFormat="1" ht="15.75" customHeight="1" x14ac:dyDescent="0.2">
      <c r="A238" s="79">
        <v>111</v>
      </c>
      <c r="B238" s="79" t="s">
        <v>1075</v>
      </c>
      <c r="C238" s="79" t="str">
        <f>VLOOKUP(D238,'slb RAW'!$E:$F,2)</f>
        <v>#N/A Field Not Applicable</v>
      </c>
      <c r="D238" s="79" t="s">
        <v>1481</v>
      </c>
      <c r="E238" s="79" t="s">
        <v>1482</v>
      </c>
      <c r="F238" s="79" t="s">
        <v>1078</v>
      </c>
      <c r="G238" s="79" t="s">
        <v>184</v>
      </c>
      <c r="H238" s="79" t="s">
        <v>184</v>
      </c>
      <c r="I238" s="79" t="s">
        <v>184</v>
      </c>
      <c r="J238" s="2" t="b">
        <f t="shared" si="7"/>
        <v>1</v>
      </c>
      <c r="K238" s="79">
        <v>0</v>
      </c>
      <c r="L238" s="79" t="s">
        <v>1483</v>
      </c>
      <c r="M238" s="79" t="s">
        <v>1484</v>
      </c>
      <c r="N238" s="81" t="s">
        <v>48</v>
      </c>
      <c r="O238" s="79" t="s">
        <v>49</v>
      </c>
      <c r="P238" s="79" t="s">
        <v>50</v>
      </c>
      <c r="Q238" s="79" t="s">
        <v>1035</v>
      </c>
      <c r="R238" s="79" t="s">
        <v>52</v>
      </c>
      <c r="S238" s="79" t="s">
        <v>53</v>
      </c>
      <c r="T238" s="79" t="s">
        <v>54</v>
      </c>
      <c r="U238" s="79" t="s">
        <v>884</v>
      </c>
      <c r="V238" s="79" t="s">
        <v>70</v>
      </c>
      <c r="W238" s="79" t="s">
        <v>71</v>
      </c>
      <c r="X238" s="79">
        <v>56203500</v>
      </c>
      <c r="Y238" s="79" t="s">
        <v>134</v>
      </c>
      <c r="Z238" s="79" t="s">
        <v>543</v>
      </c>
      <c r="AA238" s="79" t="s">
        <v>60</v>
      </c>
      <c r="AB238" s="79" t="s">
        <v>61</v>
      </c>
      <c r="AC238" s="79" t="s">
        <v>136</v>
      </c>
      <c r="AD238" s="79" t="s">
        <v>544</v>
      </c>
      <c r="AE238" s="81" t="s">
        <v>5507</v>
      </c>
      <c r="AF238" s="82">
        <v>25</v>
      </c>
      <c r="AG238" s="82"/>
      <c r="AH238" s="79" t="str">
        <f t="shared" si="0"/>
        <v/>
      </c>
      <c r="AI238" s="2" t="str" cm="1">
        <f t="array" ref="AI238">_xlfn.IFS(AF238&lt;25,"Less",AF238=25,"Equal",AF238&gt;25,"More")</f>
        <v>Equal</v>
      </c>
      <c r="AJ238" s="82"/>
      <c r="AK238" s="82" t="s">
        <v>125</v>
      </c>
      <c r="AL238" s="79" t="s">
        <v>1485</v>
      </c>
      <c r="AM238" s="83" t="str">
        <f>VLOOKUP(D238,'slb RAW'!$E$2:$AF$293,9)</f>
        <v>#N/A N/A</v>
      </c>
      <c r="AN238" s="79" t="str">
        <f>VLOOKUP(D238,'slb RAW'!$E$2:$AE$293,27)</f>
        <v>#N/A N/A</v>
      </c>
      <c r="AO238" s="79" t="e">
        <f>VLOOKUP(C238,'Refinitiv SLB'!F238:S415,14)</f>
        <v>#N/A</v>
      </c>
      <c r="AP238" s="79" t="str">
        <f t="shared" si="1"/>
        <v>#N/A N/A</v>
      </c>
      <c r="AQ238" s="84" t="str">
        <f t="shared" si="2"/>
        <v>Faurecia SEAT MATURITYFLOATINGEURSr Unsecured</v>
      </c>
      <c r="AR238" s="83" t="b">
        <f ca="1">ISNUMBER( IFERROR(VLOOKUP(A238,Pairs!$E$2:$E$57,1,FALSE),FALSE))</f>
        <v>0</v>
      </c>
      <c r="AS238" s="83"/>
      <c r="AT238" s="83"/>
    </row>
    <row r="239" spans="1:46" ht="15.75" customHeight="1" x14ac:dyDescent="0.2">
      <c r="A239" s="2">
        <v>38</v>
      </c>
      <c r="B239" s="2" t="s">
        <v>1486</v>
      </c>
      <c r="C239" s="2" t="str">
        <f>VLOOKUP(D239,'slb RAW'!$E:$F,2)</f>
        <v>FR0014009DZ6</v>
      </c>
      <c r="D239" s="2" t="s">
        <v>1487</v>
      </c>
      <c r="E239" s="2" t="s">
        <v>1488</v>
      </c>
      <c r="F239" s="2" t="s">
        <v>1489</v>
      </c>
      <c r="G239" s="2" t="s">
        <v>184</v>
      </c>
      <c r="H239" s="2" t="s">
        <v>184</v>
      </c>
      <c r="I239" s="2" t="s">
        <v>184</v>
      </c>
      <c r="J239" s="2" t="b">
        <f t="shared" si="7"/>
        <v>1</v>
      </c>
      <c r="K239" s="2">
        <v>1.875</v>
      </c>
      <c r="L239" s="2" t="s">
        <v>1454</v>
      </c>
      <c r="M239" s="2" t="s">
        <v>1490</v>
      </c>
      <c r="N239" s="9">
        <v>1.8644000000000001</v>
      </c>
      <c r="O239" s="2" t="s">
        <v>115</v>
      </c>
      <c r="P239" s="2" t="s">
        <v>116</v>
      </c>
      <c r="Q239" s="2" t="s">
        <v>225</v>
      </c>
      <c r="R239" s="2" t="s">
        <v>52</v>
      </c>
      <c r="S239" s="2" t="s">
        <v>53</v>
      </c>
      <c r="T239" s="2" t="s">
        <v>189</v>
      </c>
      <c r="U239" s="2" t="s">
        <v>117</v>
      </c>
      <c r="V239" s="2" t="s">
        <v>56</v>
      </c>
      <c r="W239" s="2" t="s">
        <v>57</v>
      </c>
      <c r="X239" s="2">
        <v>836797500</v>
      </c>
      <c r="Y239" s="2" t="s">
        <v>421</v>
      </c>
      <c r="Z239" s="2" t="s">
        <v>422</v>
      </c>
      <c r="AA239" s="2" t="s">
        <v>60</v>
      </c>
      <c r="AB239" s="2" t="s">
        <v>61</v>
      </c>
      <c r="AC239" s="2" t="s">
        <v>227</v>
      </c>
      <c r="AD239" s="2" t="s">
        <v>423</v>
      </c>
      <c r="AE239" s="2" t="s">
        <v>1491</v>
      </c>
      <c r="AF239" s="5">
        <v>25</v>
      </c>
      <c r="AG239" s="6"/>
      <c r="AH239" s="2" t="str">
        <f t="shared" si="0"/>
        <v/>
      </c>
      <c r="AI239" s="2" t="str" cm="1">
        <f t="array" ref="AI239">_xlfn.IFS(AF239&lt;25,"Less",AF239=25,"Equal",AF239&gt;25,"More")</f>
        <v>Equal</v>
      </c>
      <c r="AJ239" s="6"/>
      <c r="AK239" s="6" t="s">
        <v>125</v>
      </c>
      <c r="AL239" s="2" t="s">
        <v>1492</v>
      </c>
      <c r="AM239" s="5" t="str">
        <f>VLOOKUP(D239,'slb RAW'!$E$2:$AF$293,9)</f>
        <v>#N/A N/A</v>
      </c>
      <c r="AN239" s="2">
        <f>VLOOKUP(D239,'slb RAW'!$E$2:$AE$293,27)</f>
        <v>1.8440000000000001</v>
      </c>
      <c r="AO239" s="2" t="e">
        <f>VLOOKUP(C239,'Refinitiv SLB'!F239:S416,14)</f>
        <v>#N/A</v>
      </c>
      <c r="AP239" s="2">
        <f t="shared" si="1"/>
        <v>1.8440000000000001</v>
      </c>
      <c r="AQ239" s="7" t="str">
        <f t="shared" si="2"/>
        <v>Carrefour SACALLABLEFIXEDEURSr Unsecured</v>
      </c>
      <c r="AR239" s="5" t="b">
        <f ca="1">ISNUMBER( IFERROR(VLOOKUP(A239,Pairs!$E$2:$E$57,1,FALSE),FALSE))</f>
        <v>1</v>
      </c>
      <c r="AS239" s="5"/>
      <c r="AT239" s="5"/>
    </row>
    <row r="240" spans="1:46" ht="15.75" customHeight="1" x14ac:dyDescent="0.2">
      <c r="A240" s="2">
        <v>39</v>
      </c>
      <c r="B240" s="2" t="s">
        <v>1486</v>
      </c>
      <c r="C240" s="2" t="str">
        <f>VLOOKUP(D240,'slb RAW'!$E:$F,2)</f>
        <v>FR0014009E07</v>
      </c>
      <c r="D240" s="2" t="s">
        <v>1493</v>
      </c>
      <c r="E240" s="2" t="s">
        <v>1494</v>
      </c>
      <c r="F240" s="2" t="s">
        <v>1489</v>
      </c>
      <c r="G240" s="2" t="s">
        <v>184</v>
      </c>
      <c r="H240" s="2" t="s">
        <v>184</v>
      </c>
      <c r="I240" s="2" t="s">
        <v>184</v>
      </c>
      <c r="J240" s="2" t="b">
        <f t="shared" si="7"/>
        <v>1</v>
      </c>
      <c r="K240" s="2">
        <v>2.375</v>
      </c>
      <c r="L240" s="2" t="s">
        <v>1454</v>
      </c>
      <c r="M240" s="2" t="s">
        <v>1495</v>
      </c>
      <c r="N240" s="2">
        <v>2.4710000000000001</v>
      </c>
      <c r="O240" s="2" t="s">
        <v>115</v>
      </c>
      <c r="P240" s="2" t="s">
        <v>116</v>
      </c>
      <c r="Q240" s="2" t="s">
        <v>225</v>
      </c>
      <c r="R240" s="2" t="s">
        <v>52</v>
      </c>
      <c r="S240" s="2" t="s">
        <v>53</v>
      </c>
      <c r="T240" s="2" t="s">
        <v>189</v>
      </c>
      <c r="U240" s="2" t="s">
        <v>117</v>
      </c>
      <c r="V240" s="2" t="s">
        <v>56</v>
      </c>
      <c r="W240" s="2" t="s">
        <v>57</v>
      </c>
      <c r="X240" s="2">
        <v>836797500</v>
      </c>
      <c r="Y240" s="2" t="s">
        <v>421</v>
      </c>
      <c r="Z240" s="2" t="s">
        <v>422</v>
      </c>
      <c r="AA240" s="2" t="s">
        <v>60</v>
      </c>
      <c r="AB240" s="2" t="s">
        <v>61</v>
      </c>
      <c r="AC240" s="2" t="s">
        <v>227</v>
      </c>
      <c r="AD240" s="2" t="s">
        <v>423</v>
      </c>
      <c r="AE240" s="2" t="s">
        <v>1496</v>
      </c>
      <c r="AF240" s="5">
        <v>25</v>
      </c>
      <c r="AG240" s="6"/>
      <c r="AH240" s="2" t="str">
        <f t="shared" si="0"/>
        <v/>
      </c>
      <c r="AI240" s="2" t="str" cm="1">
        <f t="array" ref="AI240">_xlfn.IFS(AF240&lt;25,"Less",AF240=25,"Equal",AF240&gt;25,"More")</f>
        <v>Equal</v>
      </c>
      <c r="AJ240" s="6"/>
      <c r="AK240" s="6" t="s">
        <v>125</v>
      </c>
      <c r="AL240" s="2" t="s">
        <v>1497</v>
      </c>
      <c r="AM240" s="5">
        <f>VLOOKUP(D240,'slb RAW'!$E$2:$AF$293,9)</f>
        <v>2.4710000000000001</v>
      </c>
      <c r="AN240" s="2">
        <f>VLOOKUP(D240,'slb RAW'!$E$2:$AE$293,27)</f>
        <v>2.2269999999999999</v>
      </c>
      <c r="AO240" s="2" t="e">
        <f>VLOOKUP(C240,'Refinitiv SLB'!F240:S417,14)</f>
        <v>#N/A</v>
      </c>
      <c r="AP240" s="2">
        <f t="shared" si="1"/>
        <v>2.2269999999999999</v>
      </c>
      <c r="AQ240" s="7" t="str">
        <f t="shared" si="2"/>
        <v>Carrefour SACALLABLEFIXEDEURSr Unsecured</v>
      </c>
      <c r="AR240" s="5" t="b">
        <f ca="1">ISNUMBER( IFERROR(VLOOKUP(A240,Pairs!$E$2:$E$57,1,FALSE),FALSE))</f>
        <v>1</v>
      </c>
      <c r="AS240" s="5"/>
      <c r="AT240" s="5"/>
    </row>
    <row r="241" spans="1:46" ht="15.75" customHeight="1" x14ac:dyDescent="0.2">
      <c r="A241" s="2">
        <v>36</v>
      </c>
      <c r="B241" s="2" t="s">
        <v>1498</v>
      </c>
      <c r="C241" s="2" t="str">
        <f>VLOOKUP(D241,'slb RAW'!$E:$F,2)</f>
        <v>SE0017767346</v>
      </c>
      <c r="D241" s="2" t="s">
        <v>1499</v>
      </c>
      <c r="E241" s="2" t="s">
        <v>1500</v>
      </c>
      <c r="F241" s="2" t="s">
        <v>1501</v>
      </c>
      <c r="G241" s="2" t="s">
        <v>367</v>
      </c>
      <c r="H241" s="2" t="s">
        <v>367</v>
      </c>
      <c r="I241" s="2" t="s">
        <v>367</v>
      </c>
      <c r="J241" s="2" t="b">
        <f t="shared" si="7"/>
        <v>1</v>
      </c>
      <c r="K241" s="2">
        <v>9.572000000000001</v>
      </c>
      <c r="L241" s="2" t="s">
        <v>1502</v>
      </c>
      <c r="M241" s="2" t="s">
        <v>1503</v>
      </c>
      <c r="N241" s="9">
        <v>9.1479999999999997</v>
      </c>
      <c r="O241" s="2" t="s">
        <v>115</v>
      </c>
      <c r="P241" s="2" t="s">
        <v>116</v>
      </c>
      <c r="Q241" s="2" t="s">
        <v>173</v>
      </c>
      <c r="R241" s="2" t="s">
        <v>458</v>
      </c>
      <c r="S241" s="2" t="s">
        <v>686</v>
      </c>
      <c r="T241" s="2" t="s">
        <v>54</v>
      </c>
      <c r="U241" s="2" t="s">
        <v>55</v>
      </c>
      <c r="V241" s="2" t="s">
        <v>70</v>
      </c>
      <c r="W241" s="2" t="s">
        <v>391</v>
      </c>
      <c r="X241" s="2">
        <v>172665900</v>
      </c>
      <c r="Y241" s="2" t="s">
        <v>377</v>
      </c>
      <c r="Z241" s="2" t="s">
        <v>1072</v>
      </c>
      <c r="AA241" s="2" t="s">
        <v>60</v>
      </c>
      <c r="AB241" s="2" t="s">
        <v>61</v>
      </c>
      <c r="AC241" s="2" t="s">
        <v>377</v>
      </c>
      <c r="AD241" s="2" t="s">
        <v>377</v>
      </c>
      <c r="AE241" s="2" t="s">
        <v>1504</v>
      </c>
      <c r="AF241" s="5">
        <v>75</v>
      </c>
      <c r="AG241" s="6"/>
      <c r="AH241" s="2" t="str">
        <f t="shared" si="0"/>
        <v/>
      </c>
      <c r="AI241" s="2" t="str" cm="1">
        <f t="array" ref="AI241">_xlfn.IFS(AF241&lt;25,"Less",AF241=25,"Equal",AF241&gt;25,"More")</f>
        <v>More</v>
      </c>
      <c r="AJ241" s="6"/>
      <c r="AK241" s="6" t="s">
        <v>125</v>
      </c>
      <c r="AL241" s="2" t="s">
        <v>1505</v>
      </c>
      <c r="AM241" s="5" t="str">
        <f>VLOOKUP(D241,'slb RAW'!$E$2:$AF$293,9)</f>
        <v>#N/A N/A</v>
      </c>
      <c r="AN241" s="2">
        <f>VLOOKUP(D241,'slb RAW'!$E$2:$AE$293,27)</f>
        <v>9.0009999999999994</v>
      </c>
      <c r="AO241" s="2" t="e">
        <f>VLOOKUP(C241,'Refinitiv SLB'!F241:S418,14)</f>
        <v>#N/A</v>
      </c>
      <c r="AP241" s="2">
        <f t="shared" si="1"/>
        <v>9.0009999999999994</v>
      </c>
      <c r="AQ241" s="7" t="str">
        <f t="shared" si="2"/>
        <v>Cabonline Group Holding ABCALLABLEFLOATINGSEKSecured</v>
      </c>
      <c r="AR241" s="5" t="b">
        <f ca="1">ISNUMBER( IFERROR(VLOOKUP(A241,Pairs!$E$2:$E$57,1,FALSE),FALSE))</f>
        <v>0</v>
      </c>
      <c r="AS241" s="5"/>
      <c r="AT241" s="5"/>
    </row>
    <row r="242" spans="1:46" s="80" customFormat="1" ht="15.75" customHeight="1" x14ac:dyDescent="0.2">
      <c r="A242" s="79">
        <v>68</v>
      </c>
      <c r="B242" s="79" t="s">
        <v>557</v>
      </c>
      <c r="C242" s="79" t="str">
        <f>VLOOKUP(D242,'slb RAW'!$E:$F,2)</f>
        <v>XS2463988795</v>
      </c>
      <c r="D242" s="79" t="s">
        <v>1506</v>
      </c>
      <c r="E242" s="79" t="s">
        <v>1507</v>
      </c>
      <c r="F242" s="79" t="s">
        <v>560</v>
      </c>
      <c r="G242" s="79" t="s">
        <v>367</v>
      </c>
      <c r="H242" s="79" t="s">
        <v>367</v>
      </c>
      <c r="I242" s="79" t="s">
        <v>367</v>
      </c>
      <c r="J242" s="2" t="b">
        <f t="shared" si="7"/>
        <v>1</v>
      </c>
      <c r="K242" s="79">
        <v>2.375</v>
      </c>
      <c r="L242" s="79" t="s">
        <v>1508</v>
      </c>
      <c r="M242" s="79" t="s">
        <v>1509</v>
      </c>
      <c r="N242" s="79">
        <v>2.46</v>
      </c>
      <c r="O242" s="79" t="s">
        <v>115</v>
      </c>
      <c r="P242" s="79" t="s">
        <v>116</v>
      </c>
      <c r="Q242" s="79" t="s">
        <v>173</v>
      </c>
      <c r="R242" s="79" t="s">
        <v>52</v>
      </c>
      <c r="S242" s="79" t="s">
        <v>53</v>
      </c>
      <c r="T242" s="79" t="s">
        <v>189</v>
      </c>
      <c r="U242" s="79" t="s">
        <v>420</v>
      </c>
      <c r="V242" s="79" t="s">
        <v>56</v>
      </c>
      <c r="W242" s="79" t="s">
        <v>57</v>
      </c>
      <c r="X242" s="79">
        <v>818115000</v>
      </c>
      <c r="Y242" s="79" t="s">
        <v>484</v>
      </c>
      <c r="Z242" s="79" t="s">
        <v>562</v>
      </c>
      <c r="AA242" s="79" t="s">
        <v>60</v>
      </c>
      <c r="AB242" s="79" t="s">
        <v>486</v>
      </c>
      <c r="AC242" s="79" t="s">
        <v>563</v>
      </c>
      <c r="AD242" s="79" t="s">
        <v>563</v>
      </c>
      <c r="AE242" s="79" t="s">
        <v>1510</v>
      </c>
      <c r="AF242" s="83">
        <v>25</v>
      </c>
      <c r="AG242" s="82"/>
      <c r="AH242" s="79" t="str">
        <f t="shared" si="0"/>
        <v/>
      </c>
      <c r="AI242" s="2" t="str" cm="1">
        <f t="array" ref="AI242">_xlfn.IFS(AF242&lt;25,"Less",AF242=25,"Equal",AF242&gt;25,"More")</f>
        <v>Equal</v>
      </c>
      <c r="AJ242" s="82"/>
      <c r="AK242" s="82" t="s">
        <v>611</v>
      </c>
      <c r="AL242" s="79" t="s">
        <v>1511</v>
      </c>
      <c r="AM242" s="83">
        <f>VLOOKUP(D242,'slb RAW'!$E$2:$AF$293,9)</f>
        <v>2.46</v>
      </c>
      <c r="AN242" s="79">
        <f>VLOOKUP(D242,'slb RAW'!$E$2:$AE$293,27)</f>
        <v>2.3929999999999998</v>
      </c>
      <c r="AO242" s="79" t="e">
        <f>VLOOKUP(C242,'Refinitiv SLB'!F242:S419,14)</f>
        <v>#N/A</v>
      </c>
      <c r="AP242" s="79">
        <f t="shared" si="1"/>
        <v>2.3929999999999998</v>
      </c>
      <c r="AQ242" s="84" t="str">
        <f t="shared" si="2"/>
        <v>EQT ABCALLABLEFIXEDEURSr Unsecured</v>
      </c>
      <c r="AR242" s="83" t="b">
        <f ca="1">ISNUMBER( IFERROR(VLOOKUP(A242,Pairs!$E$2:$E$57,1,FALSE),FALSE))</f>
        <v>0</v>
      </c>
      <c r="AS242" s="83"/>
      <c r="AT242" s="83"/>
    </row>
    <row r="243" spans="1:46" ht="15.75" customHeight="1" x14ac:dyDescent="0.2">
      <c r="A243" s="2">
        <v>34</v>
      </c>
      <c r="B243" s="2" t="s">
        <v>1512</v>
      </c>
      <c r="C243" s="2" t="str">
        <f>VLOOKUP(D243,'slb RAW'!$E:$F,2)</f>
        <v>XS2461786829</v>
      </c>
      <c r="D243" s="2" t="s">
        <v>1513</v>
      </c>
      <c r="E243" s="2" t="s">
        <v>1514</v>
      </c>
      <c r="F243" s="2" t="s">
        <v>1515</v>
      </c>
      <c r="G243" s="2" t="s">
        <v>1339</v>
      </c>
      <c r="H243" s="2" t="s">
        <v>1339</v>
      </c>
      <c r="I243" s="2" t="s">
        <v>1339</v>
      </c>
      <c r="J243" s="2" t="b">
        <f t="shared" si="7"/>
        <v>1</v>
      </c>
      <c r="K243" s="2">
        <v>2.375</v>
      </c>
      <c r="L243" s="2" t="s">
        <v>1508</v>
      </c>
      <c r="M243" s="2" t="s">
        <v>68</v>
      </c>
      <c r="N243" s="2">
        <v>2.4620000000000002</v>
      </c>
      <c r="O243" s="2" t="s">
        <v>115</v>
      </c>
      <c r="P243" s="2" t="s">
        <v>116</v>
      </c>
      <c r="Q243" s="2" t="s">
        <v>225</v>
      </c>
      <c r="R243" s="2" t="s">
        <v>52</v>
      </c>
      <c r="S243" s="2" t="s">
        <v>53</v>
      </c>
      <c r="T243" s="2" t="s">
        <v>619</v>
      </c>
      <c r="U243" s="2" t="s">
        <v>420</v>
      </c>
      <c r="V243" s="2" t="s">
        <v>56</v>
      </c>
      <c r="W243" s="2" t="s">
        <v>57</v>
      </c>
      <c r="X243" s="2">
        <v>654492000</v>
      </c>
      <c r="Y243" s="2" t="s">
        <v>120</v>
      </c>
      <c r="Z243" s="2" t="s">
        <v>237</v>
      </c>
      <c r="AA243" s="2" t="s">
        <v>202</v>
      </c>
      <c r="AB243" s="2" t="s">
        <v>411</v>
      </c>
      <c r="AC243" s="2" t="s">
        <v>412</v>
      </c>
      <c r="AD243" s="2" t="s">
        <v>412</v>
      </c>
      <c r="AE243" s="2" t="s">
        <v>1516</v>
      </c>
      <c r="AF243" s="5">
        <v>75</v>
      </c>
      <c r="AG243" s="6"/>
      <c r="AH243" s="2" t="str">
        <f t="shared" si="0"/>
        <v/>
      </c>
      <c r="AI243" s="2" t="str" cm="1">
        <f t="array" ref="AI243">_xlfn.IFS(AF243&lt;25,"Less",AF243=25,"Equal",AF243&gt;25,"More")</f>
        <v>More</v>
      </c>
      <c r="AJ243" s="6"/>
      <c r="AK243" s="6" t="s">
        <v>125</v>
      </c>
      <c r="AL243" s="2" t="s">
        <v>1517</v>
      </c>
      <c r="AM243" s="5">
        <f>VLOOKUP(D243,'slb RAW'!$E$2:$AF$293,9)</f>
        <v>2.4620000000000002</v>
      </c>
      <c r="AN243" s="2">
        <f>VLOOKUP(D243,'slb RAW'!$E$2:$AE$293,27)</f>
        <v>2.2850000000000001</v>
      </c>
      <c r="AO243" s="2" t="e">
        <f>VLOOKUP(C243,'Refinitiv SLB'!F243:S420,14)</f>
        <v>#N/A</v>
      </c>
      <c r="AP243" s="2">
        <f t="shared" si="1"/>
        <v>2.2850000000000001</v>
      </c>
      <c r="AQ243" s="7" t="str">
        <f t="shared" si="2"/>
        <v>CEZ ASCALLABLEFIXEDEURSr Unsecured</v>
      </c>
      <c r="AR243" s="5" t="b">
        <f ca="1">ISNUMBER( IFERROR(VLOOKUP(A243,Pairs!$E$2:$E$57,1,FALSE),FALSE))</f>
        <v>0</v>
      </c>
      <c r="AS243" s="5"/>
      <c r="AT243" s="5"/>
    </row>
    <row r="244" spans="1:46" ht="15.75" customHeight="1" x14ac:dyDescent="0.2">
      <c r="A244" s="2">
        <v>231</v>
      </c>
      <c r="B244" s="2" t="s">
        <v>1518</v>
      </c>
      <c r="C244" s="2" t="str">
        <f>VLOOKUP(D244,'slb RAW'!$E:$F,2)</f>
        <v>FR0014009KQ0</v>
      </c>
      <c r="D244" s="2" t="s">
        <v>1519</v>
      </c>
      <c r="E244" s="2" t="s">
        <v>1520</v>
      </c>
      <c r="F244" s="2" t="s">
        <v>1521</v>
      </c>
      <c r="G244" s="2" t="s">
        <v>184</v>
      </c>
      <c r="H244" s="2" t="s">
        <v>184</v>
      </c>
      <c r="I244" s="2" t="s">
        <v>184</v>
      </c>
      <c r="J244" s="2" t="b">
        <f t="shared" si="7"/>
        <v>1</v>
      </c>
      <c r="K244" s="2">
        <v>1.25</v>
      </c>
      <c r="L244" s="2" t="s">
        <v>1508</v>
      </c>
      <c r="M244" s="2" t="s">
        <v>1522</v>
      </c>
      <c r="N244" s="2">
        <v>1.302</v>
      </c>
      <c r="O244" s="2" t="s">
        <v>115</v>
      </c>
      <c r="P244" s="2" t="s">
        <v>116</v>
      </c>
      <c r="Q244" s="2" t="s">
        <v>173</v>
      </c>
      <c r="R244" s="2" t="s">
        <v>52</v>
      </c>
      <c r="S244" s="2" t="s">
        <v>53</v>
      </c>
      <c r="T244" s="2" t="s">
        <v>483</v>
      </c>
      <c r="U244" s="2" t="s">
        <v>117</v>
      </c>
      <c r="V244" s="2" t="s">
        <v>56</v>
      </c>
      <c r="W244" s="2" t="s">
        <v>57</v>
      </c>
      <c r="X244" s="2">
        <v>709033000</v>
      </c>
      <c r="Y244" s="2" t="s">
        <v>1049</v>
      </c>
      <c r="Z244" s="2" t="s">
        <v>1050</v>
      </c>
      <c r="AA244" s="2" t="s">
        <v>60</v>
      </c>
      <c r="AB244" s="2" t="s">
        <v>61</v>
      </c>
      <c r="AC244" s="2" t="s">
        <v>227</v>
      </c>
      <c r="AD244" s="2" t="s">
        <v>1050</v>
      </c>
      <c r="AE244" s="2" t="s">
        <v>1523</v>
      </c>
      <c r="AF244" s="5">
        <v>25</v>
      </c>
      <c r="AG244" s="6"/>
      <c r="AH244" s="2" t="str">
        <f t="shared" si="0"/>
        <v/>
      </c>
      <c r="AI244" s="2" t="str" cm="1">
        <f t="array" ref="AI244">_xlfn.IFS(AF244&lt;25,"Less",AF244=25,"Equal",AF244&gt;25,"More")</f>
        <v>Equal</v>
      </c>
      <c r="AJ244" s="6"/>
      <c r="AK244" s="6" t="s">
        <v>251</v>
      </c>
      <c r="AL244" s="2" t="s">
        <v>1524</v>
      </c>
      <c r="AM244" s="5">
        <f>VLOOKUP(D244,'slb RAW'!$E$2:$AF$293,9)</f>
        <v>1.302</v>
      </c>
      <c r="AN244" s="2">
        <f>VLOOKUP(D244,'slb RAW'!$E$2:$AE$293,27)</f>
        <v>1.3280000000000001</v>
      </c>
      <c r="AO244" s="2" t="e">
        <f>VLOOKUP(C244,'Refinitiv SLB'!F244:S421,14)</f>
        <v>#N/A</v>
      </c>
      <c r="AP244" s="2">
        <f t="shared" si="1"/>
        <v>1.3280000000000001</v>
      </c>
      <c r="AQ244" s="7" t="str">
        <f t="shared" si="2"/>
        <v>SanofiCALLABLEFIXEDEURSr Unsecured</v>
      </c>
      <c r="AR244" s="5" t="b">
        <f ca="1">ISNUMBER( IFERROR(VLOOKUP(A244,Pairs!$E$2:$E$57,1,FALSE),FALSE))</f>
        <v>1</v>
      </c>
      <c r="AS244" s="5"/>
      <c r="AT244" s="5"/>
    </row>
    <row r="245" spans="1:46" ht="15.75" customHeight="1" x14ac:dyDescent="0.2">
      <c r="A245" s="2">
        <v>194</v>
      </c>
      <c r="B245" s="2" t="s">
        <v>1525</v>
      </c>
      <c r="C245" s="2" t="str">
        <f>VLOOKUP(D245,'slb RAW'!$E:$F,2)</f>
        <v>FR0014009L57</v>
      </c>
      <c r="D245" s="2" t="s">
        <v>1526</v>
      </c>
      <c r="E245" s="2" t="s">
        <v>1527</v>
      </c>
      <c r="F245" s="2" t="s">
        <v>1528</v>
      </c>
      <c r="G245" s="2" t="s">
        <v>184</v>
      </c>
      <c r="H245" s="2" t="s">
        <v>184</v>
      </c>
      <c r="I245" s="2" t="s">
        <v>184</v>
      </c>
      <c r="J245" s="2" t="b">
        <f t="shared" si="7"/>
        <v>1</v>
      </c>
      <c r="K245" s="2">
        <v>1.375</v>
      </c>
      <c r="L245" s="2" t="s">
        <v>1529</v>
      </c>
      <c r="M245" s="2" t="s">
        <v>1530</v>
      </c>
      <c r="N245" s="2">
        <v>1.5629999999999999</v>
      </c>
      <c r="O245" s="2" t="s">
        <v>115</v>
      </c>
      <c r="P245" s="2" t="s">
        <v>116</v>
      </c>
      <c r="Q245" s="2" t="s">
        <v>173</v>
      </c>
      <c r="R245" s="2" t="s">
        <v>52</v>
      </c>
      <c r="S245" s="2" t="s">
        <v>53</v>
      </c>
      <c r="T245" s="2" t="s">
        <v>619</v>
      </c>
      <c r="U245" s="2" t="s">
        <v>420</v>
      </c>
      <c r="V245" s="2" t="s">
        <v>56</v>
      </c>
      <c r="W245" s="2" t="s">
        <v>57</v>
      </c>
      <c r="X245" s="2">
        <v>815782500</v>
      </c>
      <c r="Y245" s="2" t="s">
        <v>421</v>
      </c>
      <c r="Z245" s="2" t="s">
        <v>663</v>
      </c>
      <c r="AA245" s="2" t="s">
        <v>60</v>
      </c>
      <c r="AB245" s="2" t="s">
        <v>61</v>
      </c>
      <c r="AC245" s="2" t="s">
        <v>227</v>
      </c>
      <c r="AD245" s="2" t="s">
        <v>664</v>
      </c>
      <c r="AE245" s="2" t="s">
        <v>1531</v>
      </c>
      <c r="AF245" s="5">
        <v>25</v>
      </c>
      <c r="AG245" s="6"/>
      <c r="AH245" s="2" t="str">
        <f t="shared" si="0"/>
        <v/>
      </c>
      <c r="AI245" s="2" t="str" cm="1">
        <f t="array" ref="AI245">_xlfn.IFS(AF245&lt;25,"Less",AF245=25,"Equal",AF245&gt;25,"More")</f>
        <v>Equal</v>
      </c>
      <c r="AJ245" s="6"/>
      <c r="AK245" s="6" t="s">
        <v>125</v>
      </c>
      <c r="AL245" s="2" t="s">
        <v>1532</v>
      </c>
      <c r="AM245" s="5">
        <f>VLOOKUP(D245,'slb RAW'!$E$2:$AF$293,9)</f>
        <v>1.5629999999999999</v>
      </c>
      <c r="AN245" s="2">
        <f>VLOOKUP(D245,'slb RAW'!$E$2:$AE$293,27)</f>
        <v>1.6120000000000001</v>
      </c>
      <c r="AO245" s="2" t="e">
        <f>VLOOKUP(C245,'Refinitiv SLB'!F245:S422,14)</f>
        <v>#N/A</v>
      </c>
      <c r="AP245" s="2">
        <f t="shared" si="1"/>
        <v>1.6120000000000001</v>
      </c>
      <c r="AQ245" s="7" t="str">
        <f t="shared" si="2"/>
        <v>Pernod Ricard SACALLABLEFIXEDEURSr Unsecured</v>
      </c>
      <c r="AR245" s="5" t="b">
        <f ca="1">ISNUMBER( IFERROR(VLOOKUP(A245,Pairs!$E$2:$E$57,1,FALSE),FALSE))</f>
        <v>1</v>
      </c>
      <c r="AS245" s="5"/>
      <c r="AT245" s="5"/>
    </row>
    <row r="246" spans="1:46" s="80" customFormat="1" ht="15.75" customHeight="1" x14ac:dyDescent="0.2">
      <c r="A246" s="79">
        <v>70</v>
      </c>
      <c r="B246" s="79" t="s">
        <v>557</v>
      </c>
      <c r="C246" s="79" t="str">
        <f>VLOOKUP(D246,'slb RAW'!$E:$F,2)</f>
        <v>XS2463990775</v>
      </c>
      <c r="D246" s="79" t="s">
        <v>1533</v>
      </c>
      <c r="E246" s="79" t="s">
        <v>1534</v>
      </c>
      <c r="F246" s="79" t="s">
        <v>560</v>
      </c>
      <c r="G246" s="79" t="s">
        <v>367</v>
      </c>
      <c r="H246" s="79" t="s">
        <v>367</v>
      </c>
      <c r="I246" s="79" t="s">
        <v>367</v>
      </c>
      <c r="J246" s="2" t="b">
        <f t="shared" si="7"/>
        <v>1</v>
      </c>
      <c r="K246" s="79">
        <v>2.875</v>
      </c>
      <c r="L246" s="79" t="s">
        <v>1508</v>
      </c>
      <c r="M246" s="79" t="s">
        <v>1535</v>
      </c>
      <c r="N246" s="79">
        <v>2.944</v>
      </c>
      <c r="O246" s="79" t="s">
        <v>115</v>
      </c>
      <c r="P246" s="79" t="s">
        <v>116</v>
      </c>
      <c r="Q246" s="79" t="s">
        <v>173</v>
      </c>
      <c r="R246" s="79" t="s">
        <v>52</v>
      </c>
      <c r="S246" s="79" t="s">
        <v>53</v>
      </c>
      <c r="T246" s="79" t="s">
        <v>189</v>
      </c>
      <c r="U246" s="79" t="s">
        <v>420</v>
      </c>
      <c r="V246" s="79" t="s">
        <v>56</v>
      </c>
      <c r="W246" s="79" t="s">
        <v>57</v>
      </c>
      <c r="X246" s="79">
        <v>818115000</v>
      </c>
      <c r="Y246" s="79" t="s">
        <v>484</v>
      </c>
      <c r="Z246" s="79" t="s">
        <v>562</v>
      </c>
      <c r="AA246" s="79" t="s">
        <v>60</v>
      </c>
      <c r="AB246" s="79" t="s">
        <v>486</v>
      </c>
      <c r="AC246" s="79" t="s">
        <v>563</v>
      </c>
      <c r="AD246" s="79" t="s">
        <v>563</v>
      </c>
      <c r="AE246" s="79" t="s">
        <v>1536</v>
      </c>
      <c r="AF246" s="83">
        <v>20</v>
      </c>
      <c r="AG246" s="82"/>
      <c r="AH246" s="79" t="str">
        <f t="shared" si="0"/>
        <v/>
      </c>
      <c r="AI246" s="2" t="str" cm="1">
        <f t="array" ref="AI246">_xlfn.IFS(AF246&lt;25,"Less",AF246=25,"Equal",AF246&gt;25,"More")</f>
        <v>Less</v>
      </c>
      <c r="AJ246" s="82"/>
      <c r="AK246" s="82" t="s">
        <v>611</v>
      </c>
      <c r="AL246" s="79" t="s">
        <v>1511</v>
      </c>
      <c r="AM246" s="83">
        <f>VLOOKUP(D246,'slb RAW'!$E$2:$AF$293,9)</f>
        <v>2.944</v>
      </c>
      <c r="AN246" s="79">
        <f>VLOOKUP(D246,'slb RAW'!$E$2:$AE$293,27)</f>
        <v>2.9940000000000002</v>
      </c>
      <c r="AO246" s="79" t="e">
        <f>VLOOKUP(C246,'Refinitiv SLB'!F246:S423,14)</f>
        <v>#N/A</v>
      </c>
      <c r="AP246" s="79">
        <f t="shared" si="1"/>
        <v>2.9940000000000002</v>
      </c>
      <c r="AQ246" s="84" t="str">
        <f t="shared" si="2"/>
        <v>EQT ABCALLABLEFIXEDEURSr Unsecured</v>
      </c>
      <c r="AR246" s="83" t="b">
        <f ca="1">ISNUMBER( IFERROR(VLOOKUP(A246,Pairs!$E$2:$E$57,1,FALSE),FALSE))</f>
        <v>0</v>
      </c>
      <c r="AS246" s="83"/>
      <c r="AT246" s="83"/>
    </row>
    <row r="247" spans="1:46" ht="15.75" customHeight="1" x14ac:dyDescent="0.2">
      <c r="A247" s="2">
        <v>132</v>
      </c>
      <c r="B247" s="2" t="s">
        <v>165</v>
      </c>
      <c r="C247" s="2" t="str">
        <f>VLOOKUP(D247,'slb RAW'!$E:$F,2)</f>
        <v>XS2463497201</v>
      </c>
      <c r="D247" s="2" t="s">
        <v>1537</v>
      </c>
      <c r="E247" s="2" t="s">
        <v>1538</v>
      </c>
      <c r="F247" s="2" t="s">
        <v>168</v>
      </c>
      <c r="G247" s="2" t="s">
        <v>169</v>
      </c>
      <c r="H247" s="2" t="s">
        <v>169</v>
      </c>
      <c r="I247" s="2" t="s">
        <v>170</v>
      </c>
      <c r="J247" s="2" t="b">
        <f t="shared" si="7"/>
        <v>0</v>
      </c>
      <c r="K247" s="2">
        <v>1.625</v>
      </c>
      <c r="L247" s="2" t="s">
        <v>1539</v>
      </c>
      <c r="M247" s="2" t="s">
        <v>1540</v>
      </c>
      <c r="N247" s="8">
        <v>1.4581999999999999</v>
      </c>
      <c r="O247" s="2" t="s">
        <v>49</v>
      </c>
      <c r="P247" s="2" t="s">
        <v>50</v>
      </c>
      <c r="Q247" s="2" t="s">
        <v>225</v>
      </c>
      <c r="R247" s="2" t="s">
        <v>52</v>
      </c>
      <c r="S247" s="2" t="s">
        <v>53</v>
      </c>
      <c r="T247" s="2" t="s">
        <v>189</v>
      </c>
      <c r="U247" s="2" t="s">
        <v>55</v>
      </c>
      <c r="V247" s="2" t="s">
        <v>56</v>
      </c>
      <c r="W247" s="2" t="s">
        <v>57</v>
      </c>
      <c r="X247" s="2">
        <v>165604500</v>
      </c>
      <c r="Y247" s="2" t="s">
        <v>85</v>
      </c>
      <c r="Z247" s="2" t="s">
        <v>175</v>
      </c>
      <c r="AA247" s="2" t="s">
        <v>60</v>
      </c>
      <c r="AB247" s="2" t="s">
        <v>61</v>
      </c>
      <c r="AC247" s="2" t="s">
        <v>176</v>
      </c>
      <c r="AD247" s="2" t="s">
        <v>177</v>
      </c>
      <c r="AE247" s="2" t="s">
        <v>1541</v>
      </c>
      <c r="AF247" s="6">
        <v>25</v>
      </c>
      <c r="AG247" s="6"/>
      <c r="AH247" s="2" t="str">
        <f t="shared" si="0"/>
        <v/>
      </c>
      <c r="AI247" s="2" t="str" cm="1">
        <f t="array" ref="AI247">_xlfn.IFS(AF247&lt;25,"Less",AF247=25,"Equal",AF247&gt;25,"More")</f>
        <v>Equal</v>
      </c>
      <c r="AJ247" s="6" t="s">
        <v>5517</v>
      </c>
      <c r="AK247" s="6" t="s">
        <v>125</v>
      </c>
      <c r="AL247" s="2" t="s">
        <v>1542</v>
      </c>
      <c r="AM247" s="5" t="str">
        <f>VLOOKUP(D247,'slb RAW'!$E$2:$AF$293,9)</f>
        <v>#N/A N/A</v>
      </c>
      <c r="AN247" s="2">
        <f>VLOOKUP(D247,'slb RAW'!$E$2:$AE$293,27)</f>
        <v>1.417</v>
      </c>
      <c r="AO247" s="2" t="e">
        <f>VLOOKUP(C247,'Refinitiv SLB'!F247:S424,14)</f>
        <v>#N/A</v>
      </c>
      <c r="AP247" s="2">
        <f t="shared" si="1"/>
        <v>1.417</v>
      </c>
      <c r="AQ247" s="7" t="str">
        <f t="shared" si="2"/>
        <v>Holcim Finance Luxembourg SAAT MATURITYFIXEDEURSr Unsecured</v>
      </c>
      <c r="AR247" s="5" t="b">
        <f ca="1">ISNUMBER( IFERROR(VLOOKUP(A247,Pairs!$E$2:$E$57,1,FALSE),FALSE))</f>
        <v>1</v>
      </c>
      <c r="AS247" s="5"/>
      <c r="AT247" s="5"/>
    </row>
    <row r="248" spans="1:46" ht="15.75" customHeight="1" x14ac:dyDescent="0.2">
      <c r="A248" s="2">
        <v>96</v>
      </c>
      <c r="B248" s="2" t="s">
        <v>641</v>
      </c>
      <c r="C248" s="2" t="str">
        <f>VLOOKUP(D248,'slb RAW'!$E:$F,2)</f>
        <v>XS2466363202</v>
      </c>
      <c r="D248" s="2" t="s">
        <v>1543</v>
      </c>
      <c r="E248" s="2" t="s">
        <v>1544</v>
      </c>
      <c r="F248" s="2" t="s">
        <v>644</v>
      </c>
      <c r="G248" s="2" t="s">
        <v>366</v>
      </c>
      <c r="H248" s="2" t="s">
        <v>366</v>
      </c>
      <c r="I248" s="2" t="s">
        <v>199</v>
      </c>
      <c r="J248" s="2" t="b">
        <f t="shared" si="7"/>
        <v>0</v>
      </c>
      <c r="K248" s="2">
        <v>2.875</v>
      </c>
      <c r="L248" s="2" t="s">
        <v>1545</v>
      </c>
      <c r="M248" s="2" t="s">
        <v>1546</v>
      </c>
      <c r="N248" s="8">
        <v>3.0615999999999999</v>
      </c>
      <c r="O248" s="2" t="s">
        <v>115</v>
      </c>
      <c r="P248" s="2" t="s">
        <v>116</v>
      </c>
      <c r="Q248" s="2" t="s">
        <v>225</v>
      </c>
      <c r="R248" s="2" t="s">
        <v>52</v>
      </c>
      <c r="S248" s="2" t="s">
        <v>1547</v>
      </c>
      <c r="T248" s="2" t="s">
        <v>619</v>
      </c>
      <c r="U248" s="2" t="s">
        <v>55</v>
      </c>
      <c r="V248" s="2" t="s">
        <v>56</v>
      </c>
      <c r="W248" s="2" t="s">
        <v>57</v>
      </c>
      <c r="X248" s="2">
        <v>976867500</v>
      </c>
      <c r="Y248" s="2" t="s">
        <v>120</v>
      </c>
      <c r="Z248" s="2" t="s">
        <v>120</v>
      </c>
      <c r="AA248" s="2" t="s">
        <v>60</v>
      </c>
      <c r="AB248" s="2" t="s">
        <v>121</v>
      </c>
      <c r="AC248" s="2" t="s">
        <v>122</v>
      </c>
      <c r="AD248" s="2" t="s">
        <v>122</v>
      </c>
      <c r="AE248" s="2" t="s">
        <v>1548</v>
      </c>
      <c r="AF248" s="5">
        <v>25</v>
      </c>
      <c r="AG248" s="6"/>
      <c r="AH248" s="2" t="str">
        <f t="shared" si="0"/>
        <v/>
      </c>
      <c r="AI248" s="2" t="str" cm="1">
        <f t="array" ref="AI248">_xlfn.IFS(AF248&lt;25,"Less",AF248=25,"Equal",AF248&gt;25,"More")</f>
        <v>Equal</v>
      </c>
      <c r="AJ248" s="6"/>
      <c r="AK248" s="6" t="s">
        <v>125</v>
      </c>
      <c r="AL248" s="2" t="s">
        <v>1549</v>
      </c>
      <c r="AM248" s="5" t="str">
        <f>VLOOKUP(D248,'slb RAW'!$E$2:$AF$293,9)</f>
        <v>#N/A N/A</v>
      </c>
      <c r="AN248" s="2">
        <f>VLOOKUP(D248,'slb RAW'!$E$2:$AE$293,27)</f>
        <v>3.1659999999999999</v>
      </c>
      <c r="AO248" s="2" t="e">
        <f>VLOOKUP(C248,'Refinitiv SLB'!F248:S425,14)</f>
        <v>#N/A</v>
      </c>
      <c r="AP248" s="2">
        <f t="shared" si="1"/>
        <v>3.1659999999999999</v>
      </c>
      <c r="AQ248" s="7" t="str">
        <f t="shared" si="2"/>
        <v>Enel Finance International NVCALLABLEFIXEDGBPSr Unsecured</v>
      </c>
      <c r="AR248" s="5" t="b">
        <f ca="1">ISNUMBER( IFERROR(VLOOKUP(A248,Pairs!$E$2:$E$57,1,FALSE),FALSE))</f>
        <v>0</v>
      </c>
      <c r="AS248" s="5"/>
      <c r="AT248" s="5"/>
    </row>
    <row r="249" spans="1:46" ht="15.75" customHeight="1" x14ac:dyDescent="0.2">
      <c r="A249" s="2">
        <v>37</v>
      </c>
      <c r="B249" s="2" t="s">
        <v>1550</v>
      </c>
      <c r="C249" s="2" t="str">
        <f>VLOOKUP(D249,'slb RAW'!$E:$F,2)</f>
        <v>FI4000519178</v>
      </c>
      <c r="D249" s="2" t="s">
        <v>1551</v>
      </c>
      <c r="E249" s="2" t="s">
        <v>1552</v>
      </c>
      <c r="F249" s="2" t="s">
        <v>1553</v>
      </c>
      <c r="G249" s="2" t="s">
        <v>1554</v>
      </c>
      <c r="H249" s="2" t="s">
        <v>1554</v>
      </c>
      <c r="I249" s="2" t="s">
        <v>1554</v>
      </c>
      <c r="J249" s="2" t="b">
        <f t="shared" si="7"/>
        <v>1</v>
      </c>
      <c r="K249" s="2">
        <v>4.5</v>
      </c>
      <c r="L249" s="2" t="s">
        <v>1555</v>
      </c>
      <c r="M249" s="2" t="s">
        <v>1556</v>
      </c>
      <c r="N249" s="2">
        <v>4.5</v>
      </c>
      <c r="O249" s="2" t="s">
        <v>115</v>
      </c>
      <c r="P249" s="2" t="s">
        <v>116</v>
      </c>
      <c r="Q249" s="2" t="s">
        <v>173</v>
      </c>
      <c r="R249" s="2" t="s">
        <v>52</v>
      </c>
      <c r="S249" s="2" t="s">
        <v>53</v>
      </c>
      <c r="T249" s="2" t="s">
        <v>54</v>
      </c>
      <c r="U249" s="2" t="s">
        <v>55</v>
      </c>
      <c r="V249" s="2" t="s">
        <v>56</v>
      </c>
      <c r="W249" s="2" t="s">
        <v>57</v>
      </c>
      <c r="X249" s="2">
        <v>43528400</v>
      </c>
      <c r="Y249" s="2" t="s">
        <v>484</v>
      </c>
      <c r="Z249" s="2" t="s">
        <v>562</v>
      </c>
      <c r="AA249" s="2" t="s">
        <v>60</v>
      </c>
      <c r="AB249" s="2" t="s">
        <v>486</v>
      </c>
      <c r="AC249" s="2" t="s">
        <v>563</v>
      </c>
      <c r="AD249" s="2" t="s">
        <v>563</v>
      </c>
      <c r="AE249" s="2" t="s">
        <v>1557</v>
      </c>
      <c r="AF249" s="6">
        <v>50</v>
      </c>
      <c r="AG249" s="6"/>
      <c r="AH249" s="2" t="str">
        <f t="shared" si="0"/>
        <v/>
      </c>
      <c r="AI249" s="2" t="str" cm="1">
        <f t="array" ref="AI249">_xlfn.IFS(AF249&lt;25,"Less",AF249=25,"Equal",AF249&gt;25,"More")</f>
        <v>More</v>
      </c>
      <c r="AJ249" s="6" t="s">
        <v>5517</v>
      </c>
      <c r="AK249" s="6" t="s">
        <v>125</v>
      </c>
      <c r="AL249" s="2" t="s">
        <v>1558</v>
      </c>
      <c r="AM249" s="5">
        <f>VLOOKUP(D249,'slb RAW'!$E$2:$AF$293,9)</f>
        <v>4.5</v>
      </c>
      <c r="AN249" s="2">
        <f>VLOOKUP(D249,'slb RAW'!$E$2:$AE$293,27)</f>
        <v>4.5</v>
      </c>
      <c r="AO249" s="2" t="e">
        <f>VLOOKUP(C249,'Refinitiv SLB'!F249:S426,14)</f>
        <v>#N/A</v>
      </c>
      <c r="AP249" s="2">
        <f t="shared" si="1"/>
        <v>4.5</v>
      </c>
      <c r="AQ249" s="7" t="str">
        <f t="shared" si="2"/>
        <v>CapMan OyjCALLABLEFIXEDEURSr Unsecured</v>
      </c>
      <c r="AR249" s="5" t="b">
        <f ca="1">ISNUMBER( IFERROR(VLOOKUP(A249,Pairs!$E$2:$E$57,1,FALSE),FALSE))</f>
        <v>1</v>
      </c>
      <c r="AS249" s="5"/>
      <c r="AT249" s="5"/>
    </row>
    <row r="250" spans="1:46" ht="15.75" customHeight="1" x14ac:dyDescent="0.2">
      <c r="A250" s="2">
        <v>143</v>
      </c>
      <c r="B250" s="2" t="s">
        <v>1559</v>
      </c>
      <c r="C250" s="2" t="str">
        <f>VLOOKUP(D250,'slb RAW'!$E:$F,2)</f>
        <v>US46653KAC27</v>
      </c>
      <c r="D250" s="2" t="s">
        <v>1560</v>
      </c>
      <c r="E250" s="2" t="s">
        <v>1561</v>
      </c>
      <c r="F250" s="2" t="s">
        <v>1562</v>
      </c>
      <c r="G250" s="2" t="s">
        <v>366</v>
      </c>
      <c r="H250" s="2" t="s">
        <v>366</v>
      </c>
      <c r="I250" s="2" t="s">
        <v>257</v>
      </c>
      <c r="J250" s="2" t="b">
        <f t="shared" si="7"/>
        <v>0</v>
      </c>
      <c r="K250" s="2">
        <v>4.5</v>
      </c>
      <c r="L250" s="2" t="s">
        <v>1563</v>
      </c>
      <c r="M250" s="2" t="s">
        <v>1564</v>
      </c>
      <c r="N250" s="2">
        <v>4.6080000000000005</v>
      </c>
      <c r="O250" s="2" t="s">
        <v>115</v>
      </c>
      <c r="P250" s="2" t="s">
        <v>116</v>
      </c>
      <c r="Q250" s="2" t="s">
        <v>261</v>
      </c>
      <c r="R250" s="2" t="s">
        <v>52</v>
      </c>
      <c r="S250" s="2" t="s">
        <v>262</v>
      </c>
      <c r="T250" s="2" t="s">
        <v>174</v>
      </c>
      <c r="U250" s="2" t="s">
        <v>55</v>
      </c>
      <c r="V250" s="2" t="s">
        <v>56</v>
      </c>
      <c r="W250" s="2" t="s">
        <v>71</v>
      </c>
      <c r="X250" s="2">
        <v>500000000</v>
      </c>
      <c r="Y250" s="2" t="s">
        <v>484</v>
      </c>
      <c r="Z250" s="2" t="s">
        <v>562</v>
      </c>
      <c r="AA250" s="2" t="s">
        <v>60</v>
      </c>
      <c r="AB250" s="2" t="s">
        <v>61</v>
      </c>
      <c r="AC250" s="2" t="s">
        <v>227</v>
      </c>
      <c r="AD250" s="2" t="s">
        <v>228</v>
      </c>
      <c r="AE250" s="2" t="s">
        <v>1565</v>
      </c>
      <c r="AF250" s="5">
        <v>25</v>
      </c>
      <c r="AG250" s="6"/>
      <c r="AH250" s="2" t="str">
        <f t="shared" si="0"/>
        <v/>
      </c>
      <c r="AI250" s="2" t="str" cm="1">
        <f t="array" ref="AI250">_xlfn.IFS(AF250&lt;25,"Less",AF250=25,"Equal",AF250&gt;25,"More")</f>
        <v>Equal</v>
      </c>
      <c r="AJ250" s="6"/>
      <c r="AK250" s="6" t="s">
        <v>611</v>
      </c>
      <c r="AL250" s="2" t="s">
        <v>1566</v>
      </c>
      <c r="AM250" s="5">
        <f>VLOOKUP(D250,'slb RAW'!$E$2:$AF$293,9)</f>
        <v>4.6080000000000005</v>
      </c>
      <c r="AN250" s="2" t="str">
        <f>VLOOKUP(D250,'slb RAW'!$E$2:$AE$293,27)</f>
        <v>#N/A N/A</v>
      </c>
      <c r="AO250" s="2" t="e">
        <f>VLOOKUP(C250,'Refinitiv SLB'!F250:S427,14)</f>
        <v>#N/A</v>
      </c>
      <c r="AP250" s="2">
        <f t="shared" si="1"/>
        <v>4.6080000000000005</v>
      </c>
      <c r="AQ250" s="7" t="str">
        <f t="shared" si="2"/>
        <v>JAB Holdings BVCALLABLEFIXEDUSDSr Unsecured</v>
      </c>
      <c r="AR250" s="5" t="b">
        <f ca="1">ISNUMBER( IFERROR(VLOOKUP(A250,Pairs!$E$2:$E$57,1,FALSE),FALSE))</f>
        <v>1</v>
      </c>
      <c r="AS250" s="5"/>
      <c r="AT250" s="5"/>
    </row>
    <row r="251" spans="1:46" ht="15.75" customHeight="1" x14ac:dyDescent="0.2">
      <c r="A251" s="2">
        <v>142</v>
      </c>
      <c r="B251" s="2" t="s">
        <v>1559</v>
      </c>
      <c r="C251" s="2" t="str">
        <f>VLOOKUP(D251,'slb RAW'!$E:$F,2)</f>
        <v>USN4717KBG06</v>
      </c>
      <c r="D251" s="2" t="s">
        <v>1567</v>
      </c>
      <c r="E251" s="2" t="s">
        <v>1568</v>
      </c>
      <c r="F251" s="2" t="s">
        <v>1562</v>
      </c>
      <c r="G251" s="2" t="s">
        <v>366</v>
      </c>
      <c r="H251" s="2" t="s">
        <v>366</v>
      </c>
      <c r="I251" s="2" t="s">
        <v>257</v>
      </c>
      <c r="J251" s="2" t="b">
        <f t="shared" si="7"/>
        <v>0</v>
      </c>
      <c r="K251" s="2">
        <v>4.5</v>
      </c>
      <c r="L251" s="2" t="s">
        <v>1563</v>
      </c>
      <c r="M251" s="2" t="s">
        <v>1564</v>
      </c>
      <c r="N251" s="2">
        <v>4.6080000000000005</v>
      </c>
      <c r="O251" s="2" t="s">
        <v>115</v>
      </c>
      <c r="P251" s="2" t="s">
        <v>116</v>
      </c>
      <c r="Q251" s="2" t="s">
        <v>270</v>
      </c>
      <c r="R251" s="2" t="s">
        <v>52</v>
      </c>
      <c r="S251" s="2" t="s">
        <v>262</v>
      </c>
      <c r="T251" s="2" t="s">
        <v>174</v>
      </c>
      <c r="U251" s="2" t="s">
        <v>55</v>
      </c>
      <c r="V251" s="2" t="s">
        <v>56</v>
      </c>
      <c r="W251" s="2" t="s">
        <v>71</v>
      </c>
      <c r="X251" s="2">
        <v>500000000</v>
      </c>
      <c r="Y251" s="2" t="s">
        <v>484</v>
      </c>
      <c r="Z251" s="2" t="s">
        <v>562</v>
      </c>
      <c r="AA251" s="2" t="s">
        <v>60</v>
      </c>
      <c r="AB251" s="2" t="s">
        <v>61</v>
      </c>
      <c r="AC251" s="2" t="s">
        <v>227</v>
      </c>
      <c r="AD251" s="2" t="s">
        <v>228</v>
      </c>
      <c r="AE251" s="2" t="s">
        <v>1565</v>
      </c>
      <c r="AF251" s="5">
        <v>25</v>
      </c>
      <c r="AG251" s="6"/>
      <c r="AH251" s="2" t="str">
        <f t="shared" si="0"/>
        <v/>
      </c>
      <c r="AI251" s="2" t="str" cm="1">
        <f t="array" ref="AI251">_xlfn.IFS(AF251&lt;25,"Less",AF251=25,"Equal",AF251&gt;25,"More")</f>
        <v>Equal</v>
      </c>
      <c r="AJ251" s="6"/>
      <c r="AK251" s="6" t="s">
        <v>611</v>
      </c>
      <c r="AL251" s="2" t="s">
        <v>1566</v>
      </c>
      <c r="AM251" s="5">
        <f>VLOOKUP(D251,'slb RAW'!$E$2:$AF$293,9)</f>
        <v>4.6080000000000005</v>
      </c>
      <c r="AN251" s="2">
        <f>VLOOKUP(D251,'slb RAW'!$E$2:$AE$293,27)</f>
        <v>4.9189999999999996</v>
      </c>
      <c r="AO251" s="2" t="e">
        <f>VLOOKUP(C251,'Refinitiv SLB'!F251:S428,14)</f>
        <v>#N/A</v>
      </c>
      <c r="AP251" s="2">
        <f t="shared" si="1"/>
        <v>4.9189999999999996</v>
      </c>
      <c r="AQ251" s="7" t="str">
        <f t="shared" si="2"/>
        <v>JAB Holdings BVCALLABLEFIXEDUSDSr Unsecured</v>
      </c>
      <c r="AR251" s="5" t="b">
        <f ca="1">ISNUMBER( IFERROR(VLOOKUP(A251,Pairs!$E$2:$E$57,1,FALSE),FALSE))</f>
        <v>1</v>
      </c>
      <c r="AS251" s="5"/>
      <c r="AT251" s="5"/>
    </row>
    <row r="252" spans="1:46" s="80" customFormat="1" ht="15.75" customHeight="1" x14ac:dyDescent="0.2">
      <c r="A252" s="79">
        <v>15</v>
      </c>
      <c r="B252" s="79" t="s">
        <v>1569</v>
      </c>
      <c r="C252" s="79" t="str">
        <f>VLOOKUP(D252,'slb RAW'!$E:$F,2)</f>
        <v>US03965TAB98</v>
      </c>
      <c r="D252" s="79" t="s">
        <v>1570</v>
      </c>
      <c r="E252" s="79" t="s">
        <v>1571</v>
      </c>
      <c r="F252" s="79" t="s">
        <v>1572</v>
      </c>
      <c r="G252" s="79" t="s">
        <v>366</v>
      </c>
      <c r="H252" s="79" t="s">
        <v>366</v>
      </c>
      <c r="I252" s="79" t="s">
        <v>258</v>
      </c>
      <c r="J252" s="2" t="b">
        <f t="shared" si="7"/>
        <v>0</v>
      </c>
      <c r="K252" s="79">
        <v>6.125</v>
      </c>
      <c r="L252" s="79" t="s">
        <v>1573</v>
      </c>
      <c r="M252" s="79" t="s">
        <v>1574</v>
      </c>
      <c r="N252" s="79">
        <v>6.125</v>
      </c>
      <c r="O252" s="79" t="s">
        <v>115</v>
      </c>
      <c r="P252" s="79" t="s">
        <v>116</v>
      </c>
      <c r="Q252" s="79" t="s">
        <v>261</v>
      </c>
      <c r="R252" s="79" t="s">
        <v>52</v>
      </c>
      <c r="S252" s="79" t="s">
        <v>262</v>
      </c>
      <c r="T252" s="79" t="s">
        <v>189</v>
      </c>
      <c r="U252" s="79" t="s">
        <v>55</v>
      </c>
      <c r="V252" s="79" t="s">
        <v>56</v>
      </c>
      <c r="W252" s="79" t="s">
        <v>71</v>
      </c>
      <c r="X252" s="79">
        <v>350000000</v>
      </c>
      <c r="Y252" s="79" t="s">
        <v>134</v>
      </c>
      <c r="Z252" s="79" t="s">
        <v>737</v>
      </c>
      <c r="AA252" s="79" t="s">
        <v>60</v>
      </c>
      <c r="AB252" s="79" t="s">
        <v>61</v>
      </c>
      <c r="AC252" s="79" t="s">
        <v>136</v>
      </c>
      <c r="AD252" s="79" t="s">
        <v>737</v>
      </c>
      <c r="AE252" s="79" t="s">
        <v>1575</v>
      </c>
      <c r="AF252" s="82">
        <v>25</v>
      </c>
      <c r="AG252" s="82"/>
      <c r="AH252" s="79" t="str">
        <f t="shared" si="0"/>
        <v/>
      </c>
      <c r="AI252" s="2" t="str" cm="1">
        <f t="array" ref="AI252">_xlfn.IFS(AF252&lt;25,"Less",AF252=25,"Equal",AF252&gt;25,"More")</f>
        <v>Equal</v>
      </c>
      <c r="AJ252" s="82" t="s">
        <v>5517</v>
      </c>
      <c r="AK252" s="82" t="s">
        <v>125</v>
      </c>
      <c r="AL252" s="79" t="s">
        <v>1576</v>
      </c>
      <c r="AM252" s="83">
        <f>VLOOKUP(D252,'slb RAW'!$E$2:$AF$293,9)</f>
        <v>6.125</v>
      </c>
      <c r="AN252" s="79">
        <f>VLOOKUP(D252,'slb RAW'!$E$2:$AE$293,27)</f>
        <v>6.2709999999999999</v>
      </c>
      <c r="AO252" s="79" t="e">
        <f>VLOOKUP(C252,'Refinitiv SLB'!F252:S429,14)</f>
        <v>#N/A</v>
      </c>
      <c r="AP252" s="79">
        <f t="shared" si="1"/>
        <v>6.2709999999999999</v>
      </c>
      <c r="AQ252" s="84" t="str">
        <f t="shared" si="2"/>
        <v>Arcos Dorados BVCALLABLEFIXEDUSDSr Unsecured</v>
      </c>
      <c r="AR252" s="83" t="b">
        <f ca="1">ISNUMBER( IFERROR(VLOOKUP(A252,Pairs!$E$2:$E$57,1,FALSE),FALSE))</f>
        <v>0</v>
      </c>
      <c r="AS252" s="83"/>
      <c r="AT252" s="83"/>
    </row>
    <row r="253" spans="1:46" s="80" customFormat="1" ht="15.75" customHeight="1" x14ac:dyDescent="0.2">
      <c r="A253" s="79">
        <v>16</v>
      </c>
      <c r="B253" s="79" t="s">
        <v>1569</v>
      </c>
      <c r="C253" s="79" t="str">
        <f>VLOOKUP(D253,'slb RAW'!$E:$F,2)</f>
        <v>USP04568AB06</v>
      </c>
      <c r="D253" s="79" t="s">
        <v>1577</v>
      </c>
      <c r="E253" s="79" t="s">
        <v>1578</v>
      </c>
      <c r="F253" s="79" t="s">
        <v>1572</v>
      </c>
      <c r="G253" s="79" t="s">
        <v>366</v>
      </c>
      <c r="H253" s="79" t="s">
        <v>366</v>
      </c>
      <c r="I253" s="79" t="s">
        <v>258</v>
      </c>
      <c r="J253" s="2" t="b">
        <f t="shared" si="7"/>
        <v>0</v>
      </c>
      <c r="K253" s="79">
        <v>6.125</v>
      </c>
      <c r="L253" s="79" t="s">
        <v>1573</v>
      </c>
      <c r="M253" s="79" t="s">
        <v>1574</v>
      </c>
      <c r="N253" s="79">
        <v>6.125</v>
      </c>
      <c r="O253" s="79" t="s">
        <v>115</v>
      </c>
      <c r="P253" s="79" t="s">
        <v>116</v>
      </c>
      <c r="Q253" s="79" t="s">
        <v>270</v>
      </c>
      <c r="R253" s="79" t="s">
        <v>52</v>
      </c>
      <c r="S253" s="79" t="s">
        <v>262</v>
      </c>
      <c r="T253" s="79" t="s">
        <v>189</v>
      </c>
      <c r="U253" s="79" t="s">
        <v>55</v>
      </c>
      <c r="V253" s="79" t="s">
        <v>56</v>
      </c>
      <c r="W253" s="79" t="s">
        <v>71</v>
      </c>
      <c r="X253" s="79">
        <v>350000000</v>
      </c>
      <c r="Y253" s="79" t="s">
        <v>134</v>
      </c>
      <c r="Z253" s="79" t="s">
        <v>737</v>
      </c>
      <c r="AA253" s="79" t="s">
        <v>60</v>
      </c>
      <c r="AB253" s="79" t="s">
        <v>61</v>
      </c>
      <c r="AC253" s="79" t="s">
        <v>136</v>
      </c>
      <c r="AD253" s="79" t="s">
        <v>737</v>
      </c>
      <c r="AE253" s="79" t="s">
        <v>1575</v>
      </c>
      <c r="AF253" s="82">
        <v>25</v>
      </c>
      <c r="AG253" s="82"/>
      <c r="AH253" s="79" t="str">
        <f t="shared" si="0"/>
        <v/>
      </c>
      <c r="AI253" s="2" t="str" cm="1">
        <f t="array" ref="AI253">_xlfn.IFS(AF253&lt;25,"Less",AF253=25,"Equal",AF253&gt;25,"More")</f>
        <v>Equal</v>
      </c>
      <c r="AJ253" s="82" t="s">
        <v>5517</v>
      </c>
      <c r="AK253" s="82" t="s">
        <v>125</v>
      </c>
      <c r="AL253" s="79" t="s">
        <v>1576</v>
      </c>
      <c r="AM253" s="83">
        <f>VLOOKUP(D253,'slb RAW'!$E$2:$AF$293,9)</f>
        <v>6.125</v>
      </c>
      <c r="AN253" s="79">
        <f>VLOOKUP(D253,'slb RAW'!$E$2:$AE$293,27)</f>
        <v>6.2679999999999998</v>
      </c>
      <c r="AO253" s="79" t="e">
        <f>VLOOKUP(C253,'Refinitiv SLB'!F253:S430,14)</f>
        <v>#N/A</v>
      </c>
      <c r="AP253" s="79">
        <f t="shared" si="1"/>
        <v>6.2679999999999998</v>
      </c>
      <c r="AQ253" s="84" t="str">
        <f t="shared" si="2"/>
        <v>Arcos Dorados BVCALLABLEFIXEDUSDSr Unsecured</v>
      </c>
      <c r="AR253" s="83" t="b">
        <f ca="1">ISNUMBER( IFERROR(VLOOKUP(A253,Pairs!$E$2:$E$57,1,FALSE),FALSE))</f>
        <v>0</v>
      </c>
      <c r="AS253" s="83"/>
      <c r="AT253" s="83"/>
    </row>
    <row r="254" spans="1:46" s="80" customFormat="1" ht="15.75" customHeight="1" x14ac:dyDescent="0.2">
      <c r="A254" s="79">
        <v>7</v>
      </c>
      <c r="B254" s="79" t="s">
        <v>1579</v>
      </c>
      <c r="C254" s="79" t="str">
        <f>VLOOKUP(D254,'slb RAW'!$E:$F,2)</f>
        <v>US00775CAB28</v>
      </c>
      <c r="D254" s="79" t="s">
        <v>1580</v>
      </c>
      <c r="E254" s="79" t="s">
        <v>1581</v>
      </c>
      <c r="F254" s="79" t="s">
        <v>1582</v>
      </c>
      <c r="G254" s="79" t="s">
        <v>169</v>
      </c>
      <c r="H254" s="79" t="s">
        <v>169</v>
      </c>
      <c r="I254" s="79" t="s">
        <v>258</v>
      </c>
      <c r="J254" s="2" t="b">
        <f t="shared" si="7"/>
        <v>0</v>
      </c>
      <c r="K254" s="79">
        <v>6.75</v>
      </c>
      <c r="L254" s="79" t="s">
        <v>1583</v>
      </c>
      <c r="M254" s="79" t="s">
        <v>1584</v>
      </c>
      <c r="N254" s="79">
        <v>7</v>
      </c>
      <c r="O254" s="79" t="s">
        <v>115</v>
      </c>
      <c r="P254" s="79" t="s">
        <v>116</v>
      </c>
      <c r="Q254" s="79" t="s">
        <v>261</v>
      </c>
      <c r="R254" s="79" t="s">
        <v>52</v>
      </c>
      <c r="S254" s="79" t="s">
        <v>262</v>
      </c>
      <c r="T254" s="79" t="s">
        <v>884</v>
      </c>
      <c r="U254" s="79" t="s">
        <v>55</v>
      </c>
      <c r="V254" s="79" t="s">
        <v>56</v>
      </c>
      <c r="W254" s="79" t="s">
        <v>71</v>
      </c>
      <c r="X254" s="79">
        <v>500000000</v>
      </c>
      <c r="Y254" s="79" t="s">
        <v>120</v>
      </c>
      <c r="Z254" s="79" t="s">
        <v>120</v>
      </c>
      <c r="AA254" s="79" t="s">
        <v>60</v>
      </c>
      <c r="AB254" s="79" t="s">
        <v>121</v>
      </c>
      <c r="AC254" s="79" t="s">
        <v>845</v>
      </c>
      <c r="AD254" s="79" t="s">
        <v>845</v>
      </c>
      <c r="AE254" s="81" t="s">
        <v>48</v>
      </c>
      <c r="AF254" s="82" t="s">
        <v>139</v>
      </c>
      <c r="AG254" s="82"/>
      <c r="AH254" s="79" t="str">
        <f t="shared" si="0"/>
        <v/>
      </c>
      <c r="AI254" s="82" t="s">
        <v>139</v>
      </c>
      <c r="AJ254" s="82"/>
      <c r="AK254" s="82" t="s">
        <v>611</v>
      </c>
      <c r="AL254" s="79" t="s">
        <v>1585</v>
      </c>
      <c r="AM254" s="83">
        <f>VLOOKUP(D254,'slb RAW'!$E$2:$AF$293,9)</f>
        <v>7</v>
      </c>
      <c r="AN254" s="79" t="str">
        <f>VLOOKUP(D254,'slb RAW'!$E$2:$AE$293,27)</f>
        <v>#N/A N/A</v>
      </c>
      <c r="AO254" s="79" t="e">
        <f>VLOOKUP(C254,'Refinitiv SLB'!F254:S431,14)</f>
        <v>#N/A</v>
      </c>
      <c r="AP254" s="79">
        <f t="shared" si="1"/>
        <v>7</v>
      </c>
      <c r="AQ254" s="84" t="str">
        <f t="shared" si="2"/>
        <v>Aegea Finance SarlCALLABLEFIXEDUSDSr Unsecured</v>
      </c>
      <c r="AR254" s="83" t="b">
        <f ca="1">ISNUMBER( IFERROR(VLOOKUP(A254,Pairs!$E$2:$E$57,1,FALSE),FALSE))</f>
        <v>0</v>
      </c>
      <c r="AS254" s="83"/>
      <c r="AT254" s="83"/>
    </row>
    <row r="255" spans="1:46" s="80" customFormat="1" ht="15.75" customHeight="1" x14ac:dyDescent="0.2">
      <c r="A255" s="79">
        <v>8</v>
      </c>
      <c r="B255" s="79" t="s">
        <v>1579</v>
      </c>
      <c r="C255" s="79" t="str">
        <f>VLOOKUP(D255,'slb RAW'!$E:$F,2)</f>
        <v>USL01343AA79</v>
      </c>
      <c r="D255" s="79" t="s">
        <v>1586</v>
      </c>
      <c r="E255" s="79" t="s">
        <v>1587</v>
      </c>
      <c r="F255" s="79" t="s">
        <v>1582</v>
      </c>
      <c r="G255" s="79" t="s">
        <v>169</v>
      </c>
      <c r="H255" s="79" t="s">
        <v>169</v>
      </c>
      <c r="I255" s="79" t="s">
        <v>258</v>
      </c>
      <c r="J255" s="2" t="b">
        <f t="shared" si="7"/>
        <v>0</v>
      </c>
      <c r="K255" s="79">
        <v>6.75</v>
      </c>
      <c r="L255" s="79" t="s">
        <v>1583</v>
      </c>
      <c r="M255" s="79" t="s">
        <v>1584</v>
      </c>
      <c r="N255" s="79">
        <v>7</v>
      </c>
      <c r="O255" s="79" t="s">
        <v>115</v>
      </c>
      <c r="P255" s="79" t="s">
        <v>116</v>
      </c>
      <c r="Q255" s="79" t="s">
        <v>270</v>
      </c>
      <c r="R255" s="79" t="s">
        <v>52</v>
      </c>
      <c r="S255" s="79" t="s">
        <v>262</v>
      </c>
      <c r="T255" s="79" t="s">
        <v>884</v>
      </c>
      <c r="U255" s="79" t="s">
        <v>55</v>
      </c>
      <c r="V255" s="79" t="s">
        <v>56</v>
      </c>
      <c r="W255" s="79" t="s">
        <v>71</v>
      </c>
      <c r="X255" s="79">
        <v>500000000</v>
      </c>
      <c r="Y255" s="79" t="s">
        <v>120</v>
      </c>
      <c r="Z255" s="79" t="s">
        <v>120</v>
      </c>
      <c r="AA255" s="79" t="s">
        <v>60</v>
      </c>
      <c r="AB255" s="79" t="s">
        <v>121</v>
      </c>
      <c r="AC255" s="79" t="s">
        <v>845</v>
      </c>
      <c r="AD255" s="79" t="s">
        <v>845</v>
      </c>
      <c r="AE255" s="81" t="s">
        <v>48</v>
      </c>
      <c r="AF255" s="82" t="s">
        <v>139</v>
      </c>
      <c r="AG255" s="82"/>
      <c r="AH255" s="79" t="str">
        <f t="shared" si="0"/>
        <v/>
      </c>
      <c r="AI255" s="82" t="s">
        <v>139</v>
      </c>
      <c r="AJ255" s="82"/>
      <c r="AK255" s="82" t="s">
        <v>611</v>
      </c>
      <c r="AL255" s="79" t="s">
        <v>1588</v>
      </c>
      <c r="AM255" s="83">
        <f>VLOOKUP(D255,'slb RAW'!$E$2:$AF$293,9)</f>
        <v>7</v>
      </c>
      <c r="AN255" s="79" t="str">
        <f>VLOOKUP(D255,'slb RAW'!$E$2:$AE$293,27)</f>
        <v>#N/A N/A</v>
      </c>
      <c r="AO255" s="79" t="e">
        <f>VLOOKUP(C255,'Refinitiv SLB'!F255:S432,14)</f>
        <v>#N/A</v>
      </c>
      <c r="AP255" s="79">
        <f t="shared" si="1"/>
        <v>7</v>
      </c>
      <c r="AQ255" s="84" t="str">
        <f t="shared" si="2"/>
        <v>Aegea Finance SarlCALLABLEFIXEDUSDSr Unsecured</v>
      </c>
      <c r="AR255" s="83" t="b">
        <f ca="1">ISNUMBER( IFERROR(VLOOKUP(A255,Pairs!$E$2:$E$57,1,FALSE),FALSE))</f>
        <v>0</v>
      </c>
      <c r="AS255" s="83"/>
      <c r="AT255" s="83"/>
    </row>
    <row r="256" spans="1:46" ht="15.75" customHeight="1" x14ac:dyDescent="0.2">
      <c r="A256" s="2">
        <v>13</v>
      </c>
      <c r="B256" s="2" t="s">
        <v>1589</v>
      </c>
      <c r="C256" s="2" t="str">
        <f>VLOOKUP(D256,'slb RAW'!$E:$F,2)</f>
        <v>#N/A Field Not Applicable</v>
      </c>
      <c r="D256" s="2" t="s">
        <v>1590</v>
      </c>
      <c r="E256" s="2" t="s">
        <v>1591</v>
      </c>
      <c r="F256" s="2" t="s">
        <v>1592</v>
      </c>
      <c r="G256" s="2" t="s">
        <v>366</v>
      </c>
      <c r="H256" s="2" t="s">
        <v>366</v>
      </c>
      <c r="I256" s="2" t="s">
        <v>366</v>
      </c>
      <c r="J256" s="2" t="b">
        <f t="shared" si="7"/>
        <v>1</v>
      </c>
      <c r="K256" s="12">
        <v>0</v>
      </c>
      <c r="L256" s="2" t="s">
        <v>1593</v>
      </c>
      <c r="M256" s="2" t="s">
        <v>1594</v>
      </c>
      <c r="N256" s="4" t="s">
        <v>48</v>
      </c>
      <c r="O256" s="2" t="s">
        <v>49</v>
      </c>
      <c r="P256" s="2" t="s">
        <v>50</v>
      </c>
      <c r="Q256" s="2" t="s">
        <v>69</v>
      </c>
      <c r="R256" s="2" t="s">
        <v>52</v>
      </c>
      <c r="S256" s="2" t="s">
        <v>53</v>
      </c>
      <c r="T256" s="2" t="s">
        <v>54</v>
      </c>
      <c r="U256" s="2" t="s">
        <v>55</v>
      </c>
      <c r="V256" s="2" t="s">
        <v>70</v>
      </c>
      <c r="W256" s="2" t="s">
        <v>71</v>
      </c>
      <c r="X256" s="2">
        <v>176271000</v>
      </c>
      <c r="Y256" s="2" t="s">
        <v>58</v>
      </c>
      <c r="Z256" s="2" t="s">
        <v>505</v>
      </c>
      <c r="AA256" s="2" t="s">
        <v>60</v>
      </c>
      <c r="AB256" s="2" t="s">
        <v>61</v>
      </c>
      <c r="AC256" s="2" t="s">
        <v>62</v>
      </c>
      <c r="AD256" s="2" t="s">
        <v>62</v>
      </c>
      <c r="AE256" s="2" t="s">
        <v>1595</v>
      </c>
      <c r="AF256" s="5">
        <v>5</v>
      </c>
      <c r="AG256" s="5">
        <v>5</v>
      </c>
      <c r="AH256" s="2" t="str">
        <f t="shared" si="0"/>
        <v>yes</v>
      </c>
      <c r="AI256" s="2" t="str" cm="1">
        <f t="array" ref="AI256">_xlfn.IFS(AF256&lt;25,"Less",AF256=25,"Equal",AF256&gt;25,"More")</f>
        <v>Less</v>
      </c>
      <c r="AJ256" s="6"/>
      <c r="AK256" s="6" t="s">
        <v>251</v>
      </c>
      <c r="AL256" s="2" t="s">
        <v>1596</v>
      </c>
      <c r="AM256" s="5" t="str">
        <f>VLOOKUP(D256,'slb RAW'!$E$2:$AF$293,9)</f>
        <v>#N/A N/A</v>
      </c>
      <c r="AN256" s="2" t="str">
        <f>VLOOKUP(D256,'slb RAW'!$E$2:$AE$293,27)</f>
        <v>#N/A N/A</v>
      </c>
      <c r="AO256" s="2" t="e">
        <f>VLOOKUP(C256,'Refinitiv SLB'!F256:S433,14)</f>
        <v>#N/A</v>
      </c>
      <c r="AP256" s="2" t="str">
        <f t="shared" si="1"/>
        <v>#N/A N/A</v>
      </c>
      <c r="AQ256" s="7" t="str">
        <f t="shared" si="2"/>
        <v>Arcadis NVAT MATURITYFLOATINGEURSr Unsecured</v>
      </c>
      <c r="AR256" s="5" t="b">
        <f ca="1">ISNUMBER( IFERROR(VLOOKUP(A256,Pairs!$E$2:$E$57,1,FALSE),FALSE))</f>
        <v>0</v>
      </c>
      <c r="AS256" s="5"/>
      <c r="AT256" s="5"/>
    </row>
    <row r="257" spans="1:46" ht="15.75" customHeight="1" x14ac:dyDescent="0.2">
      <c r="A257" s="2">
        <v>14</v>
      </c>
      <c r="B257" s="2" t="s">
        <v>1589</v>
      </c>
      <c r="C257" s="2" t="str">
        <f>VLOOKUP(D257,'slb RAW'!$E:$F,2)</f>
        <v>#N/A Field Not Applicable</v>
      </c>
      <c r="D257" s="2" t="s">
        <v>1597</v>
      </c>
      <c r="E257" s="2" t="s">
        <v>1598</v>
      </c>
      <c r="F257" s="2" t="s">
        <v>1592</v>
      </c>
      <c r="G257" s="2" t="s">
        <v>366</v>
      </c>
      <c r="H257" s="2" t="s">
        <v>366</v>
      </c>
      <c r="I257" s="2" t="s">
        <v>366</v>
      </c>
      <c r="J257" s="2" t="b">
        <f t="shared" si="7"/>
        <v>1</v>
      </c>
      <c r="K257" s="12">
        <v>0</v>
      </c>
      <c r="L257" s="2" t="s">
        <v>1593</v>
      </c>
      <c r="M257" s="2" t="s">
        <v>1599</v>
      </c>
      <c r="N257" s="4" t="s">
        <v>48</v>
      </c>
      <c r="O257" s="2" t="s">
        <v>49</v>
      </c>
      <c r="P257" s="2" t="s">
        <v>50</v>
      </c>
      <c r="Q257" s="2" t="s">
        <v>76</v>
      </c>
      <c r="R257" s="2" t="s">
        <v>52</v>
      </c>
      <c r="S257" s="2" t="s">
        <v>53</v>
      </c>
      <c r="T257" s="2" t="s">
        <v>54</v>
      </c>
      <c r="U257" s="2" t="s">
        <v>55</v>
      </c>
      <c r="V257" s="2" t="s">
        <v>70</v>
      </c>
      <c r="W257" s="2" t="s">
        <v>71</v>
      </c>
      <c r="X257" s="2">
        <v>176271000</v>
      </c>
      <c r="Y257" s="2" t="s">
        <v>58</v>
      </c>
      <c r="Z257" s="2" t="s">
        <v>505</v>
      </c>
      <c r="AA257" s="2" t="s">
        <v>60</v>
      </c>
      <c r="AB257" s="2" t="s">
        <v>61</v>
      </c>
      <c r="AC257" s="2" t="s">
        <v>62</v>
      </c>
      <c r="AD257" s="2" t="s">
        <v>62</v>
      </c>
      <c r="AE257" s="2" t="s">
        <v>1595</v>
      </c>
      <c r="AF257" s="5">
        <v>5</v>
      </c>
      <c r="AG257" s="5">
        <v>5</v>
      </c>
      <c r="AH257" s="2" t="str">
        <f t="shared" si="0"/>
        <v>yes</v>
      </c>
      <c r="AI257" s="2" t="str" cm="1">
        <f t="array" ref="AI257">_xlfn.IFS(AF257&lt;25,"Less",AF257=25,"Equal",AF257&gt;25,"More")</f>
        <v>Less</v>
      </c>
      <c r="AJ257" s="6"/>
      <c r="AK257" s="6" t="s">
        <v>251</v>
      </c>
      <c r="AL257" s="2" t="s">
        <v>1596</v>
      </c>
      <c r="AM257" s="5" t="str">
        <f>VLOOKUP(D257,'slb RAW'!$E$2:$AF$293,9)</f>
        <v>#N/A N/A</v>
      </c>
      <c r="AN257" s="2" t="str">
        <f>VLOOKUP(D257,'slb RAW'!$E$2:$AE$293,27)</f>
        <v>#N/A N/A</v>
      </c>
      <c r="AO257" s="2" t="e">
        <f>VLOOKUP(C257,'Refinitiv SLB'!F257:S434,14)</f>
        <v>#N/A</v>
      </c>
      <c r="AP257" s="2" t="str">
        <f t="shared" si="1"/>
        <v>#N/A N/A</v>
      </c>
      <c r="AQ257" s="7" t="str">
        <f t="shared" si="2"/>
        <v>Arcadis NVAT MATURITYFLOATINGEURSr Unsecured</v>
      </c>
      <c r="AR257" s="5" t="b">
        <f ca="1">ISNUMBER( IFERROR(VLOOKUP(A257,Pairs!$E$2:$E$57,1,FALSE),FALSE))</f>
        <v>0</v>
      </c>
      <c r="AS257" s="5"/>
      <c r="AT257" s="5"/>
    </row>
    <row r="258" spans="1:46" ht="15.75" customHeight="1" x14ac:dyDescent="0.2">
      <c r="A258" s="2">
        <v>12</v>
      </c>
      <c r="B258" s="2" t="s">
        <v>1589</v>
      </c>
      <c r="C258" s="2" t="str">
        <f>VLOOKUP(D258,'slb RAW'!$E:$F,2)</f>
        <v>#N/A Field Not Applicable</v>
      </c>
      <c r="D258" s="2" t="s">
        <v>1600</v>
      </c>
      <c r="E258" s="2" t="s">
        <v>1601</v>
      </c>
      <c r="F258" s="2" t="s">
        <v>1592</v>
      </c>
      <c r="G258" s="2" t="s">
        <v>366</v>
      </c>
      <c r="H258" s="2" t="s">
        <v>366</v>
      </c>
      <c r="I258" s="2" t="s">
        <v>366</v>
      </c>
      <c r="J258" s="2" t="b">
        <f t="shared" si="7"/>
        <v>1</v>
      </c>
      <c r="K258" s="12">
        <v>0</v>
      </c>
      <c r="L258" s="2" t="s">
        <v>1593</v>
      </c>
      <c r="M258" s="2" t="s">
        <v>1602</v>
      </c>
      <c r="N258" s="4" t="s">
        <v>48</v>
      </c>
      <c r="O258" s="2" t="s">
        <v>49</v>
      </c>
      <c r="P258" s="2" t="s">
        <v>50</v>
      </c>
      <c r="Q258" s="2" t="s">
        <v>144</v>
      </c>
      <c r="R258" s="2" t="s">
        <v>52</v>
      </c>
      <c r="S258" s="2" t="s">
        <v>53</v>
      </c>
      <c r="T258" s="2" t="s">
        <v>54</v>
      </c>
      <c r="U258" s="2" t="s">
        <v>55</v>
      </c>
      <c r="V258" s="2" t="s">
        <v>70</v>
      </c>
      <c r="W258" s="2" t="s">
        <v>71</v>
      </c>
      <c r="X258" s="2">
        <v>176271000</v>
      </c>
      <c r="Y258" s="2" t="s">
        <v>58</v>
      </c>
      <c r="Z258" s="2" t="s">
        <v>505</v>
      </c>
      <c r="AA258" s="2" t="s">
        <v>60</v>
      </c>
      <c r="AB258" s="2" t="s">
        <v>61</v>
      </c>
      <c r="AC258" s="2" t="s">
        <v>62</v>
      </c>
      <c r="AD258" s="2" t="s">
        <v>62</v>
      </c>
      <c r="AE258" s="2" t="s">
        <v>1595</v>
      </c>
      <c r="AF258" s="5">
        <v>5</v>
      </c>
      <c r="AG258" s="5">
        <v>5</v>
      </c>
      <c r="AH258" s="2" t="str">
        <f t="shared" si="0"/>
        <v>yes</v>
      </c>
      <c r="AI258" s="2" t="str" cm="1">
        <f t="array" ref="AI258">_xlfn.IFS(AF258&lt;25,"Less",AF258=25,"Equal",AF258&gt;25,"More")</f>
        <v>Less</v>
      </c>
      <c r="AJ258" s="6"/>
      <c r="AK258" s="6" t="s">
        <v>251</v>
      </c>
      <c r="AL258" s="2" t="s">
        <v>1596</v>
      </c>
      <c r="AM258" s="5" t="str">
        <f>VLOOKUP(D258,'slb RAW'!$E$2:$AF$293,9)</f>
        <v>#N/A N/A</v>
      </c>
      <c r="AN258" s="2" t="str">
        <f>VLOOKUP(D258,'slb RAW'!$E$2:$AE$293,27)</f>
        <v>#N/A N/A</v>
      </c>
      <c r="AO258" s="2" t="e">
        <f>VLOOKUP(C258,'Refinitiv SLB'!F258:S435,14)</f>
        <v>#N/A</v>
      </c>
      <c r="AP258" s="2" t="str">
        <f t="shared" si="1"/>
        <v>#N/A N/A</v>
      </c>
      <c r="AQ258" s="7" t="str">
        <f t="shared" si="2"/>
        <v>Arcadis NVAT MATURITYFLOATINGEURSr Unsecured</v>
      </c>
      <c r="AR258" s="5" t="b">
        <f ca="1">ISNUMBER( IFERROR(VLOOKUP(A258,Pairs!$E$2:$E$57,1,FALSE),FALSE))</f>
        <v>0</v>
      </c>
      <c r="AS258" s="5"/>
      <c r="AT258" s="5"/>
    </row>
    <row r="259" spans="1:46" ht="15.75" customHeight="1" x14ac:dyDescent="0.2">
      <c r="A259" s="2">
        <v>232</v>
      </c>
      <c r="B259" s="2" t="s">
        <v>1603</v>
      </c>
      <c r="C259" s="2" t="str">
        <f>VLOOKUP(D259,'slb RAW'!$E:$F,2)</f>
        <v>#N/A Field Not Applicable</v>
      </c>
      <c r="D259" s="2" t="s">
        <v>1604</v>
      </c>
      <c r="E259" s="2" t="s">
        <v>1605</v>
      </c>
      <c r="F259" s="2" t="s">
        <v>1606</v>
      </c>
      <c r="G259" s="2" t="s">
        <v>45</v>
      </c>
      <c r="H259" s="2" t="s">
        <v>45</v>
      </c>
      <c r="I259" s="2" t="s">
        <v>45</v>
      </c>
      <c r="J259" s="2" t="b">
        <f t="shared" ref="J259:J293" si="8">H259=I259</f>
        <v>1</v>
      </c>
      <c r="K259" s="2">
        <v>0</v>
      </c>
      <c r="L259" s="2" t="s">
        <v>1607</v>
      </c>
      <c r="M259" s="2" t="s">
        <v>1608</v>
      </c>
      <c r="N259" s="4" t="s">
        <v>48</v>
      </c>
      <c r="O259" s="2" t="s">
        <v>49</v>
      </c>
      <c r="P259" s="2" t="s">
        <v>50</v>
      </c>
      <c r="Q259" s="2" t="s">
        <v>144</v>
      </c>
      <c r="R259" s="2" t="s">
        <v>52</v>
      </c>
      <c r="S259" s="2" t="s">
        <v>53</v>
      </c>
      <c r="T259" s="2" t="s">
        <v>54</v>
      </c>
      <c r="U259" s="2" t="s">
        <v>55</v>
      </c>
      <c r="V259" s="2" t="s">
        <v>70</v>
      </c>
      <c r="W259" s="2" t="s">
        <v>71</v>
      </c>
      <c r="X259" s="2">
        <v>119544000</v>
      </c>
      <c r="Y259" s="2" t="s">
        <v>58</v>
      </c>
      <c r="Z259" s="2" t="s">
        <v>864</v>
      </c>
      <c r="AA259" s="2" t="s">
        <v>60</v>
      </c>
      <c r="AB259" s="2" t="s">
        <v>61</v>
      </c>
      <c r="AC259" s="2" t="s">
        <v>176</v>
      </c>
      <c r="AD259" s="2" t="s">
        <v>865</v>
      </c>
      <c r="AE259" s="2" t="s">
        <v>1609</v>
      </c>
      <c r="AF259" s="5">
        <v>2</v>
      </c>
      <c r="AG259" s="5">
        <v>2</v>
      </c>
      <c r="AH259" s="2" t="str">
        <f t="shared" si="0"/>
        <v>yes</v>
      </c>
      <c r="AI259" s="2" t="str" cm="1">
        <f t="array" ref="AI259">_xlfn.IFS(AF259&lt;25,"Less",AF259=25,"Equal",AF259&gt;25,"More")</f>
        <v>Less</v>
      </c>
      <c r="AJ259" s="6"/>
      <c r="AK259" s="6" t="s">
        <v>64</v>
      </c>
      <c r="AL259" s="2" t="s">
        <v>1610</v>
      </c>
      <c r="AM259" s="5" t="str">
        <f>VLOOKUP(D259,'slb RAW'!$E$2:$AF$293,9)</f>
        <v>#N/A N/A</v>
      </c>
      <c r="AN259" s="2" t="str">
        <f>VLOOKUP(D259,'slb RAW'!$E$2:$AE$293,27)</f>
        <v>#N/A N/A</v>
      </c>
      <c r="AO259" s="2" t="e">
        <f>VLOOKUP(C259,'Refinitiv SLB'!F259:S436,14)</f>
        <v>#N/A</v>
      </c>
      <c r="AP259" s="2" t="str">
        <f t="shared" si="1"/>
        <v>#N/A N/A</v>
      </c>
      <c r="AQ259" s="7" t="str">
        <f t="shared" si="2"/>
        <v>Saria SE &amp; Co KGAT MATURITYFLOATINGEURSr Unsecured</v>
      </c>
      <c r="AR259" s="5" t="b">
        <f ca="1">ISNUMBER( IFERROR(VLOOKUP(A259,Pairs!$E$2:$E$57,1,FALSE),FALSE))</f>
        <v>1</v>
      </c>
      <c r="AS259" s="5"/>
      <c r="AT259" s="5"/>
    </row>
    <row r="260" spans="1:46" ht="15.75" customHeight="1" x14ac:dyDescent="0.2">
      <c r="A260" s="2">
        <v>233</v>
      </c>
      <c r="B260" s="2" t="s">
        <v>1603</v>
      </c>
      <c r="C260" s="2" t="str">
        <f>VLOOKUP(D260,'slb RAW'!$E:$F,2)</f>
        <v>#N/A Field Not Applicable</v>
      </c>
      <c r="D260" s="2" t="s">
        <v>1611</v>
      </c>
      <c r="E260" s="2" t="s">
        <v>1612</v>
      </c>
      <c r="F260" s="2" t="s">
        <v>1606</v>
      </c>
      <c r="G260" s="2" t="s">
        <v>45</v>
      </c>
      <c r="H260" s="2" t="s">
        <v>45</v>
      </c>
      <c r="I260" s="2" t="s">
        <v>45</v>
      </c>
      <c r="J260" s="2" t="b">
        <f t="shared" si="8"/>
        <v>1</v>
      </c>
      <c r="K260" s="2">
        <v>0</v>
      </c>
      <c r="L260" s="2" t="s">
        <v>1607</v>
      </c>
      <c r="M260" s="2" t="s">
        <v>1613</v>
      </c>
      <c r="N260" s="4" t="s">
        <v>48</v>
      </c>
      <c r="O260" s="2" t="s">
        <v>49</v>
      </c>
      <c r="P260" s="2" t="s">
        <v>50</v>
      </c>
      <c r="Q260" s="2" t="s">
        <v>76</v>
      </c>
      <c r="R260" s="2" t="s">
        <v>52</v>
      </c>
      <c r="S260" s="2" t="s">
        <v>53</v>
      </c>
      <c r="T260" s="2" t="s">
        <v>54</v>
      </c>
      <c r="U260" s="2" t="s">
        <v>55</v>
      </c>
      <c r="V260" s="2" t="s">
        <v>70</v>
      </c>
      <c r="W260" s="2" t="s">
        <v>71</v>
      </c>
      <c r="X260" s="2">
        <v>119544000</v>
      </c>
      <c r="Y260" s="2" t="s">
        <v>58</v>
      </c>
      <c r="Z260" s="2" t="s">
        <v>864</v>
      </c>
      <c r="AA260" s="2" t="s">
        <v>60</v>
      </c>
      <c r="AB260" s="2" t="s">
        <v>61</v>
      </c>
      <c r="AC260" s="2" t="s">
        <v>176</v>
      </c>
      <c r="AD260" s="2" t="s">
        <v>865</v>
      </c>
      <c r="AE260" s="2" t="s">
        <v>1609</v>
      </c>
      <c r="AF260" s="5">
        <v>2</v>
      </c>
      <c r="AG260" s="5">
        <v>2</v>
      </c>
      <c r="AH260" s="2" t="str">
        <f t="shared" si="0"/>
        <v>yes</v>
      </c>
      <c r="AI260" s="2" t="str" cm="1">
        <f t="array" ref="AI260">_xlfn.IFS(AF260&lt;25,"Less",AF260=25,"Equal",AF260&gt;25,"More")</f>
        <v>Less</v>
      </c>
      <c r="AJ260" s="6"/>
      <c r="AK260" s="6" t="s">
        <v>64</v>
      </c>
      <c r="AL260" s="2" t="s">
        <v>1610</v>
      </c>
      <c r="AM260" s="5" t="str">
        <f>VLOOKUP(D260,'slb RAW'!$E$2:$AF$293,9)</f>
        <v>#N/A N/A</v>
      </c>
      <c r="AN260" s="2" t="str">
        <f>VLOOKUP(D260,'slb RAW'!$E$2:$AE$293,27)</f>
        <v>#N/A N/A</v>
      </c>
      <c r="AO260" s="2" t="e">
        <f>VLOOKUP(C260,'Refinitiv SLB'!F260:S437,14)</f>
        <v>#N/A</v>
      </c>
      <c r="AP260" s="2" t="str">
        <f t="shared" si="1"/>
        <v>#N/A N/A</v>
      </c>
      <c r="AQ260" s="7" t="str">
        <f t="shared" si="2"/>
        <v>Saria SE &amp; Co KGAT MATURITYFLOATINGEURSr Unsecured</v>
      </c>
      <c r="AR260" s="5" t="b">
        <f ca="1">ISNUMBER( IFERROR(VLOOKUP(A260,Pairs!$E$2:$E$57,1,FALSE),FALSE))</f>
        <v>1</v>
      </c>
      <c r="AS260" s="5"/>
      <c r="AT260" s="5"/>
    </row>
    <row r="261" spans="1:46" ht="15.75" customHeight="1" x14ac:dyDescent="0.2">
      <c r="A261" s="2">
        <v>235</v>
      </c>
      <c r="B261" s="2" t="s">
        <v>1603</v>
      </c>
      <c r="C261" s="2" t="str">
        <f>VLOOKUP(D261,'slb RAW'!$E:$F,2)</f>
        <v>#N/A Field Not Applicable</v>
      </c>
      <c r="D261" s="2" t="s">
        <v>1614</v>
      </c>
      <c r="E261" s="2" t="s">
        <v>1615</v>
      </c>
      <c r="F261" s="2" t="s">
        <v>1606</v>
      </c>
      <c r="G261" s="2" t="s">
        <v>45</v>
      </c>
      <c r="H261" s="2" t="s">
        <v>45</v>
      </c>
      <c r="I261" s="2" t="s">
        <v>45</v>
      </c>
      <c r="J261" s="2" t="b">
        <f t="shared" si="8"/>
        <v>1</v>
      </c>
      <c r="K261" s="2">
        <v>0</v>
      </c>
      <c r="L261" s="2" t="s">
        <v>1607</v>
      </c>
      <c r="M261" s="2" t="s">
        <v>1616</v>
      </c>
      <c r="N261" s="4" t="s">
        <v>48</v>
      </c>
      <c r="O261" s="2" t="s">
        <v>49</v>
      </c>
      <c r="P261" s="2" t="s">
        <v>50</v>
      </c>
      <c r="Q261" s="2" t="s">
        <v>69</v>
      </c>
      <c r="R261" s="2" t="s">
        <v>52</v>
      </c>
      <c r="S261" s="2" t="s">
        <v>53</v>
      </c>
      <c r="T261" s="2" t="s">
        <v>54</v>
      </c>
      <c r="U261" s="2" t="s">
        <v>55</v>
      </c>
      <c r="V261" s="2" t="s">
        <v>70</v>
      </c>
      <c r="W261" s="2" t="s">
        <v>71</v>
      </c>
      <c r="X261" s="2">
        <v>119544000</v>
      </c>
      <c r="Y261" s="2" t="s">
        <v>58</v>
      </c>
      <c r="Z261" s="2" t="s">
        <v>864</v>
      </c>
      <c r="AA261" s="2" t="s">
        <v>60</v>
      </c>
      <c r="AB261" s="2" t="s">
        <v>61</v>
      </c>
      <c r="AC261" s="2" t="s">
        <v>176</v>
      </c>
      <c r="AD261" s="2" t="s">
        <v>865</v>
      </c>
      <c r="AE261" s="2" t="s">
        <v>1609</v>
      </c>
      <c r="AF261" s="5">
        <v>2</v>
      </c>
      <c r="AG261" s="5">
        <v>2</v>
      </c>
      <c r="AH261" s="2" t="str">
        <f t="shared" si="0"/>
        <v>yes</v>
      </c>
      <c r="AI261" s="2" t="str" cm="1">
        <f t="array" ref="AI261">_xlfn.IFS(AF261&lt;25,"Less",AF261=25,"Equal",AF261&gt;25,"More")</f>
        <v>Less</v>
      </c>
      <c r="AJ261" s="6"/>
      <c r="AK261" s="6" t="s">
        <v>64</v>
      </c>
      <c r="AL261" s="2" t="s">
        <v>1610</v>
      </c>
      <c r="AM261" s="5" t="str">
        <f>VLOOKUP(D261,'slb RAW'!$E$2:$AF$293,9)</f>
        <v>#N/A N/A</v>
      </c>
      <c r="AN261" s="2" t="str">
        <f>VLOOKUP(D261,'slb RAW'!$E$2:$AE$293,27)</f>
        <v>#N/A N/A</v>
      </c>
      <c r="AO261" s="2" t="e">
        <f>VLOOKUP(C261,'Refinitiv SLB'!F261:S438,14)</f>
        <v>#N/A</v>
      </c>
      <c r="AP261" s="2" t="str">
        <f t="shared" si="1"/>
        <v>#N/A N/A</v>
      </c>
      <c r="AQ261" s="7" t="str">
        <f t="shared" si="2"/>
        <v>Saria SE &amp; Co KGAT MATURITYFLOATINGEURSr Unsecured</v>
      </c>
      <c r="AR261" s="5" t="b">
        <f ca="1">ISNUMBER( IFERROR(VLOOKUP(A261,Pairs!$E$2:$E$57,1,FALSE),FALSE))</f>
        <v>1</v>
      </c>
      <c r="AS261" s="5"/>
      <c r="AT261" s="5"/>
    </row>
    <row r="262" spans="1:46" ht="15.75" customHeight="1" x14ac:dyDescent="0.2">
      <c r="A262" s="2">
        <v>234</v>
      </c>
      <c r="B262" s="2" t="s">
        <v>1603</v>
      </c>
      <c r="C262" s="2" t="str">
        <f>VLOOKUP(D262,'slb RAW'!$E:$F,2)</f>
        <v>#N/A Field Not Applicable</v>
      </c>
      <c r="D262" s="2" t="s">
        <v>1617</v>
      </c>
      <c r="E262" s="2" t="s">
        <v>1618</v>
      </c>
      <c r="F262" s="2" t="s">
        <v>1606</v>
      </c>
      <c r="G262" s="2" t="s">
        <v>45</v>
      </c>
      <c r="H262" s="2" t="s">
        <v>45</v>
      </c>
      <c r="I262" s="2" t="s">
        <v>45</v>
      </c>
      <c r="J262" s="2" t="b">
        <f t="shared" si="8"/>
        <v>1</v>
      </c>
      <c r="K262" s="2">
        <v>0</v>
      </c>
      <c r="L262" s="2" t="s">
        <v>1607</v>
      </c>
      <c r="M262" s="2" t="s">
        <v>1613</v>
      </c>
      <c r="N262" s="4" t="s">
        <v>48</v>
      </c>
      <c r="O262" s="2" t="s">
        <v>49</v>
      </c>
      <c r="P262" s="2" t="s">
        <v>50</v>
      </c>
      <c r="Q262" s="2" t="s">
        <v>51</v>
      </c>
      <c r="R262" s="2" t="s">
        <v>52</v>
      </c>
      <c r="S262" s="2" t="s">
        <v>53</v>
      </c>
      <c r="T262" s="2" t="s">
        <v>54</v>
      </c>
      <c r="U262" s="2" t="s">
        <v>55</v>
      </c>
      <c r="V262" s="2" t="s">
        <v>70</v>
      </c>
      <c r="W262" s="2" t="s">
        <v>71</v>
      </c>
      <c r="X262" s="2">
        <v>119544000</v>
      </c>
      <c r="Y262" s="2" t="s">
        <v>58</v>
      </c>
      <c r="Z262" s="2" t="s">
        <v>864</v>
      </c>
      <c r="AA262" s="2" t="s">
        <v>60</v>
      </c>
      <c r="AB262" s="2" t="s">
        <v>61</v>
      </c>
      <c r="AC262" s="2" t="s">
        <v>176</v>
      </c>
      <c r="AD262" s="2" t="s">
        <v>865</v>
      </c>
      <c r="AE262" s="2" t="s">
        <v>1609</v>
      </c>
      <c r="AF262" s="5">
        <v>2</v>
      </c>
      <c r="AG262" s="5">
        <v>2</v>
      </c>
      <c r="AH262" s="2" t="str">
        <f t="shared" si="0"/>
        <v>yes</v>
      </c>
      <c r="AI262" s="2" t="str" cm="1">
        <f t="array" ref="AI262">_xlfn.IFS(AF262&lt;25,"Less",AF262=25,"Equal",AF262&gt;25,"More")</f>
        <v>Less</v>
      </c>
      <c r="AJ262" s="6"/>
      <c r="AK262" s="6" t="s">
        <v>64</v>
      </c>
      <c r="AL262" s="2" t="s">
        <v>1610</v>
      </c>
      <c r="AM262" s="5" t="str">
        <f>VLOOKUP(D262,'slb RAW'!$E$2:$AF$293,9)</f>
        <v>#N/A N/A</v>
      </c>
      <c r="AN262" s="2" t="str">
        <f>VLOOKUP(D262,'slb RAW'!$E$2:$AE$293,27)</f>
        <v>#N/A N/A</v>
      </c>
      <c r="AO262" s="2" t="e">
        <f>VLOOKUP(C262,'Refinitiv SLB'!F262:S439,14)</f>
        <v>#N/A</v>
      </c>
      <c r="AP262" s="2" t="str">
        <f t="shared" si="1"/>
        <v>#N/A N/A</v>
      </c>
      <c r="AQ262" s="7" t="str">
        <f t="shared" si="2"/>
        <v>Saria SE &amp; Co KGAT MATURITYFLOATINGEURSr Unsecured</v>
      </c>
      <c r="AR262" s="5" t="b">
        <f ca="1">ISNUMBER( IFERROR(VLOOKUP(A262,Pairs!$E$2:$E$57,1,FALSE),FALSE))</f>
        <v>1</v>
      </c>
      <c r="AS262" s="5"/>
      <c r="AT262" s="5"/>
    </row>
    <row r="263" spans="1:46" ht="15.75" customHeight="1" x14ac:dyDescent="0.2">
      <c r="A263" s="2">
        <v>244</v>
      </c>
      <c r="B263" s="2" t="s">
        <v>754</v>
      </c>
      <c r="C263" s="2" t="str">
        <f>VLOOKUP(D263,'slb RAW'!$E:$F,2)</f>
        <v>US86964WAJ18</v>
      </c>
      <c r="D263" s="2" t="s">
        <v>1619</v>
      </c>
      <c r="E263" s="2" t="s">
        <v>1620</v>
      </c>
      <c r="F263" s="2" t="s">
        <v>757</v>
      </c>
      <c r="G263" s="2" t="s">
        <v>257</v>
      </c>
      <c r="H263" s="2" t="s">
        <v>257</v>
      </c>
      <c r="I263" s="2" t="s">
        <v>258</v>
      </c>
      <c r="J263" s="2" t="b">
        <f t="shared" si="8"/>
        <v>0</v>
      </c>
      <c r="K263" s="2">
        <v>3.75</v>
      </c>
      <c r="L263" s="2" t="s">
        <v>1621</v>
      </c>
      <c r="M263" s="2" t="s">
        <v>1622</v>
      </c>
      <c r="N263" s="2">
        <v>3.9499999999999997</v>
      </c>
      <c r="O263" s="2" t="s">
        <v>115</v>
      </c>
      <c r="P263" s="2" t="s">
        <v>116</v>
      </c>
      <c r="Q263" s="2" t="s">
        <v>173</v>
      </c>
      <c r="R263" s="2" t="s">
        <v>52</v>
      </c>
      <c r="S263" s="2" t="s">
        <v>262</v>
      </c>
      <c r="T263" s="2" t="s">
        <v>496</v>
      </c>
      <c r="U263" s="2" t="s">
        <v>55</v>
      </c>
      <c r="V263" s="2" t="s">
        <v>56</v>
      </c>
      <c r="W263" s="2" t="s">
        <v>71</v>
      </c>
      <c r="X263" s="2">
        <v>1250000000</v>
      </c>
      <c r="Y263" s="2" t="s">
        <v>85</v>
      </c>
      <c r="Z263" s="2" t="s">
        <v>759</v>
      </c>
      <c r="AA263" s="2" t="s">
        <v>60</v>
      </c>
      <c r="AB263" s="2" t="s">
        <v>61</v>
      </c>
      <c r="AC263" s="2" t="s">
        <v>87</v>
      </c>
      <c r="AD263" s="2" t="s">
        <v>265</v>
      </c>
      <c r="AE263" s="2" t="s">
        <v>1623</v>
      </c>
      <c r="AF263" s="5">
        <v>25</v>
      </c>
      <c r="AG263" s="6"/>
      <c r="AH263" s="2" t="str">
        <f t="shared" si="0"/>
        <v/>
      </c>
      <c r="AI263" s="2" t="str" cm="1">
        <f t="array" ref="AI263">_xlfn.IFS(AF263&lt;25,"Less",AF263=25,"Equal",AF263&gt;25,"More")</f>
        <v>Equal</v>
      </c>
      <c r="AJ263" s="6"/>
      <c r="AK263" s="6" t="s">
        <v>251</v>
      </c>
      <c r="AL263" s="2" t="s">
        <v>1624</v>
      </c>
      <c r="AM263" s="5">
        <f>VLOOKUP(D263,'slb RAW'!$E$2:$AF$293,9)</f>
        <v>3.9499999999999997</v>
      </c>
      <c r="AN263" s="2">
        <f>VLOOKUP(D263,'slb RAW'!$E$2:$AE$293,27)</f>
        <v>3.637</v>
      </c>
      <c r="AO263" s="2" t="e">
        <f>VLOOKUP(C263,'Refinitiv SLB'!F263:S440,14)</f>
        <v>#N/A</v>
      </c>
      <c r="AP263" s="2">
        <f t="shared" si="1"/>
        <v>3.637</v>
      </c>
      <c r="AQ263" s="7" t="str">
        <f t="shared" si="2"/>
        <v>Suzano Austria GmbHCALLABLEFIXEDUSDSr Unsecured</v>
      </c>
      <c r="AR263" s="5" t="b">
        <f ca="1">ISNUMBER( IFERROR(VLOOKUP(A263,Pairs!$E$2:$E$57,1,FALSE),FALSE))</f>
        <v>1</v>
      </c>
      <c r="AS263" s="5"/>
      <c r="AT263" s="5"/>
    </row>
    <row r="264" spans="1:46" s="80" customFormat="1" ht="15.75" customHeight="1" x14ac:dyDescent="0.2">
      <c r="A264" s="79">
        <v>138</v>
      </c>
      <c r="B264" s="79" t="s">
        <v>1625</v>
      </c>
      <c r="C264" s="79" t="str">
        <f>VLOOKUP(D264,'slb RAW'!$E:$F,2)</f>
        <v>#N/A Field Not Applicable</v>
      </c>
      <c r="D264" s="79" t="s">
        <v>1626</v>
      </c>
      <c r="E264" s="79" t="s">
        <v>1627</v>
      </c>
      <c r="F264" s="79" t="s">
        <v>1628</v>
      </c>
      <c r="G264" s="79" t="s">
        <v>45</v>
      </c>
      <c r="H264" s="79" t="s">
        <v>45</v>
      </c>
      <c r="I264" s="79" t="s">
        <v>45</v>
      </c>
      <c r="J264" s="2" t="b">
        <f t="shared" si="8"/>
        <v>1</v>
      </c>
      <c r="K264" s="79">
        <v>0</v>
      </c>
      <c r="L264" s="79" t="s">
        <v>1629</v>
      </c>
      <c r="M264" s="79" t="s">
        <v>1630</v>
      </c>
      <c r="N264" s="81" t="s">
        <v>48</v>
      </c>
      <c r="O264" s="79" t="s">
        <v>49</v>
      </c>
      <c r="P264" s="79" t="s">
        <v>50</v>
      </c>
      <c r="Q264" s="79" t="s">
        <v>51</v>
      </c>
      <c r="R264" s="79" t="s">
        <v>52</v>
      </c>
      <c r="S264" s="79" t="s">
        <v>53</v>
      </c>
      <c r="T264" s="79" t="s">
        <v>54</v>
      </c>
      <c r="U264" s="79" t="s">
        <v>55</v>
      </c>
      <c r="V264" s="79" t="s">
        <v>70</v>
      </c>
      <c r="W264" s="79" t="s">
        <v>71</v>
      </c>
      <c r="X264" s="79">
        <v>71116800</v>
      </c>
      <c r="Y264" s="79" t="s">
        <v>58</v>
      </c>
      <c r="Z264" s="79" t="s">
        <v>1631</v>
      </c>
      <c r="AA264" s="79" t="s">
        <v>60</v>
      </c>
      <c r="AB264" s="79" t="s">
        <v>61</v>
      </c>
      <c r="AC264" s="79" t="s">
        <v>176</v>
      </c>
      <c r="AD264" s="79" t="s">
        <v>191</v>
      </c>
      <c r="AE264" s="81" t="s">
        <v>48</v>
      </c>
      <c r="AF264" s="82" t="s">
        <v>139</v>
      </c>
      <c r="AG264" s="82"/>
      <c r="AH264" s="79" t="str">
        <f t="shared" si="0"/>
        <v/>
      </c>
      <c r="AI264" s="82" t="s">
        <v>139</v>
      </c>
      <c r="AJ264" s="82"/>
      <c r="AK264" s="82" t="s">
        <v>64</v>
      </c>
      <c r="AL264" s="79" t="s">
        <v>1632</v>
      </c>
      <c r="AM264" s="83" t="str">
        <f>VLOOKUP(D264,'slb RAW'!$E$2:$AF$293,9)</f>
        <v>#N/A N/A</v>
      </c>
      <c r="AN264" s="79" t="str">
        <f>VLOOKUP(D264,'slb RAW'!$E$2:$AE$293,27)</f>
        <v>#N/A N/A</v>
      </c>
      <c r="AO264" s="79" t="e">
        <f>VLOOKUP(C264,'Refinitiv SLB'!F264:S441,14)</f>
        <v>#N/A</v>
      </c>
      <c r="AP264" s="79" t="str">
        <f t="shared" si="1"/>
        <v>#N/A N/A</v>
      </c>
      <c r="AQ264" s="84" t="str">
        <f t="shared" si="2"/>
        <v>Indus Holding AGAT MATURITYFLOATINGEURSr Unsecured</v>
      </c>
      <c r="AR264" s="83" t="b">
        <f ca="1">ISNUMBER( IFERROR(VLOOKUP(A264,Pairs!$E$2:$E$57,1,FALSE),FALSE))</f>
        <v>1</v>
      </c>
      <c r="AS264" s="83"/>
      <c r="AT264" s="83"/>
    </row>
    <row r="265" spans="1:46" s="80" customFormat="1" ht="15.75" customHeight="1" x14ac:dyDescent="0.2">
      <c r="A265" s="79">
        <v>139</v>
      </c>
      <c r="B265" s="79" t="s">
        <v>1625</v>
      </c>
      <c r="C265" s="79" t="str">
        <f>VLOOKUP(D265,'slb RAW'!$E:$F,2)</f>
        <v>#N/A Field Not Applicable</v>
      </c>
      <c r="D265" s="79" t="s">
        <v>1633</v>
      </c>
      <c r="E265" s="79" t="s">
        <v>1634</v>
      </c>
      <c r="F265" s="79" t="s">
        <v>1628</v>
      </c>
      <c r="G265" s="79" t="s">
        <v>45</v>
      </c>
      <c r="H265" s="79" t="s">
        <v>45</v>
      </c>
      <c r="I265" s="79" t="s">
        <v>45</v>
      </c>
      <c r="J265" s="2" t="b">
        <f t="shared" si="8"/>
        <v>1</v>
      </c>
      <c r="K265" s="79">
        <v>0</v>
      </c>
      <c r="L265" s="79" t="s">
        <v>1629</v>
      </c>
      <c r="M265" s="79" t="s">
        <v>1635</v>
      </c>
      <c r="N265" s="81" t="s">
        <v>48</v>
      </c>
      <c r="O265" s="79" t="s">
        <v>49</v>
      </c>
      <c r="P265" s="79" t="s">
        <v>50</v>
      </c>
      <c r="Q265" s="79" t="s">
        <v>69</v>
      </c>
      <c r="R265" s="79" t="s">
        <v>52</v>
      </c>
      <c r="S265" s="79" t="s">
        <v>53</v>
      </c>
      <c r="T265" s="79" t="s">
        <v>54</v>
      </c>
      <c r="U265" s="79" t="s">
        <v>55</v>
      </c>
      <c r="V265" s="79" t="s">
        <v>70</v>
      </c>
      <c r="W265" s="79" t="s">
        <v>71</v>
      </c>
      <c r="X265" s="79">
        <v>71116800</v>
      </c>
      <c r="Y265" s="79" t="s">
        <v>58</v>
      </c>
      <c r="Z265" s="79" t="s">
        <v>1631</v>
      </c>
      <c r="AA265" s="79" t="s">
        <v>60</v>
      </c>
      <c r="AB265" s="79" t="s">
        <v>61</v>
      </c>
      <c r="AC265" s="79" t="s">
        <v>176</v>
      </c>
      <c r="AD265" s="79" t="s">
        <v>191</v>
      </c>
      <c r="AE265" s="81" t="s">
        <v>48</v>
      </c>
      <c r="AF265" s="82" t="s">
        <v>139</v>
      </c>
      <c r="AG265" s="82"/>
      <c r="AH265" s="79" t="str">
        <f t="shared" si="0"/>
        <v/>
      </c>
      <c r="AI265" s="82" t="s">
        <v>139</v>
      </c>
      <c r="AJ265" s="82"/>
      <c r="AK265" s="82" t="s">
        <v>64</v>
      </c>
      <c r="AL265" s="79" t="s">
        <v>1632</v>
      </c>
      <c r="AM265" s="83" t="str">
        <f>VLOOKUP(D265,'slb RAW'!$E$2:$AF$293,9)</f>
        <v>#N/A N/A</v>
      </c>
      <c r="AN265" s="79" t="str">
        <f>VLOOKUP(D265,'slb RAW'!$E$2:$AE$293,27)</f>
        <v>#N/A N/A</v>
      </c>
      <c r="AO265" s="79" t="e">
        <f>VLOOKUP(C265,'Refinitiv SLB'!F265:S442,14)</f>
        <v>#N/A</v>
      </c>
      <c r="AP265" s="79" t="str">
        <f t="shared" si="1"/>
        <v>#N/A N/A</v>
      </c>
      <c r="AQ265" s="84" t="str">
        <f t="shared" si="2"/>
        <v>Indus Holding AGAT MATURITYFLOATINGEURSr Unsecured</v>
      </c>
      <c r="AR265" s="83" t="b">
        <f ca="1">ISNUMBER( IFERROR(VLOOKUP(A265,Pairs!$E$2:$E$57,1,FALSE),FALSE))</f>
        <v>1</v>
      </c>
      <c r="AS265" s="83"/>
      <c r="AT265" s="83"/>
    </row>
    <row r="266" spans="1:46" s="80" customFormat="1" ht="15.75" customHeight="1" x14ac:dyDescent="0.2">
      <c r="A266" s="79">
        <v>137</v>
      </c>
      <c r="B266" s="79" t="s">
        <v>1625</v>
      </c>
      <c r="C266" s="79" t="str">
        <f>VLOOKUP(D266,'slb RAW'!$E:$F,2)</f>
        <v>#N/A Field Not Applicable</v>
      </c>
      <c r="D266" s="79" t="s">
        <v>1636</v>
      </c>
      <c r="E266" s="79" t="s">
        <v>1637</v>
      </c>
      <c r="F266" s="79" t="s">
        <v>1628</v>
      </c>
      <c r="G266" s="79" t="s">
        <v>45</v>
      </c>
      <c r="H266" s="79" t="s">
        <v>45</v>
      </c>
      <c r="I266" s="79" t="s">
        <v>45</v>
      </c>
      <c r="J266" s="2" t="b">
        <f t="shared" si="8"/>
        <v>1</v>
      </c>
      <c r="K266" s="79">
        <v>0</v>
      </c>
      <c r="L266" s="79" t="s">
        <v>1629</v>
      </c>
      <c r="M266" s="79" t="s">
        <v>1638</v>
      </c>
      <c r="N266" s="81" t="s">
        <v>48</v>
      </c>
      <c r="O266" s="79" t="s">
        <v>49</v>
      </c>
      <c r="P266" s="79" t="s">
        <v>50</v>
      </c>
      <c r="Q266" s="79" t="s">
        <v>76</v>
      </c>
      <c r="R266" s="79" t="s">
        <v>52</v>
      </c>
      <c r="S266" s="79" t="s">
        <v>53</v>
      </c>
      <c r="T266" s="79" t="s">
        <v>54</v>
      </c>
      <c r="U266" s="79" t="s">
        <v>55</v>
      </c>
      <c r="V266" s="79" t="s">
        <v>70</v>
      </c>
      <c r="W266" s="79" t="s">
        <v>71</v>
      </c>
      <c r="X266" s="79">
        <v>71116800</v>
      </c>
      <c r="Y266" s="79" t="s">
        <v>58</v>
      </c>
      <c r="Z266" s="79" t="s">
        <v>1631</v>
      </c>
      <c r="AA266" s="79" t="s">
        <v>60</v>
      </c>
      <c r="AB266" s="79" t="s">
        <v>61</v>
      </c>
      <c r="AC266" s="79" t="s">
        <v>176</v>
      </c>
      <c r="AD266" s="79" t="s">
        <v>191</v>
      </c>
      <c r="AE266" s="81" t="s">
        <v>48</v>
      </c>
      <c r="AF266" s="82" t="s">
        <v>139</v>
      </c>
      <c r="AG266" s="82"/>
      <c r="AH266" s="79" t="str">
        <f t="shared" si="0"/>
        <v/>
      </c>
      <c r="AI266" s="82" t="s">
        <v>139</v>
      </c>
      <c r="AJ266" s="82"/>
      <c r="AK266" s="82" t="s">
        <v>64</v>
      </c>
      <c r="AL266" s="79" t="s">
        <v>1632</v>
      </c>
      <c r="AM266" s="83" t="str">
        <f>VLOOKUP(D266,'slb RAW'!$E$2:$AF$293,9)</f>
        <v>#N/A N/A</v>
      </c>
      <c r="AN266" s="79" t="str">
        <f>VLOOKUP(D266,'slb RAW'!$E$2:$AE$293,27)</f>
        <v>#N/A N/A</v>
      </c>
      <c r="AO266" s="79" t="e">
        <f>VLOOKUP(C266,'Refinitiv SLB'!F266:S443,14)</f>
        <v>#N/A</v>
      </c>
      <c r="AP266" s="79" t="str">
        <f t="shared" si="1"/>
        <v>#N/A N/A</v>
      </c>
      <c r="AQ266" s="84" t="str">
        <f t="shared" si="2"/>
        <v>Indus Holding AGAT MATURITYFLOATINGEURSr Unsecured</v>
      </c>
      <c r="AR266" s="83" t="b">
        <f ca="1">ISNUMBER( IFERROR(VLOOKUP(A266,Pairs!$E$2:$E$57,1,FALSE),FALSE))</f>
        <v>1</v>
      </c>
      <c r="AS266" s="83"/>
      <c r="AT266" s="83"/>
    </row>
    <row r="267" spans="1:46" ht="15.75" customHeight="1" x14ac:dyDescent="0.2">
      <c r="A267" s="2">
        <v>188</v>
      </c>
      <c r="B267" s="2" t="s">
        <v>1639</v>
      </c>
      <c r="C267" s="2" t="str">
        <f>VLOOKUP(D267,'slb RAW'!$E:$F,2)</f>
        <v>XS2235996217</v>
      </c>
      <c r="D267" s="2" t="s">
        <v>1640</v>
      </c>
      <c r="E267" s="2" t="s">
        <v>1641</v>
      </c>
      <c r="F267" s="2" t="s">
        <v>1642</v>
      </c>
      <c r="G267" s="2" t="s">
        <v>169</v>
      </c>
      <c r="H267" s="2" t="s">
        <v>169</v>
      </c>
      <c r="I267" s="2" t="s">
        <v>170</v>
      </c>
      <c r="J267" s="2" t="b">
        <f t="shared" si="8"/>
        <v>0</v>
      </c>
      <c r="K267" s="2">
        <v>0</v>
      </c>
      <c r="L267" s="2" t="s">
        <v>1643</v>
      </c>
      <c r="M267" s="2" t="s">
        <v>1644</v>
      </c>
      <c r="N267" s="8">
        <v>5.0900000000000001E-2</v>
      </c>
      <c r="O267" s="2" t="s">
        <v>115</v>
      </c>
      <c r="P267" s="2" t="s">
        <v>116</v>
      </c>
      <c r="Q267" s="2" t="s">
        <v>173</v>
      </c>
      <c r="R267" s="2" t="s">
        <v>52</v>
      </c>
      <c r="S267" s="2" t="s">
        <v>53</v>
      </c>
      <c r="T267" s="2" t="s">
        <v>1645</v>
      </c>
      <c r="U267" s="2" t="s">
        <v>55</v>
      </c>
      <c r="V267" s="2" t="s">
        <v>56</v>
      </c>
      <c r="W267" s="2" t="s">
        <v>57</v>
      </c>
      <c r="X267" s="2">
        <v>2161040500</v>
      </c>
      <c r="Y267" s="2" t="s">
        <v>1049</v>
      </c>
      <c r="Z267" s="2" t="s">
        <v>1050</v>
      </c>
      <c r="AA267" s="2" t="s">
        <v>60</v>
      </c>
      <c r="AB267" s="2" t="s">
        <v>61</v>
      </c>
      <c r="AC267" s="2" t="s">
        <v>227</v>
      </c>
      <c r="AD267" s="2" t="s">
        <v>1050</v>
      </c>
      <c r="AE267" s="2" t="s">
        <v>1646</v>
      </c>
      <c r="AF267" s="5">
        <v>25</v>
      </c>
      <c r="AG267" s="6"/>
      <c r="AH267" s="2" t="str">
        <f t="shared" si="0"/>
        <v/>
      </c>
      <c r="AI267" s="2" t="str" cm="1">
        <f t="array" ref="AI267">_xlfn.IFS(AF267&lt;25,"Less",AF267=25,"Equal",AF267&gt;25,"More")</f>
        <v>Equal</v>
      </c>
      <c r="AJ267" s="6"/>
      <c r="AK267" s="6" t="s">
        <v>251</v>
      </c>
      <c r="AL267" s="2" t="s">
        <v>1647</v>
      </c>
      <c r="AM267" s="5" t="str">
        <f>VLOOKUP(D267,'slb RAW'!$E$2:$AF$293,9)</f>
        <v>#N/A N/A</v>
      </c>
      <c r="AN267" s="2">
        <f>VLOOKUP(D267,'slb RAW'!$E$2:$AE$293,27)</f>
        <v>3.9E-2</v>
      </c>
      <c r="AO267" s="2" t="e">
        <f>VLOOKUP(C267,'Refinitiv SLB'!F267:S444,14)</f>
        <v>#N/A</v>
      </c>
      <c r="AP267" s="2">
        <f t="shared" si="1"/>
        <v>3.9E-2</v>
      </c>
      <c r="AQ267" s="7" t="str">
        <f t="shared" si="2"/>
        <v>Novartis Finance SACALLABLEFIXEDEURSr Unsecured</v>
      </c>
      <c r="AR267" s="5" t="b">
        <f ca="1">ISNUMBER( IFERROR(VLOOKUP(A267,Pairs!$E$2:$E$57,1,FALSE),FALSE))</f>
        <v>1</v>
      </c>
      <c r="AS267" s="5"/>
      <c r="AT267" s="5"/>
    </row>
    <row r="268" spans="1:46" ht="15.75" customHeight="1" x14ac:dyDescent="0.2">
      <c r="A268" s="2">
        <v>75</v>
      </c>
      <c r="B268" s="2" t="s">
        <v>641</v>
      </c>
      <c r="C268" s="2" t="str">
        <f>VLOOKUP(D268,'slb RAW'!$E:$F,2)</f>
        <v>XS2244418609</v>
      </c>
      <c r="D268" s="2" t="s">
        <v>1648</v>
      </c>
      <c r="E268" s="2" t="s">
        <v>1649</v>
      </c>
      <c r="F268" s="2" t="s">
        <v>644</v>
      </c>
      <c r="G268" s="2" t="s">
        <v>366</v>
      </c>
      <c r="H268" s="2" t="s">
        <v>366</v>
      </c>
      <c r="I268" s="2" t="s">
        <v>199</v>
      </c>
      <c r="J268" s="2" t="b">
        <f t="shared" si="8"/>
        <v>0</v>
      </c>
      <c r="K268" s="2">
        <v>1</v>
      </c>
      <c r="L268" s="2" t="s">
        <v>1650</v>
      </c>
      <c r="M268" s="2" t="s">
        <v>1651</v>
      </c>
      <c r="N268" s="2">
        <v>0.95030000000000003</v>
      </c>
      <c r="O268" s="2" t="s">
        <v>115</v>
      </c>
      <c r="P268" s="2" t="s">
        <v>116</v>
      </c>
      <c r="Q268" s="2" t="s">
        <v>225</v>
      </c>
      <c r="R268" s="2" t="s">
        <v>52</v>
      </c>
      <c r="S268" s="2" t="s">
        <v>1547</v>
      </c>
      <c r="T268" s="2" t="s">
        <v>619</v>
      </c>
      <c r="U268" s="2" t="s">
        <v>55</v>
      </c>
      <c r="V268" s="2" t="s">
        <v>56</v>
      </c>
      <c r="W268" s="2" t="s">
        <v>57</v>
      </c>
      <c r="X268" s="2">
        <v>646985000</v>
      </c>
      <c r="Y268" s="2" t="s">
        <v>120</v>
      </c>
      <c r="Z268" s="2" t="s">
        <v>120</v>
      </c>
      <c r="AA268" s="2" t="s">
        <v>60</v>
      </c>
      <c r="AB268" s="2" t="s">
        <v>121</v>
      </c>
      <c r="AC268" s="2" t="s">
        <v>122</v>
      </c>
      <c r="AD268" s="2" t="s">
        <v>122</v>
      </c>
      <c r="AE268" s="2" t="s">
        <v>1652</v>
      </c>
      <c r="AF268" s="5">
        <v>25</v>
      </c>
      <c r="AG268" s="6"/>
      <c r="AH268" s="2" t="str">
        <f t="shared" si="0"/>
        <v/>
      </c>
      <c r="AI268" s="2" t="str" cm="1">
        <f t="array" ref="AI268">_xlfn.IFS(AF268&lt;25,"Less",AF268=25,"Equal",AF268&gt;25,"More")</f>
        <v>Equal</v>
      </c>
      <c r="AJ268" s="6"/>
      <c r="AK268" s="6" t="s">
        <v>125</v>
      </c>
      <c r="AL268" s="2" t="s">
        <v>1653</v>
      </c>
      <c r="AM268" s="5" t="str">
        <f>VLOOKUP(D268,'slb RAW'!$E$2:$AF$293,9)</f>
        <v>#N/A N/A</v>
      </c>
      <c r="AN268" s="2">
        <f>VLOOKUP(D268,'slb RAW'!$E$2:$AE$293,27)</f>
        <v>0.92800000000000005</v>
      </c>
      <c r="AO268" s="2" t="e">
        <f>VLOOKUP(C268,'Refinitiv SLB'!F268:S445,14)</f>
        <v>#N/A</v>
      </c>
      <c r="AP268" s="2">
        <f t="shared" si="1"/>
        <v>0.92800000000000005</v>
      </c>
      <c r="AQ268" s="7" t="str">
        <f t="shared" si="2"/>
        <v>Enel Finance International NVCALLABLEFIXEDGBPSr Unsecured</v>
      </c>
      <c r="AR268" s="5" t="b">
        <f ca="1">ISNUMBER( IFERROR(VLOOKUP(A268,Pairs!$E$2:$E$57,1,FALSE),FALSE))</f>
        <v>0</v>
      </c>
      <c r="AS268" s="5"/>
      <c r="AT268" s="5"/>
    </row>
    <row r="269" spans="1:46" s="90" customFormat="1" ht="15.75" customHeight="1" x14ac:dyDescent="0.2">
      <c r="A269" s="85">
        <v>52</v>
      </c>
      <c r="B269" s="85" t="s">
        <v>1654</v>
      </c>
      <c r="C269" s="85" t="str">
        <f>VLOOKUP(D269,'slb RAW'!$E:$F,2)</f>
        <v>#N/A Field Not Applicable</v>
      </c>
      <c r="D269" s="85" t="s">
        <v>1655</v>
      </c>
      <c r="E269" s="85" t="s">
        <v>1656</v>
      </c>
      <c r="F269" s="85" t="s">
        <v>1657</v>
      </c>
      <c r="G269" s="85" t="s">
        <v>45</v>
      </c>
      <c r="H269" s="85" t="s">
        <v>45</v>
      </c>
      <c r="I269" s="85" t="s">
        <v>45</v>
      </c>
      <c r="J269" s="2" t="b">
        <f t="shared" si="8"/>
        <v>1</v>
      </c>
      <c r="K269" s="92">
        <v>0</v>
      </c>
      <c r="L269" s="85" t="s">
        <v>1658</v>
      </c>
      <c r="M269" s="85" t="s">
        <v>1659</v>
      </c>
      <c r="N269" s="91" t="s">
        <v>48</v>
      </c>
      <c r="O269" s="85" t="s">
        <v>49</v>
      </c>
      <c r="P269" s="85" t="s">
        <v>50</v>
      </c>
      <c r="Q269" s="85" t="s">
        <v>69</v>
      </c>
      <c r="R269" s="85" t="s">
        <v>52</v>
      </c>
      <c r="S269" s="85" t="s">
        <v>53</v>
      </c>
      <c r="T269" s="85" t="s">
        <v>54</v>
      </c>
      <c r="U269" s="85" t="s">
        <v>55</v>
      </c>
      <c r="V269" s="85" t="s">
        <v>56</v>
      </c>
      <c r="W269" s="85" t="s">
        <v>57</v>
      </c>
      <c r="X269" s="85">
        <v>122531000</v>
      </c>
      <c r="Y269" s="85" t="s">
        <v>1049</v>
      </c>
      <c r="Z269" s="85" t="s">
        <v>1253</v>
      </c>
      <c r="AA269" s="85" t="s">
        <v>60</v>
      </c>
      <c r="AB269" s="85" t="s">
        <v>61</v>
      </c>
      <c r="AC269" s="85" t="s">
        <v>227</v>
      </c>
      <c r="AD269" s="85" t="s">
        <v>1254</v>
      </c>
      <c r="AE269" s="85" t="s">
        <v>1660</v>
      </c>
      <c r="AF269" s="87" t="s">
        <v>139</v>
      </c>
      <c r="AG269" s="87"/>
      <c r="AH269" s="85" t="str">
        <f t="shared" si="0"/>
        <v/>
      </c>
      <c r="AI269" s="87" t="s">
        <v>139</v>
      </c>
      <c r="AJ269" s="87"/>
      <c r="AK269" s="87" t="s">
        <v>48</v>
      </c>
      <c r="AL269" s="85" t="s">
        <v>1661</v>
      </c>
      <c r="AM269" s="88" t="str">
        <f>VLOOKUP(D269,'slb RAW'!$E$2:$AF$293,9)</f>
        <v>#N/A N/A</v>
      </c>
      <c r="AN269" s="85" t="str">
        <f>VLOOKUP(D269,'slb RAW'!$E$2:$AE$293,27)</f>
        <v>#N/A N/A</v>
      </c>
      <c r="AO269" s="85" t="e">
        <f>VLOOKUP(C269,'Refinitiv SLB'!F269:S446,14)</f>
        <v>#N/A</v>
      </c>
      <c r="AP269" s="85" t="str">
        <f t="shared" si="1"/>
        <v>#N/A N/A</v>
      </c>
      <c r="AQ269" s="89" t="str">
        <f t="shared" si="2"/>
        <v>Draegerwerk AG &amp; Co KGaAAT MATURITYFIXEDEURSr Unsecured</v>
      </c>
      <c r="AR269" s="88" t="b">
        <f ca="1">ISNUMBER( IFERROR(VLOOKUP(A269,Pairs!$E$2:$E$57,1,FALSE),FALSE))</f>
        <v>0</v>
      </c>
      <c r="AS269" s="88"/>
      <c r="AT269" s="88"/>
    </row>
    <row r="270" spans="1:46" s="90" customFormat="1" ht="15.75" customHeight="1" x14ac:dyDescent="0.2">
      <c r="A270" s="85">
        <v>53</v>
      </c>
      <c r="B270" s="85" t="s">
        <v>1654</v>
      </c>
      <c r="C270" s="85" t="str">
        <f>VLOOKUP(D270,'slb RAW'!$E:$F,2)</f>
        <v>#N/A Field Not Applicable</v>
      </c>
      <c r="D270" s="85" t="s">
        <v>1662</v>
      </c>
      <c r="E270" s="85" t="s">
        <v>1663</v>
      </c>
      <c r="F270" s="85" t="s">
        <v>1657</v>
      </c>
      <c r="G270" s="85" t="s">
        <v>45</v>
      </c>
      <c r="H270" s="85" t="s">
        <v>45</v>
      </c>
      <c r="I270" s="85" t="s">
        <v>45</v>
      </c>
      <c r="J270" s="2" t="b">
        <f t="shared" si="8"/>
        <v>1</v>
      </c>
      <c r="K270" s="92">
        <v>0</v>
      </c>
      <c r="L270" s="85" t="s">
        <v>1658</v>
      </c>
      <c r="M270" s="85" t="s">
        <v>1664</v>
      </c>
      <c r="N270" s="91" t="s">
        <v>48</v>
      </c>
      <c r="O270" s="85" t="s">
        <v>49</v>
      </c>
      <c r="P270" s="85" t="s">
        <v>50</v>
      </c>
      <c r="Q270" s="85" t="s">
        <v>76</v>
      </c>
      <c r="R270" s="85" t="s">
        <v>52</v>
      </c>
      <c r="S270" s="85" t="s">
        <v>53</v>
      </c>
      <c r="T270" s="85" t="s">
        <v>54</v>
      </c>
      <c r="U270" s="85" t="s">
        <v>55</v>
      </c>
      <c r="V270" s="85" t="s">
        <v>56</v>
      </c>
      <c r="W270" s="85" t="s">
        <v>57</v>
      </c>
      <c r="X270" s="85">
        <v>122531000</v>
      </c>
      <c r="Y270" s="85" t="s">
        <v>1049</v>
      </c>
      <c r="Z270" s="85" t="s">
        <v>1253</v>
      </c>
      <c r="AA270" s="85" t="s">
        <v>60</v>
      </c>
      <c r="AB270" s="85" t="s">
        <v>61</v>
      </c>
      <c r="AC270" s="85" t="s">
        <v>227</v>
      </c>
      <c r="AD270" s="85" t="s">
        <v>1254</v>
      </c>
      <c r="AE270" s="85" t="s">
        <v>1660</v>
      </c>
      <c r="AF270" s="87" t="s">
        <v>139</v>
      </c>
      <c r="AG270" s="87"/>
      <c r="AH270" s="85" t="str">
        <f t="shared" si="0"/>
        <v/>
      </c>
      <c r="AI270" s="87" t="s">
        <v>139</v>
      </c>
      <c r="AJ270" s="87"/>
      <c r="AK270" s="87" t="s">
        <v>48</v>
      </c>
      <c r="AL270" s="85" t="s">
        <v>1661</v>
      </c>
      <c r="AM270" s="88" t="str">
        <f>VLOOKUP(D270,'slb RAW'!$E$2:$AF$293,9)</f>
        <v>#N/A N/A</v>
      </c>
      <c r="AN270" s="85" t="str">
        <f>VLOOKUP(D270,'slb RAW'!$E$2:$AE$293,27)</f>
        <v>#N/A N/A</v>
      </c>
      <c r="AO270" s="85" t="e">
        <f>VLOOKUP(C270,'Refinitiv SLB'!F270:S447,14)</f>
        <v>#N/A</v>
      </c>
      <c r="AP270" s="85" t="str">
        <f t="shared" si="1"/>
        <v>#N/A N/A</v>
      </c>
      <c r="AQ270" s="89" t="str">
        <f t="shared" si="2"/>
        <v>Draegerwerk AG &amp; Co KGaAAT MATURITYFIXEDEURSr Unsecured</v>
      </c>
      <c r="AR270" s="88" t="b">
        <f ca="1">ISNUMBER( IFERROR(VLOOKUP(A270,Pairs!$E$2:$E$57,1,FALSE),FALSE))</f>
        <v>0</v>
      </c>
      <c r="AS270" s="88"/>
      <c r="AT270" s="88"/>
    </row>
    <row r="271" spans="1:46" ht="15.75" customHeight="1" x14ac:dyDescent="0.2">
      <c r="A271" s="2">
        <v>102</v>
      </c>
      <c r="B271" s="2" t="s">
        <v>1665</v>
      </c>
      <c r="C271" s="2" t="str">
        <f>VLOOKUP(D271,'slb RAW'!$E:$F,2)</f>
        <v>#N/A Field Not Applicable</v>
      </c>
      <c r="D271" s="2" t="s">
        <v>1666</v>
      </c>
      <c r="E271" s="2" t="s">
        <v>1667</v>
      </c>
      <c r="F271" s="2" t="s">
        <v>1668</v>
      </c>
      <c r="G271" s="2" t="s">
        <v>45</v>
      </c>
      <c r="H271" s="2" t="s">
        <v>45</v>
      </c>
      <c r="I271" s="2" t="s">
        <v>45</v>
      </c>
      <c r="J271" s="2" t="b">
        <f t="shared" si="8"/>
        <v>1</v>
      </c>
      <c r="K271" s="2">
        <v>0</v>
      </c>
      <c r="L271" s="2" t="s">
        <v>1669</v>
      </c>
      <c r="M271" s="2" t="s">
        <v>1670</v>
      </c>
      <c r="N271" s="4" t="s">
        <v>48</v>
      </c>
      <c r="O271" s="2" t="s">
        <v>49</v>
      </c>
      <c r="P271" s="2" t="s">
        <v>50</v>
      </c>
      <c r="Q271" s="2" t="s">
        <v>69</v>
      </c>
      <c r="R271" s="2" t="s">
        <v>52</v>
      </c>
      <c r="S271" s="2" t="s">
        <v>53</v>
      </c>
      <c r="T271" s="2" t="s">
        <v>54</v>
      </c>
      <c r="U271" s="2" t="s">
        <v>55</v>
      </c>
      <c r="V271" s="2" t="s">
        <v>70</v>
      </c>
      <c r="W271" s="2" t="s">
        <v>71</v>
      </c>
      <c r="X271" s="2">
        <v>59355450</v>
      </c>
      <c r="Y271" s="2" t="s">
        <v>134</v>
      </c>
      <c r="Z271" s="2" t="s">
        <v>226</v>
      </c>
      <c r="AA271" s="2" t="s">
        <v>60</v>
      </c>
      <c r="AB271" s="2" t="s">
        <v>61</v>
      </c>
      <c r="AC271" s="2" t="s">
        <v>227</v>
      </c>
      <c r="AD271" s="2" t="s">
        <v>228</v>
      </c>
      <c r="AE271" s="2" t="s">
        <v>1671</v>
      </c>
      <c r="AF271" s="5">
        <v>2</v>
      </c>
      <c r="AG271" s="5">
        <v>2</v>
      </c>
      <c r="AH271" s="2" t="str">
        <f t="shared" si="0"/>
        <v>yes</v>
      </c>
      <c r="AI271" s="2" t="str" cm="1">
        <f t="array" ref="AI271">_xlfn.IFS(AF271&lt;25,"Less",AF271=25,"Equal",AF271&gt;25,"More")</f>
        <v>Less</v>
      </c>
      <c r="AJ271" s="6"/>
      <c r="AK271" s="6" t="s">
        <v>64</v>
      </c>
      <c r="AL271" s="2" t="s">
        <v>1672</v>
      </c>
      <c r="AM271" s="5" t="str">
        <f>VLOOKUP(D271,'slb RAW'!$E$2:$AF$293,9)</f>
        <v>#N/A N/A</v>
      </c>
      <c r="AN271" s="2" t="str">
        <f>VLOOKUP(D271,'slb RAW'!$E$2:$AE$293,27)</f>
        <v>#N/A N/A</v>
      </c>
      <c r="AO271" s="2" t="e">
        <f>VLOOKUP(C271,'Refinitiv SLB'!F271:S448,14)</f>
        <v>#N/A</v>
      </c>
      <c r="AP271" s="2" t="str">
        <f t="shared" si="1"/>
        <v>#N/A N/A</v>
      </c>
      <c r="AQ271" s="7" t="str">
        <f t="shared" si="2"/>
        <v>Faber-Castell AGAT MATURITYFLOATINGEURSr Unsecured</v>
      </c>
      <c r="AR271" s="5" t="b">
        <f ca="1">ISNUMBER( IFERROR(VLOOKUP(A271,Pairs!$E$2:$E$57,1,FALSE),FALSE))</f>
        <v>0</v>
      </c>
      <c r="AS271" s="5"/>
      <c r="AT271" s="5"/>
    </row>
    <row r="272" spans="1:46" ht="15.75" customHeight="1" x14ac:dyDescent="0.2">
      <c r="A272" s="2">
        <v>103</v>
      </c>
      <c r="B272" s="2" t="s">
        <v>1665</v>
      </c>
      <c r="C272" s="2" t="str">
        <f>VLOOKUP(D272,'slb RAW'!$E:$F,2)</f>
        <v>#N/A Field Not Applicable</v>
      </c>
      <c r="D272" s="2" t="s">
        <v>1673</v>
      </c>
      <c r="E272" s="2" t="s">
        <v>1674</v>
      </c>
      <c r="F272" s="2" t="s">
        <v>1668</v>
      </c>
      <c r="G272" s="2" t="s">
        <v>45</v>
      </c>
      <c r="H272" s="2" t="s">
        <v>45</v>
      </c>
      <c r="I272" s="2" t="s">
        <v>45</v>
      </c>
      <c r="J272" s="2" t="b">
        <f t="shared" si="8"/>
        <v>1</v>
      </c>
      <c r="K272" s="2">
        <v>0</v>
      </c>
      <c r="L272" s="2" t="s">
        <v>1669</v>
      </c>
      <c r="M272" s="2" t="s">
        <v>1675</v>
      </c>
      <c r="N272" s="4" t="s">
        <v>48</v>
      </c>
      <c r="O272" s="2" t="s">
        <v>49</v>
      </c>
      <c r="P272" s="2" t="s">
        <v>50</v>
      </c>
      <c r="Q272" s="2" t="s">
        <v>76</v>
      </c>
      <c r="R272" s="2" t="s">
        <v>52</v>
      </c>
      <c r="S272" s="2" t="s">
        <v>53</v>
      </c>
      <c r="T272" s="2" t="s">
        <v>54</v>
      </c>
      <c r="U272" s="2" t="s">
        <v>55</v>
      </c>
      <c r="V272" s="2" t="s">
        <v>70</v>
      </c>
      <c r="W272" s="2" t="s">
        <v>71</v>
      </c>
      <c r="X272" s="2">
        <v>59355450</v>
      </c>
      <c r="Y272" s="2" t="s">
        <v>134</v>
      </c>
      <c r="Z272" s="2" t="s">
        <v>226</v>
      </c>
      <c r="AA272" s="2" t="s">
        <v>60</v>
      </c>
      <c r="AB272" s="2" t="s">
        <v>61</v>
      </c>
      <c r="AC272" s="2" t="s">
        <v>227</v>
      </c>
      <c r="AD272" s="2" t="s">
        <v>228</v>
      </c>
      <c r="AE272" s="2" t="s">
        <v>1671</v>
      </c>
      <c r="AF272" s="5">
        <v>2</v>
      </c>
      <c r="AG272" s="5">
        <v>2</v>
      </c>
      <c r="AH272" s="2" t="str">
        <f t="shared" si="0"/>
        <v>yes</v>
      </c>
      <c r="AI272" s="2" t="str" cm="1">
        <f t="array" ref="AI272">_xlfn.IFS(AF272&lt;25,"Less",AF272=25,"Equal",AF272&gt;25,"More")</f>
        <v>Less</v>
      </c>
      <c r="AJ272" s="6"/>
      <c r="AK272" s="6" t="s">
        <v>64</v>
      </c>
      <c r="AL272" s="2" t="s">
        <v>1672</v>
      </c>
      <c r="AM272" s="5" t="str">
        <f>VLOOKUP(D272,'slb RAW'!$E$2:$AF$293,9)</f>
        <v>#N/A N/A</v>
      </c>
      <c r="AN272" s="2" t="str">
        <f>VLOOKUP(D272,'slb RAW'!$E$2:$AE$293,27)</f>
        <v>#N/A N/A</v>
      </c>
      <c r="AO272" s="2" t="e">
        <f>VLOOKUP(C272,'Refinitiv SLB'!F272:S449,14)</f>
        <v>#N/A</v>
      </c>
      <c r="AP272" s="2" t="str">
        <f t="shared" si="1"/>
        <v>#N/A N/A</v>
      </c>
      <c r="AQ272" s="7" t="str">
        <f t="shared" si="2"/>
        <v>Faber-Castell AGAT MATURITYFLOATINGEURSr Unsecured</v>
      </c>
      <c r="AR272" s="5" t="b">
        <f ca="1">ISNUMBER( IFERROR(VLOOKUP(A272,Pairs!$E$2:$E$57,1,FALSE),FALSE))</f>
        <v>0</v>
      </c>
      <c r="AS272" s="5"/>
      <c r="AT272" s="5"/>
    </row>
    <row r="273" spans="1:46" ht="15.75" customHeight="1" x14ac:dyDescent="0.2">
      <c r="A273" s="2">
        <v>273</v>
      </c>
      <c r="B273" s="2" t="s">
        <v>1676</v>
      </c>
      <c r="C273" s="2" t="str">
        <f>VLOOKUP(D273,'slb RAW'!$E:$F,2)</f>
        <v>#N/A Field Not Applicable</v>
      </c>
      <c r="D273" s="2" t="s">
        <v>1677</v>
      </c>
      <c r="E273" s="2" t="s">
        <v>1678</v>
      </c>
      <c r="F273" s="2" t="s">
        <v>1679</v>
      </c>
      <c r="G273" s="2" t="s">
        <v>45</v>
      </c>
      <c r="H273" s="2" t="s">
        <v>45</v>
      </c>
      <c r="I273" s="2" t="s">
        <v>45</v>
      </c>
      <c r="J273" s="2" t="b">
        <f t="shared" si="8"/>
        <v>1</v>
      </c>
      <c r="K273" s="2">
        <v>0</v>
      </c>
      <c r="L273" s="2" t="s">
        <v>1680</v>
      </c>
      <c r="M273" s="2" t="s">
        <v>1681</v>
      </c>
      <c r="N273" s="4" t="s">
        <v>48</v>
      </c>
      <c r="O273" s="2" t="s">
        <v>49</v>
      </c>
      <c r="P273" s="2" t="s">
        <v>50</v>
      </c>
      <c r="Q273" s="2" t="s">
        <v>51</v>
      </c>
      <c r="R273" s="2" t="s">
        <v>52</v>
      </c>
      <c r="S273" s="2" t="s">
        <v>53</v>
      </c>
      <c r="T273" s="2" t="s">
        <v>54</v>
      </c>
      <c r="U273" s="2" t="s">
        <v>55</v>
      </c>
      <c r="V273" s="2" t="s">
        <v>70</v>
      </c>
      <c r="W273" s="2" t="s">
        <v>71</v>
      </c>
      <c r="X273" s="2">
        <v>435148000</v>
      </c>
      <c r="Y273" s="2" t="s">
        <v>58</v>
      </c>
      <c r="Z273" s="2" t="s">
        <v>59</v>
      </c>
      <c r="AA273" s="2" t="s">
        <v>60</v>
      </c>
      <c r="AB273" s="2" t="s">
        <v>61</v>
      </c>
      <c r="AC273" s="2" t="s">
        <v>176</v>
      </c>
      <c r="AD273" s="2" t="s">
        <v>191</v>
      </c>
      <c r="AE273" s="2" t="s">
        <v>1682</v>
      </c>
      <c r="AF273" s="5">
        <v>2.5</v>
      </c>
      <c r="AG273" s="5">
        <v>2.5</v>
      </c>
      <c r="AH273" s="2" t="str">
        <f t="shared" si="0"/>
        <v>yes</v>
      </c>
      <c r="AI273" s="2" t="str" cm="1">
        <f t="array" ref="AI273">_xlfn.IFS(AF273&lt;25,"Less",AF273=25,"Equal",AF273&gt;25,"More")</f>
        <v>Less</v>
      </c>
      <c r="AJ273" s="6"/>
      <c r="AK273" s="6" t="s">
        <v>64</v>
      </c>
      <c r="AL273" s="2" t="s">
        <v>1683</v>
      </c>
      <c r="AM273" s="5" t="str">
        <f>VLOOKUP(D273,'slb RAW'!$E$2:$AF$293,9)</f>
        <v>#N/A N/A</v>
      </c>
      <c r="AN273" s="2" t="str">
        <f>VLOOKUP(D273,'slb RAW'!$E$2:$AE$293,27)</f>
        <v>#N/A N/A</v>
      </c>
      <c r="AO273" s="2" t="e">
        <f>VLOOKUP(C273,'Refinitiv SLB'!F273:S450,14)</f>
        <v>#N/A</v>
      </c>
      <c r="AP273" s="2" t="str">
        <f t="shared" si="1"/>
        <v>#N/A N/A</v>
      </c>
      <c r="AQ273" s="7" t="str">
        <f t="shared" si="2"/>
        <v>Voith GmbH &amp; Co KGaAAT MATURITYFLOATINGEURSr Unsecured</v>
      </c>
      <c r="AR273" s="5" t="b">
        <f ca="1">ISNUMBER( IFERROR(VLOOKUP(A273,Pairs!$E$2:$E$57,1,FALSE),FALSE))</f>
        <v>0</v>
      </c>
      <c r="AS273" s="5"/>
      <c r="AT273" s="5"/>
    </row>
    <row r="274" spans="1:46" ht="15.75" customHeight="1" x14ac:dyDescent="0.2">
      <c r="A274" s="2">
        <v>275</v>
      </c>
      <c r="B274" s="2" t="s">
        <v>1676</v>
      </c>
      <c r="C274" s="2" t="str">
        <f>VLOOKUP(D274,'slb RAW'!$E:$F,2)</f>
        <v>#N/A Field Not Applicable</v>
      </c>
      <c r="D274" s="2" t="s">
        <v>1684</v>
      </c>
      <c r="E274" s="2" t="s">
        <v>1685</v>
      </c>
      <c r="F274" s="2" t="s">
        <v>1679</v>
      </c>
      <c r="G274" s="2" t="s">
        <v>45</v>
      </c>
      <c r="H274" s="2" t="s">
        <v>45</v>
      </c>
      <c r="I274" s="2" t="s">
        <v>45</v>
      </c>
      <c r="J274" s="2" t="b">
        <f t="shared" si="8"/>
        <v>1</v>
      </c>
      <c r="K274" s="2">
        <v>0</v>
      </c>
      <c r="L274" s="2" t="s">
        <v>1680</v>
      </c>
      <c r="M274" s="2" t="s">
        <v>1686</v>
      </c>
      <c r="N274" s="4" t="s">
        <v>48</v>
      </c>
      <c r="O274" s="2" t="s">
        <v>49</v>
      </c>
      <c r="P274" s="2" t="s">
        <v>50</v>
      </c>
      <c r="Q274" s="2" t="s">
        <v>69</v>
      </c>
      <c r="R274" s="2" t="s">
        <v>52</v>
      </c>
      <c r="S274" s="2" t="s">
        <v>53</v>
      </c>
      <c r="T274" s="2" t="s">
        <v>54</v>
      </c>
      <c r="U274" s="2" t="s">
        <v>55</v>
      </c>
      <c r="V274" s="2" t="s">
        <v>70</v>
      </c>
      <c r="W274" s="2" t="s">
        <v>71</v>
      </c>
      <c r="X274" s="2">
        <v>435148000</v>
      </c>
      <c r="Y274" s="2" t="s">
        <v>58</v>
      </c>
      <c r="Z274" s="2" t="s">
        <v>59</v>
      </c>
      <c r="AA274" s="2" t="s">
        <v>60</v>
      </c>
      <c r="AB274" s="2" t="s">
        <v>61</v>
      </c>
      <c r="AC274" s="2" t="s">
        <v>176</v>
      </c>
      <c r="AD274" s="2" t="s">
        <v>191</v>
      </c>
      <c r="AE274" s="2" t="s">
        <v>1682</v>
      </c>
      <c r="AF274" s="5">
        <v>2.5</v>
      </c>
      <c r="AG274" s="5">
        <v>2.5</v>
      </c>
      <c r="AH274" s="2" t="str">
        <f t="shared" si="0"/>
        <v>yes</v>
      </c>
      <c r="AI274" s="2" t="str" cm="1">
        <f t="array" ref="AI274">_xlfn.IFS(AF274&lt;25,"Less",AF274=25,"Equal",AF274&gt;25,"More")</f>
        <v>Less</v>
      </c>
      <c r="AJ274" s="6"/>
      <c r="AK274" s="6" t="s">
        <v>64</v>
      </c>
      <c r="AL274" s="2" t="s">
        <v>1683</v>
      </c>
      <c r="AM274" s="5" t="str">
        <f>VLOOKUP(D274,'slb RAW'!$E$2:$AF$293,9)</f>
        <v>#N/A N/A</v>
      </c>
      <c r="AN274" s="2" t="str">
        <f>VLOOKUP(D274,'slb RAW'!$E$2:$AE$293,27)</f>
        <v>#N/A N/A</v>
      </c>
      <c r="AO274" s="2" t="e">
        <f>VLOOKUP(C274,'Refinitiv SLB'!F274:S451,14)</f>
        <v>#N/A</v>
      </c>
      <c r="AP274" s="2" t="str">
        <f t="shared" si="1"/>
        <v>#N/A N/A</v>
      </c>
      <c r="AQ274" s="7" t="str">
        <f t="shared" si="2"/>
        <v>Voith GmbH &amp; Co KGaAAT MATURITYFLOATINGEURSr Unsecured</v>
      </c>
      <c r="AR274" s="5" t="b">
        <f ca="1">ISNUMBER( IFERROR(VLOOKUP(A274,Pairs!$E$2:$E$57,1,FALSE),FALSE))</f>
        <v>0</v>
      </c>
      <c r="AS274" s="5"/>
      <c r="AT274" s="5"/>
    </row>
    <row r="275" spans="1:46" ht="15.75" customHeight="1" x14ac:dyDescent="0.2">
      <c r="A275" s="2">
        <v>274</v>
      </c>
      <c r="B275" s="2" t="s">
        <v>1676</v>
      </c>
      <c r="C275" s="2" t="str">
        <f>VLOOKUP(D275,'slb RAW'!$E:$F,2)</f>
        <v>#N/A Field Not Applicable</v>
      </c>
      <c r="D275" s="2" t="s">
        <v>1687</v>
      </c>
      <c r="E275" s="2" t="s">
        <v>1688</v>
      </c>
      <c r="F275" s="2" t="s">
        <v>1679</v>
      </c>
      <c r="G275" s="2" t="s">
        <v>45</v>
      </c>
      <c r="H275" s="2" t="s">
        <v>45</v>
      </c>
      <c r="I275" s="2" t="s">
        <v>45</v>
      </c>
      <c r="J275" s="2" t="b">
        <f t="shared" si="8"/>
        <v>1</v>
      </c>
      <c r="K275" s="2">
        <v>0</v>
      </c>
      <c r="L275" s="2" t="s">
        <v>1680</v>
      </c>
      <c r="M275" s="2" t="s">
        <v>1689</v>
      </c>
      <c r="N275" s="4" t="s">
        <v>48</v>
      </c>
      <c r="O275" s="2" t="s">
        <v>49</v>
      </c>
      <c r="P275" s="2" t="s">
        <v>50</v>
      </c>
      <c r="Q275" s="2" t="s">
        <v>76</v>
      </c>
      <c r="R275" s="2" t="s">
        <v>52</v>
      </c>
      <c r="S275" s="2" t="s">
        <v>53</v>
      </c>
      <c r="T275" s="2" t="s">
        <v>54</v>
      </c>
      <c r="U275" s="2" t="s">
        <v>55</v>
      </c>
      <c r="V275" s="2" t="s">
        <v>70</v>
      </c>
      <c r="W275" s="2" t="s">
        <v>71</v>
      </c>
      <c r="X275" s="2">
        <v>435148000</v>
      </c>
      <c r="Y275" s="2" t="s">
        <v>58</v>
      </c>
      <c r="Z275" s="2" t="s">
        <v>59</v>
      </c>
      <c r="AA275" s="2" t="s">
        <v>60</v>
      </c>
      <c r="AB275" s="2" t="s">
        <v>61</v>
      </c>
      <c r="AC275" s="2" t="s">
        <v>176</v>
      </c>
      <c r="AD275" s="2" t="s">
        <v>191</v>
      </c>
      <c r="AE275" s="2" t="s">
        <v>1682</v>
      </c>
      <c r="AF275" s="5">
        <v>2.5</v>
      </c>
      <c r="AG275" s="5">
        <v>2.5</v>
      </c>
      <c r="AH275" s="2" t="str">
        <f t="shared" si="0"/>
        <v>yes</v>
      </c>
      <c r="AI275" s="2" t="str" cm="1">
        <f t="array" ref="AI275">_xlfn.IFS(AF275&lt;25,"Less",AF275=25,"Equal",AF275&gt;25,"More")</f>
        <v>Less</v>
      </c>
      <c r="AJ275" s="6"/>
      <c r="AK275" s="6" t="s">
        <v>64</v>
      </c>
      <c r="AL275" s="2" t="s">
        <v>1683</v>
      </c>
      <c r="AM275" s="5" t="str">
        <f>VLOOKUP(D275,'slb RAW'!$E$2:$AF$293,9)</f>
        <v>#N/A N/A</v>
      </c>
      <c r="AN275" s="2" t="str">
        <f>VLOOKUP(D275,'slb RAW'!$E$2:$AE$293,27)</f>
        <v>#N/A N/A</v>
      </c>
      <c r="AO275" s="2" t="e">
        <f>VLOOKUP(C275,'Refinitiv SLB'!F275:S452,14)</f>
        <v>#N/A</v>
      </c>
      <c r="AP275" s="2" t="str">
        <f t="shared" si="1"/>
        <v>#N/A N/A</v>
      </c>
      <c r="AQ275" s="7" t="str">
        <f t="shared" si="2"/>
        <v>Voith GmbH &amp; Co KGaAAT MATURITYFLOATINGEURSr Unsecured</v>
      </c>
      <c r="AR275" s="5" t="b">
        <f ca="1">ISNUMBER( IFERROR(VLOOKUP(A275,Pairs!$E$2:$E$57,1,FALSE),FALSE))</f>
        <v>0</v>
      </c>
      <c r="AS275" s="5"/>
      <c r="AT275" s="5"/>
    </row>
    <row r="276" spans="1:46" ht="15.75" customHeight="1" x14ac:dyDescent="0.2">
      <c r="A276" s="2">
        <v>93</v>
      </c>
      <c r="B276" s="2" t="s">
        <v>641</v>
      </c>
      <c r="C276" s="2" t="str">
        <f>VLOOKUP(D276,'slb RAW'!$E:$F,2)</f>
        <v>XS2066706818</v>
      </c>
      <c r="D276" s="2" t="s">
        <v>1690</v>
      </c>
      <c r="E276" s="2" t="s">
        <v>1691</v>
      </c>
      <c r="F276" s="2" t="s">
        <v>644</v>
      </c>
      <c r="G276" s="2" t="s">
        <v>366</v>
      </c>
      <c r="H276" s="2" t="s">
        <v>366</v>
      </c>
      <c r="I276" s="2" t="s">
        <v>199</v>
      </c>
      <c r="J276" s="2" t="b">
        <f t="shared" si="8"/>
        <v>0</v>
      </c>
      <c r="K276" s="2">
        <v>0</v>
      </c>
      <c r="L276" s="2" t="s">
        <v>1692</v>
      </c>
      <c r="M276" s="2" t="s">
        <v>1693</v>
      </c>
      <c r="N276" s="8">
        <v>0.67630000000000001</v>
      </c>
      <c r="O276" s="2" t="s">
        <v>115</v>
      </c>
      <c r="P276" s="2" t="s">
        <v>116</v>
      </c>
      <c r="Q276" s="2" t="s">
        <v>225</v>
      </c>
      <c r="R276" s="2" t="s">
        <v>52</v>
      </c>
      <c r="S276" s="2" t="s">
        <v>53</v>
      </c>
      <c r="T276" s="2" t="s">
        <v>619</v>
      </c>
      <c r="U276" s="2" t="s">
        <v>55</v>
      </c>
      <c r="V276" s="2" t="s">
        <v>56</v>
      </c>
      <c r="W276" s="2" t="s">
        <v>57</v>
      </c>
      <c r="X276" s="2">
        <v>1112620000</v>
      </c>
      <c r="Y276" s="2" t="s">
        <v>120</v>
      </c>
      <c r="Z276" s="2" t="s">
        <v>120</v>
      </c>
      <c r="AA276" s="2" t="s">
        <v>60</v>
      </c>
      <c r="AB276" s="2" t="s">
        <v>121</v>
      </c>
      <c r="AC276" s="2" t="s">
        <v>122</v>
      </c>
      <c r="AD276" s="2" t="s">
        <v>122</v>
      </c>
      <c r="AE276" s="2" t="s">
        <v>447</v>
      </c>
      <c r="AF276" s="5">
        <v>25</v>
      </c>
      <c r="AG276" s="6"/>
      <c r="AH276" s="2" t="str">
        <f t="shared" si="0"/>
        <v/>
      </c>
      <c r="AI276" s="2" t="str" cm="1">
        <f t="array" ref="AI276">_xlfn.IFS(AF276&lt;25,"Less",AF276=25,"Equal",AF276&gt;25,"More")</f>
        <v>Equal</v>
      </c>
      <c r="AJ276" s="6"/>
      <c r="AK276" s="6" t="s">
        <v>125</v>
      </c>
      <c r="AL276" s="2" t="s">
        <v>1694</v>
      </c>
      <c r="AM276" s="5" t="str">
        <f>VLOOKUP(D276,'slb RAW'!$E$2:$AF$293,9)</f>
        <v>#N/A N/A</v>
      </c>
      <c r="AN276" s="2">
        <f>VLOOKUP(D276,'slb RAW'!$E$2:$AE$293,27)</f>
        <v>0.17199999999999999</v>
      </c>
      <c r="AO276" s="2" t="e">
        <f>VLOOKUP(C276,'Refinitiv SLB'!F276:S453,14)</f>
        <v>#N/A</v>
      </c>
      <c r="AP276" s="2">
        <f t="shared" si="1"/>
        <v>0.17199999999999999</v>
      </c>
      <c r="AQ276" s="7" t="str">
        <f t="shared" si="2"/>
        <v>Enel Finance International NVCALLABLEFIXEDEURSr Unsecured</v>
      </c>
      <c r="AR276" s="5" t="b">
        <f ca="1">ISNUMBER( IFERROR(VLOOKUP(A276,Pairs!$E$2:$E$57,1,FALSE),FALSE))</f>
        <v>0</v>
      </c>
      <c r="AS276" s="5"/>
      <c r="AT276" s="5"/>
    </row>
    <row r="277" spans="1:46" ht="15.75" customHeight="1" x14ac:dyDescent="0.2">
      <c r="A277" s="2">
        <v>94</v>
      </c>
      <c r="B277" s="2" t="s">
        <v>641</v>
      </c>
      <c r="C277" s="2" t="str">
        <f>VLOOKUP(D277,'slb RAW'!$E:$F,2)</f>
        <v>XS2066706909</v>
      </c>
      <c r="D277" s="2" t="s">
        <v>1695</v>
      </c>
      <c r="E277" s="2" t="s">
        <v>1696</v>
      </c>
      <c r="F277" s="2" t="s">
        <v>644</v>
      </c>
      <c r="G277" s="2" t="s">
        <v>366</v>
      </c>
      <c r="H277" s="2" t="s">
        <v>366</v>
      </c>
      <c r="I277" s="2" t="s">
        <v>199</v>
      </c>
      <c r="J277" s="2" t="b">
        <f t="shared" si="8"/>
        <v>0</v>
      </c>
      <c r="K277" s="2">
        <v>0.375</v>
      </c>
      <c r="L277" s="2" t="s">
        <v>1692</v>
      </c>
      <c r="M277" s="2" t="s">
        <v>646</v>
      </c>
      <c r="N277" s="8">
        <v>0.88929999999999998</v>
      </c>
      <c r="O277" s="2" t="s">
        <v>115</v>
      </c>
      <c r="P277" s="2" t="s">
        <v>116</v>
      </c>
      <c r="Q277" s="2" t="s">
        <v>225</v>
      </c>
      <c r="R277" s="2" t="s">
        <v>52</v>
      </c>
      <c r="S277" s="2" t="s">
        <v>53</v>
      </c>
      <c r="T277" s="2" t="s">
        <v>619</v>
      </c>
      <c r="U277" s="2" t="s">
        <v>55</v>
      </c>
      <c r="V277" s="2" t="s">
        <v>56</v>
      </c>
      <c r="W277" s="2" t="s">
        <v>57</v>
      </c>
      <c r="X277" s="2">
        <v>1112620000</v>
      </c>
      <c r="Y277" s="2" t="s">
        <v>120</v>
      </c>
      <c r="Z277" s="2" t="s">
        <v>120</v>
      </c>
      <c r="AA277" s="2" t="s">
        <v>60</v>
      </c>
      <c r="AB277" s="2" t="s">
        <v>121</v>
      </c>
      <c r="AC277" s="2" t="s">
        <v>122</v>
      </c>
      <c r="AD277" s="2" t="s">
        <v>122</v>
      </c>
      <c r="AE277" s="2" t="s">
        <v>447</v>
      </c>
      <c r="AF277" s="5">
        <v>25</v>
      </c>
      <c r="AG277" s="6"/>
      <c r="AH277" s="2" t="str">
        <f t="shared" si="0"/>
        <v/>
      </c>
      <c r="AI277" s="2" t="str" cm="1">
        <f t="array" ref="AI277">_xlfn.IFS(AF277&lt;25,"Less",AF277=25,"Equal",AF277&gt;25,"More")</f>
        <v>Equal</v>
      </c>
      <c r="AJ277" s="6"/>
      <c r="AK277" s="6" t="s">
        <v>125</v>
      </c>
      <c r="AL277" s="2" t="s">
        <v>1697</v>
      </c>
      <c r="AM277" s="5" t="str">
        <f>VLOOKUP(D277,'slb RAW'!$E$2:$AF$293,9)</f>
        <v>#N/A N/A</v>
      </c>
      <c r="AN277" s="2">
        <f>VLOOKUP(D277,'slb RAW'!$E$2:$AE$293,27)</f>
        <v>0.42899999999999999</v>
      </c>
      <c r="AO277" s="2" t="e">
        <f>VLOOKUP(C277,'Refinitiv SLB'!F277:S454,14)</f>
        <v>#N/A</v>
      </c>
      <c r="AP277" s="2">
        <f t="shared" si="1"/>
        <v>0.42899999999999999</v>
      </c>
      <c r="AQ277" s="7" t="str">
        <f t="shared" si="2"/>
        <v>Enel Finance International NVCALLABLEFIXEDEURSr Unsecured</v>
      </c>
      <c r="AR277" s="5" t="b">
        <f ca="1">ISNUMBER( IFERROR(VLOOKUP(A277,Pairs!$E$2:$E$57,1,FALSE),FALSE))</f>
        <v>0</v>
      </c>
      <c r="AS277" s="5"/>
      <c r="AT277" s="5"/>
    </row>
    <row r="278" spans="1:46" ht="15.75" customHeight="1" x14ac:dyDescent="0.2">
      <c r="A278" s="2">
        <v>95</v>
      </c>
      <c r="B278" s="2" t="s">
        <v>641</v>
      </c>
      <c r="C278" s="2" t="str">
        <f>VLOOKUP(D278,'slb RAW'!$E:$F,2)</f>
        <v>XS2066706735</v>
      </c>
      <c r="D278" s="2" t="s">
        <v>1698</v>
      </c>
      <c r="E278" s="2" t="s">
        <v>1699</v>
      </c>
      <c r="F278" s="2" t="s">
        <v>644</v>
      </c>
      <c r="G278" s="2" t="s">
        <v>366</v>
      </c>
      <c r="H278" s="2" t="s">
        <v>366</v>
      </c>
      <c r="I278" s="2" t="s">
        <v>199</v>
      </c>
      <c r="J278" s="2" t="b">
        <f t="shared" si="8"/>
        <v>0</v>
      </c>
      <c r="K278" s="2">
        <v>1.125</v>
      </c>
      <c r="L278" s="2" t="s">
        <v>1692</v>
      </c>
      <c r="M278" s="2" t="s">
        <v>1700</v>
      </c>
      <c r="N278" s="8">
        <v>1.3555999999999999</v>
      </c>
      <c r="O278" s="2" t="s">
        <v>115</v>
      </c>
      <c r="P278" s="2" t="s">
        <v>116</v>
      </c>
      <c r="Q278" s="2" t="s">
        <v>225</v>
      </c>
      <c r="R278" s="2" t="s">
        <v>52</v>
      </c>
      <c r="S278" s="2" t="s">
        <v>53</v>
      </c>
      <c r="T278" s="2" t="s">
        <v>619</v>
      </c>
      <c r="U278" s="2" t="s">
        <v>55</v>
      </c>
      <c r="V278" s="2" t="s">
        <v>56</v>
      </c>
      <c r="W278" s="2" t="s">
        <v>57</v>
      </c>
      <c r="X278" s="2">
        <v>556310000</v>
      </c>
      <c r="Y278" s="2" t="s">
        <v>120</v>
      </c>
      <c r="Z278" s="2" t="s">
        <v>120</v>
      </c>
      <c r="AA278" s="2" t="s">
        <v>60</v>
      </c>
      <c r="AB278" s="2" t="s">
        <v>121</v>
      </c>
      <c r="AC278" s="2" t="s">
        <v>122</v>
      </c>
      <c r="AD278" s="2" t="s">
        <v>122</v>
      </c>
      <c r="AE278" s="2" t="s">
        <v>1701</v>
      </c>
      <c r="AF278" s="5">
        <v>25</v>
      </c>
      <c r="AG278" s="6"/>
      <c r="AH278" s="2" t="str">
        <f t="shared" si="0"/>
        <v/>
      </c>
      <c r="AI278" s="2" t="str" cm="1">
        <f t="array" ref="AI278">_xlfn.IFS(AF278&lt;25,"Less",AF278=25,"Equal",AF278&gt;25,"More")</f>
        <v>Equal</v>
      </c>
      <c r="AJ278" s="6"/>
      <c r="AK278" s="6" t="s">
        <v>125</v>
      </c>
      <c r="AL278" s="2" t="s">
        <v>1702</v>
      </c>
      <c r="AM278" s="5" t="str">
        <f>VLOOKUP(D278,'slb RAW'!$E$2:$AF$293,9)</f>
        <v>#N/A N/A</v>
      </c>
      <c r="AN278" s="2">
        <f>VLOOKUP(D278,'slb RAW'!$E$2:$AE$293,27)</f>
        <v>1.0589999999999999</v>
      </c>
      <c r="AO278" s="2" t="e">
        <f>VLOOKUP(C278,'Refinitiv SLB'!F278:S455,14)</f>
        <v>#N/A</v>
      </c>
      <c r="AP278" s="2">
        <f t="shared" si="1"/>
        <v>1.0589999999999999</v>
      </c>
      <c r="AQ278" s="7" t="str">
        <f t="shared" si="2"/>
        <v>Enel Finance International NVCALLABLEFIXEDEURSr Unsecured</v>
      </c>
      <c r="AR278" s="5" t="b">
        <f ca="1">ISNUMBER( IFERROR(VLOOKUP(A278,Pairs!$E$2:$E$57,1,FALSE),FALSE))</f>
        <v>0</v>
      </c>
      <c r="AS278" s="5"/>
      <c r="AT278" s="5"/>
    </row>
    <row r="279" spans="1:46" s="80" customFormat="1" ht="15.75" customHeight="1" x14ac:dyDescent="0.2">
      <c r="A279" s="79">
        <v>166</v>
      </c>
      <c r="B279" s="79" t="s">
        <v>1703</v>
      </c>
      <c r="C279" s="79" t="str">
        <f>VLOOKUP(D279,'slb RAW'!$E:$F,2)</f>
        <v>#N/A Field Not Applicable</v>
      </c>
      <c r="D279" s="79" t="s">
        <v>1704</v>
      </c>
      <c r="E279" s="79" t="s">
        <v>1705</v>
      </c>
      <c r="F279" s="79" t="s">
        <v>1706</v>
      </c>
      <c r="G279" s="79" t="s">
        <v>257</v>
      </c>
      <c r="H279" s="79" t="s">
        <v>257</v>
      </c>
      <c r="I279" s="79" t="s">
        <v>257</v>
      </c>
      <c r="J279" s="2" t="b">
        <f t="shared" si="8"/>
        <v>1</v>
      </c>
      <c r="K279" s="79">
        <v>0</v>
      </c>
      <c r="L279" s="79" t="s">
        <v>1707</v>
      </c>
      <c r="M279" s="79" t="s">
        <v>1708</v>
      </c>
      <c r="N279" s="81" t="s">
        <v>48</v>
      </c>
      <c r="O279" s="79" t="s">
        <v>49</v>
      </c>
      <c r="P279" s="79" t="s">
        <v>50</v>
      </c>
      <c r="Q279" s="79" t="s">
        <v>51</v>
      </c>
      <c r="R279" s="79" t="s">
        <v>52</v>
      </c>
      <c r="S279" s="79" t="s">
        <v>53</v>
      </c>
      <c r="T279" s="79" t="s">
        <v>139</v>
      </c>
      <c r="U279" s="79" t="s">
        <v>55</v>
      </c>
      <c r="V279" s="79" t="s">
        <v>70</v>
      </c>
      <c r="W279" s="79" t="s">
        <v>71</v>
      </c>
      <c r="X279" s="79">
        <v>552845000.28699994</v>
      </c>
      <c r="Y279" s="79" t="s">
        <v>85</v>
      </c>
      <c r="Z279" s="79" t="s">
        <v>514</v>
      </c>
      <c r="AA279" s="79" t="s">
        <v>60</v>
      </c>
      <c r="AB279" s="79" t="s">
        <v>61</v>
      </c>
      <c r="AC279" s="79" t="s">
        <v>87</v>
      </c>
      <c r="AD279" s="79" t="s">
        <v>514</v>
      </c>
      <c r="AE279" s="79" t="s">
        <v>1709</v>
      </c>
      <c r="AF279" s="82">
        <v>2.5</v>
      </c>
      <c r="AG279" s="82">
        <v>2.5</v>
      </c>
      <c r="AH279" s="79" t="str">
        <f t="shared" si="0"/>
        <v>yes</v>
      </c>
      <c r="AI279" s="2" t="str" cm="1">
        <f t="array" ref="AI279">_xlfn.IFS(AF279&lt;25,"Less",AF279=25,"Equal",AF279&gt;25,"More")</f>
        <v>Less</v>
      </c>
      <c r="AJ279" s="82"/>
      <c r="AK279" s="82" t="s">
        <v>64</v>
      </c>
      <c r="AL279" s="79" t="s">
        <v>1710</v>
      </c>
      <c r="AM279" s="83" t="str">
        <f>VLOOKUP(D279,'slb RAW'!$E$2:$AF$293,9)</f>
        <v>#N/A N/A</v>
      </c>
      <c r="AN279" s="79" t="str">
        <f>VLOOKUP(D279,'slb RAW'!$E$2:$AE$293,27)</f>
        <v>#N/A N/A</v>
      </c>
      <c r="AO279" s="79" t="e">
        <f>VLOOKUP(C279,'Refinitiv SLB'!F279:S456,14)</f>
        <v>#N/A</v>
      </c>
      <c r="AP279" s="79" t="str">
        <f t="shared" si="1"/>
        <v>#N/A N/A</v>
      </c>
      <c r="AQ279" s="84" t="str">
        <f t="shared" si="2"/>
        <v>Lenzing AGAT MATURITYFLOATINGEURSr Unsecured</v>
      </c>
      <c r="AR279" s="83" t="b">
        <f ca="1">ISNUMBER( IFERROR(VLOOKUP(A279,Pairs!$E$2:$E$57,1,FALSE),FALSE))</f>
        <v>0</v>
      </c>
      <c r="AS279" s="83"/>
      <c r="AT279" s="83"/>
    </row>
    <row r="280" spans="1:46" s="80" customFormat="1" ht="15.75" customHeight="1" x14ac:dyDescent="0.2">
      <c r="A280" s="79">
        <v>167</v>
      </c>
      <c r="B280" s="79" t="s">
        <v>1703</v>
      </c>
      <c r="C280" s="79" t="str">
        <f>VLOOKUP(D280,'slb RAW'!$E:$F,2)</f>
        <v>#N/A Field Not Applicable</v>
      </c>
      <c r="D280" s="79" t="s">
        <v>1711</v>
      </c>
      <c r="E280" s="79" t="s">
        <v>1712</v>
      </c>
      <c r="F280" s="79" t="s">
        <v>1706</v>
      </c>
      <c r="G280" s="79" t="s">
        <v>257</v>
      </c>
      <c r="H280" s="79" t="s">
        <v>257</v>
      </c>
      <c r="I280" s="79" t="s">
        <v>257</v>
      </c>
      <c r="J280" s="2" t="b">
        <f t="shared" si="8"/>
        <v>1</v>
      </c>
      <c r="K280" s="79">
        <v>0</v>
      </c>
      <c r="L280" s="79" t="s">
        <v>1707</v>
      </c>
      <c r="M280" s="79" t="s">
        <v>1713</v>
      </c>
      <c r="N280" s="81" t="s">
        <v>48</v>
      </c>
      <c r="O280" s="79" t="s">
        <v>49</v>
      </c>
      <c r="P280" s="79" t="s">
        <v>50</v>
      </c>
      <c r="Q280" s="79" t="s">
        <v>1714</v>
      </c>
      <c r="R280" s="79" t="s">
        <v>52</v>
      </c>
      <c r="S280" s="79" t="s">
        <v>53</v>
      </c>
      <c r="T280" s="79" t="s">
        <v>139</v>
      </c>
      <c r="U280" s="79" t="s">
        <v>55</v>
      </c>
      <c r="V280" s="79" t="s">
        <v>70</v>
      </c>
      <c r="W280" s="79" t="s">
        <v>71</v>
      </c>
      <c r="X280" s="79">
        <v>487609290</v>
      </c>
      <c r="Y280" s="79" t="s">
        <v>85</v>
      </c>
      <c r="Z280" s="79" t="s">
        <v>514</v>
      </c>
      <c r="AA280" s="79" t="s">
        <v>60</v>
      </c>
      <c r="AB280" s="79" t="s">
        <v>61</v>
      </c>
      <c r="AC280" s="79" t="s">
        <v>87</v>
      </c>
      <c r="AD280" s="79" t="s">
        <v>514</v>
      </c>
      <c r="AE280" s="79" t="s">
        <v>1709</v>
      </c>
      <c r="AF280" s="82">
        <v>2.5</v>
      </c>
      <c r="AG280" s="82">
        <v>2.5</v>
      </c>
      <c r="AH280" s="79" t="str">
        <f t="shared" si="0"/>
        <v>yes</v>
      </c>
      <c r="AI280" s="2" t="str" cm="1">
        <f t="array" ref="AI280">_xlfn.IFS(AF280&lt;25,"Less",AF280=25,"Equal",AF280&gt;25,"More")</f>
        <v>Less</v>
      </c>
      <c r="AJ280" s="82"/>
      <c r="AK280" s="82" t="s">
        <v>64</v>
      </c>
      <c r="AL280" s="79" t="s">
        <v>1710</v>
      </c>
      <c r="AM280" s="83" t="str">
        <f>VLOOKUP(D280,'slb RAW'!$E$2:$AF$293,9)</f>
        <v>#N/A N/A</v>
      </c>
      <c r="AN280" s="79" t="str">
        <f>VLOOKUP(D280,'slb RAW'!$E$2:$AE$293,27)</f>
        <v>#N/A N/A</v>
      </c>
      <c r="AO280" s="79" t="e">
        <f>VLOOKUP(C280,'Refinitiv SLB'!F280:S457,14)</f>
        <v>#N/A</v>
      </c>
      <c r="AP280" s="79" t="str">
        <f t="shared" si="1"/>
        <v>#N/A N/A</v>
      </c>
      <c r="AQ280" s="84" t="str">
        <f t="shared" si="2"/>
        <v>Lenzing AGAT MATURITYFLOATINGEURSr Unsecured</v>
      </c>
      <c r="AR280" s="83" t="b">
        <f ca="1">ISNUMBER( IFERROR(VLOOKUP(A280,Pairs!$E$2:$E$57,1,FALSE),FALSE))</f>
        <v>0</v>
      </c>
      <c r="AS280" s="83"/>
      <c r="AT280" s="83"/>
    </row>
    <row r="281" spans="1:46" s="80" customFormat="1" ht="15.75" customHeight="1" x14ac:dyDescent="0.2">
      <c r="A281" s="79">
        <v>169</v>
      </c>
      <c r="B281" s="79" t="s">
        <v>1703</v>
      </c>
      <c r="C281" s="79" t="str">
        <f>VLOOKUP(D281,'slb RAW'!$E:$F,2)</f>
        <v>#N/A Field Not Applicable</v>
      </c>
      <c r="D281" s="79" t="s">
        <v>1715</v>
      </c>
      <c r="E281" s="79" t="s">
        <v>1716</v>
      </c>
      <c r="F281" s="79" t="s">
        <v>1706</v>
      </c>
      <c r="G281" s="79" t="s">
        <v>257</v>
      </c>
      <c r="H281" s="79" t="s">
        <v>257</v>
      </c>
      <c r="I281" s="79" t="s">
        <v>257</v>
      </c>
      <c r="J281" s="2" t="b">
        <f t="shared" si="8"/>
        <v>1</v>
      </c>
      <c r="K281" s="79">
        <v>0</v>
      </c>
      <c r="L281" s="79" t="s">
        <v>1707</v>
      </c>
      <c r="M281" s="79" t="s">
        <v>1717</v>
      </c>
      <c r="N281" s="81" t="s">
        <v>48</v>
      </c>
      <c r="O281" s="79" t="s">
        <v>49</v>
      </c>
      <c r="P281" s="79" t="s">
        <v>50</v>
      </c>
      <c r="Q281" s="79" t="s">
        <v>1718</v>
      </c>
      <c r="R281" s="79" t="s">
        <v>52</v>
      </c>
      <c r="S281" s="79" t="s">
        <v>53</v>
      </c>
      <c r="T281" s="79" t="s">
        <v>139</v>
      </c>
      <c r="U281" s="79" t="s">
        <v>55</v>
      </c>
      <c r="V281" s="79" t="s">
        <v>70</v>
      </c>
      <c r="W281" s="79" t="s">
        <v>71</v>
      </c>
      <c r="X281" s="79">
        <v>487609290</v>
      </c>
      <c r="Y281" s="79" t="s">
        <v>85</v>
      </c>
      <c r="Z281" s="79" t="s">
        <v>514</v>
      </c>
      <c r="AA281" s="79" t="s">
        <v>60</v>
      </c>
      <c r="AB281" s="79" t="s">
        <v>61</v>
      </c>
      <c r="AC281" s="79" t="s">
        <v>87</v>
      </c>
      <c r="AD281" s="79" t="s">
        <v>514</v>
      </c>
      <c r="AE281" s="79" t="s">
        <v>1709</v>
      </c>
      <c r="AF281" s="82">
        <v>2.5</v>
      </c>
      <c r="AG281" s="82">
        <v>2.5</v>
      </c>
      <c r="AH281" s="79" t="str">
        <f t="shared" si="0"/>
        <v>yes</v>
      </c>
      <c r="AI281" s="2" t="str" cm="1">
        <f t="array" ref="AI281">_xlfn.IFS(AF281&lt;25,"Less",AF281=25,"Equal",AF281&gt;25,"More")</f>
        <v>Less</v>
      </c>
      <c r="AJ281" s="82"/>
      <c r="AK281" s="82" t="s">
        <v>64</v>
      </c>
      <c r="AL281" s="79" t="s">
        <v>1710</v>
      </c>
      <c r="AM281" s="83" t="str">
        <f>VLOOKUP(D281,'slb RAW'!$E$2:$AF$293,9)</f>
        <v>#N/A N/A</v>
      </c>
      <c r="AN281" s="79" t="str">
        <f>VLOOKUP(D281,'slb RAW'!$E$2:$AE$293,27)</f>
        <v>#N/A N/A</v>
      </c>
      <c r="AO281" s="79" t="e">
        <f>VLOOKUP(C281,'Refinitiv SLB'!F281:S458,14)</f>
        <v>#N/A</v>
      </c>
      <c r="AP281" s="79" t="str">
        <f t="shared" si="1"/>
        <v>#N/A N/A</v>
      </c>
      <c r="AQ281" s="84" t="str">
        <f t="shared" si="2"/>
        <v>Lenzing AGAT MATURITYFLOATINGEURSr Unsecured</v>
      </c>
      <c r="AR281" s="83" t="b">
        <f ca="1">ISNUMBER( IFERROR(VLOOKUP(A281,Pairs!$E$2:$E$57,1,FALSE),FALSE))</f>
        <v>0</v>
      </c>
      <c r="AS281" s="83"/>
      <c r="AT281" s="83"/>
    </row>
    <row r="282" spans="1:46" s="80" customFormat="1" ht="15.75" customHeight="1" x14ac:dyDescent="0.2">
      <c r="A282" s="79">
        <v>168</v>
      </c>
      <c r="B282" s="79" t="s">
        <v>1703</v>
      </c>
      <c r="C282" s="79" t="str">
        <f>VLOOKUP(D282,'slb RAW'!$E:$F,2)</f>
        <v>#N/A Field Not Applicable</v>
      </c>
      <c r="D282" s="79" t="s">
        <v>1719</v>
      </c>
      <c r="E282" s="79" t="s">
        <v>1720</v>
      </c>
      <c r="F282" s="79" t="s">
        <v>1706</v>
      </c>
      <c r="G282" s="79" t="s">
        <v>257</v>
      </c>
      <c r="H282" s="79" t="s">
        <v>257</v>
      </c>
      <c r="I282" s="79" t="s">
        <v>257</v>
      </c>
      <c r="J282" s="2" t="b">
        <f t="shared" si="8"/>
        <v>1</v>
      </c>
      <c r="K282" s="79">
        <v>0</v>
      </c>
      <c r="L282" s="79" t="s">
        <v>1707</v>
      </c>
      <c r="M282" s="79" t="s">
        <v>1713</v>
      </c>
      <c r="N282" s="81" t="s">
        <v>48</v>
      </c>
      <c r="O282" s="79" t="s">
        <v>49</v>
      </c>
      <c r="P282" s="79" t="s">
        <v>50</v>
      </c>
      <c r="Q282" s="79" t="s">
        <v>1721</v>
      </c>
      <c r="R282" s="79" t="s">
        <v>52</v>
      </c>
      <c r="S282" s="79" t="s">
        <v>262</v>
      </c>
      <c r="T282" s="79" t="s">
        <v>139</v>
      </c>
      <c r="U282" s="79" t="s">
        <v>55</v>
      </c>
      <c r="V282" s="79" t="s">
        <v>70</v>
      </c>
      <c r="W282" s="79" t="s">
        <v>391</v>
      </c>
      <c r="X282" s="79">
        <v>65000000</v>
      </c>
      <c r="Y282" s="79" t="s">
        <v>85</v>
      </c>
      <c r="Z282" s="79" t="s">
        <v>514</v>
      </c>
      <c r="AA282" s="79" t="s">
        <v>60</v>
      </c>
      <c r="AB282" s="79" t="s">
        <v>61</v>
      </c>
      <c r="AC282" s="79" t="s">
        <v>87</v>
      </c>
      <c r="AD282" s="79" t="s">
        <v>514</v>
      </c>
      <c r="AE282" s="79" t="s">
        <v>1709</v>
      </c>
      <c r="AF282" s="82">
        <v>2.5</v>
      </c>
      <c r="AG282" s="82">
        <v>2.5</v>
      </c>
      <c r="AH282" s="79" t="str">
        <f t="shared" si="0"/>
        <v>yes</v>
      </c>
      <c r="AI282" s="2" t="str" cm="1">
        <f t="array" ref="AI282">_xlfn.IFS(AF282&lt;25,"Less",AF282=25,"Equal",AF282&gt;25,"More")</f>
        <v>Less</v>
      </c>
      <c r="AJ282" s="82"/>
      <c r="AK282" s="82" t="s">
        <v>64</v>
      </c>
      <c r="AL282" s="79" t="s">
        <v>1710</v>
      </c>
      <c r="AM282" s="83" t="str">
        <f>VLOOKUP(D282,'slb RAW'!$E$2:$AF$293,9)</f>
        <v>#N/A N/A</v>
      </c>
      <c r="AN282" s="79" t="str">
        <f>VLOOKUP(D282,'slb RAW'!$E$2:$AE$293,27)</f>
        <v>#N/A N/A</v>
      </c>
      <c r="AO282" s="79" t="e">
        <f>VLOOKUP(C282,'Refinitiv SLB'!F282:S459,14)</f>
        <v>#N/A</v>
      </c>
      <c r="AP282" s="79" t="str">
        <f t="shared" si="1"/>
        <v>#N/A N/A</v>
      </c>
      <c r="AQ282" s="84" t="str">
        <f t="shared" si="2"/>
        <v>Lenzing AGAT MATURITYFLOATINGUSDSr Unsecured</v>
      </c>
      <c r="AR282" s="83" t="b">
        <f ca="1">ISNUMBER( IFERROR(VLOOKUP(A282,Pairs!$E$2:$E$57,1,FALSE),FALSE))</f>
        <v>0</v>
      </c>
      <c r="AS282" s="83"/>
      <c r="AT282" s="83"/>
    </row>
    <row r="283" spans="1:46" s="80" customFormat="1" ht="15.75" customHeight="1" x14ac:dyDescent="0.2">
      <c r="A283" s="79">
        <v>170</v>
      </c>
      <c r="B283" s="79" t="s">
        <v>1703</v>
      </c>
      <c r="C283" s="79" t="str">
        <f>VLOOKUP(D283,'slb RAW'!$E:$F,2)</f>
        <v>#N/A Field Not Applicable</v>
      </c>
      <c r="D283" s="79" t="s">
        <v>1722</v>
      </c>
      <c r="E283" s="79" t="s">
        <v>1723</v>
      </c>
      <c r="F283" s="79" t="s">
        <v>1706</v>
      </c>
      <c r="G283" s="79" t="s">
        <v>257</v>
      </c>
      <c r="H283" s="79" t="s">
        <v>257</v>
      </c>
      <c r="I283" s="79" t="s">
        <v>257</v>
      </c>
      <c r="J283" s="2" t="b">
        <f t="shared" si="8"/>
        <v>1</v>
      </c>
      <c r="K283" s="79">
        <v>0</v>
      </c>
      <c r="L283" s="79" t="s">
        <v>1707</v>
      </c>
      <c r="M283" s="79" t="s">
        <v>1717</v>
      </c>
      <c r="N283" s="81" t="s">
        <v>48</v>
      </c>
      <c r="O283" s="79" t="s">
        <v>49</v>
      </c>
      <c r="P283" s="79" t="s">
        <v>50</v>
      </c>
      <c r="Q283" s="79" t="s">
        <v>390</v>
      </c>
      <c r="R283" s="79" t="s">
        <v>52</v>
      </c>
      <c r="S283" s="79" t="s">
        <v>262</v>
      </c>
      <c r="T283" s="79" t="s">
        <v>139</v>
      </c>
      <c r="U283" s="79" t="s">
        <v>55</v>
      </c>
      <c r="V283" s="79" t="s">
        <v>70</v>
      </c>
      <c r="W283" s="79" t="s">
        <v>391</v>
      </c>
      <c r="X283" s="79">
        <v>65000000</v>
      </c>
      <c r="Y283" s="79" t="s">
        <v>85</v>
      </c>
      <c r="Z283" s="79" t="s">
        <v>514</v>
      </c>
      <c r="AA283" s="79" t="s">
        <v>60</v>
      </c>
      <c r="AB283" s="79" t="s">
        <v>61</v>
      </c>
      <c r="AC283" s="79" t="s">
        <v>87</v>
      </c>
      <c r="AD283" s="79" t="s">
        <v>514</v>
      </c>
      <c r="AE283" s="79" t="s">
        <v>1709</v>
      </c>
      <c r="AF283" s="82">
        <v>2.5</v>
      </c>
      <c r="AG283" s="82">
        <v>2.5</v>
      </c>
      <c r="AH283" s="79" t="str">
        <f t="shared" si="0"/>
        <v>yes</v>
      </c>
      <c r="AI283" s="2" t="str" cm="1">
        <f t="array" ref="AI283">_xlfn.IFS(AF283&lt;25,"Less",AF283=25,"Equal",AF283&gt;25,"More")</f>
        <v>Less</v>
      </c>
      <c r="AJ283" s="82"/>
      <c r="AK283" s="82" t="s">
        <v>64</v>
      </c>
      <c r="AL283" s="79" t="s">
        <v>1710</v>
      </c>
      <c r="AM283" s="83" t="str">
        <f>VLOOKUP(D283,'slb RAW'!$E$2:$AF$293,9)</f>
        <v>#N/A N/A</v>
      </c>
      <c r="AN283" s="79" t="str">
        <f>VLOOKUP(D283,'slb RAW'!$E$2:$AE$293,27)</f>
        <v>#N/A N/A</v>
      </c>
      <c r="AO283" s="79" t="e">
        <f>VLOOKUP(C283,'Refinitiv SLB'!F283:S460,14)</f>
        <v>#N/A</v>
      </c>
      <c r="AP283" s="79" t="str">
        <f t="shared" si="1"/>
        <v>#N/A N/A</v>
      </c>
      <c r="AQ283" s="84" t="str">
        <f t="shared" si="2"/>
        <v>Lenzing AGAT MATURITYFLOATINGUSDSr Unsecured</v>
      </c>
      <c r="AR283" s="83" t="b">
        <f ca="1">ISNUMBER( IFERROR(VLOOKUP(A283,Pairs!$E$2:$E$57,1,FALSE),FALSE))</f>
        <v>0</v>
      </c>
      <c r="AS283" s="83"/>
      <c r="AT283" s="83"/>
    </row>
    <row r="284" spans="1:46" s="90" customFormat="1" ht="15.75" customHeight="1" x14ac:dyDescent="0.2">
      <c r="A284" s="85">
        <v>181</v>
      </c>
      <c r="B284" s="85" t="s">
        <v>1724</v>
      </c>
      <c r="C284" s="85" t="str">
        <f>VLOOKUP(D284,'slb RAW'!$E:$F,2)</f>
        <v>#N/A Field Not Applicable</v>
      </c>
      <c r="D284" s="85" t="s">
        <v>1725</v>
      </c>
      <c r="E284" s="85" t="s">
        <v>1726</v>
      </c>
      <c r="F284" s="85" t="s">
        <v>1727</v>
      </c>
      <c r="G284" s="85" t="s">
        <v>199</v>
      </c>
      <c r="H284" s="85" t="s">
        <v>199</v>
      </c>
      <c r="I284" s="85" t="s">
        <v>199</v>
      </c>
      <c r="J284" s="2" t="b">
        <f t="shared" si="8"/>
        <v>1</v>
      </c>
      <c r="K284" s="85">
        <v>0</v>
      </c>
      <c r="L284" s="85" t="s">
        <v>1728</v>
      </c>
      <c r="M284" s="85" t="s">
        <v>1729</v>
      </c>
      <c r="N284" s="91" t="s">
        <v>48</v>
      </c>
      <c r="O284" s="85" t="s">
        <v>49</v>
      </c>
      <c r="P284" s="85" t="s">
        <v>50</v>
      </c>
      <c r="Q284" s="85" t="s">
        <v>76</v>
      </c>
      <c r="R284" s="85" t="s">
        <v>52</v>
      </c>
      <c r="S284" s="85" t="s">
        <v>53</v>
      </c>
      <c r="T284" s="85" t="s">
        <v>139</v>
      </c>
      <c r="U284" s="85" t="s">
        <v>55</v>
      </c>
      <c r="V284" s="85" t="s">
        <v>70</v>
      </c>
      <c r="W284" s="85" t="s">
        <v>71</v>
      </c>
      <c r="X284" s="85">
        <v>69326875</v>
      </c>
      <c r="Y284" s="85" t="s">
        <v>58</v>
      </c>
      <c r="Z284" s="85" t="s">
        <v>505</v>
      </c>
      <c r="AA284" s="85" t="s">
        <v>60</v>
      </c>
      <c r="AB284" s="85" t="s">
        <v>61</v>
      </c>
      <c r="AC284" s="85" t="s">
        <v>213</v>
      </c>
      <c r="AD284" s="85" t="s">
        <v>215</v>
      </c>
      <c r="AE284" s="85" t="s">
        <v>1730</v>
      </c>
      <c r="AF284" s="88">
        <v>75</v>
      </c>
      <c r="AG284" s="87"/>
      <c r="AH284" s="85" t="str">
        <f t="shared" si="0"/>
        <v/>
      </c>
      <c r="AI284" s="2" t="str" cm="1">
        <f t="array" ref="AI284">_xlfn.IFS(AF284&lt;25,"Less",AF284=25,"Equal",AF284&gt;25,"More")</f>
        <v>More</v>
      </c>
      <c r="AJ284" s="87"/>
      <c r="AK284" s="87" t="s">
        <v>48</v>
      </c>
      <c r="AL284" s="85" t="s">
        <v>1731</v>
      </c>
      <c r="AM284" s="88" t="str">
        <f>VLOOKUP(D284,'slb RAW'!$E$2:$AF$293,9)</f>
        <v>#N/A N/A</v>
      </c>
      <c r="AN284" s="85" t="str">
        <f>VLOOKUP(D284,'slb RAW'!$E$2:$AE$293,27)</f>
        <v>#N/A N/A</v>
      </c>
      <c r="AO284" s="85" t="e">
        <f>VLOOKUP(C284,'Refinitiv SLB'!F284:S461,14)</f>
        <v>#N/A</v>
      </c>
      <c r="AP284" s="85" t="str">
        <f t="shared" si="1"/>
        <v>#N/A N/A</v>
      </c>
      <c r="AQ284" s="89" t="str">
        <f t="shared" si="2"/>
        <v>Maire Tecnimont SpAAT MATURITYFLOATINGEURSr Unsecured</v>
      </c>
      <c r="AR284" s="88" t="b">
        <f ca="1">ISNUMBER( IFERROR(VLOOKUP(A284,Pairs!$E$2:$E$57,1,FALSE),FALSE))</f>
        <v>0</v>
      </c>
      <c r="AS284" s="88"/>
      <c r="AT284" s="88"/>
    </row>
    <row r="285" spans="1:46" s="90" customFormat="1" ht="15.75" customHeight="1" x14ac:dyDescent="0.2">
      <c r="A285" s="85">
        <v>180</v>
      </c>
      <c r="B285" s="85" t="s">
        <v>1724</v>
      </c>
      <c r="C285" s="85" t="str">
        <f>VLOOKUP(D285,'slb RAW'!$E:$F,2)</f>
        <v>#N/A Field Not Applicable</v>
      </c>
      <c r="D285" s="85" t="s">
        <v>1732</v>
      </c>
      <c r="E285" s="85" t="s">
        <v>1733</v>
      </c>
      <c r="F285" s="85" t="s">
        <v>1727</v>
      </c>
      <c r="G285" s="85" t="s">
        <v>199</v>
      </c>
      <c r="H285" s="85" t="s">
        <v>199</v>
      </c>
      <c r="I285" s="85" t="s">
        <v>199</v>
      </c>
      <c r="J285" s="2" t="b">
        <f t="shared" si="8"/>
        <v>1</v>
      </c>
      <c r="K285" s="85">
        <v>0</v>
      </c>
      <c r="L285" s="85" t="s">
        <v>1728</v>
      </c>
      <c r="M285" s="85" t="s">
        <v>1734</v>
      </c>
      <c r="N285" s="91" t="s">
        <v>48</v>
      </c>
      <c r="O285" s="85" t="s">
        <v>49</v>
      </c>
      <c r="P285" s="85" t="s">
        <v>50</v>
      </c>
      <c r="Q285" s="85" t="s">
        <v>144</v>
      </c>
      <c r="R285" s="85" t="s">
        <v>52</v>
      </c>
      <c r="S285" s="85" t="s">
        <v>53</v>
      </c>
      <c r="T285" s="85" t="s">
        <v>139</v>
      </c>
      <c r="U285" s="85" t="s">
        <v>55</v>
      </c>
      <c r="V285" s="85" t="s">
        <v>70</v>
      </c>
      <c r="W285" s="85" t="s">
        <v>71</v>
      </c>
      <c r="X285" s="85">
        <v>69326875</v>
      </c>
      <c r="Y285" s="85" t="s">
        <v>58</v>
      </c>
      <c r="Z285" s="85" t="s">
        <v>505</v>
      </c>
      <c r="AA285" s="85" t="s">
        <v>60</v>
      </c>
      <c r="AB285" s="85" t="s">
        <v>61</v>
      </c>
      <c r="AC285" s="85" t="s">
        <v>213</v>
      </c>
      <c r="AD285" s="85" t="s">
        <v>215</v>
      </c>
      <c r="AE285" s="85" t="s">
        <v>1730</v>
      </c>
      <c r="AF285" s="88">
        <v>75</v>
      </c>
      <c r="AG285" s="87"/>
      <c r="AH285" s="85" t="str">
        <f t="shared" si="0"/>
        <v/>
      </c>
      <c r="AI285" s="2" t="str" cm="1">
        <f t="array" ref="AI285">_xlfn.IFS(AF285&lt;25,"Less",AF285=25,"Equal",AF285&gt;25,"More")</f>
        <v>More</v>
      </c>
      <c r="AJ285" s="87"/>
      <c r="AK285" s="87" t="s">
        <v>48</v>
      </c>
      <c r="AL285" s="85" t="s">
        <v>1731</v>
      </c>
      <c r="AM285" s="88" t="str">
        <f>VLOOKUP(D285,'slb RAW'!$E$2:$AF$293,9)</f>
        <v>#N/A N/A</v>
      </c>
      <c r="AN285" s="85" t="str">
        <f>VLOOKUP(D285,'slb RAW'!$E$2:$AE$293,27)</f>
        <v>#N/A N/A</v>
      </c>
      <c r="AO285" s="85" t="e">
        <f>VLOOKUP(C285,'Refinitiv SLB'!F285:S462,14)</f>
        <v>#N/A</v>
      </c>
      <c r="AP285" s="85" t="str">
        <f t="shared" si="1"/>
        <v>#N/A N/A</v>
      </c>
      <c r="AQ285" s="89" t="str">
        <f t="shared" si="2"/>
        <v>Maire Tecnimont SpAAT MATURITYFLOATINGEURSr Unsecured</v>
      </c>
      <c r="AR285" s="88" t="b">
        <f ca="1">ISNUMBER( IFERROR(VLOOKUP(A285,Pairs!$E$2:$E$57,1,FALSE),FALSE))</f>
        <v>0</v>
      </c>
      <c r="AS285" s="88"/>
      <c r="AT285" s="88"/>
    </row>
    <row r="286" spans="1:46" ht="15.75" customHeight="1" x14ac:dyDescent="0.2">
      <c r="A286" s="2">
        <v>91</v>
      </c>
      <c r="B286" s="2" t="s">
        <v>641</v>
      </c>
      <c r="C286" s="2" t="str">
        <f>VLOOKUP(D286,'slb RAW'!$E:$F,2)</f>
        <v>US29278GAL23</v>
      </c>
      <c r="D286" s="2" t="s">
        <v>1735</v>
      </c>
      <c r="E286" s="2" t="s">
        <v>1736</v>
      </c>
      <c r="F286" s="2" t="s">
        <v>644</v>
      </c>
      <c r="G286" s="2" t="s">
        <v>366</v>
      </c>
      <c r="H286" s="2" t="s">
        <v>366</v>
      </c>
      <c r="I286" s="2" t="s">
        <v>199</v>
      </c>
      <c r="J286" s="2" t="b">
        <f t="shared" si="8"/>
        <v>0</v>
      </c>
      <c r="K286" s="2">
        <v>2.65</v>
      </c>
      <c r="L286" s="2" t="s">
        <v>1737</v>
      </c>
      <c r="M286" s="2" t="s">
        <v>1738</v>
      </c>
      <c r="N286" s="2">
        <v>2.6760000000000002</v>
      </c>
      <c r="O286" s="2" t="s">
        <v>49</v>
      </c>
      <c r="P286" s="2" t="s">
        <v>50</v>
      </c>
      <c r="Q286" s="2" t="s">
        <v>261</v>
      </c>
      <c r="R286" s="2" t="s">
        <v>52</v>
      </c>
      <c r="S286" s="2" t="s">
        <v>262</v>
      </c>
      <c r="T286" s="2" t="s">
        <v>619</v>
      </c>
      <c r="U286" s="2" t="s">
        <v>55</v>
      </c>
      <c r="V286" s="2" t="s">
        <v>56</v>
      </c>
      <c r="W286" s="2" t="s">
        <v>71</v>
      </c>
      <c r="X286" s="2">
        <v>1500000000</v>
      </c>
      <c r="Y286" s="2" t="s">
        <v>120</v>
      </c>
      <c r="Z286" s="2" t="s">
        <v>120</v>
      </c>
      <c r="AA286" s="2" t="s">
        <v>60</v>
      </c>
      <c r="AB286" s="2" t="s">
        <v>121</v>
      </c>
      <c r="AC286" s="2" t="s">
        <v>122</v>
      </c>
      <c r="AD286" s="2" t="s">
        <v>122</v>
      </c>
      <c r="AE286" s="2" t="s">
        <v>1739</v>
      </c>
      <c r="AF286" s="5">
        <v>25</v>
      </c>
      <c r="AG286" s="6"/>
      <c r="AH286" s="2" t="str">
        <f t="shared" si="0"/>
        <v/>
      </c>
      <c r="AI286" s="2" t="str" cm="1">
        <f t="array" ref="AI286">_xlfn.IFS(AF286&lt;25,"Less",AF286=25,"Equal",AF286&gt;25,"More")</f>
        <v>Equal</v>
      </c>
      <c r="AJ286" s="6"/>
      <c r="AK286" s="6" t="s">
        <v>125</v>
      </c>
      <c r="AL286" s="2" t="s">
        <v>1740</v>
      </c>
      <c r="AM286" s="5">
        <f>VLOOKUP(D286,'slb RAW'!$E$2:$AF$293,9)</f>
        <v>2.6760000000000002</v>
      </c>
      <c r="AN286" s="2">
        <f>VLOOKUP(D286,'slb RAW'!$E$2:$AE$293,27)</f>
        <v>2.677</v>
      </c>
      <c r="AO286" s="2" t="e">
        <f>VLOOKUP(C286,'Refinitiv SLB'!F286:S463,14)</f>
        <v>#N/A</v>
      </c>
      <c r="AP286" s="2">
        <f t="shared" si="1"/>
        <v>2.677</v>
      </c>
      <c r="AQ286" s="7" t="str">
        <f t="shared" si="2"/>
        <v>Enel Finance International NVAT MATURITYFIXEDUSDSr Unsecured</v>
      </c>
      <c r="AR286" s="5" t="b">
        <f ca="1">ISNUMBER( IFERROR(VLOOKUP(A286,Pairs!$E$2:$E$57,1,FALSE),FALSE))</f>
        <v>1</v>
      </c>
      <c r="AS286" s="5"/>
      <c r="AT286" s="5"/>
    </row>
    <row r="287" spans="1:46" ht="15.75" customHeight="1" x14ac:dyDescent="0.2">
      <c r="A287" s="2">
        <v>92</v>
      </c>
      <c r="B287" s="2" t="s">
        <v>641</v>
      </c>
      <c r="C287" s="2" t="str">
        <f>VLOOKUP(D287,'slb RAW'!$E:$F,2)</f>
        <v>USN30707AM05</v>
      </c>
      <c r="D287" s="2" t="s">
        <v>1741</v>
      </c>
      <c r="E287" s="2" t="s">
        <v>1742</v>
      </c>
      <c r="F287" s="2" t="s">
        <v>644</v>
      </c>
      <c r="G287" s="2" t="s">
        <v>366</v>
      </c>
      <c r="H287" s="2" t="s">
        <v>366</v>
      </c>
      <c r="I287" s="2" t="s">
        <v>199</v>
      </c>
      <c r="J287" s="2" t="b">
        <f t="shared" si="8"/>
        <v>0</v>
      </c>
      <c r="K287" s="2">
        <v>2.65</v>
      </c>
      <c r="L287" s="2" t="s">
        <v>1737</v>
      </c>
      <c r="M287" s="2" t="s">
        <v>1738</v>
      </c>
      <c r="N287" s="2">
        <v>2.6760000000000002</v>
      </c>
      <c r="O287" s="2" t="s">
        <v>49</v>
      </c>
      <c r="P287" s="2" t="s">
        <v>50</v>
      </c>
      <c r="Q287" s="2" t="s">
        <v>270</v>
      </c>
      <c r="R287" s="2" t="s">
        <v>52</v>
      </c>
      <c r="S287" s="2" t="s">
        <v>262</v>
      </c>
      <c r="T287" s="2" t="s">
        <v>619</v>
      </c>
      <c r="U287" s="2" t="s">
        <v>55</v>
      </c>
      <c r="V287" s="2" t="s">
        <v>56</v>
      </c>
      <c r="W287" s="2" t="s">
        <v>71</v>
      </c>
      <c r="X287" s="2">
        <v>1500000000</v>
      </c>
      <c r="Y287" s="2" t="s">
        <v>120</v>
      </c>
      <c r="Z287" s="2" t="s">
        <v>120</v>
      </c>
      <c r="AA287" s="2" t="s">
        <v>60</v>
      </c>
      <c r="AB287" s="2" t="s">
        <v>121</v>
      </c>
      <c r="AC287" s="2" t="s">
        <v>122</v>
      </c>
      <c r="AD287" s="2" t="s">
        <v>122</v>
      </c>
      <c r="AE287" s="2" t="s">
        <v>1739</v>
      </c>
      <c r="AF287" s="5">
        <v>25</v>
      </c>
      <c r="AG287" s="6"/>
      <c r="AH287" s="2" t="str">
        <f t="shared" si="0"/>
        <v/>
      </c>
      <c r="AI287" s="2" t="str" cm="1">
        <f t="array" ref="AI287">_xlfn.IFS(AF287&lt;25,"Less",AF287=25,"Equal",AF287&gt;25,"More")</f>
        <v>Equal</v>
      </c>
      <c r="AJ287" s="6"/>
      <c r="AK287" s="6" t="s">
        <v>125</v>
      </c>
      <c r="AL287" s="2" t="s">
        <v>1743</v>
      </c>
      <c r="AM287" s="5">
        <f>VLOOKUP(D287,'slb RAW'!$E$2:$AF$293,9)</f>
        <v>2.6760000000000002</v>
      </c>
      <c r="AN287" s="2">
        <f>VLOOKUP(D287,'slb RAW'!$E$2:$AE$293,27)</f>
        <v>2.677</v>
      </c>
      <c r="AO287" s="2" t="e">
        <f>VLOOKUP(C287,'Refinitiv SLB'!F287:S464,14)</f>
        <v>#N/A</v>
      </c>
      <c r="AP287" s="2">
        <f t="shared" si="1"/>
        <v>2.677</v>
      </c>
      <c r="AQ287" s="7" t="str">
        <f t="shared" si="2"/>
        <v>Enel Finance International NVAT MATURITYFIXEDUSDSr Unsecured</v>
      </c>
      <c r="AR287" s="5" t="b">
        <f ca="1">ISNUMBER( IFERROR(VLOOKUP(A287,Pairs!$E$2:$E$57,1,FALSE),FALSE))</f>
        <v>1</v>
      </c>
      <c r="AS287" s="5"/>
      <c r="AT287" s="5"/>
    </row>
    <row r="288" spans="1:46" ht="15.75" customHeight="1" x14ac:dyDescent="0.2">
      <c r="A288" s="2">
        <v>62</v>
      </c>
      <c r="B288" s="2" t="s">
        <v>41</v>
      </c>
      <c r="C288" s="2" t="str">
        <f>VLOOKUP(D288,'slb RAW'!$E:$F,2)</f>
        <v>#N/A Field Not Applicable</v>
      </c>
      <c r="D288" s="2" t="s">
        <v>1744</v>
      </c>
      <c r="E288" s="2" t="s">
        <v>1745</v>
      </c>
      <c r="F288" s="2" t="s">
        <v>44</v>
      </c>
      <c r="G288" s="2" t="s">
        <v>45</v>
      </c>
      <c r="H288" s="2" t="s">
        <v>45</v>
      </c>
      <c r="I288" s="2" t="s">
        <v>45</v>
      </c>
      <c r="J288" s="2" t="b">
        <f t="shared" si="8"/>
        <v>1</v>
      </c>
      <c r="K288" s="3">
        <v>0</v>
      </c>
      <c r="L288" s="2" t="s">
        <v>1746</v>
      </c>
      <c r="M288" s="2" t="s">
        <v>1747</v>
      </c>
      <c r="N288" s="4" t="s">
        <v>48</v>
      </c>
      <c r="O288" s="2" t="s">
        <v>49</v>
      </c>
      <c r="P288" s="2" t="s">
        <v>50</v>
      </c>
      <c r="Q288" s="2" t="s">
        <v>51</v>
      </c>
      <c r="R288" s="2" t="s">
        <v>52</v>
      </c>
      <c r="S288" s="2" t="s">
        <v>53</v>
      </c>
      <c r="T288" s="2" t="s">
        <v>54</v>
      </c>
      <c r="U288" s="2" t="s">
        <v>55</v>
      </c>
      <c r="V288" s="2" t="s">
        <v>56</v>
      </c>
      <c r="W288" s="2" t="s">
        <v>57</v>
      </c>
      <c r="X288" s="2">
        <v>225626000</v>
      </c>
      <c r="Y288" s="2" t="s">
        <v>58</v>
      </c>
      <c r="Z288" s="2" t="s">
        <v>59</v>
      </c>
      <c r="AA288" s="2" t="s">
        <v>60</v>
      </c>
      <c r="AB288" s="2" t="s">
        <v>61</v>
      </c>
      <c r="AC288" s="2" t="s">
        <v>62</v>
      </c>
      <c r="AD288" s="2" t="s">
        <v>62</v>
      </c>
      <c r="AE288" s="2" t="s">
        <v>63</v>
      </c>
      <c r="AF288" s="5">
        <v>2</v>
      </c>
      <c r="AG288" s="5">
        <v>2</v>
      </c>
      <c r="AH288" s="2" t="str">
        <f t="shared" si="0"/>
        <v>yes</v>
      </c>
      <c r="AI288" s="2" t="str" cm="1">
        <f t="array" ref="AI288">_xlfn.IFS(AF288&lt;25,"Less",AF288=25,"Equal",AF288&gt;25,"More")</f>
        <v>Less</v>
      </c>
      <c r="AJ288" s="6"/>
      <c r="AK288" s="6" t="s">
        <v>64</v>
      </c>
      <c r="AL288" s="2" t="s">
        <v>1748</v>
      </c>
      <c r="AM288" s="5" t="str">
        <f>VLOOKUP(D288,'slb RAW'!$E$2:$AF$293,9)</f>
        <v>#N/A N/A</v>
      </c>
      <c r="AN288" s="2" t="str">
        <f>VLOOKUP(D288,'slb RAW'!$E$2:$AE$293,27)</f>
        <v>#N/A N/A</v>
      </c>
      <c r="AO288" s="2" t="e">
        <f>VLOOKUP(C288,'Refinitiv SLB'!F288:S465,14)</f>
        <v>#N/A</v>
      </c>
      <c r="AP288" s="2" t="str">
        <f t="shared" si="1"/>
        <v>#N/A N/A</v>
      </c>
      <c r="AQ288" s="7" t="str">
        <f t="shared" si="2"/>
        <v>Duerr AGAT MATURITYFIXEDEURSr Unsecured</v>
      </c>
      <c r="AR288" s="5" t="b">
        <f ca="1">ISNUMBER( IFERROR(VLOOKUP(A288,Pairs!$E$2:$E$57,1,FALSE),FALSE))</f>
        <v>0</v>
      </c>
      <c r="AS288" s="5"/>
      <c r="AT288" s="5"/>
    </row>
    <row r="289" spans="1:46" ht="15.75" customHeight="1" x14ac:dyDescent="0.2">
      <c r="A289" s="2">
        <v>63</v>
      </c>
      <c r="B289" s="2" t="s">
        <v>41</v>
      </c>
      <c r="C289" s="2" t="str">
        <f>VLOOKUP(D289,'slb RAW'!$E:$F,2)</f>
        <v>#N/A Field Not Applicable</v>
      </c>
      <c r="D289" s="2" t="s">
        <v>1749</v>
      </c>
      <c r="E289" s="2" t="s">
        <v>1750</v>
      </c>
      <c r="F289" s="2" t="s">
        <v>44</v>
      </c>
      <c r="G289" s="2" t="s">
        <v>45</v>
      </c>
      <c r="H289" s="2" t="s">
        <v>45</v>
      </c>
      <c r="I289" s="2" t="s">
        <v>45</v>
      </c>
      <c r="J289" s="2" t="b">
        <f t="shared" si="8"/>
        <v>1</v>
      </c>
      <c r="K289" s="3">
        <v>0</v>
      </c>
      <c r="L289" s="2" t="s">
        <v>1746</v>
      </c>
      <c r="M289" s="2" t="s">
        <v>1751</v>
      </c>
      <c r="N289" s="4" t="s">
        <v>48</v>
      </c>
      <c r="O289" s="2" t="s">
        <v>49</v>
      </c>
      <c r="P289" s="2" t="s">
        <v>50</v>
      </c>
      <c r="Q289" s="2" t="s">
        <v>1752</v>
      </c>
      <c r="R289" s="2" t="s">
        <v>52</v>
      </c>
      <c r="S289" s="2" t="s">
        <v>53</v>
      </c>
      <c r="T289" s="2" t="s">
        <v>54</v>
      </c>
      <c r="U289" s="2" t="s">
        <v>55</v>
      </c>
      <c r="V289" s="2" t="s">
        <v>56</v>
      </c>
      <c r="W289" s="2" t="s">
        <v>57</v>
      </c>
      <c r="X289" s="2">
        <v>225626000</v>
      </c>
      <c r="Y289" s="2" t="s">
        <v>58</v>
      </c>
      <c r="Z289" s="2" t="s">
        <v>59</v>
      </c>
      <c r="AA289" s="2" t="s">
        <v>60</v>
      </c>
      <c r="AB289" s="2" t="s">
        <v>61</v>
      </c>
      <c r="AC289" s="2" t="s">
        <v>62</v>
      </c>
      <c r="AD289" s="2" t="s">
        <v>62</v>
      </c>
      <c r="AE289" s="2" t="s">
        <v>63</v>
      </c>
      <c r="AF289" s="5">
        <v>2</v>
      </c>
      <c r="AG289" s="5">
        <v>2</v>
      </c>
      <c r="AH289" s="2" t="str">
        <f t="shared" si="0"/>
        <v>yes</v>
      </c>
      <c r="AI289" s="2" t="str" cm="1">
        <f t="array" ref="AI289">_xlfn.IFS(AF289&lt;25,"Less",AF289=25,"Equal",AF289&gt;25,"More")</f>
        <v>Less</v>
      </c>
      <c r="AJ289" s="6"/>
      <c r="AK289" s="6" t="s">
        <v>64</v>
      </c>
      <c r="AL289" s="2" t="s">
        <v>1748</v>
      </c>
      <c r="AM289" s="5" t="str">
        <f>VLOOKUP(D289,'slb RAW'!$E$2:$AF$293,9)</f>
        <v>#N/A N/A</v>
      </c>
      <c r="AN289" s="2" t="str">
        <f>VLOOKUP(D289,'slb RAW'!$E$2:$AE$293,27)</f>
        <v>#N/A N/A</v>
      </c>
      <c r="AO289" s="2" t="e">
        <f>VLOOKUP(C289,'Refinitiv SLB'!F289:S466,14)</f>
        <v>#N/A</v>
      </c>
      <c r="AP289" s="2" t="str">
        <f t="shared" si="1"/>
        <v>#N/A N/A</v>
      </c>
      <c r="AQ289" s="7" t="str">
        <f t="shared" si="2"/>
        <v>Duerr AGAT MATURITYFIXEDEURSr Unsecured</v>
      </c>
      <c r="AR289" s="5" t="b">
        <f ca="1">ISNUMBER( IFERROR(VLOOKUP(A289,Pairs!$E$2:$E$57,1,FALSE),FALSE))</f>
        <v>0</v>
      </c>
      <c r="AS289" s="5"/>
      <c r="AT289" s="5"/>
    </row>
    <row r="290" spans="1:46" ht="15.75" customHeight="1" x14ac:dyDescent="0.2">
      <c r="A290" s="2">
        <v>64</v>
      </c>
      <c r="B290" s="2" t="s">
        <v>41</v>
      </c>
      <c r="C290" s="2" t="str">
        <f>VLOOKUP(D290,'slb RAW'!$E:$F,2)</f>
        <v>#N/A Field Not Applicable</v>
      </c>
      <c r="D290" s="2" t="s">
        <v>1753</v>
      </c>
      <c r="E290" s="2" t="s">
        <v>1754</v>
      </c>
      <c r="F290" s="2" t="s">
        <v>44</v>
      </c>
      <c r="G290" s="2" t="s">
        <v>45</v>
      </c>
      <c r="H290" s="2" t="s">
        <v>45</v>
      </c>
      <c r="I290" s="2" t="s">
        <v>45</v>
      </c>
      <c r="J290" s="2" t="b">
        <f t="shared" si="8"/>
        <v>1</v>
      </c>
      <c r="K290" s="3">
        <v>0</v>
      </c>
      <c r="L290" s="2" t="s">
        <v>1746</v>
      </c>
      <c r="M290" s="2" t="s">
        <v>1755</v>
      </c>
      <c r="N290" s="4" t="s">
        <v>48</v>
      </c>
      <c r="O290" s="2" t="s">
        <v>49</v>
      </c>
      <c r="P290" s="2" t="s">
        <v>50</v>
      </c>
      <c r="Q290" s="2" t="s">
        <v>1311</v>
      </c>
      <c r="R290" s="2" t="s">
        <v>52</v>
      </c>
      <c r="S290" s="2" t="s">
        <v>53</v>
      </c>
      <c r="T290" s="2" t="s">
        <v>54</v>
      </c>
      <c r="U290" s="2" t="s">
        <v>55</v>
      </c>
      <c r="V290" s="2" t="s">
        <v>56</v>
      </c>
      <c r="W290" s="2" t="s">
        <v>57</v>
      </c>
      <c r="X290" s="2">
        <v>225626000</v>
      </c>
      <c r="Y290" s="2" t="s">
        <v>58</v>
      </c>
      <c r="Z290" s="2" t="s">
        <v>59</v>
      </c>
      <c r="AA290" s="2" t="s">
        <v>60</v>
      </c>
      <c r="AB290" s="2" t="s">
        <v>61</v>
      </c>
      <c r="AC290" s="2" t="s">
        <v>62</v>
      </c>
      <c r="AD290" s="2" t="s">
        <v>62</v>
      </c>
      <c r="AE290" s="2" t="s">
        <v>63</v>
      </c>
      <c r="AF290" s="5">
        <v>2</v>
      </c>
      <c r="AG290" s="5">
        <v>2</v>
      </c>
      <c r="AH290" s="2" t="str">
        <f t="shared" si="0"/>
        <v>yes</v>
      </c>
      <c r="AI290" s="2" t="str" cm="1">
        <f t="array" ref="AI290">_xlfn.IFS(AF290&lt;25,"Less",AF290=25,"Equal",AF290&gt;25,"More")</f>
        <v>Less</v>
      </c>
      <c r="AJ290" s="6"/>
      <c r="AK290" s="6" t="s">
        <v>64</v>
      </c>
      <c r="AL290" s="2" t="s">
        <v>1748</v>
      </c>
      <c r="AM290" s="5" t="str">
        <f>VLOOKUP(D290,'slb RAW'!$E$2:$AF$293,9)</f>
        <v>#N/A N/A</v>
      </c>
      <c r="AN290" s="2" t="str">
        <f>VLOOKUP(D290,'slb RAW'!$E$2:$AE$293,27)</f>
        <v>#N/A N/A</v>
      </c>
      <c r="AO290" s="2" t="e">
        <f>VLOOKUP(C290,'Refinitiv SLB'!F290:S467,14)</f>
        <v>#N/A</v>
      </c>
      <c r="AP290" s="2" t="str">
        <f t="shared" si="1"/>
        <v>#N/A N/A</v>
      </c>
      <c r="AQ290" s="7" t="str">
        <f t="shared" si="2"/>
        <v>Duerr AGAT MATURITYFIXEDEURSr Unsecured</v>
      </c>
      <c r="AR290" s="5" t="b">
        <f ca="1">ISNUMBER( IFERROR(VLOOKUP(A290,Pairs!$E$2:$E$57,1,FALSE),FALSE))</f>
        <v>0</v>
      </c>
      <c r="AS290" s="5"/>
      <c r="AT290" s="5"/>
    </row>
    <row r="291" spans="1:46" ht="15.75" customHeight="1" x14ac:dyDescent="0.2">
      <c r="A291" s="2">
        <v>65</v>
      </c>
      <c r="B291" s="2" t="s">
        <v>41</v>
      </c>
      <c r="C291" s="2" t="str">
        <f>VLOOKUP(D291,'slb RAW'!$E:$F,2)</f>
        <v>#N/A Field Not Applicable</v>
      </c>
      <c r="D291" s="2" t="s">
        <v>1756</v>
      </c>
      <c r="E291" s="2" t="s">
        <v>1757</v>
      </c>
      <c r="F291" s="2" t="s">
        <v>44</v>
      </c>
      <c r="G291" s="2" t="s">
        <v>45</v>
      </c>
      <c r="H291" s="2" t="s">
        <v>45</v>
      </c>
      <c r="I291" s="2" t="s">
        <v>45</v>
      </c>
      <c r="J291" s="2" t="b">
        <f t="shared" si="8"/>
        <v>1</v>
      </c>
      <c r="K291" s="3">
        <v>0</v>
      </c>
      <c r="L291" s="2" t="s">
        <v>1746</v>
      </c>
      <c r="M291" s="2" t="s">
        <v>1758</v>
      </c>
      <c r="N291" s="4" t="s">
        <v>48</v>
      </c>
      <c r="O291" s="2" t="s">
        <v>49</v>
      </c>
      <c r="P291" s="2" t="s">
        <v>50</v>
      </c>
      <c r="Q291" s="2" t="s">
        <v>104</v>
      </c>
      <c r="R291" s="2" t="s">
        <v>52</v>
      </c>
      <c r="S291" s="2" t="s">
        <v>53</v>
      </c>
      <c r="T291" s="2" t="s">
        <v>54</v>
      </c>
      <c r="U291" s="2" t="s">
        <v>55</v>
      </c>
      <c r="V291" s="2" t="s">
        <v>56</v>
      </c>
      <c r="W291" s="2" t="s">
        <v>57</v>
      </c>
      <c r="X291" s="2">
        <v>225626000</v>
      </c>
      <c r="Y291" s="2" t="s">
        <v>58</v>
      </c>
      <c r="Z291" s="2" t="s">
        <v>59</v>
      </c>
      <c r="AA291" s="2" t="s">
        <v>60</v>
      </c>
      <c r="AB291" s="2" t="s">
        <v>61</v>
      </c>
      <c r="AC291" s="2" t="s">
        <v>62</v>
      </c>
      <c r="AD291" s="2" t="s">
        <v>62</v>
      </c>
      <c r="AE291" s="2" t="s">
        <v>63</v>
      </c>
      <c r="AF291" s="5">
        <v>2</v>
      </c>
      <c r="AG291" s="5">
        <v>2</v>
      </c>
      <c r="AH291" s="2" t="str">
        <f t="shared" si="0"/>
        <v>yes</v>
      </c>
      <c r="AI291" s="2" t="str" cm="1">
        <f t="array" ref="AI291">_xlfn.IFS(AF291&lt;25,"Less",AF291=25,"Equal",AF291&gt;25,"More")</f>
        <v>Less</v>
      </c>
      <c r="AJ291" s="6"/>
      <c r="AK291" s="6" t="s">
        <v>64</v>
      </c>
      <c r="AL291" s="2" t="s">
        <v>1748</v>
      </c>
      <c r="AM291" s="5" t="str">
        <f>VLOOKUP(D291,'slb RAW'!$E$2:$AF$293,9)</f>
        <v>#N/A N/A</v>
      </c>
      <c r="AN291" s="2" t="str">
        <f>VLOOKUP(D291,'slb RAW'!$E$2:$AE$293,27)</f>
        <v>#N/A N/A</v>
      </c>
      <c r="AO291" s="2" t="e">
        <f>VLOOKUP(C291,'Refinitiv SLB'!F291:S468,14)</f>
        <v>#N/A</v>
      </c>
      <c r="AP291" s="2" t="str">
        <f t="shared" si="1"/>
        <v>#N/A N/A</v>
      </c>
      <c r="AQ291" s="7" t="str">
        <f t="shared" si="2"/>
        <v>Duerr AGAT MATURITYFIXEDEURSr Unsecured</v>
      </c>
      <c r="AR291" s="5" t="b">
        <f ca="1">ISNUMBER( IFERROR(VLOOKUP(A291,Pairs!$E$2:$E$57,1,FALSE),FALSE))</f>
        <v>0</v>
      </c>
      <c r="AS291" s="5"/>
      <c r="AT291" s="5"/>
    </row>
    <row r="292" spans="1:46" ht="15.75" customHeight="1" x14ac:dyDescent="0.2">
      <c r="A292" s="2">
        <v>66</v>
      </c>
      <c r="B292" s="2" t="s">
        <v>41</v>
      </c>
      <c r="C292" s="2" t="str">
        <f>VLOOKUP(D292,'slb RAW'!$E:$F,2)</f>
        <v>#N/A Field Not Applicable</v>
      </c>
      <c r="D292" s="2" t="s">
        <v>1759</v>
      </c>
      <c r="E292" s="2" t="s">
        <v>1760</v>
      </c>
      <c r="F292" s="2" t="s">
        <v>44</v>
      </c>
      <c r="G292" s="2" t="s">
        <v>45</v>
      </c>
      <c r="H292" s="2" t="s">
        <v>45</v>
      </c>
      <c r="I292" s="2" t="s">
        <v>45</v>
      </c>
      <c r="J292" s="2" t="b">
        <f t="shared" si="8"/>
        <v>1</v>
      </c>
      <c r="K292" s="3">
        <v>0</v>
      </c>
      <c r="L292" s="2" t="s">
        <v>1746</v>
      </c>
      <c r="M292" s="2" t="s">
        <v>1755</v>
      </c>
      <c r="N292" s="4" t="s">
        <v>48</v>
      </c>
      <c r="O292" s="2" t="s">
        <v>49</v>
      </c>
      <c r="P292" s="2" t="s">
        <v>50</v>
      </c>
      <c r="Q292" s="2" t="s">
        <v>1096</v>
      </c>
      <c r="R292" s="2" t="s">
        <v>52</v>
      </c>
      <c r="S292" s="2" t="s">
        <v>53</v>
      </c>
      <c r="T292" s="2" t="s">
        <v>54</v>
      </c>
      <c r="U292" s="2" t="s">
        <v>55</v>
      </c>
      <c r="V292" s="2" t="s">
        <v>70</v>
      </c>
      <c r="W292" s="2" t="s">
        <v>71</v>
      </c>
      <c r="X292" s="2">
        <v>225626000</v>
      </c>
      <c r="Y292" s="2" t="s">
        <v>58</v>
      </c>
      <c r="Z292" s="2" t="s">
        <v>59</v>
      </c>
      <c r="AA292" s="2" t="s">
        <v>60</v>
      </c>
      <c r="AB292" s="2" t="s">
        <v>61</v>
      </c>
      <c r="AC292" s="2" t="s">
        <v>62</v>
      </c>
      <c r="AD292" s="2" t="s">
        <v>62</v>
      </c>
      <c r="AE292" s="2" t="s">
        <v>63</v>
      </c>
      <c r="AF292" s="5">
        <v>2</v>
      </c>
      <c r="AG292" s="5">
        <v>2</v>
      </c>
      <c r="AH292" s="2" t="str">
        <f t="shared" si="0"/>
        <v>yes</v>
      </c>
      <c r="AI292" s="2" t="str" cm="1">
        <f t="array" ref="AI292">_xlfn.IFS(AF292&lt;25,"Less",AF292=25,"Equal",AF292&gt;25,"More")</f>
        <v>Less</v>
      </c>
      <c r="AJ292" s="6"/>
      <c r="AK292" s="6" t="s">
        <v>64</v>
      </c>
      <c r="AL292" s="2" t="s">
        <v>1748</v>
      </c>
      <c r="AM292" s="5" t="str">
        <f>VLOOKUP(D292,'slb RAW'!$E$2:$AF$293,9)</f>
        <v>#N/A N/A</v>
      </c>
      <c r="AN292" s="2" t="str">
        <f>VLOOKUP(D292,'slb RAW'!$E$2:$AE$293,27)</f>
        <v>#N/A N/A</v>
      </c>
      <c r="AO292" s="2" t="e">
        <f>VLOOKUP(C292,'Refinitiv SLB'!F292:S469,14)</f>
        <v>#N/A</v>
      </c>
      <c r="AP292" s="2" t="str">
        <f t="shared" si="1"/>
        <v>#N/A N/A</v>
      </c>
      <c r="AQ292" s="7" t="str">
        <f t="shared" si="2"/>
        <v>Duerr AGAT MATURITYFLOATINGEURSr Unsecured</v>
      </c>
      <c r="AR292" s="5" t="b">
        <f ca="1">ISNUMBER( IFERROR(VLOOKUP(A292,Pairs!$E$2:$E$57,1,FALSE),FALSE))</f>
        <v>0</v>
      </c>
      <c r="AS292" s="5"/>
      <c r="AT292" s="5"/>
    </row>
    <row r="293" spans="1:46" ht="15.75" customHeight="1" x14ac:dyDescent="0.2">
      <c r="A293" s="2">
        <v>67</v>
      </c>
      <c r="B293" s="2" t="s">
        <v>41</v>
      </c>
      <c r="C293" s="2" t="str">
        <f>VLOOKUP(D293,'slb RAW'!$E:$F,2)</f>
        <v>#N/A Field Not Applicable</v>
      </c>
      <c r="D293" s="2" t="s">
        <v>1761</v>
      </c>
      <c r="E293" s="2" t="s">
        <v>1762</v>
      </c>
      <c r="F293" s="2" t="s">
        <v>44</v>
      </c>
      <c r="G293" s="2" t="s">
        <v>45</v>
      </c>
      <c r="H293" s="2" t="s">
        <v>45</v>
      </c>
      <c r="I293" s="2" t="s">
        <v>45</v>
      </c>
      <c r="J293" s="2" t="b">
        <f t="shared" si="8"/>
        <v>1</v>
      </c>
      <c r="K293" s="3">
        <v>0</v>
      </c>
      <c r="L293" s="2" t="s">
        <v>1746</v>
      </c>
      <c r="M293" s="2" t="s">
        <v>1758</v>
      </c>
      <c r="N293" s="4" t="s">
        <v>48</v>
      </c>
      <c r="O293" s="2" t="s">
        <v>49</v>
      </c>
      <c r="P293" s="2" t="s">
        <v>50</v>
      </c>
      <c r="Q293" s="2" t="s">
        <v>94</v>
      </c>
      <c r="R293" s="2" t="s">
        <v>52</v>
      </c>
      <c r="S293" s="2" t="s">
        <v>53</v>
      </c>
      <c r="T293" s="2" t="s">
        <v>54</v>
      </c>
      <c r="U293" s="2" t="s">
        <v>55</v>
      </c>
      <c r="V293" s="2" t="s">
        <v>70</v>
      </c>
      <c r="W293" s="2" t="s">
        <v>71</v>
      </c>
      <c r="X293" s="2">
        <v>225626000</v>
      </c>
      <c r="Y293" s="2" t="s">
        <v>58</v>
      </c>
      <c r="Z293" s="2" t="s">
        <v>59</v>
      </c>
      <c r="AA293" s="2" t="s">
        <v>60</v>
      </c>
      <c r="AB293" s="2" t="s">
        <v>61</v>
      </c>
      <c r="AC293" s="2" t="s">
        <v>62</v>
      </c>
      <c r="AD293" s="2" t="s">
        <v>62</v>
      </c>
      <c r="AE293" s="2" t="s">
        <v>63</v>
      </c>
      <c r="AF293" s="5">
        <v>2</v>
      </c>
      <c r="AG293" s="5">
        <v>2</v>
      </c>
      <c r="AH293" s="2" t="str">
        <f t="shared" si="0"/>
        <v>yes</v>
      </c>
      <c r="AI293" s="2" t="str" cm="1">
        <f t="array" ref="AI293">_xlfn.IFS(AF293&lt;25,"Less",AF293=25,"Equal",AF293&gt;25,"More")</f>
        <v>Less</v>
      </c>
      <c r="AJ293" s="6"/>
      <c r="AK293" s="6" t="s">
        <v>64</v>
      </c>
      <c r="AL293" s="2" t="s">
        <v>1748</v>
      </c>
      <c r="AM293" s="5" t="str">
        <f>VLOOKUP(D293,'slb RAW'!$E$2:$AF$293,9)</f>
        <v>#N/A N/A</v>
      </c>
      <c r="AN293" s="2" t="str">
        <f>VLOOKUP(D293,'slb RAW'!$E$2:$AE$293,27)</f>
        <v>#N/A N/A</v>
      </c>
      <c r="AO293" s="2" t="e">
        <f>VLOOKUP(C293,'Refinitiv SLB'!F293:S470,14)</f>
        <v>#N/A</v>
      </c>
      <c r="AP293" s="2" t="str">
        <f t="shared" si="1"/>
        <v>#N/A N/A</v>
      </c>
      <c r="AQ293" s="7" t="str">
        <f t="shared" si="2"/>
        <v>Duerr AGAT MATURITYFLOATINGEURSr Unsecured</v>
      </c>
      <c r="AR293" s="5" t="b">
        <f ca="1">ISNUMBER( IFERROR(VLOOKUP(A293,Pairs!$E$2:$E$57,1,FALSE),FALSE))</f>
        <v>0</v>
      </c>
      <c r="AS293" s="5"/>
      <c r="AT293" s="5"/>
    </row>
    <row r="294" spans="1:46" ht="15.75" customHeight="1" x14ac:dyDescent="0.2">
      <c r="AE294" s="2"/>
      <c r="AF294" s="6"/>
      <c r="AG294" s="6"/>
      <c r="AH294" s="6"/>
      <c r="AI294" s="6"/>
      <c r="AJ294" s="6"/>
      <c r="AK294" s="6"/>
    </row>
    <row r="295" spans="1:46" ht="15.75" customHeight="1" x14ac:dyDescent="0.2">
      <c r="AE295" s="2"/>
      <c r="AF295" s="6"/>
      <c r="AG295" s="6"/>
      <c r="AH295" s="6"/>
      <c r="AI295" s="6"/>
      <c r="AJ295" s="6"/>
      <c r="AK295" s="6"/>
    </row>
    <row r="296" spans="1:46" ht="15.75" customHeight="1" x14ac:dyDescent="0.2">
      <c r="AE296" s="2"/>
      <c r="AF296" s="6"/>
      <c r="AG296" s="6"/>
      <c r="AH296" s="6"/>
      <c r="AI296" s="6"/>
      <c r="AJ296" s="6"/>
      <c r="AK296" s="6"/>
    </row>
    <row r="297" spans="1:46" ht="15.75" customHeight="1" x14ac:dyDescent="0.2">
      <c r="AE297" s="2"/>
      <c r="AF297" s="6"/>
      <c r="AG297" s="6"/>
      <c r="AH297" s="6"/>
      <c r="AI297" s="6"/>
      <c r="AJ297" s="6"/>
      <c r="AK297" s="6"/>
    </row>
    <row r="298" spans="1:46" ht="15.75" customHeight="1" x14ac:dyDescent="0.2">
      <c r="AE298" s="2"/>
      <c r="AF298" s="6"/>
      <c r="AG298" s="6"/>
      <c r="AH298" s="6"/>
      <c r="AI298" s="6"/>
      <c r="AJ298" s="6"/>
      <c r="AK298" s="6"/>
    </row>
    <row r="299" spans="1:46" ht="15.75" customHeight="1" x14ac:dyDescent="0.2">
      <c r="AE299" s="2"/>
      <c r="AF299" s="6"/>
      <c r="AG299" s="6"/>
      <c r="AH299" s="6"/>
      <c r="AI299" s="6"/>
      <c r="AJ299" s="6"/>
      <c r="AK299" s="6"/>
    </row>
    <row r="300" spans="1:46" ht="15.75" customHeight="1" x14ac:dyDescent="0.2">
      <c r="AE300" s="2"/>
      <c r="AF300" s="6"/>
      <c r="AG300" s="6"/>
      <c r="AH300" s="6"/>
      <c r="AI300" s="6"/>
      <c r="AJ300" s="6"/>
      <c r="AK300" s="6"/>
    </row>
    <row r="301" spans="1:46" ht="15.75" customHeight="1" x14ac:dyDescent="0.2">
      <c r="AE301" s="2"/>
      <c r="AF301" s="6"/>
      <c r="AG301" s="6"/>
      <c r="AH301" s="6"/>
      <c r="AI301" s="6"/>
      <c r="AJ301" s="6"/>
      <c r="AK301" s="6"/>
    </row>
    <row r="302" spans="1:46" ht="15.75" customHeight="1" x14ac:dyDescent="0.2">
      <c r="AE302" s="2"/>
      <c r="AF302" s="6"/>
      <c r="AG302" s="6"/>
      <c r="AH302" s="6"/>
      <c r="AI302" s="6"/>
      <c r="AJ302" s="6"/>
      <c r="AK302" s="6"/>
    </row>
    <row r="303" spans="1:46" ht="15.75" customHeight="1" x14ac:dyDescent="0.2">
      <c r="AE303" s="2"/>
      <c r="AF303" s="6"/>
      <c r="AG303" s="6"/>
      <c r="AH303" s="6"/>
      <c r="AI303" s="6"/>
      <c r="AJ303" s="6"/>
      <c r="AK303" s="6"/>
    </row>
    <row r="304" spans="1:46" ht="15.75" customHeight="1" x14ac:dyDescent="0.2">
      <c r="AE304" s="2"/>
      <c r="AF304" s="6"/>
      <c r="AG304" s="6"/>
      <c r="AH304" s="6"/>
      <c r="AI304" s="6"/>
      <c r="AJ304" s="6"/>
      <c r="AK304" s="6"/>
    </row>
    <row r="305" spans="31:37" ht="15.75" customHeight="1" x14ac:dyDescent="0.2">
      <c r="AE305" s="2"/>
      <c r="AF305" s="6"/>
      <c r="AG305" s="6"/>
      <c r="AH305" s="6"/>
      <c r="AI305" s="6"/>
      <c r="AJ305" s="6"/>
      <c r="AK305" s="6"/>
    </row>
    <row r="306" spans="31:37" ht="15.75" customHeight="1" x14ac:dyDescent="0.2">
      <c r="AE306" s="2"/>
      <c r="AF306" s="6"/>
      <c r="AG306" s="6"/>
      <c r="AH306" s="6"/>
      <c r="AI306" s="6"/>
      <c r="AJ306" s="6"/>
      <c r="AK306" s="6"/>
    </row>
    <row r="307" spans="31:37" ht="15.75" customHeight="1" x14ac:dyDescent="0.2">
      <c r="AE307" s="2"/>
      <c r="AF307" s="6"/>
      <c r="AG307" s="6"/>
      <c r="AH307" s="6"/>
      <c r="AI307" s="6"/>
      <c r="AJ307" s="6"/>
      <c r="AK307" s="6"/>
    </row>
    <row r="308" spans="31:37" ht="15.75" customHeight="1" x14ac:dyDescent="0.2">
      <c r="AE308" s="2"/>
      <c r="AF308" s="6"/>
      <c r="AG308" s="6"/>
      <c r="AH308" s="6"/>
      <c r="AI308" s="6"/>
      <c r="AJ308" s="6"/>
      <c r="AK308" s="6"/>
    </row>
    <row r="309" spans="31:37" ht="15.75" customHeight="1" x14ac:dyDescent="0.2">
      <c r="AE309" s="2"/>
      <c r="AF309" s="6"/>
      <c r="AG309" s="6"/>
      <c r="AH309" s="6"/>
      <c r="AI309" s="6"/>
      <c r="AJ309" s="6"/>
      <c r="AK309" s="6"/>
    </row>
    <row r="310" spans="31:37" ht="15.75" customHeight="1" x14ac:dyDescent="0.2">
      <c r="AE310" s="2"/>
      <c r="AF310" s="6"/>
      <c r="AG310" s="6"/>
      <c r="AH310" s="6"/>
      <c r="AI310" s="6"/>
      <c r="AJ310" s="6"/>
      <c r="AK310" s="6"/>
    </row>
    <row r="311" spans="31:37" ht="15.75" customHeight="1" x14ac:dyDescent="0.2">
      <c r="AE311" s="2"/>
      <c r="AF311" s="6"/>
      <c r="AG311" s="6"/>
      <c r="AH311" s="6"/>
      <c r="AI311" s="6"/>
      <c r="AJ311" s="6"/>
      <c r="AK311" s="6"/>
    </row>
    <row r="312" spans="31:37" ht="15.75" customHeight="1" x14ac:dyDescent="0.2">
      <c r="AE312" s="2"/>
      <c r="AF312" s="6"/>
      <c r="AG312" s="6"/>
      <c r="AH312" s="6"/>
      <c r="AI312" s="6"/>
      <c r="AJ312" s="6"/>
      <c r="AK312" s="6"/>
    </row>
    <row r="313" spans="31:37" ht="15.75" customHeight="1" x14ac:dyDescent="0.2">
      <c r="AE313" s="2"/>
      <c r="AF313" s="6"/>
      <c r="AG313" s="6"/>
      <c r="AH313" s="6"/>
      <c r="AI313" s="6"/>
      <c r="AJ313" s="6"/>
      <c r="AK313" s="6"/>
    </row>
    <row r="314" spans="31:37" ht="15.75" customHeight="1" x14ac:dyDescent="0.2">
      <c r="AE314" s="2"/>
      <c r="AF314" s="6"/>
      <c r="AG314" s="6"/>
      <c r="AH314" s="6"/>
      <c r="AI314" s="6"/>
      <c r="AJ314" s="6"/>
      <c r="AK314" s="6"/>
    </row>
    <row r="315" spans="31:37" ht="15.75" customHeight="1" x14ac:dyDescent="0.2">
      <c r="AE315" s="2"/>
      <c r="AF315" s="6"/>
      <c r="AG315" s="6"/>
      <c r="AH315" s="6"/>
      <c r="AI315" s="6"/>
      <c r="AJ315" s="6"/>
      <c r="AK315" s="6"/>
    </row>
    <row r="316" spans="31:37" ht="15.75" customHeight="1" x14ac:dyDescent="0.2">
      <c r="AE316" s="2"/>
      <c r="AF316" s="6"/>
      <c r="AG316" s="6"/>
      <c r="AH316" s="6"/>
      <c r="AI316" s="6"/>
      <c r="AJ316" s="6"/>
      <c r="AK316" s="6"/>
    </row>
    <row r="317" spans="31:37" ht="15.75" customHeight="1" x14ac:dyDescent="0.2">
      <c r="AE317" s="2"/>
      <c r="AF317" s="6"/>
      <c r="AG317" s="6"/>
      <c r="AH317" s="6"/>
      <c r="AI317" s="6"/>
      <c r="AJ317" s="6"/>
      <c r="AK317" s="6"/>
    </row>
    <row r="318" spans="31:37" ht="15.75" customHeight="1" x14ac:dyDescent="0.2">
      <c r="AE318" s="2"/>
      <c r="AF318" s="6"/>
      <c r="AG318" s="6"/>
      <c r="AH318" s="6"/>
      <c r="AI318" s="6"/>
      <c r="AJ318" s="6"/>
      <c r="AK318" s="6"/>
    </row>
    <row r="319" spans="31:37" ht="15.75" customHeight="1" x14ac:dyDescent="0.2">
      <c r="AE319" s="2"/>
      <c r="AF319" s="6"/>
      <c r="AG319" s="6"/>
      <c r="AH319" s="6"/>
      <c r="AI319" s="6"/>
      <c r="AJ319" s="6"/>
      <c r="AK319" s="6"/>
    </row>
    <row r="320" spans="31:37" ht="15.75" customHeight="1" x14ac:dyDescent="0.2">
      <c r="AE320" s="2"/>
      <c r="AF320" s="6"/>
      <c r="AG320" s="6"/>
      <c r="AH320" s="6"/>
      <c r="AI320" s="6"/>
      <c r="AJ320" s="6"/>
      <c r="AK320" s="6"/>
    </row>
    <row r="321" spans="31:37" ht="15.75" customHeight="1" x14ac:dyDescent="0.2">
      <c r="AE321" s="2"/>
      <c r="AF321" s="6"/>
      <c r="AG321" s="6"/>
      <c r="AH321" s="6"/>
      <c r="AI321" s="6"/>
      <c r="AJ321" s="6"/>
      <c r="AK321" s="6"/>
    </row>
    <row r="322" spans="31:37" ht="15.75" customHeight="1" x14ac:dyDescent="0.2">
      <c r="AE322" s="2"/>
      <c r="AF322" s="6"/>
      <c r="AG322" s="6"/>
      <c r="AH322" s="6"/>
      <c r="AI322" s="6"/>
      <c r="AJ322" s="6"/>
      <c r="AK322" s="6"/>
    </row>
    <row r="323" spans="31:37" ht="15.75" customHeight="1" x14ac:dyDescent="0.2">
      <c r="AE323" s="2"/>
      <c r="AF323" s="6"/>
      <c r="AG323" s="6"/>
      <c r="AH323" s="6"/>
      <c r="AI323" s="6"/>
      <c r="AJ323" s="6"/>
      <c r="AK323" s="6"/>
    </row>
    <row r="324" spans="31:37" ht="15.75" customHeight="1" x14ac:dyDescent="0.2">
      <c r="AE324" s="2"/>
      <c r="AF324" s="6"/>
      <c r="AG324" s="6"/>
      <c r="AH324" s="6"/>
      <c r="AI324" s="6"/>
      <c r="AJ324" s="6"/>
      <c r="AK324" s="6"/>
    </row>
    <row r="325" spans="31:37" ht="15.75" customHeight="1" x14ac:dyDescent="0.2">
      <c r="AE325" s="2"/>
      <c r="AF325" s="6"/>
      <c r="AG325" s="6"/>
      <c r="AH325" s="6"/>
      <c r="AI325" s="6"/>
      <c r="AJ325" s="6"/>
      <c r="AK325" s="6"/>
    </row>
    <row r="326" spans="31:37" ht="15.75" customHeight="1" x14ac:dyDescent="0.2">
      <c r="AE326" s="2"/>
      <c r="AF326" s="6"/>
      <c r="AG326" s="6"/>
      <c r="AH326" s="6"/>
      <c r="AI326" s="6"/>
      <c r="AJ326" s="6"/>
      <c r="AK326" s="6"/>
    </row>
    <row r="327" spans="31:37" ht="15.75" customHeight="1" x14ac:dyDescent="0.2">
      <c r="AE327" s="2"/>
      <c r="AF327" s="6"/>
      <c r="AG327" s="6"/>
      <c r="AH327" s="6"/>
      <c r="AI327" s="6"/>
      <c r="AJ327" s="6"/>
      <c r="AK327" s="6"/>
    </row>
    <row r="328" spans="31:37" ht="15.75" customHeight="1" x14ac:dyDescent="0.2">
      <c r="AE328" s="2"/>
      <c r="AF328" s="6"/>
      <c r="AG328" s="6"/>
      <c r="AH328" s="6"/>
      <c r="AI328" s="6"/>
      <c r="AJ328" s="6"/>
      <c r="AK328" s="6"/>
    </row>
    <row r="329" spans="31:37" ht="15.75" customHeight="1" x14ac:dyDescent="0.2">
      <c r="AE329" s="2"/>
      <c r="AF329" s="6"/>
      <c r="AG329" s="6"/>
      <c r="AH329" s="6"/>
      <c r="AI329" s="6"/>
      <c r="AJ329" s="6"/>
      <c r="AK329" s="6"/>
    </row>
    <row r="330" spans="31:37" ht="15.75" customHeight="1" x14ac:dyDescent="0.2">
      <c r="AE330" s="2"/>
      <c r="AF330" s="6"/>
      <c r="AG330" s="6"/>
      <c r="AH330" s="6"/>
      <c r="AI330" s="6"/>
      <c r="AJ330" s="6"/>
      <c r="AK330" s="6"/>
    </row>
    <row r="331" spans="31:37" ht="15.75" customHeight="1" x14ac:dyDescent="0.2">
      <c r="AE331" s="2"/>
      <c r="AF331" s="6"/>
      <c r="AG331" s="6"/>
      <c r="AJ331" s="6"/>
      <c r="AK331" s="6"/>
    </row>
    <row r="332" spans="31:37" ht="15.75" customHeight="1" x14ac:dyDescent="0.2">
      <c r="AE332" s="2"/>
      <c r="AF332" s="6"/>
      <c r="AG332" s="6"/>
      <c r="AJ332" s="6"/>
      <c r="AK332" s="6"/>
    </row>
    <row r="333" spans="31:37" ht="15.75" customHeight="1" x14ac:dyDescent="0.2">
      <c r="AE333" s="2"/>
      <c r="AF333" s="6"/>
      <c r="AG333" s="6"/>
      <c r="AJ333" s="6"/>
      <c r="AK333" s="6"/>
    </row>
    <row r="334" spans="31:37" ht="15.75" customHeight="1" x14ac:dyDescent="0.2">
      <c r="AE334" s="2"/>
      <c r="AF334" s="6"/>
      <c r="AG334" s="6"/>
      <c r="AJ334" s="6"/>
      <c r="AK334" s="6"/>
    </row>
    <row r="335" spans="31:37" ht="15.75" customHeight="1" x14ac:dyDescent="0.2">
      <c r="AE335" s="2"/>
      <c r="AF335" s="6"/>
      <c r="AG335" s="6"/>
      <c r="AJ335" s="6"/>
      <c r="AK335" s="6"/>
    </row>
    <row r="336" spans="31:37" ht="15.75" customHeight="1" x14ac:dyDescent="0.2">
      <c r="AE336" s="2"/>
      <c r="AF336" s="6"/>
      <c r="AG336" s="6"/>
      <c r="AJ336" s="6"/>
      <c r="AK336" s="6"/>
    </row>
    <row r="337" spans="31:37" ht="15.75" customHeight="1" x14ac:dyDescent="0.2">
      <c r="AE337" s="2"/>
      <c r="AF337" s="6"/>
      <c r="AG337" s="6"/>
      <c r="AJ337" s="6"/>
      <c r="AK337" s="6"/>
    </row>
    <row r="338" spans="31:37" ht="15.75" customHeight="1" x14ac:dyDescent="0.2">
      <c r="AE338" s="2"/>
      <c r="AF338" s="6"/>
      <c r="AG338" s="6"/>
      <c r="AJ338" s="6"/>
      <c r="AK338" s="6"/>
    </row>
    <row r="339" spans="31:37" ht="15.75" customHeight="1" x14ac:dyDescent="0.2">
      <c r="AE339" s="2"/>
      <c r="AF339" s="6"/>
      <c r="AG339" s="6"/>
      <c r="AJ339" s="6"/>
      <c r="AK339" s="6"/>
    </row>
    <row r="340" spans="31:37" ht="15.75" customHeight="1" x14ac:dyDescent="0.2">
      <c r="AE340" s="2"/>
      <c r="AF340" s="6"/>
      <c r="AG340" s="6"/>
      <c r="AJ340" s="6"/>
      <c r="AK340" s="6"/>
    </row>
    <row r="341" spans="31:37" ht="15.75" customHeight="1" x14ac:dyDescent="0.2">
      <c r="AE341" s="2"/>
      <c r="AF341" s="6"/>
      <c r="AG341" s="6"/>
      <c r="AJ341" s="6"/>
      <c r="AK341" s="6"/>
    </row>
    <row r="342" spans="31:37" ht="15.75" customHeight="1" x14ac:dyDescent="0.2">
      <c r="AE342" s="2"/>
      <c r="AG342" s="6"/>
      <c r="AJ342" s="6"/>
      <c r="AK342" s="6"/>
    </row>
    <row r="343" spans="31:37" ht="15.75" customHeight="1" x14ac:dyDescent="0.2">
      <c r="AE343" s="2"/>
      <c r="AG343" s="6"/>
      <c r="AJ343" s="6"/>
      <c r="AK343" s="6"/>
    </row>
    <row r="344" spans="31:37" ht="15.75" customHeight="1" x14ac:dyDescent="0.2">
      <c r="AE344" s="2"/>
      <c r="AG344" s="6"/>
      <c r="AJ344" s="6"/>
      <c r="AK344" s="6"/>
    </row>
    <row r="345" spans="31:37" ht="15.75" customHeight="1" x14ac:dyDescent="0.2">
      <c r="AE345" s="2"/>
      <c r="AG345" s="6"/>
      <c r="AJ345" s="6"/>
      <c r="AK345" s="6"/>
    </row>
    <row r="346" spans="31:37" ht="15.75" customHeight="1" x14ac:dyDescent="0.2">
      <c r="AE346" s="2"/>
      <c r="AG346" s="6"/>
      <c r="AJ346" s="6"/>
      <c r="AK346" s="6"/>
    </row>
    <row r="347" spans="31:37" ht="15.75" customHeight="1" x14ac:dyDescent="0.2">
      <c r="AE347" s="2"/>
      <c r="AG347" s="6"/>
      <c r="AJ347" s="6"/>
      <c r="AK347" s="6"/>
    </row>
    <row r="348" spans="31:37" ht="15.75" customHeight="1" x14ac:dyDescent="0.2">
      <c r="AE348" s="2"/>
      <c r="AG348" s="6"/>
      <c r="AJ348" s="6"/>
      <c r="AK348" s="6"/>
    </row>
    <row r="349" spans="31:37" ht="15.75" customHeight="1" x14ac:dyDescent="0.2">
      <c r="AE349" s="2"/>
      <c r="AG349" s="6"/>
      <c r="AJ349" s="6"/>
      <c r="AK349" s="6"/>
    </row>
    <row r="350" spans="31:37" ht="15.75" customHeight="1" x14ac:dyDescent="0.2">
      <c r="AE350" s="2"/>
      <c r="AG350" s="6"/>
      <c r="AJ350" s="6"/>
      <c r="AK350" s="6"/>
    </row>
    <row r="351" spans="31:37" ht="15.75" customHeight="1" x14ac:dyDescent="0.2">
      <c r="AE351" s="2"/>
      <c r="AG351" s="6"/>
      <c r="AJ351" s="6"/>
      <c r="AK351" s="6"/>
    </row>
    <row r="352" spans="31:37" ht="15.75" customHeight="1" x14ac:dyDescent="0.2">
      <c r="AE352" s="2"/>
      <c r="AG352" s="6"/>
      <c r="AJ352" s="6"/>
      <c r="AK352" s="6"/>
    </row>
    <row r="353" spans="31:37" ht="15.75" customHeight="1" x14ac:dyDescent="0.2">
      <c r="AE353" s="2"/>
      <c r="AG353" s="6"/>
      <c r="AJ353" s="6"/>
      <c r="AK353" s="6"/>
    </row>
    <row r="354" spans="31:37" ht="15.75" customHeight="1" x14ac:dyDescent="0.2">
      <c r="AE354" s="2"/>
      <c r="AG354" s="6"/>
      <c r="AJ354" s="6"/>
      <c r="AK354" s="6"/>
    </row>
    <row r="355" spans="31:37" ht="15.75" customHeight="1" x14ac:dyDescent="0.2">
      <c r="AE355" s="2"/>
      <c r="AG355" s="6"/>
      <c r="AJ355" s="6"/>
      <c r="AK355" s="6"/>
    </row>
    <row r="356" spans="31:37" ht="15.75" customHeight="1" x14ac:dyDescent="0.2">
      <c r="AE356" s="2"/>
      <c r="AG356" s="6"/>
      <c r="AJ356" s="6"/>
      <c r="AK356" s="6"/>
    </row>
    <row r="357" spans="31:37" ht="15.75" customHeight="1" x14ac:dyDescent="0.2">
      <c r="AE357" s="2"/>
      <c r="AG357" s="6"/>
      <c r="AJ357" s="6"/>
      <c r="AK357" s="6"/>
    </row>
    <row r="358" spans="31:37" ht="15.75" customHeight="1" x14ac:dyDescent="0.2">
      <c r="AE358" s="2"/>
      <c r="AG358" s="6"/>
      <c r="AJ358" s="6"/>
      <c r="AK358" s="6"/>
    </row>
    <row r="359" spans="31:37" ht="15.75" customHeight="1" x14ac:dyDescent="0.2">
      <c r="AE359" s="2"/>
      <c r="AG359" s="6"/>
      <c r="AJ359" s="6"/>
      <c r="AK359" s="6"/>
    </row>
    <row r="360" spans="31:37" ht="15.75" customHeight="1" x14ac:dyDescent="0.2">
      <c r="AE360" s="2"/>
      <c r="AG360" s="6"/>
      <c r="AJ360" s="6"/>
      <c r="AK360" s="6"/>
    </row>
    <row r="361" spans="31:37" ht="15.75" customHeight="1" x14ac:dyDescent="0.2">
      <c r="AE361" s="2"/>
      <c r="AG361" s="6"/>
      <c r="AJ361" s="6"/>
      <c r="AK361" s="6"/>
    </row>
    <row r="362" spans="31:37" ht="15.75" customHeight="1" x14ac:dyDescent="0.2">
      <c r="AE362" s="2"/>
      <c r="AG362" s="6"/>
      <c r="AJ362" s="6"/>
      <c r="AK362" s="6"/>
    </row>
    <row r="363" spans="31:37" ht="15.75" customHeight="1" x14ac:dyDescent="0.2">
      <c r="AE363" s="2"/>
      <c r="AG363" s="6"/>
      <c r="AJ363" s="6"/>
      <c r="AK363" s="6"/>
    </row>
    <row r="364" spans="31:37" ht="15.75" customHeight="1" x14ac:dyDescent="0.2">
      <c r="AE364" s="2"/>
      <c r="AG364" s="6"/>
      <c r="AJ364" s="6"/>
      <c r="AK364" s="6"/>
    </row>
    <row r="365" spans="31:37" ht="15.75" customHeight="1" x14ac:dyDescent="0.2">
      <c r="AE365" s="2"/>
      <c r="AG365" s="6"/>
      <c r="AJ365" s="6"/>
      <c r="AK365" s="6"/>
    </row>
    <row r="366" spans="31:37" ht="15.75" customHeight="1" x14ac:dyDescent="0.2">
      <c r="AE366" s="2"/>
      <c r="AG366" s="6"/>
      <c r="AJ366" s="6"/>
      <c r="AK366" s="6"/>
    </row>
    <row r="367" spans="31:37" ht="15.75" customHeight="1" x14ac:dyDescent="0.2">
      <c r="AE367" s="2"/>
      <c r="AG367" s="6"/>
      <c r="AJ367" s="6"/>
      <c r="AK367" s="6"/>
    </row>
    <row r="368" spans="31:37" ht="15.75" customHeight="1" x14ac:dyDescent="0.2">
      <c r="AE368" s="2"/>
      <c r="AG368" s="6"/>
      <c r="AJ368" s="6"/>
      <c r="AK368" s="6"/>
    </row>
    <row r="369" spans="31:37" ht="15.75" customHeight="1" x14ac:dyDescent="0.2">
      <c r="AE369" s="2"/>
      <c r="AG369" s="6"/>
      <c r="AJ369" s="6"/>
      <c r="AK369" s="6"/>
    </row>
    <row r="370" spans="31:37" ht="15.75" customHeight="1" x14ac:dyDescent="0.2">
      <c r="AE370" s="2"/>
      <c r="AG370" s="6"/>
      <c r="AJ370" s="6"/>
      <c r="AK370" s="6"/>
    </row>
    <row r="371" spans="31:37" ht="15.75" customHeight="1" x14ac:dyDescent="0.2">
      <c r="AE371" s="2"/>
      <c r="AG371" s="6"/>
      <c r="AJ371" s="6"/>
      <c r="AK371" s="6"/>
    </row>
    <row r="372" spans="31:37" ht="15.75" customHeight="1" x14ac:dyDescent="0.2">
      <c r="AE372" s="2"/>
      <c r="AG372" s="6"/>
      <c r="AJ372" s="6"/>
      <c r="AK372" s="6"/>
    </row>
    <row r="373" spans="31:37" ht="15.75" customHeight="1" x14ac:dyDescent="0.2">
      <c r="AE373" s="2"/>
      <c r="AG373" s="6"/>
      <c r="AJ373" s="6"/>
      <c r="AK373" s="6"/>
    </row>
    <row r="374" spans="31:37" ht="15.75" customHeight="1" x14ac:dyDescent="0.2">
      <c r="AE374" s="2"/>
      <c r="AG374" s="6"/>
      <c r="AJ374" s="6"/>
      <c r="AK374" s="6"/>
    </row>
    <row r="375" spans="31:37" ht="15.75" customHeight="1" x14ac:dyDescent="0.2">
      <c r="AE375" s="2"/>
      <c r="AG375" s="6"/>
      <c r="AJ375" s="6"/>
      <c r="AK375" s="6"/>
    </row>
    <row r="376" spans="31:37" ht="15.75" customHeight="1" x14ac:dyDescent="0.2">
      <c r="AE376" s="2"/>
      <c r="AG376" s="6"/>
      <c r="AJ376" s="6"/>
      <c r="AK376" s="6"/>
    </row>
    <row r="377" spans="31:37" ht="15.75" customHeight="1" x14ac:dyDescent="0.2">
      <c r="AE377" s="2"/>
      <c r="AG377" s="6"/>
      <c r="AJ377" s="6"/>
      <c r="AK377" s="6"/>
    </row>
    <row r="378" spans="31:37" ht="15.75" customHeight="1" x14ac:dyDescent="0.2">
      <c r="AE378" s="2"/>
      <c r="AG378" s="6"/>
      <c r="AJ378" s="6"/>
      <c r="AK378" s="6"/>
    </row>
    <row r="379" spans="31:37" ht="15.75" customHeight="1" x14ac:dyDescent="0.2">
      <c r="AE379" s="2"/>
      <c r="AG379" s="6"/>
      <c r="AJ379" s="6"/>
      <c r="AK379" s="6"/>
    </row>
    <row r="380" spans="31:37" ht="15.75" customHeight="1" x14ac:dyDescent="0.2">
      <c r="AE380" s="2"/>
      <c r="AG380" s="6"/>
      <c r="AJ380" s="6"/>
      <c r="AK380" s="6"/>
    </row>
    <row r="381" spans="31:37" ht="15.75" customHeight="1" x14ac:dyDescent="0.2">
      <c r="AE381" s="2"/>
      <c r="AG381" s="6"/>
      <c r="AJ381" s="6"/>
      <c r="AK381" s="6"/>
    </row>
    <row r="382" spans="31:37" ht="15.75" customHeight="1" x14ac:dyDescent="0.2">
      <c r="AE382" s="2"/>
      <c r="AG382" s="6"/>
      <c r="AJ382" s="6"/>
      <c r="AK382" s="6"/>
    </row>
    <row r="383" spans="31:37" ht="15.75" customHeight="1" x14ac:dyDescent="0.2">
      <c r="AE383" s="2"/>
      <c r="AG383" s="6"/>
      <c r="AJ383" s="6"/>
      <c r="AK383" s="6"/>
    </row>
    <row r="384" spans="31:37" ht="15.75" customHeight="1" x14ac:dyDescent="0.2">
      <c r="AE384" s="2"/>
      <c r="AG384" s="6"/>
      <c r="AJ384" s="6"/>
      <c r="AK384" s="6"/>
    </row>
    <row r="385" spans="31:37" ht="15.75" customHeight="1" x14ac:dyDescent="0.2">
      <c r="AE385" s="2"/>
      <c r="AG385" s="6"/>
      <c r="AJ385" s="6"/>
      <c r="AK385" s="6"/>
    </row>
    <row r="386" spans="31:37" ht="15.75" customHeight="1" x14ac:dyDescent="0.2">
      <c r="AE386" s="2"/>
      <c r="AG386" s="6"/>
      <c r="AJ386" s="6"/>
      <c r="AK386" s="6"/>
    </row>
    <row r="387" spans="31:37" ht="15.75" customHeight="1" x14ac:dyDescent="0.2">
      <c r="AE387" s="2"/>
      <c r="AG387" s="6"/>
      <c r="AJ387" s="6"/>
      <c r="AK387" s="6"/>
    </row>
    <row r="388" spans="31:37" ht="15.75" customHeight="1" x14ac:dyDescent="0.2">
      <c r="AE388" s="2"/>
      <c r="AG388" s="6"/>
      <c r="AJ388" s="6"/>
      <c r="AK388" s="6"/>
    </row>
    <row r="389" spans="31:37" ht="15.75" customHeight="1" x14ac:dyDescent="0.2">
      <c r="AE389" s="2"/>
      <c r="AG389" s="6"/>
      <c r="AJ389" s="6"/>
      <c r="AK389" s="6"/>
    </row>
    <row r="390" spans="31:37" ht="15.75" customHeight="1" x14ac:dyDescent="0.2">
      <c r="AE390" s="2"/>
      <c r="AG390" s="6"/>
      <c r="AJ390" s="6"/>
      <c r="AK390" s="6"/>
    </row>
    <row r="391" spans="31:37" ht="15.75" customHeight="1" x14ac:dyDescent="0.2">
      <c r="AE391" s="2"/>
      <c r="AG391" s="6"/>
      <c r="AJ391" s="6"/>
      <c r="AK391" s="6"/>
    </row>
    <row r="392" spans="31:37" ht="15.75" customHeight="1" x14ac:dyDescent="0.2">
      <c r="AE392" s="2"/>
      <c r="AG392" s="6"/>
      <c r="AJ392" s="6"/>
      <c r="AK392" s="6"/>
    </row>
    <row r="393" spans="31:37" ht="15.75" customHeight="1" x14ac:dyDescent="0.2">
      <c r="AE393" s="2"/>
      <c r="AG393" s="6"/>
      <c r="AJ393" s="6"/>
      <c r="AK393" s="6"/>
    </row>
    <row r="394" spans="31:37" ht="15.75" customHeight="1" x14ac:dyDescent="0.2">
      <c r="AE394" s="2"/>
      <c r="AG394" s="6"/>
      <c r="AJ394" s="6"/>
      <c r="AK394" s="6"/>
    </row>
    <row r="395" spans="31:37" ht="15.75" customHeight="1" x14ac:dyDescent="0.2">
      <c r="AE395" s="2"/>
      <c r="AG395" s="6"/>
      <c r="AJ395" s="6"/>
      <c r="AK395" s="6"/>
    </row>
    <row r="396" spans="31:37" ht="15.75" customHeight="1" x14ac:dyDescent="0.2">
      <c r="AE396" s="2"/>
      <c r="AG396" s="6"/>
      <c r="AJ396" s="6"/>
      <c r="AK396" s="6"/>
    </row>
    <row r="397" spans="31:37" ht="15.75" customHeight="1" x14ac:dyDescent="0.2">
      <c r="AE397" s="2"/>
      <c r="AG397" s="6"/>
      <c r="AJ397" s="6"/>
      <c r="AK397" s="6"/>
    </row>
    <row r="398" spans="31:37" ht="15.75" customHeight="1" x14ac:dyDescent="0.2">
      <c r="AE398" s="2"/>
      <c r="AG398" s="6"/>
      <c r="AJ398" s="6"/>
      <c r="AK398" s="6"/>
    </row>
    <row r="399" spans="31:37" ht="15.75" customHeight="1" x14ac:dyDescent="0.2">
      <c r="AE399" s="2"/>
      <c r="AG399" s="6"/>
      <c r="AJ399" s="6"/>
      <c r="AK399" s="6"/>
    </row>
    <row r="400" spans="31:37" ht="15.75" customHeight="1" x14ac:dyDescent="0.2">
      <c r="AE400" s="2"/>
      <c r="AG400" s="6"/>
      <c r="AJ400" s="6"/>
      <c r="AK400" s="6"/>
    </row>
    <row r="401" spans="31:37" ht="15.75" customHeight="1" x14ac:dyDescent="0.2">
      <c r="AE401" s="2"/>
      <c r="AG401" s="6"/>
      <c r="AJ401" s="6"/>
      <c r="AK401" s="6"/>
    </row>
    <row r="402" spans="31:37" ht="15.75" customHeight="1" x14ac:dyDescent="0.2">
      <c r="AE402" s="2"/>
      <c r="AG402" s="6"/>
      <c r="AJ402" s="6"/>
      <c r="AK402" s="6"/>
    </row>
    <row r="403" spans="31:37" ht="15.75" customHeight="1" x14ac:dyDescent="0.2">
      <c r="AE403" s="2"/>
      <c r="AG403" s="6"/>
      <c r="AJ403" s="6"/>
      <c r="AK403" s="6"/>
    </row>
    <row r="404" spans="31:37" ht="15.75" customHeight="1" x14ac:dyDescent="0.2">
      <c r="AE404" s="2"/>
      <c r="AG404" s="6"/>
      <c r="AJ404" s="6"/>
      <c r="AK404" s="6"/>
    </row>
    <row r="405" spans="31:37" ht="15.75" customHeight="1" x14ac:dyDescent="0.2">
      <c r="AE405" s="2"/>
      <c r="AG405" s="6"/>
      <c r="AJ405" s="6"/>
      <c r="AK405" s="6"/>
    </row>
    <row r="406" spans="31:37" ht="15.75" customHeight="1" x14ac:dyDescent="0.2">
      <c r="AE406" s="2"/>
      <c r="AG406" s="6"/>
      <c r="AJ406" s="6"/>
      <c r="AK406" s="6"/>
    </row>
    <row r="407" spans="31:37" ht="15.75" customHeight="1" x14ac:dyDescent="0.2">
      <c r="AE407" s="2"/>
      <c r="AG407" s="6"/>
      <c r="AJ407" s="6"/>
      <c r="AK407" s="6"/>
    </row>
    <row r="408" spans="31:37" ht="15.75" customHeight="1" x14ac:dyDescent="0.2">
      <c r="AE408" s="2"/>
      <c r="AG408" s="6"/>
      <c r="AJ408" s="6"/>
      <c r="AK408" s="6"/>
    </row>
    <row r="409" spans="31:37" ht="15.75" customHeight="1" x14ac:dyDescent="0.2">
      <c r="AE409" s="2"/>
      <c r="AG409" s="6"/>
      <c r="AJ409" s="6"/>
      <c r="AK409" s="6"/>
    </row>
    <row r="410" spans="31:37" ht="15.75" customHeight="1" x14ac:dyDescent="0.2">
      <c r="AE410" s="2"/>
      <c r="AG410" s="6"/>
      <c r="AJ410" s="6"/>
      <c r="AK410" s="6"/>
    </row>
    <row r="411" spans="31:37" ht="15.75" customHeight="1" x14ac:dyDescent="0.2">
      <c r="AE411" s="2"/>
      <c r="AG411" s="6"/>
    </row>
    <row r="412" spans="31:37" ht="15.75" customHeight="1" x14ac:dyDescent="0.2">
      <c r="AE412" s="2"/>
      <c r="AG412" s="6"/>
    </row>
    <row r="413" spans="31:37" ht="15.75" customHeight="1" x14ac:dyDescent="0.2">
      <c r="AE413" s="2"/>
      <c r="AG413" s="6"/>
    </row>
    <row r="414" spans="31:37" ht="15.75" customHeight="1" x14ac:dyDescent="0.2">
      <c r="AE414" s="2"/>
      <c r="AG414" s="6"/>
    </row>
    <row r="415" spans="31:37" ht="15.75" customHeight="1" x14ac:dyDescent="0.2">
      <c r="AE415" s="2"/>
      <c r="AG415" s="6"/>
    </row>
    <row r="416" spans="31:37" ht="15.75" customHeight="1" x14ac:dyDescent="0.2">
      <c r="AE416" s="2"/>
      <c r="AG416" s="6"/>
    </row>
    <row r="417" spans="31:33" ht="15.75" customHeight="1" x14ac:dyDescent="0.2">
      <c r="AE417" s="2"/>
      <c r="AG417" s="6"/>
    </row>
    <row r="418" spans="31:33" ht="15.75" customHeight="1" x14ac:dyDescent="0.2">
      <c r="AE418" s="2"/>
      <c r="AG418" s="6"/>
    </row>
    <row r="419" spans="31:33" ht="15.75" customHeight="1" x14ac:dyDescent="0.2">
      <c r="AE419" s="2"/>
      <c r="AG419" s="6"/>
    </row>
    <row r="420" spans="31:33" ht="15.75" customHeight="1" x14ac:dyDescent="0.2">
      <c r="AE420" s="2"/>
      <c r="AG420" s="6"/>
    </row>
    <row r="421" spans="31:33" ht="15.75" customHeight="1" x14ac:dyDescent="0.2">
      <c r="AE421" s="2"/>
      <c r="AG421" s="6"/>
    </row>
    <row r="422" spans="31:33" ht="15.75" customHeight="1" x14ac:dyDescent="0.2">
      <c r="AE422" s="2"/>
      <c r="AG422" s="6"/>
    </row>
    <row r="423" spans="31:33" ht="15.75" customHeight="1" x14ac:dyDescent="0.2">
      <c r="AE423" s="2"/>
      <c r="AG423" s="6"/>
    </row>
    <row r="424" spans="31:33" ht="15.75" customHeight="1" x14ac:dyDescent="0.2">
      <c r="AE424" s="2"/>
      <c r="AG424" s="6"/>
    </row>
    <row r="425" spans="31:33" ht="15.75" customHeight="1" x14ac:dyDescent="0.2">
      <c r="AE425" s="2"/>
      <c r="AG425" s="6"/>
    </row>
    <row r="426" spans="31:33" ht="15.75" customHeight="1" x14ac:dyDescent="0.2">
      <c r="AE426" s="2"/>
      <c r="AG426" s="6"/>
    </row>
    <row r="427" spans="31:33" ht="15.75" customHeight="1" x14ac:dyDescent="0.2">
      <c r="AE427" s="2"/>
      <c r="AG427" s="6"/>
    </row>
    <row r="428" spans="31:33" ht="15.75" customHeight="1" x14ac:dyDescent="0.2">
      <c r="AE428" s="2"/>
      <c r="AG428" s="6"/>
    </row>
    <row r="429" spans="31:33" ht="15.75" customHeight="1" x14ac:dyDescent="0.2">
      <c r="AE429" s="2"/>
      <c r="AG429" s="6"/>
    </row>
    <row r="430" spans="31:33" ht="15.75" customHeight="1" x14ac:dyDescent="0.2">
      <c r="AE430" s="2"/>
      <c r="AG430" s="6"/>
    </row>
    <row r="431" spans="31:33" ht="15.75" customHeight="1" x14ac:dyDescent="0.2">
      <c r="AE431" s="2"/>
      <c r="AG431" s="6"/>
    </row>
    <row r="432" spans="31:33" ht="15.75" customHeight="1" x14ac:dyDescent="0.2">
      <c r="AE432" s="2"/>
      <c r="AG432" s="6"/>
    </row>
    <row r="433" spans="31:33" ht="15.75" customHeight="1" x14ac:dyDescent="0.2">
      <c r="AE433" s="2"/>
      <c r="AG433" s="6"/>
    </row>
    <row r="434" spans="31:33" ht="15.75" customHeight="1" x14ac:dyDescent="0.2">
      <c r="AE434" s="2"/>
      <c r="AG434" s="6"/>
    </row>
    <row r="435" spans="31:33" ht="15.75" customHeight="1" x14ac:dyDescent="0.2">
      <c r="AE435" s="2"/>
      <c r="AG435" s="6"/>
    </row>
    <row r="436" spans="31:33" ht="15.75" customHeight="1" x14ac:dyDescent="0.2">
      <c r="AE436" s="2"/>
      <c r="AG436" s="6"/>
    </row>
    <row r="437" spans="31:33" ht="15.75" customHeight="1" x14ac:dyDescent="0.2">
      <c r="AE437" s="2"/>
      <c r="AG437" s="6"/>
    </row>
    <row r="438" spans="31:33" ht="15.75" customHeight="1" x14ac:dyDescent="0.2">
      <c r="AE438" s="2"/>
      <c r="AG438" s="6"/>
    </row>
    <row r="439" spans="31:33" ht="15.75" customHeight="1" x14ac:dyDescent="0.2">
      <c r="AE439" s="2"/>
      <c r="AG439" s="6"/>
    </row>
    <row r="440" spans="31:33" ht="15.75" customHeight="1" x14ac:dyDescent="0.2">
      <c r="AE440" s="2"/>
      <c r="AG440" s="6"/>
    </row>
    <row r="441" spans="31:33" ht="15.75" customHeight="1" x14ac:dyDescent="0.2">
      <c r="AE441" s="2"/>
      <c r="AG441" s="6"/>
    </row>
    <row r="442" spans="31:33" ht="15.75" customHeight="1" x14ac:dyDescent="0.2">
      <c r="AE442" s="2"/>
      <c r="AG442" s="6"/>
    </row>
    <row r="443" spans="31:33" ht="15.75" customHeight="1" x14ac:dyDescent="0.2">
      <c r="AE443" s="2"/>
      <c r="AG443" s="6"/>
    </row>
    <row r="444" spans="31:33" ht="15.75" customHeight="1" x14ac:dyDescent="0.2">
      <c r="AE444" s="2"/>
      <c r="AG444" s="6"/>
    </row>
    <row r="445" spans="31:33" ht="15.75" customHeight="1" x14ac:dyDescent="0.2">
      <c r="AE445" s="2"/>
      <c r="AG445" s="6"/>
    </row>
    <row r="446" spans="31:33" ht="15.75" customHeight="1" x14ac:dyDescent="0.2">
      <c r="AE446" s="2"/>
      <c r="AG446" s="6"/>
    </row>
    <row r="447" spans="31:33" ht="15.75" customHeight="1" x14ac:dyDescent="0.2">
      <c r="AE447" s="2"/>
      <c r="AG447" s="6"/>
    </row>
    <row r="448" spans="31:33" ht="15.75" customHeight="1" x14ac:dyDescent="0.2">
      <c r="AE448" s="2"/>
      <c r="AG448" s="6"/>
    </row>
    <row r="449" spans="31:33" ht="15.75" customHeight="1" x14ac:dyDescent="0.2">
      <c r="AE449" s="2"/>
      <c r="AG449" s="6"/>
    </row>
    <row r="450" spans="31:33" ht="15.75" customHeight="1" x14ac:dyDescent="0.2">
      <c r="AE450" s="2"/>
      <c r="AG450" s="6"/>
    </row>
    <row r="451" spans="31:33" ht="15.75" customHeight="1" x14ac:dyDescent="0.2">
      <c r="AE451" s="2"/>
      <c r="AG451" s="6"/>
    </row>
    <row r="452" spans="31:33" ht="15.75" customHeight="1" x14ac:dyDescent="0.2">
      <c r="AE452" s="2"/>
      <c r="AG452" s="6"/>
    </row>
    <row r="453" spans="31:33" ht="15.75" customHeight="1" x14ac:dyDescent="0.2">
      <c r="AE453" s="2"/>
      <c r="AG453" s="6"/>
    </row>
    <row r="454" spans="31:33" ht="15.75" customHeight="1" x14ac:dyDescent="0.2">
      <c r="AE454" s="2"/>
      <c r="AG454" s="6"/>
    </row>
    <row r="455" spans="31:33" ht="15.75" customHeight="1" x14ac:dyDescent="0.2">
      <c r="AE455" s="2"/>
      <c r="AG455" s="6"/>
    </row>
    <row r="456" spans="31:33" ht="15.75" customHeight="1" x14ac:dyDescent="0.2">
      <c r="AE456" s="2"/>
      <c r="AG456" s="6"/>
    </row>
    <row r="457" spans="31:33" ht="15.75" customHeight="1" x14ac:dyDescent="0.2">
      <c r="AE457" s="2"/>
      <c r="AG457" s="6"/>
    </row>
    <row r="458" spans="31:33" ht="15.75" customHeight="1" x14ac:dyDescent="0.2">
      <c r="AE458" s="2"/>
      <c r="AG458" s="6"/>
    </row>
    <row r="459" spans="31:33" ht="15.75" customHeight="1" x14ac:dyDescent="0.2">
      <c r="AE459" s="2"/>
      <c r="AG459" s="6"/>
    </row>
    <row r="460" spans="31:33" ht="15.75" customHeight="1" x14ac:dyDescent="0.2">
      <c r="AE460" s="2"/>
      <c r="AG460" s="6"/>
    </row>
    <row r="461" spans="31:33" ht="15.75" customHeight="1" x14ac:dyDescent="0.2">
      <c r="AE461" s="2"/>
      <c r="AG461" s="6"/>
    </row>
    <row r="462" spans="31:33" ht="15.75" customHeight="1" x14ac:dyDescent="0.2">
      <c r="AE462" s="2"/>
      <c r="AG462" s="6"/>
    </row>
    <row r="463" spans="31:33" ht="15.75" customHeight="1" x14ac:dyDescent="0.2">
      <c r="AE463" s="2"/>
      <c r="AG463" s="6"/>
    </row>
    <row r="464" spans="31:33" ht="15.75" customHeight="1" x14ac:dyDescent="0.2">
      <c r="AE464" s="2"/>
      <c r="AG464" s="6"/>
    </row>
    <row r="465" spans="31:33" ht="15.75" customHeight="1" x14ac:dyDescent="0.2">
      <c r="AE465" s="2"/>
      <c r="AG465" s="6"/>
    </row>
    <row r="466" spans="31:33" ht="15.75" customHeight="1" x14ac:dyDescent="0.2">
      <c r="AE466" s="2"/>
      <c r="AG466" s="6"/>
    </row>
    <row r="467" spans="31:33" ht="15.75" customHeight="1" x14ac:dyDescent="0.2">
      <c r="AE467" s="2"/>
      <c r="AG467" s="6"/>
    </row>
    <row r="468" spans="31:33" ht="15.75" customHeight="1" x14ac:dyDescent="0.2">
      <c r="AE468" s="2"/>
      <c r="AG468" s="6"/>
    </row>
    <row r="469" spans="31:33" ht="15.75" customHeight="1" x14ac:dyDescent="0.2">
      <c r="AE469" s="2"/>
      <c r="AG469" s="6"/>
    </row>
    <row r="470" spans="31:33" ht="15.75" customHeight="1" x14ac:dyDescent="0.2">
      <c r="AE470" s="2"/>
      <c r="AG470" s="6"/>
    </row>
    <row r="471" spans="31:33" ht="15.75" customHeight="1" x14ac:dyDescent="0.2">
      <c r="AE471" s="2"/>
      <c r="AG471" s="6"/>
    </row>
    <row r="472" spans="31:33" ht="15.75" customHeight="1" x14ac:dyDescent="0.2">
      <c r="AE472" s="2"/>
      <c r="AG472" s="6"/>
    </row>
    <row r="473" spans="31:33" ht="15.75" customHeight="1" x14ac:dyDescent="0.2">
      <c r="AE473" s="2"/>
      <c r="AG473" s="6"/>
    </row>
    <row r="474" spans="31:33" ht="15.75" customHeight="1" x14ac:dyDescent="0.2">
      <c r="AE474" s="2"/>
      <c r="AG474" s="6"/>
    </row>
    <row r="475" spans="31:33" ht="15.75" customHeight="1" x14ac:dyDescent="0.2">
      <c r="AE475" s="2"/>
      <c r="AG475" s="6"/>
    </row>
    <row r="476" spans="31:33" ht="15.75" customHeight="1" x14ac:dyDescent="0.2">
      <c r="AE476" s="2"/>
      <c r="AG476" s="6"/>
    </row>
    <row r="477" spans="31:33" ht="15.75" customHeight="1" x14ac:dyDescent="0.2">
      <c r="AE477" s="2"/>
      <c r="AG477" s="6"/>
    </row>
    <row r="478" spans="31:33" ht="15.75" customHeight="1" x14ac:dyDescent="0.2">
      <c r="AE478" s="2"/>
      <c r="AG478" s="6"/>
    </row>
    <row r="479" spans="31:33" ht="15.75" customHeight="1" x14ac:dyDescent="0.2">
      <c r="AE479" s="2"/>
      <c r="AG479" s="6"/>
    </row>
    <row r="480" spans="31:33" ht="15.75" customHeight="1" x14ac:dyDescent="0.2">
      <c r="AE480" s="2"/>
      <c r="AG480" s="6"/>
    </row>
    <row r="481" spans="31:33" ht="15.75" customHeight="1" x14ac:dyDescent="0.2">
      <c r="AE481" s="2"/>
      <c r="AG481" s="6"/>
    </row>
    <row r="482" spans="31:33" ht="15.75" customHeight="1" x14ac:dyDescent="0.2">
      <c r="AE482" s="2"/>
      <c r="AG482" s="6"/>
    </row>
    <row r="483" spans="31:33" ht="15.75" customHeight="1" x14ac:dyDescent="0.2">
      <c r="AE483" s="2"/>
      <c r="AG483" s="6"/>
    </row>
    <row r="484" spans="31:33" ht="15.75" customHeight="1" x14ac:dyDescent="0.2">
      <c r="AE484" s="2"/>
      <c r="AG484" s="6"/>
    </row>
    <row r="485" spans="31:33" ht="15.75" customHeight="1" x14ac:dyDescent="0.2">
      <c r="AE485" s="2"/>
      <c r="AG485" s="6"/>
    </row>
    <row r="486" spans="31:33" ht="15.75" customHeight="1" x14ac:dyDescent="0.2">
      <c r="AE486" s="2"/>
      <c r="AG486" s="6"/>
    </row>
    <row r="487" spans="31:33" ht="15.75" customHeight="1" x14ac:dyDescent="0.2">
      <c r="AE487" s="2"/>
      <c r="AG487" s="6"/>
    </row>
    <row r="488" spans="31:33" ht="15.75" customHeight="1" x14ac:dyDescent="0.2">
      <c r="AE488" s="2"/>
      <c r="AG488" s="6"/>
    </row>
    <row r="489" spans="31:33" ht="15.75" customHeight="1" x14ac:dyDescent="0.2">
      <c r="AE489" s="2"/>
      <c r="AG489" s="6"/>
    </row>
    <row r="490" spans="31:33" ht="15.75" customHeight="1" x14ac:dyDescent="0.2">
      <c r="AE490" s="2"/>
      <c r="AG490" s="6"/>
    </row>
    <row r="491" spans="31:33" ht="15.75" customHeight="1" x14ac:dyDescent="0.2">
      <c r="AE491" s="2"/>
      <c r="AG491" s="6"/>
    </row>
    <row r="492" spans="31:33" ht="15.75" customHeight="1" x14ac:dyDescent="0.2">
      <c r="AE492" s="2"/>
      <c r="AG492" s="6"/>
    </row>
    <row r="493" spans="31:33" ht="15.75" customHeight="1" x14ac:dyDescent="0.2">
      <c r="AE493" s="2"/>
      <c r="AG493" s="6"/>
    </row>
    <row r="494" spans="31:33" ht="15.75" customHeight="1" x14ac:dyDescent="0.2">
      <c r="AE494" s="2"/>
      <c r="AG494" s="6"/>
    </row>
    <row r="495" spans="31:33" ht="15.75" customHeight="1" x14ac:dyDescent="0.2">
      <c r="AE495" s="2"/>
      <c r="AG495" s="6"/>
    </row>
    <row r="496" spans="31:33" ht="15.75" customHeight="1" x14ac:dyDescent="0.2">
      <c r="AE496" s="2"/>
      <c r="AG496" s="6"/>
    </row>
    <row r="497" spans="31:33" ht="15.75" customHeight="1" x14ac:dyDescent="0.2">
      <c r="AE497" s="2"/>
      <c r="AG497" s="6"/>
    </row>
    <row r="498" spans="31:33" ht="15.75" customHeight="1" x14ac:dyDescent="0.2">
      <c r="AE498" s="2"/>
      <c r="AG498" s="6"/>
    </row>
    <row r="499" spans="31:33" ht="15.75" customHeight="1" x14ac:dyDescent="0.2">
      <c r="AE499" s="2"/>
      <c r="AG499" s="6"/>
    </row>
    <row r="500" spans="31:33" ht="15.75" customHeight="1" x14ac:dyDescent="0.2">
      <c r="AE500" s="2"/>
      <c r="AG500" s="6"/>
    </row>
    <row r="501" spans="31:33" ht="15.75" customHeight="1" x14ac:dyDescent="0.2">
      <c r="AE501" s="2"/>
      <c r="AG501" s="6"/>
    </row>
    <row r="502" spans="31:33" ht="15.75" customHeight="1" x14ac:dyDescent="0.2">
      <c r="AE502" s="2"/>
      <c r="AG502" s="6"/>
    </row>
    <row r="503" spans="31:33" ht="15.75" customHeight="1" x14ac:dyDescent="0.2">
      <c r="AE503" s="2"/>
      <c r="AG503" s="6"/>
    </row>
    <row r="504" spans="31:33" ht="15.75" customHeight="1" x14ac:dyDescent="0.2">
      <c r="AE504" s="2"/>
      <c r="AG504" s="6"/>
    </row>
    <row r="505" spans="31:33" ht="15.75" customHeight="1" x14ac:dyDescent="0.2">
      <c r="AE505" s="2"/>
      <c r="AG505" s="6"/>
    </row>
    <row r="506" spans="31:33" ht="15.75" customHeight="1" x14ac:dyDescent="0.2">
      <c r="AE506" s="2"/>
      <c r="AG506" s="6"/>
    </row>
    <row r="507" spans="31:33" ht="15.75" customHeight="1" x14ac:dyDescent="0.2">
      <c r="AE507" s="2"/>
      <c r="AG507" s="6"/>
    </row>
    <row r="508" spans="31:33" ht="15.75" customHeight="1" x14ac:dyDescent="0.2">
      <c r="AE508" s="2"/>
      <c r="AG508" s="6"/>
    </row>
    <row r="509" spans="31:33" ht="15.75" customHeight="1" x14ac:dyDescent="0.2">
      <c r="AE509" s="2"/>
      <c r="AG509" s="6"/>
    </row>
    <row r="510" spans="31:33" ht="15.75" customHeight="1" x14ac:dyDescent="0.2">
      <c r="AE510" s="2"/>
      <c r="AG510" s="6"/>
    </row>
    <row r="511" spans="31:33" ht="15.75" customHeight="1" x14ac:dyDescent="0.2">
      <c r="AE511" s="2"/>
      <c r="AG511" s="6"/>
    </row>
    <row r="512" spans="31:33" ht="15.75" customHeight="1" x14ac:dyDescent="0.2">
      <c r="AE512" s="2"/>
      <c r="AG512" s="6"/>
    </row>
    <row r="513" spans="31:33" ht="15.75" customHeight="1" x14ac:dyDescent="0.2">
      <c r="AE513" s="2"/>
      <c r="AG513" s="6"/>
    </row>
    <row r="514" spans="31:33" ht="15.75" customHeight="1" x14ac:dyDescent="0.2">
      <c r="AE514" s="2"/>
      <c r="AG514" s="6"/>
    </row>
    <row r="515" spans="31:33" ht="15.75" customHeight="1" x14ac:dyDescent="0.2">
      <c r="AE515" s="2"/>
      <c r="AG515" s="6"/>
    </row>
    <row r="516" spans="31:33" ht="15.75" customHeight="1" x14ac:dyDescent="0.2">
      <c r="AE516" s="2"/>
      <c r="AG516" s="6"/>
    </row>
    <row r="517" spans="31:33" ht="15.75" customHeight="1" x14ac:dyDescent="0.2">
      <c r="AE517" s="2"/>
      <c r="AG517" s="6"/>
    </row>
    <row r="518" spans="31:33" ht="15.75" customHeight="1" x14ac:dyDescent="0.2">
      <c r="AE518" s="2"/>
      <c r="AG518" s="6"/>
    </row>
    <row r="519" spans="31:33" ht="15.75" customHeight="1" x14ac:dyDescent="0.2">
      <c r="AE519" s="2"/>
      <c r="AG519" s="6"/>
    </row>
    <row r="520" spans="31:33" ht="15.75" customHeight="1" x14ac:dyDescent="0.2">
      <c r="AE520" s="2"/>
      <c r="AG520" s="6"/>
    </row>
    <row r="521" spans="31:33" ht="15.75" customHeight="1" x14ac:dyDescent="0.2">
      <c r="AE521" s="2"/>
      <c r="AG521" s="6"/>
    </row>
    <row r="522" spans="31:33" ht="15.75" customHeight="1" x14ac:dyDescent="0.2">
      <c r="AE522" s="2"/>
      <c r="AG522" s="6"/>
    </row>
    <row r="523" spans="31:33" ht="15.75" customHeight="1" x14ac:dyDescent="0.2">
      <c r="AE523" s="2"/>
      <c r="AG523" s="6"/>
    </row>
    <row r="524" spans="31:33" ht="15.75" customHeight="1" x14ac:dyDescent="0.2">
      <c r="AE524" s="2"/>
      <c r="AG524" s="6"/>
    </row>
    <row r="525" spans="31:33" ht="15.75" customHeight="1" x14ac:dyDescent="0.2">
      <c r="AE525" s="2"/>
      <c r="AG525" s="6"/>
    </row>
    <row r="526" spans="31:33" ht="15.75" customHeight="1" x14ac:dyDescent="0.2">
      <c r="AE526" s="2"/>
      <c r="AG526" s="6"/>
    </row>
    <row r="527" spans="31:33" ht="15.75" customHeight="1" x14ac:dyDescent="0.2">
      <c r="AE527" s="2"/>
      <c r="AG527" s="6"/>
    </row>
    <row r="528" spans="31:33" ht="15.75" customHeight="1" x14ac:dyDescent="0.2">
      <c r="AE528" s="2"/>
      <c r="AG528" s="6"/>
    </row>
    <row r="529" spans="31:33" ht="15.75" customHeight="1" x14ac:dyDescent="0.2">
      <c r="AE529" s="2"/>
      <c r="AG529" s="6"/>
    </row>
    <row r="530" spans="31:33" ht="15.75" customHeight="1" x14ac:dyDescent="0.2">
      <c r="AE530" s="2"/>
      <c r="AG530" s="6"/>
    </row>
    <row r="531" spans="31:33" ht="15.75" customHeight="1" x14ac:dyDescent="0.2">
      <c r="AE531" s="2"/>
      <c r="AG531" s="6"/>
    </row>
    <row r="532" spans="31:33" ht="15.75" customHeight="1" x14ac:dyDescent="0.2">
      <c r="AE532" s="2"/>
      <c r="AG532" s="6"/>
    </row>
    <row r="533" spans="31:33" ht="15.75" customHeight="1" x14ac:dyDescent="0.2">
      <c r="AE533" s="2"/>
      <c r="AG533" s="6"/>
    </row>
    <row r="534" spans="31:33" ht="15.75" customHeight="1" x14ac:dyDescent="0.2">
      <c r="AE534" s="2"/>
      <c r="AG534" s="6"/>
    </row>
    <row r="535" spans="31:33" ht="15.75" customHeight="1" x14ac:dyDescent="0.2">
      <c r="AE535" s="2"/>
      <c r="AG535" s="6"/>
    </row>
    <row r="536" spans="31:33" ht="15.75" customHeight="1" x14ac:dyDescent="0.2">
      <c r="AE536" s="2"/>
      <c r="AG536" s="6"/>
    </row>
    <row r="537" spans="31:33" ht="15.75" customHeight="1" x14ac:dyDescent="0.2">
      <c r="AE537" s="2"/>
      <c r="AG537" s="6"/>
    </row>
    <row r="538" spans="31:33" ht="15.75" customHeight="1" x14ac:dyDescent="0.2">
      <c r="AE538" s="2"/>
      <c r="AG538" s="6"/>
    </row>
    <row r="539" spans="31:33" ht="15.75" customHeight="1" x14ac:dyDescent="0.2">
      <c r="AE539" s="2"/>
      <c r="AG539" s="6"/>
    </row>
    <row r="540" spans="31:33" ht="15.75" customHeight="1" x14ac:dyDescent="0.2">
      <c r="AE540" s="2"/>
      <c r="AG540" s="6"/>
    </row>
    <row r="541" spans="31:33" ht="15.75" customHeight="1" x14ac:dyDescent="0.2">
      <c r="AE541" s="2"/>
      <c r="AG541" s="6"/>
    </row>
    <row r="542" spans="31:33" ht="15.75" customHeight="1" x14ac:dyDescent="0.2">
      <c r="AE542" s="2"/>
      <c r="AG542" s="6"/>
    </row>
    <row r="543" spans="31:33" ht="15.75" customHeight="1" x14ac:dyDescent="0.2">
      <c r="AE543" s="2"/>
      <c r="AG543" s="6"/>
    </row>
    <row r="544" spans="31:33" ht="15.75" customHeight="1" x14ac:dyDescent="0.2">
      <c r="AE544" s="2"/>
      <c r="AG544" s="6"/>
    </row>
    <row r="545" spans="31:33" ht="15.75" customHeight="1" x14ac:dyDescent="0.2">
      <c r="AE545" s="2"/>
      <c r="AG545" s="6"/>
    </row>
    <row r="546" spans="31:33" ht="15.75" customHeight="1" x14ac:dyDescent="0.2">
      <c r="AE546" s="2"/>
      <c r="AG546" s="6"/>
    </row>
    <row r="547" spans="31:33" ht="15.75" customHeight="1" x14ac:dyDescent="0.2">
      <c r="AE547" s="2"/>
    </row>
    <row r="548" spans="31:33" ht="15.75" customHeight="1" x14ac:dyDescent="0.2">
      <c r="AE548" s="2"/>
    </row>
    <row r="549" spans="31:33" ht="15.75" customHeight="1" x14ac:dyDescent="0.2">
      <c r="AE549" s="2"/>
    </row>
    <row r="550" spans="31:33" ht="15.75" customHeight="1" x14ac:dyDescent="0.2">
      <c r="AE550" s="2"/>
    </row>
    <row r="551" spans="31:33" ht="15.75" customHeight="1" x14ac:dyDescent="0.2">
      <c r="AE551" s="2"/>
    </row>
    <row r="552" spans="31:33" ht="15.75" customHeight="1" x14ac:dyDescent="0.2">
      <c r="AE552" s="2"/>
    </row>
    <row r="553" spans="31:33" ht="15.75" customHeight="1" x14ac:dyDescent="0.2">
      <c r="AE553" s="2"/>
    </row>
    <row r="554" spans="31:33" ht="15.75" customHeight="1" x14ac:dyDescent="0.2">
      <c r="AE554" s="2"/>
    </row>
    <row r="555" spans="31:33" ht="15.75" customHeight="1" x14ac:dyDescent="0.2">
      <c r="AE555" s="2"/>
    </row>
    <row r="556" spans="31:33" ht="15.75" customHeight="1" x14ac:dyDescent="0.2">
      <c r="AE556" s="2"/>
    </row>
    <row r="557" spans="31:33" ht="15.75" customHeight="1" x14ac:dyDescent="0.2">
      <c r="AE557" s="2"/>
    </row>
    <row r="558" spans="31:33" ht="15.75" customHeight="1" x14ac:dyDescent="0.2">
      <c r="AE558" s="2"/>
    </row>
    <row r="559" spans="31:33" ht="15.75" customHeight="1" x14ac:dyDescent="0.2">
      <c r="AE559" s="2"/>
    </row>
    <row r="560" spans="31:33" ht="15.75" customHeight="1" x14ac:dyDescent="0.2">
      <c r="AE560" s="2"/>
    </row>
    <row r="561" spans="31:31" ht="15.75" customHeight="1" x14ac:dyDescent="0.2">
      <c r="AE561" s="2"/>
    </row>
    <row r="562" spans="31:31" ht="15.75" customHeight="1" x14ac:dyDescent="0.2">
      <c r="AE562" s="2"/>
    </row>
    <row r="563" spans="31:31" ht="15.75" customHeight="1" x14ac:dyDescent="0.2">
      <c r="AE563" s="2"/>
    </row>
    <row r="564" spans="31:31" ht="15.75" customHeight="1" x14ac:dyDescent="0.2">
      <c r="AE564" s="2"/>
    </row>
    <row r="565" spans="31:31" ht="15.75" customHeight="1" x14ac:dyDescent="0.2">
      <c r="AE565" s="2"/>
    </row>
    <row r="566" spans="31:31" ht="15.75" customHeight="1" x14ac:dyDescent="0.2">
      <c r="AE566" s="2"/>
    </row>
    <row r="567" spans="31:31" ht="15.75" customHeight="1" x14ac:dyDescent="0.2">
      <c r="AE567" s="2"/>
    </row>
    <row r="568" spans="31:31" ht="15.75" customHeight="1" x14ac:dyDescent="0.2">
      <c r="AE568" s="2"/>
    </row>
    <row r="569" spans="31:31" ht="15.75" customHeight="1" x14ac:dyDescent="0.2">
      <c r="AE569" s="2"/>
    </row>
    <row r="570" spans="31:31" ht="15.75" customHeight="1" x14ac:dyDescent="0.2">
      <c r="AE570" s="2"/>
    </row>
    <row r="571" spans="31:31" ht="15.75" customHeight="1" x14ac:dyDescent="0.2">
      <c r="AE571" s="2"/>
    </row>
    <row r="572" spans="31:31" ht="15.75" customHeight="1" x14ac:dyDescent="0.2">
      <c r="AE572" s="2"/>
    </row>
    <row r="573" spans="31:31" ht="15.75" customHeight="1" x14ac:dyDescent="0.2">
      <c r="AE573" s="2"/>
    </row>
    <row r="574" spans="31:31" ht="15.75" customHeight="1" x14ac:dyDescent="0.2">
      <c r="AE574" s="2"/>
    </row>
    <row r="575" spans="31:31" ht="15.75" customHeight="1" x14ac:dyDescent="0.2">
      <c r="AE575" s="2"/>
    </row>
    <row r="576" spans="31:31" ht="15.75" customHeight="1" x14ac:dyDescent="0.2">
      <c r="AE576" s="2"/>
    </row>
    <row r="577" spans="31:31" ht="15.75" customHeight="1" x14ac:dyDescent="0.2">
      <c r="AE577" s="2"/>
    </row>
    <row r="578" spans="31:31" ht="15.75" customHeight="1" x14ac:dyDescent="0.2">
      <c r="AE578" s="2"/>
    </row>
    <row r="579" spans="31:31" ht="15.75" customHeight="1" x14ac:dyDescent="0.2">
      <c r="AE579" s="2"/>
    </row>
    <row r="580" spans="31:31" ht="15.75" customHeight="1" x14ac:dyDescent="0.2">
      <c r="AE580" s="2"/>
    </row>
    <row r="581" spans="31:31" ht="15.75" customHeight="1" x14ac:dyDescent="0.2">
      <c r="AE581" s="2"/>
    </row>
    <row r="582" spans="31:31" ht="15.75" customHeight="1" x14ac:dyDescent="0.2">
      <c r="AE582" s="2"/>
    </row>
    <row r="583" spans="31:31" ht="15.75" customHeight="1" x14ac:dyDescent="0.2">
      <c r="AE583" s="2"/>
    </row>
    <row r="584" spans="31:31" ht="15.75" customHeight="1" x14ac:dyDescent="0.2">
      <c r="AE584" s="2"/>
    </row>
    <row r="585" spans="31:31" ht="15.75" customHeight="1" x14ac:dyDescent="0.2">
      <c r="AE585" s="2"/>
    </row>
    <row r="586" spans="31:31" ht="15.75" customHeight="1" x14ac:dyDescent="0.2">
      <c r="AE586" s="2"/>
    </row>
    <row r="587" spans="31:31" ht="15.75" customHeight="1" x14ac:dyDescent="0.2">
      <c r="AE587" s="2"/>
    </row>
    <row r="588" spans="31:31" ht="15.75" customHeight="1" x14ac:dyDescent="0.2">
      <c r="AE588" s="2"/>
    </row>
    <row r="589" spans="31:31" ht="15.75" customHeight="1" x14ac:dyDescent="0.2">
      <c r="AE589" s="2"/>
    </row>
    <row r="590" spans="31:31" ht="15.75" customHeight="1" x14ac:dyDescent="0.2">
      <c r="AE590" s="2"/>
    </row>
    <row r="591" spans="31:31" ht="15.75" customHeight="1" x14ac:dyDescent="0.2">
      <c r="AE591" s="2"/>
    </row>
    <row r="592" spans="31:31" ht="15.75" customHeight="1" x14ac:dyDescent="0.2">
      <c r="AE592" s="2"/>
    </row>
    <row r="593" spans="31:31" ht="15.75" customHeight="1" x14ac:dyDescent="0.2">
      <c r="AE593" s="2"/>
    </row>
    <row r="594" spans="31:31" ht="15.75" customHeight="1" x14ac:dyDescent="0.2">
      <c r="AE594" s="2"/>
    </row>
    <row r="595" spans="31:31" ht="15.75" customHeight="1" x14ac:dyDescent="0.2">
      <c r="AE595" s="2"/>
    </row>
    <row r="596" spans="31:31" ht="15.75" customHeight="1" x14ac:dyDescent="0.2">
      <c r="AE596" s="2"/>
    </row>
    <row r="597" spans="31:31" ht="15.75" customHeight="1" x14ac:dyDescent="0.2">
      <c r="AE597" s="2"/>
    </row>
    <row r="598" spans="31:31" ht="15.75" customHeight="1" x14ac:dyDescent="0.2">
      <c r="AE598" s="2"/>
    </row>
    <row r="599" spans="31:31" ht="15.75" customHeight="1" x14ac:dyDescent="0.2">
      <c r="AE599" s="2"/>
    </row>
    <row r="600" spans="31:31" ht="15.75" customHeight="1" x14ac:dyDescent="0.2">
      <c r="AE600" s="2"/>
    </row>
    <row r="601" spans="31:31" ht="15.75" customHeight="1" x14ac:dyDescent="0.2">
      <c r="AE601" s="2"/>
    </row>
    <row r="602" spans="31:31" ht="15.75" customHeight="1" x14ac:dyDescent="0.2">
      <c r="AE602" s="2"/>
    </row>
    <row r="603" spans="31:31" ht="15.75" customHeight="1" x14ac:dyDescent="0.2">
      <c r="AE603" s="2"/>
    </row>
    <row r="604" spans="31:31" ht="15.75" customHeight="1" x14ac:dyDescent="0.2">
      <c r="AE604" s="2"/>
    </row>
    <row r="605" spans="31:31" ht="15.75" customHeight="1" x14ac:dyDescent="0.2">
      <c r="AE605" s="2"/>
    </row>
    <row r="606" spans="31:31" ht="15.75" customHeight="1" x14ac:dyDescent="0.2">
      <c r="AE606" s="2"/>
    </row>
    <row r="607" spans="31:31" ht="15.75" customHeight="1" x14ac:dyDescent="0.2">
      <c r="AE607" s="2"/>
    </row>
    <row r="608" spans="31:31" ht="15.75" customHeight="1" x14ac:dyDescent="0.2">
      <c r="AE608" s="2"/>
    </row>
    <row r="609" spans="31:31" ht="15.75" customHeight="1" x14ac:dyDescent="0.2">
      <c r="AE609" s="2"/>
    </row>
    <row r="610" spans="31:31" ht="15.75" customHeight="1" x14ac:dyDescent="0.2">
      <c r="AE610" s="2"/>
    </row>
    <row r="611" spans="31:31" ht="15.75" customHeight="1" x14ac:dyDescent="0.2">
      <c r="AE611" s="2"/>
    </row>
    <row r="612" spans="31:31" ht="15.75" customHeight="1" x14ac:dyDescent="0.2">
      <c r="AE612" s="2"/>
    </row>
    <row r="613" spans="31:31" ht="15.75" customHeight="1" x14ac:dyDescent="0.2">
      <c r="AE613" s="2"/>
    </row>
    <row r="614" spans="31:31" ht="15.75" customHeight="1" x14ac:dyDescent="0.2">
      <c r="AE614" s="2"/>
    </row>
    <row r="615" spans="31:31" ht="15.75" customHeight="1" x14ac:dyDescent="0.2">
      <c r="AE615" s="2"/>
    </row>
    <row r="616" spans="31:31" ht="15.75" customHeight="1" x14ac:dyDescent="0.2">
      <c r="AE616" s="2"/>
    </row>
    <row r="617" spans="31:31" ht="15.75" customHeight="1" x14ac:dyDescent="0.2">
      <c r="AE617" s="2"/>
    </row>
    <row r="618" spans="31:31" ht="15.75" customHeight="1" x14ac:dyDescent="0.2">
      <c r="AE618" s="2"/>
    </row>
    <row r="619" spans="31:31" ht="15.75" customHeight="1" x14ac:dyDescent="0.2">
      <c r="AE619" s="2"/>
    </row>
    <row r="620" spans="31:31" ht="15.75" customHeight="1" x14ac:dyDescent="0.2">
      <c r="AE620" s="2"/>
    </row>
    <row r="621" spans="31:31" ht="15.75" customHeight="1" x14ac:dyDescent="0.2">
      <c r="AE621" s="2"/>
    </row>
    <row r="622" spans="31:31" ht="15.75" customHeight="1" x14ac:dyDescent="0.2">
      <c r="AE622" s="2"/>
    </row>
    <row r="623" spans="31:31" ht="15.75" customHeight="1" x14ac:dyDescent="0.2">
      <c r="AE623" s="2"/>
    </row>
    <row r="624" spans="31:31" ht="15.75" customHeight="1" x14ac:dyDescent="0.2">
      <c r="AE624" s="2"/>
    </row>
    <row r="625" spans="31:31" ht="15.75" customHeight="1" x14ac:dyDescent="0.2">
      <c r="AE625" s="2"/>
    </row>
    <row r="626" spans="31:31" ht="15.75" customHeight="1" x14ac:dyDescent="0.2">
      <c r="AE626" s="2"/>
    </row>
    <row r="627" spans="31:31" ht="15.75" customHeight="1" x14ac:dyDescent="0.2">
      <c r="AE627" s="2"/>
    </row>
    <row r="628" spans="31:31" ht="15.75" customHeight="1" x14ac:dyDescent="0.2">
      <c r="AE628" s="2"/>
    </row>
    <row r="629" spans="31:31" ht="15.75" customHeight="1" x14ac:dyDescent="0.2">
      <c r="AE629" s="2"/>
    </row>
    <row r="630" spans="31:31" ht="15.75" customHeight="1" x14ac:dyDescent="0.2">
      <c r="AE630" s="2"/>
    </row>
    <row r="631" spans="31:31" ht="15.75" customHeight="1" x14ac:dyDescent="0.2">
      <c r="AE631" s="2"/>
    </row>
    <row r="632" spans="31:31" ht="15.75" customHeight="1" x14ac:dyDescent="0.2">
      <c r="AE632" s="2"/>
    </row>
    <row r="633" spans="31:31" ht="15.75" customHeight="1" x14ac:dyDescent="0.2">
      <c r="AE633" s="2"/>
    </row>
    <row r="634" spans="31:31" ht="15.75" customHeight="1" x14ac:dyDescent="0.2">
      <c r="AE634" s="2"/>
    </row>
    <row r="635" spans="31:31" ht="15.75" customHeight="1" x14ac:dyDescent="0.2">
      <c r="AE635" s="2"/>
    </row>
    <row r="636" spans="31:31" ht="15.75" customHeight="1" x14ac:dyDescent="0.2">
      <c r="AE636" s="2"/>
    </row>
    <row r="637" spans="31:31" ht="15.75" customHeight="1" x14ac:dyDescent="0.2">
      <c r="AE637" s="2"/>
    </row>
    <row r="638" spans="31:31" ht="15.75" customHeight="1" x14ac:dyDescent="0.2">
      <c r="AE638" s="2"/>
    </row>
    <row r="639" spans="31:31" ht="15.75" customHeight="1" x14ac:dyDescent="0.2">
      <c r="AE639" s="2"/>
    </row>
    <row r="640" spans="31:31" ht="15.75" customHeight="1" x14ac:dyDescent="0.2">
      <c r="AE640" s="2"/>
    </row>
    <row r="641" spans="31:31" ht="15.75" customHeight="1" x14ac:dyDescent="0.2">
      <c r="AE641" s="2"/>
    </row>
    <row r="642" spans="31:31" ht="15.75" customHeight="1" x14ac:dyDescent="0.2">
      <c r="AE642" s="2"/>
    </row>
    <row r="643" spans="31:31" ht="15.75" customHeight="1" x14ac:dyDescent="0.2">
      <c r="AE643" s="2"/>
    </row>
    <row r="644" spans="31:31" ht="15.75" customHeight="1" x14ac:dyDescent="0.2">
      <c r="AE644" s="2"/>
    </row>
    <row r="645" spans="31:31" ht="15.75" customHeight="1" x14ac:dyDescent="0.2">
      <c r="AE645" s="2"/>
    </row>
    <row r="646" spans="31:31" ht="15.75" customHeight="1" x14ac:dyDescent="0.2">
      <c r="AE646" s="2"/>
    </row>
    <row r="647" spans="31:31" ht="15.75" customHeight="1" x14ac:dyDescent="0.2">
      <c r="AE647" s="2"/>
    </row>
    <row r="648" spans="31:31" ht="15.75" customHeight="1" x14ac:dyDescent="0.2">
      <c r="AE648" s="2"/>
    </row>
    <row r="649" spans="31:31" ht="15.75" customHeight="1" x14ac:dyDescent="0.2">
      <c r="AE649" s="2"/>
    </row>
    <row r="650" spans="31:31" ht="15.75" customHeight="1" x14ac:dyDescent="0.2">
      <c r="AE650" s="2"/>
    </row>
    <row r="651" spans="31:31" ht="15.75" customHeight="1" x14ac:dyDescent="0.2">
      <c r="AE651" s="2"/>
    </row>
    <row r="652" spans="31:31" ht="15.75" customHeight="1" x14ac:dyDescent="0.2">
      <c r="AE652" s="2"/>
    </row>
    <row r="653" spans="31:31" ht="15.75" customHeight="1" x14ac:dyDescent="0.2">
      <c r="AE653" s="2"/>
    </row>
    <row r="654" spans="31:31" ht="15.75" customHeight="1" x14ac:dyDescent="0.2">
      <c r="AE654" s="2"/>
    </row>
    <row r="655" spans="31:31" ht="15.75" customHeight="1" x14ac:dyDescent="0.2">
      <c r="AE655" s="2"/>
    </row>
    <row r="656" spans="31:31" ht="15.75" customHeight="1" x14ac:dyDescent="0.2">
      <c r="AE656" s="2"/>
    </row>
    <row r="657" spans="31:31" ht="15.75" customHeight="1" x14ac:dyDescent="0.2">
      <c r="AE657" s="2"/>
    </row>
    <row r="658" spans="31:31" ht="15.75" customHeight="1" x14ac:dyDescent="0.2">
      <c r="AE658" s="2"/>
    </row>
    <row r="659" spans="31:31" ht="15.75" customHeight="1" x14ac:dyDescent="0.2">
      <c r="AE659" s="2"/>
    </row>
    <row r="660" spans="31:31" ht="15.75" customHeight="1" x14ac:dyDescent="0.2">
      <c r="AE660" s="2"/>
    </row>
    <row r="661" spans="31:31" ht="15.75" customHeight="1" x14ac:dyDescent="0.2">
      <c r="AE661" s="2"/>
    </row>
    <row r="662" spans="31:31" ht="15.75" customHeight="1" x14ac:dyDescent="0.2">
      <c r="AE662" s="2"/>
    </row>
    <row r="663" spans="31:31" ht="15.75" customHeight="1" x14ac:dyDescent="0.2">
      <c r="AE663" s="2"/>
    </row>
    <row r="664" spans="31:31" ht="15.75" customHeight="1" x14ac:dyDescent="0.2">
      <c r="AE664" s="2"/>
    </row>
    <row r="665" spans="31:31" ht="15.75" customHeight="1" x14ac:dyDescent="0.2">
      <c r="AE665" s="2"/>
    </row>
    <row r="666" spans="31:31" ht="15.75" customHeight="1" x14ac:dyDescent="0.2">
      <c r="AE666" s="2"/>
    </row>
    <row r="667" spans="31:31" ht="15.75" customHeight="1" x14ac:dyDescent="0.2">
      <c r="AE667" s="2"/>
    </row>
    <row r="668" spans="31:31" ht="15.75" customHeight="1" x14ac:dyDescent="0.2">
      <c r="AE668" s="2"/>
    </row>
    <row r="669" spans="31:31" ht="15.75" customHeight="1" x14ac:dyDescent="0.2">
      <c r="AE669" s="2"/>
    </row>
    <row r="670" spans="31:31" ht="15.75" customHeight="1" x14ac:dyDescent="0.2">
      <c r="AE670" s="2"/>
    </row>
    <row r="671" spans="31:31" ht="15.75" customHeight="1" x14ac:dyDescent="0.2">
      <c r="AE671" s="2"/>
    </row>
    <row r="672" spans="31:31" ht="15.75" customHeight="1" x14ac:dyDescent="0.2">
      <c r="AE672" s="2"/>
    </row>
    <row r="673" spans="31:31" ht="15.75" customHeight="1" x14ac:dyDescent="0.2">
      <c r="AE673" s="2"/>
    </row>
    <row r="674" spans="31:31" ht="15.75" customHeight="1" x14ac:dyDescent="0.2">
      <c r="AE674" s="2"/>
    </row>
    <row r="675" spans="31:31" ht="15.75" customHeight="1" x14ac:dyDescent="0.2">
      <c r="AE675" s="2"/>
    </row>
    <row r="676" spans="31:31" ht="15.75" customHeight="1" x14ac:dyDescent="0.2">
      <c r="AE676" s="2"/>
    </row>
    <row r="677" spans="31:31" ht="15.75" customHeight="1" x14ac:dyDescent="0.2">
      <c r="AE677" s="2"/>
    </row>
    <row r="678" spans="31:31" ht="15.75" customHeight="1" x14ac:dyDescent="0.2">
      <c r="AE678" s="2"/>
    </row>
    <row r="679" spans="31:31" ht="15.75" customHeight="1" x14ac:dyDescent="0.2">
      <c r="AE679" s="2"/>
    </row>
    <row r="680" spans="31:31" ht="15.75" customHeight="1" x14ac:dyDescent="0.2">
      <c r="AE680" s="2"/>
    </row>
    <row r="681" spans="31:31" ht="15.75" customHeight="1" x14ac:dyDescent="0.2">
      <c r="AE681" s="2"/>
    </row>
    <row r="682" spans="31:31" ht="15.75" customHeight="1" x14ac:dyDescent="0.2">
      <c r="AE682" s="2"/>
    </row>
    <row r="683" spans="31:31" ht="15.75" customHeight="1" x14ac:dyDescent="0.2">
      <c r="AE683" s="2"/>
    </row>
    <row r="684" spans="31:31" ht="15.75" customHeight="1" x14ac:dyDescent="0.2">
      <c r="AE684" s="2"/>
    </row>
    <row r="685" spans="31:31" ht="15.75" customHeight="1" x14ac:dyDescent="0.2">
      <c r="AE685" s="2"/>
    </row>
    <row r="686" spans="31:31" ht="15.75" customHeight="1" x14ac:dyDescent="0.2">
      <c r="AE686" s="2"/>
    </row>
    <row r="687" spans="31:31" ht="15.75" customHeight="1" x14ac:dyDescent="0.2">
      <c r="AE687" s="2"/>
    </row>
    <row r="688" spans="31:31" ht="15.75" customHeight="1" x14ac:dyDescent="0.2">
      <c r="AE688" s="2"/>
    </row>
    <row r="689" spans="31:31" ht="15.75" customHeight="1" x14ac:dyDescent="0.2">
      <c r="AE689" s="2"/>
    </row>
    <row r="690" spans="31:31" ht="15.75" customHeight="1" x14ac:dyDescent="0.2">
      <c r="AE690" s="2"/>
    </row>
    <row r="691" spans="31:31" ht="15.75" customHeight="1" x14ac:dyDescent="0.2">
      <c r="AE691" s="2"/>
    </row>
    <row r="692" spans="31:31" ht="15.75" customHeight="1" x14ac:dyDescent="0.2">
      <c r="AE692" s="2"/>
    </row>
    <row r="693" spans="31:31" ht="15.75" customHeight="1" x14ac:dyDescent="0.2">
      <c r="AE693" s="2"/>
    </row>
    <row r="694" spans="31:31" ht="15.75" customHeight="1" x14ac:dyDescent="0.2">
      <c r="AE694" s="2"/>
    </row>
    <row r="695" spans="31:31" ht="15.75" customHeight="1" x14ac:dyDescent="0.2">
      <c r="AE695" s="2"/>
    </row>
    <row r="696" spans="31:31" ht="15.75" customHeight="1" x14ac:dyDescent="0.2">
      <c r="AE696" s="2"/>
    </row>
    <row r="697" spans="31:31" ht="15.75" customHeight="1" x14ac:dyDescent="0.2">
      <c r="AE697" s="2"/>
    </row>
    <row r="698" spans="31:31" ht="15.75" customHeight="1" x14ac:dyDescent="0.2">
      <c r="AE698" s="2"/>
    </row>
    <row r="699" spans="31:31" ht="15.75" customHeight="1" x14ac:dyDescent="0.2">
      <c r="AE699" s="2"/>
    </row>
    <row r="700" spans="31:31" ht="15.75" customHeight="1" x14ac:dyDescent="0.2">
      <c r="AE700" s="2"/>
    </row>
    <row r="701" spans="31:31" ht="15.75" customHeight="1" x14ac:dyDescent="0.2">
      <c r="AE701" s="2"/>
    </row>
    <row r="702" spans="31:31" ht="15.75" customHeight="1" x14ac:dyDescent="0.2">
      <c r="AE702" s="2"/>
    </row>
    <row r="703" spans="31:31" ht="15.75" customHeight="1" x14ac:dyDescent="0.2">
      <c r="AE703" s="2"/>
    </row>
    <row r="704" spans="31:31" ht="15.75" customHeight="1" x14ac:dyDescent="0.2">
      <c r="AE704" s="2"/>
    </row>
    <row r="705" spans="31:31" ht="15.75" customHeight="1" x14ac:dyDescent="0.2">
      <c r="AE705" s="2"/>
    </row>
    <row r="706" spans="31:31" ht="15.75" customHeight="1" x14ac:dyDescent="0.2">
      <c r="AE706" s="2"/>
    </row>
    <row r="707" spans="31:31" ht="15.75" customHeight="1" x14ac:dyDescent="0.2">
      <c r="AE707" s="2"/>
    </row>
    <row r="708" spans="31:31" ht="15.75" customHeight="1" x14ac:dyDescent="0.2">
      <c r="AE708" s="2"/>
    </row>
    <row r="709" spans="31:31" ht="15.75" customHeight="1" x14ac:dyDescent="0.2">
      <c r="AE709" s="2"/>
    </row>
    <row r="710" spans="31:31" ht="15.75" customHeight="1" x14ac:dyDescent="0.2">
      <c r="AE710" s="2"/>
    </row>
    <row r="711" spans="31:31" ht="15.75" customHeight="1" x14ac:dyDescent="0.2">
      <c r="AE711" s="2"/>
    </row>
    <row r="712" spans="31:31" ht="15.75" customHeight="1" x14ac:dyDescent="0.2">
      <c r="AE712" s="2"/>
    </row>
    <row r="713" spans="31:31" ht="15.75" customHeight="1" x14ac:dyDescent="0.2">
      <c r="AE713" s="2"/>
    </row>
    <row r="714" spans="31:31" ht="15.75" customHeight="1" x14ac:dyDescent="0.2">
      <c r="AE714" s="2"/>
    </row>
    <row r="715" spans="31:31" ht="15.75" customHeight="1" x14ac:dyDescent="0.2">
      <c r="AE715" s="2"/>
    </row>
    <row r="716" spans="31:31" ht="15.75" customHeight="1" x14ac:dyDescent="0.2">
      <c r="AE716" s="2"/>
    </row>
    <row r="717" spans="31:31" ht="15.75" customHeight="1" x14ac:dyDescent="0.2">
      <c r="AE717" s="2"/>
    </row>
    <row r="718" spans="31:31" ht="15.75" customHeight="1" x14ac:dyDescent="0.2">
      <c r="AE718" s="2"/>
    </row>
    <row r="719" spans="31:31" ht="15.75" customHeight="1" x14ac:dyDescent="0.2">
      <c r="AE719" s="2"/>
    </row>
    <row r="720" spans="31:31" ht="15.75" customHeight="1" x14ac:dyDescent="0.2">
      <c r="AE720" s="2"/>
    </row>
    <row r="721" spans="31:31" ht="15.75" customHeight="1" x14ac:dyDescent="0.2">
      <c r="AE721" s="2"/>
    </row>
    <row r="722" spans="31:31" ht="15.75" customHeight="1" x14ac:dyDescent="0.2">
      <c r="AE722" s="2"/>
    </row>
    <row r="723" spans="31:31" ht="15.75" customHeight="1" x14ac:dyDescent="0.2">
      <c r="AE723" s="2"/>
    </row>
    <row r="724" spans="31:31" ht="15.75" customHeight="1" x14ac:dyDescent="0.2">
      <c r="AE724" s="2"/>
    </row>
    <row r="725" spans="31:31" ht="15.75" customHeight="1" x14ac:dyDescent="0.2">
      <c r="AE725" s="2"/>
    </row>
    <row r="726" spans="31:31" ht="15.75" customHeight="1" x14ac:dyDescent="0.2">
      <c r="AE726" s="2"/>
    </row>
    <row r="727" spans="31:31" ht="15.75" customHeight="1" x14ac:dyDescent="0.2">
      <c r="AE727" s="2"/>
    </row>
    <row r="728" spans="31:31" ht="15.75" customHeight="1" x14ac:dyDescent="0.2">
      <c r="AE728" s="2"/>
    </row>
    <row r="729" spans="31:31" ht="15.75" customHeight="1" x14ac:dyDescent="0.2">
      <c r="AE729" s="2"/>
    </row>
    <row r="730" spans="31:31" ht="15.75" customHeight="1" x14ac:dyDescent="0.2">
      <c r="AE730" s="2"/>
    </row>
    <row r="731" spans="31:31" ht="15.75" customHeight="1" x14ac:dyDescent="0.2">
      <c r="AE731" s="2"/>
    </row>
    <row r="732" spans="31:31" ht="15.75" customHeight="1" x14ac:dyDescent="0.2">
      <c r="AE732" s="2"/>
    </row>
    <row r="733" spans="31:31" ht="15.75" customHeight="1" x14ac:dyDescent="0.2">
      <c r="AE733" s="2"/>
    </row>
    <row r="734" spans="31:31" ht="15.75" customHeight="1" x14ac:dyDescent="0.2">
      <c r="AE734" s="2"/>
    </row>
    <row r="735" spans="31:31" ht="15.75" customHeight="1" x14ac:dyDescent="0.2">
      <c r="AE735" s="2"/>
    </row>
    <row r="736" spans="31:31" ht="15.75" customHeight="1" x14ac:dyDescent="0.2">
      <c r="AE736" s="2"/>
    </row>
    <row r="737" spans="31:31" ht="15.75" customHeight="1" x14ac:dyDescent="0.2">
      <c r="AE737" s="2"/>
    </row>
    <row r="738" spans="31:31" ht="15.75" customHeight="1" x14ac:dyDescent="0.2">
      <c r="AE738" s="2"/>
    </row>
    <row r="739" spans="31:31" ht="15.75" customHeight="1" x14ac:dyDescent="0.2">
      <c r="AE739" s="2"/>
    </row>
    <row r="740" spans="31:31" ht="15.75" customHeight="1" x14ac:dyDescent="0.2">
      <c r="AE740" s="2"/>
    </row>
    <row r="741" spans="31:31" ht="15.75" customHeight="1" x14ac:dyDescent="0.2">
      <c r="AE741" s="2"/>
    </row>
    <row r="742" spans="31:31" ht="15.75" customHeight="1" x14ac:dyDescent="0.2">
      <c r="AE742" s="2"/>
    </row>
    <row r="743" spans="31:31" ht="15.75" customHeight="1" x14ac:dyDescent="0.2">
      <c r="AE743" s="2"/>
    </row>
    <row r="744" spans="31:31" ht="15.75" customHeight="1" x14ac:dyDescent="0.2">
      <c r="AE744" s="2"/>
    </row>
    <row r="745" spans="31:31" ht="15.75" customHeight="1" x14ac:dyDescent="0.2">
      <c r="AE745" s="2"/>
    </row>
    <row r="746" spans="31:31" ht="15.75" customHeight="1" x14ac:dyDescent="0.2">
      <c r="AE746" s="2"/>
    </row>
    <row r="747" spans="31:31" ht="15.75" customHeight="1" x14ac:dyDescent="0.2">
      <c r="AE747" s="2"/>
    </row>
    <row r="748" spans="31:31" ht="15.75" customHeight="1" x14ac:dyDescent="0.2">
      <c r="AE748" s="2"/>
    </row>
    <row r="749" spans="31:31" ht="15.75" customHeight="1" x14ac:dyDescent="0.2">
      <c r="AE749" s="2"/>
    </row>
    <row r="750" spans="31:31" ht="15.75" customHeight="1" x14ac:dyDescent="0.2">
      <c r="AE750" s="2"/>
    </row>
    <row r="751" spans="31:31" ht="15.75" customHeight="1" x14ac:dyDescent="0.2">
      <c r="AE751" s="2"/>
    </row>
    <row r="752" spans="31:31" ht="15.75" customHeight="1" x14ac:dyDescent="0.2">
      <c r="AE752" s="2"/>
    </row>
    <row r="753" spans="31:31" ht="15.75" customHeight="1" x14ac:dyDescent="0.2">
      <c r="AE753" s="2"/>
    </row>
    <row r="754" spans="31:31" ht="15.75" customHeight="1" x14ac:dyDescent="0.2">
      <c r="AE754" s="2"/>
    </row>
    <row r="755" spans="31:31" ht="15.75" customHeight="1" x14ac:dyDescent="0.2">
      <c r="AE755" s="2"/>
    </row>
    <row r="756" spans="31:31" ht="15.75" customHeight="1" x14ac:dyDescent="0.2">
      <c r="AE756" s="2"/>
    </row>
    <row r="757" spans="31:31" ht="15.75" customHeight="1" x14ac:dyDescent="0.2">
      <c r="AE757" s="2"/>
    </row>
    <row r="758" spans="31:31" ht="15.75" customHeight="1" x14ac:dyDescent="0.2">
      <c r="AE758" s="2"/>
    </row>
    <row r="759" spans="31:31" ht="15.75" customHeight="1" x14ac:dyDescent="0.2">
      <c r="AE759" s="2"/>
    </row>
    <row r="760" spans="31:31" ht="15.75" customHeight="1" x14ac:dyDescent="0.2">
      <c r="AE760" s="2"/>
    </row>
    <row r="761" spans="31:31" ht="15.75" customHeight="1" x14ac:dyDescent="0.2">
      <c r="AE761" s="2"/>
    </row>
    <row r="762" spans="31:31" ht="15.75" customHeight="1" x14ac:dyDescent="0.2">
      <c r="AE762" s="2"/>
    </row>
    <row r="763" spans="31:31" ht="15.75" customHeight="1" x14ac:dyDescent="0.2">
      <c r="AE763" s="2"/>
    </row>
    <row r="764" spans="31:31" ht="15.75" customHeight="1" x14ac:dyDescent="0.2">
      <c r="AE764" s="2"/>
    </row>
    <row r="765" spans="31:31" ht="15.75" customHeight="1" x14ac:dyDescent="0.2">
      <c r="AE765" s="2"/>
    </row>
    <row r="766" spans="31:31" ht="15.75" customHeight="1" x14ac:dyDescent="0.2">
      <c r="AE766" s="2"/>
    </row>
    <row r="767" spans="31:31" ht="15.75" customHeight="1" x14ac:dyDescent="0.2">
      <c r="AE767" s="2"/>
    </row>
    <row r="768" spans="31:31" ht="15.75" customHeight="1" x14ac:dyDescent="0.2">
      <c r="AE768" s="2"/>
    </row>
    <row r="769" spans="31:31" ht="15.75" customHeight="1" x14ac:dyDescent="0.2">
      <c r="AE769" s="2"/>
    </row>
    <row r="770" spans="31:31" ht="15.75" customHeight="1" x14ac:dyDescent="0.2">
      <c r="AE770" s="2"/>
    </row>
    <row r="771" spans="31:31" ht="15.75" customHeight="1" x14ac:dyDescent="0.2">
      <c r="AE771" s="2"/>
    </row>
    <row r="772" spans="31:31" ht="15.75" customHeight="1" x14ac:dyDescent="0.2">
      <c r="AE772" s="2"/>
    </row>
    <row r="773" spans="31:31" ht="15.75" customHeight="1" x14ac:dyDescent="0.2">
      <c r="AE773" s="2"/>
    </row>
    <row r="774" spans="31:31" ht="15.75" customHeight="1" x14ac:dyDescent="0.2">
      <c r="AE774" s="2"/>
    </row>
    <row r="775" spans="31:31" ht="15.75" customHeight="1" x14ac:dyDescent="0.2">
      <c r="AE775" s="2"/>
    </row>
    <row r="776" spans="31:31" ht="15.75" customHeight="1" x14ac:dyDescent="0.2">
      <c r="AE776" s="2"/>
    </row>
    <row r="777" spans="31:31" ht="15.75" customHeight="1" x14ac:dyDescent="0.2">
      <c r="AE777" s="2"/>
    </row>
    <row r="778" spans="31:31" ht="15.75" customHeight="1" x14ac:dyDescent="0.2">
      <c r="AE778" s="2"/>
    </row>
    <row r="779" spans="31:31" ht="15.75" customHeight="1" x14ac:dyDescent="0.2">
      <c r="AE779" s="2"/>
    </row>
    <row r="780" spans="31:31" ht="15.75" customHeight="1" x14ac:dyDescent="0.2">
      <c r="AE780" s="2"/>
    </row>
    <row r="781" spans="31:31" ht="15.75" customHeight="1" x14ac:dyDescent="0.2">
      <c r="AE781" s="2"/>
    </row>
    <row r="782" spans="31:31" ht="15.75" customHeight="1" x14ac:dyDescent="0.2">
      <c r="AE782" s="2"/>
    </row>
    <row r="783" spans="31:31" ht="15.75" customHeight="1" x14ac:dyDescent="0.2">
      <c r="AE783" s="2"/>
    </row>
    <row r="784" spans="31:31" ht="15.75" customHeight="1" x14ac:dyDescent="0.2">
      <c r="AE784" s="2"/>
    </row>
    <row r="785" spans="31:31" ht="15.75" customHeight="1" x14ac:dyDescent="0.2">
      <c r="AE785" s="2"/>
    </row>
    <row r="786" spans="31:31" ht="15.75" customHeight="1" x14ac:dyDescent="0.2">
      <c r="AE786" s="2"/>
    </row>
    <row r="787" spans="31:31" ht="15.75" customHeight="1" x14ac:dyDescent="0.2">
      <c r="AE787" s="2"/>
    </row>
    <row r="788" spans="31:31" ht="15.75" customHeight="1" x14ac:dyDescent="0.2">
      <c r="AE788" s="2"/>
    </row>
    <row r="789" spans="31:31" ht="15.75" customHeight="1" x14ac:dyDescent="0.2">
      <c r="AE789" s="2"/>
    </row>
    <row r="790" spans="31:31" ht="15.75" customHeight="1" x14ac:dyDescent="0.2">
      <c r="AE790" s="2"/>
    </row>
    <row r="791" spans="31:31" ht="15.75" customHeight="1" x14ac:dyDescent="0.2">
      <c r="AE791" s="2"/>
    </row>
    <row r="792" spans="31:31" ht="15.75" customHeight="1" x14ac:dyDescent="0.2">
      <c r="AE792" s="2"/>
    </row>
    <row r="793" spans="31:31" ht="15.75" customHeight="1" x14ac:dyDescent="0.2">
      <c r="AE793" s="2"/>
    </row>
    <row r="794" spans="31:31" ht="15.75" customHeight="1" x14ac:dyDescent="0.2">
      <c r="AE794" s="2"/>
    </row>
    <row r="795" spans="31:31" ht="15.75" customHeight="1" x14ac:dyDescent="0.2">
      <c r="AE795" s="2"/>
    </row>
    <row r="796" spans="31:31" ht="15.75" customHeight="1" x14ac:dyDescent="0.2">
      <c r="AE796" s="2"/>
    </row>
    <row r="797" spans="31:31" ht="15.75" customHeight="1" x14ac:dyDescent="0.2">
      <c r="AE797" s="2"/>
    </row>
    <row r="798" spans="31:31" ht="15.75" customHeight="1" x14ac:dyDescent="0.2">
      <c r="AE798" s="2"/>
    </row>
    <row r="799" spans="31:31" ht="15.75" customHeight="1" x14ac:dyDescent="0.2">
      <c r="AE799" s="2"/>
    </row>
    <row r="800" spans="31:31" ht="15.75" customHeight="1" x14ac:dyDescent="0.2">
      <c r="AE800" s="2"/>
    </row>
    <row r="801" spans="31:31" ht="15.75" customHeight="1" x14ac:dyDescent="0.2">
      <c r="AE801" s="2"/>
    </row>
    <row r="802" spans="31:31" ht="15.75" customHeight="1" x14ac:dyDescent="0.2">
      <c r="AE802" s="2"/>
    </row>
    <row r="803" spans="31:31" ht="15.75" customHeight="1" x14ac:dyDescent="0.2">
      <c r="AE803" s="2"/>
    </row>
    <row r="804" spans="31:31" ht="15.75" customHeight="1" x14ac:dyDescent="0.2">
      <c r="AE804" s="2"/>
    </row>
    <row r="805" spans="31:31" ht="15.75" customHeight="1" x14ac:dyDescent="0.2">
      <c r="AE805" s="2"/>
    </row>
    <row r="806" spans="31:31" ht="15.75" customHeight="1" x14ac:dyDescent="0.2">
      <c r="AE806" s="2"/>
    </row>
    <row r="807" spans="31:31" ht="15.75" customHeight="1" x14ac:dyDescent="0.2">
      <c r="AE807" s="2"/>
    </row>
    <row r="808" spans="31:31" ht="15.75" customHeight="1" x14ac:dyDescent="0.2">
      <c r="AE808" s="2"/>
    </row>
    <row r="809" spans="31:31" ht="15.75" customHeight="1" x14ac:dyDescent="0.2">
      <c r="AE809" s="2"/>
    </row>
    <row r="810" spans="31:31" ht="15.75" customHeight="1" x14ac:dyDescent="0.2">
      <c r="AE810" s="2"/>
    </row>
    <row r="811" spans="31:31" ht="15.75" customHeight="1" x14ac:dyDescent="0.2">
      <c r="AE811" s="2"/>
    </row>
    <row r="812" spans="31:31" ht="15.75" customHeight="1" x14ac:dyDescent="0.2">
      <c r="AE812" s="2"/>
    </row>
    <row r="813" spans="31:31" ht="15.75" customHeight="1" x14ac:dyDescent="0.2">
      <c r="AE813" s="2"/>
    </row>
    <row r="814" spans="31:31" ht="15.75" customHeight="1" x14ac:dyDescent="0.2">
      <c r="AE814" s="2"/>
    </row>
    <row r="815" spans="31:31" ht="15.75" customHeight="1" x14ac:dyDescent="0.2">
      <c r="AE815" s="2"/>
    </row>
    <row r="816" spans="31:31" ht="15.75" customHeight="1" x14ac:dyDescent="0.2">
      <c r="AE816" s="2"/>
    </row>
    <row r="817" spans="31:31" ht="15.75" customHeight="1" x14ac:dyDescent="0.2">
      <c r="AE817" s="2"/>
    </row>
    <row r="818" spans="31:31" ht="15.75" customHeight="1" x14ac:dyDescent="0.2">
      <c r="AE818" s="2"/>
    </row>
    <row r="819" spans="31:31" ht="15.75" customHeight="1" x14ac:dyDescent="0.2">
      <c r="AE819" s="2"/>
    </row>
    <row r="820" spans="31:31" ht="15.75" customHeight="1" x14ac:dyDescent="0.2">
      <c r="AE820" s="2"/>
    </row>
    <row r="821" spans="31:31" ht="15.75" customHeight="1" x14ac:dyDescent="0.2">
      <c r="AE821" s="2"/>
    </row>
    <row r="822" spans="31:31" ht="15.75" customHeight="1" x14ac:dyDescent="0.2">
      <c r="AE822" s="2"/>
    </row>
    <row r="823" spans="31:31" ht="15.75" customHeight="1" x14ac:dyDescent="0.2">
      <c r="AE823" s="2"/>
    </row>
    <row r="824" spans="31:31" ht="15.75" customHeight="1" x14ac:dyDescent="0.2">
      <c r="AE824" s="2"/>
    </row>
    <row r="825" spans="31:31" ht="15.75" customHeight="1" x14ac:dyDescent="0.2">
      <c r="AE825" s="2"/>
    </row>
    <row r="826" spans="31:31" ht="15.75" customHeight="1" x14ac:dyDescent="0.2">
      <c r="AE826" s="2"/>
    </row>
    <row r="827" spans="31:31" ht="15.75" customHeight="1" x14ac:dyDescent="0.2">
      <c r="AE827" s="2"/>
    </row>
    <row r="828" spans="31:31" ht="15.75" customHeight="1" x14ac:dyDescent="0.2">
      <c r="AE828" s="2"/>
    </row>
    <row r="829" spans="31:31" ht="15.75" customHeight="1" x14ac:dyDescent="0.2">
      <c r="AE829" s="2"/>
    </row>
    <row r="830" spans="31:31" ht="15.75" customHeight="1" x14ac:dyDescent="0.2">
      <c r="AE830" s="2"/>
    </row>
    <row r="831" spans="31:31" ht="15.75" customHeight="1" x14ac:dyDescent="0.2">
      <c r="AE831" s="2"/>
    </row>
    <row r="832" spans="31:31" ht="15.75" customHeight="1" x14ac:dyDescent="0.2">
      <c r="AE832" s="2"/>
    </row>
    <row r="833" spans="31:31" ht="15.75" customHeight="1" x14ac:dyDescent="0.2">
      <c r="AE833" s="2"/>
    </row>
    <row r="834" spans="31:31" ht="15.75" customHeight="1" x14ac:dyDescent="0.2">
      <c r="AE834" s="2"/>
    </row>
    <row r="835" spans="31:31" ht="15.75" customHeight="1" x14ac:dyDescent="0.2">
      <c r="AE835" s="2"/>
    </row>
    <row r="836" spans="31:31" ht="15.75" customHeight="1" x14ac:dyDescent="0.2">
      <c r="AE836" s="2"/>
    </row>
    <row r="837" spans="31:31" ht="15.75" customHeight="1" x14ac:dyDescent="0.2">
      <c r="AE837" s="2"/>
    </row>
    <row r="838" spans="31:31" ht="15.75" customHeight="1" x14ac:dyDescent="0.2">
      <c r="AE838" s="2"/>
    </row>
    <row r="839" spans="31:31" ht="15.75" customHeight="1" x14ac:dyDescent="0.2">
      <c r="AE839" s="2"/>
    </row>
    <row r="840" spans="31:31" ht="15.75" customHeight="1" x14ac:dyDescent="0.2">
      <c r="AE840" s="2"/>
    </row>
    <row r="841" spans="31:31" ht="15.75" customHeight="1" x14ac:dyDescent="0.2">
      <c r="AE841" s="2"/>
    </row>
    <row r="842" spans="31:31" ht="15.75" customHeight="1" x14ac:dyDescent="0.2">
      <c r="AE842" s="2"/>
    </row>
    <row r="843" spans="31:31" ht="15.75" customHeight="1" x14ac:dyDescent="0.2">
      <c r="AE843" s="2"/>
    </row>
    <row r="844" spans="31:31" ht="15.75" customHeight="1" x14ac:dyDescent="0.2">
      <c r="AE844" s="2"/>
    </row>
    <row r="845" spans="31:31" ht="15.75" customHeight="1" x14ac:dyDescent="0.2">
      <c r="AE845" s="2"/>
    </row>
    <row r="846" spans="31:31" ht="15.75" customHeight="1" x14ac:dyDescent="0.2">
      <c r="AE846" s="2"/>
    </row>
    <row r="847" spans="31:31" ht="15.75" customHeight="1" x14ac:dyDescent="0.2">
      <c r="AE847" s="2"/>
    </row>
    <row r="848" spans="31:31" ht="15.75" customHeight="1" x14ac:dyDescent="0.2">
      <c r="AE848" s="2"/>
    </row>
    <row r="849" spans="31:31" ht="15.75" customHeight="1" x14ac:dyDescent="0.2">
      <c r="AE849" s="2"/>
    </row>
    <row r="850" spans="31:31" ht="15.75" customHeight="1" x14ac:dyDescent="0.2">
      <c r="AE850" s="2"/>
    </row>
    <row r="851" spans="31:31" ht="15.75" customHeight="1" x14ac:dyDescent="0.2">
      <c r="AE851" s="2"/>
    </row>
    <row r="852" spans="31:31" ht="15.75" customHeight="1" x14ac:dyDescent="0.2">
      <c r="AE852" s="2"/>
    </row>
    <row r="853" spans="31:31" ht="15.75" customHeight="1" x14ac:dyDescent="0.2">
      <c r="AE853" s="2"/>
    </row>
    <row r="854" spans="31:31" ht="15.75" customHeight="1" x14ac:dyDescent="0.2">
      <c r="AE854" s="2"/>
    </row>
    <row r="855" spans="31:31" ht="15.75" customHeight="1" x14ac:dyDescent="0.2">
      <c r="AE855" s="2"/>
    </row>
    <row r="856" spans="31:31" ht="15.75" customHeight="1" x14ac:dyDescent="0.2">
      <c r="AE856" s="2"/>
    </row>
    <row r="857" spans="31:31" ht="15.75" customHeight="1" x14ac:dyDescent="0.2">
      <c r="AE857" s="2"/>
    </row>
    <row r="858" spans="31:31" ht="15.75" customHeight="1" x14ac:dyDescent="0.2">
      <c r="AE858" s="2"/>
    </row>
    <row r="859" spans="31:31" ht="15.75" customHeight="1" x14ac:dyDescent="0.2">
      <c r="AE859" s="2"/>
    </row>
    <row r="860" spans="31:31" ht="15.75" customHeight="1" x14ac:dyDescent="0.2">
      <c r="AE860" s="2"/>
    </row>
    <row r="861" spans="31:31" ht="15.75" customHeight="1" x14ac:dyDescent="0.2">
      <c r="AE861" s="2"/>
    </row>
    <row r="862" spans="31:31" ht="15.75" customHeight="1" x14ac:dyDescent="0.2">
      <c r="AE862" s="2"/>
    </row>
    <row r="863" spans="31:31" ht="15.75" customHeight="1" x14ac:dyDescent="0.2">
      <c r="AE863" s="2"/>
    </row>
    <row r="864" spans="31:31" ht="15.75" customHeight="1" x14ac:dyDescent="0.2">
      <c r="AE864" s="2"/>
    </row>
    <row r="865" spans="31:31" ht="15.75" customHeight="1" x14ac:dyDescent="0.2">
      <c r="AE865" s="2"/>
    </row>
    <row r="866" spans="31:31" ht="15.75" customHeight="1" x14ac:dyDescent="0.2">
      <c r="AE866" s="2"/>
    </row>
    <row r="867" spans="31:31" ht="15.75" customHeight="1" x14ac:dyDescent="0.2">
      <c r="AE867" s="2"/>
    </row>
    <row r="868" spans="31:31" ht="15.75" customHeight="1" x14ac:dyDescent="0.2">
      <c r="AE868" s="2"/>
    </row>
    <row r="869" spans="31:31" ht="15.75" customHeight="1" x14ac:dyDescent="0.2">
      <c r="AE869" s="2"/>
    </row>
    <row r="870" spans="31:31" ht="15.75" customHeight="1" x14ac:dyDescent="0.2">
      <c r="AE870" s="2"/>
    </row>
    <row r="871" spans="31:31" ht="15.75" customHeight="1" x14ac:dyDescent="0.2">
      <c r="AE871" s="2"/>
    </row>
    <row r="872" spans="31:31" ht="15.75" customHeight="1" x14ac:dyDescent="0.2">
      <c r="AE872" s="2"/>
    </row>
    <row r="873" spans="31:31" ht="15.75" customHeight="1" x14ac:dyDescent="0.2">
      <c r="AE873" s="2"/>
    </row>
    <row r="874" spans="31:31" ht="15.75" customHeight="1" x14ac:dyDescent="0.2">
      <c r="AE874" s="2"/>
    </row>
    <row r="875" spans="31:31" ht="15.75" customHeight="1" x14ac:dyDescent="0.2">
      <c r="AE875" s="2"/>
    </row>
    <row r="876" spans="31:31" ht="15.75" customHeight="1" x14ac:dyDescent="0.2">
      <c r="AE876" s="2"/>
    </row>
    <row r="877" spans="31:31" ht="15.75" customHeight="1" x14ac:dyDescent="0.2">
      <c r="AE877" s="2"/>
    </row>
    <row r="878" spans="31:31" ht="15.75" customHeight="1" x14ac:dyDescent="0.2">
      <c r="AE878" s="2"/>
    </row>
    <row r="879" spans="31:31" ht="15.75" customHeight="1" x14ac:dyDescent="0.2">
      <c r="AE879" s="2"/>
    </row>
    <row r="880" spans="31:31" ht="15.75" customHeight="1" x14ac:dyDescent="0.2">
      <c r="AE880" s="2"/>
    </row>
    <row r="881" spans="31:31" ht="15.75" customHeight="1" x14ac:dyDescent="0.2">
      <c r="AE881" s="2"/>
    </row>
    <row r="882" spans="31:31" ht="15.75" customHeight="1" x14ac:dyDescent="0.2">
      <c r="AE882" s="2"/>
    </row>
    <row r="883" spans="31:31" ht="15.75" customHeight="1" x14ac:dyDescent="0.2">
      <c r="AE883" s="2"/>
    </row>
    <row r="884" spans="31:31" ht="15.75" customHeight="1" x14ac:dyDescent="0.2">
      <c r="AE884" s="2"/>
    </row>
    <row r="885" spans="31:31" ht="15.75" customHeight="1" x14ac:dyDescent="0.2">
      <c r="AE885" s="2"/>
    </row>
    <row r="886" spans="31:31" ht="15.75" customHeight="1" x14ac:dyDescent="0.2">
      <c r="AE886" s="2"/>
    </row>
    <row r="887" spans="31:31" ht="15.75" customHeight="1" x14ac:dyDescent="0.2">
      <c r="AE887" s="2"/>
    </row>
    <row r="888" spans="31:31" ht="15.75" customHeight="1" x14ac:dyDescent="0.2">
      <c r="AE888" s="2"/>
    </row>
    <row r="889" spans="31:31" ht="15.75" customHeight="1" x14ac:dyDescent="0.2">
      <c r="AE889" s="2"/>
    </row>
    <row r="890" spans="31:31" ht="15.75" customHeight="1" x14ac:dyDescent="0.2">
      <c r="AE890" s="2"/>
    </row>
    <row r="891" spans="31:31" ht="15.75" customHeight="1" x14ac:dyDescent="0.2">
      <c r="AE891" s="2"/>
    </row>
    <row r="892" spans="31:31" ht="15.75" customHeight="1" x14ac:dyDescent="0.2">
      <c r="AE892" s="2"/>
    </row>
    <row r="893" spans="31:31" ht="15.75" customHeight="1" x14ac:dyDescent="0.2">
      <c r="AE893" s="2"/>
    </row>
    <row r="894" spans="31:31" ht="15.75" customHeight="1" x14ac:dyDescent="0.2">
      <c r="AE894" s="2"/>
    </row>
    <row r="895" spans="31:31" ht="15.75" customHeight="1" x14ac:dyDescent="0.2">
      <c r="AE895" s="2"/>
    </row>
    <row r="896" spans="31:31" ht="15.75" customHeight="1" x14ac:dyDescent="0.2">
      <c r="AE896" s="2"/>
    </row>
    <row r="897" spans="31:31" ht="15.75" customHeight="1" x14ac:dyDescent="0.2">
      <c r="AE897" s="2"/>
    </row>
    <row r="898" spans="31:31" ht="15.75" customHeight="1" x14ac:dyDescent="0.2">
      <c r="AE898" s="2"/>
    </row>
    <row r="899" spans="31:31" ht="15.75" customHeight="1" x14ac:dyDescent="0.2">
      <c r="AE899" s="2"/>
    </row>
    <row r="900" spans="31:31" ht="15.75" customHeight="1" x14ac:dyDescent="0.2">
      <c r="AE900" s="2"/>
    </row>
    <row r="901" spans="31:31" ht="15.75" customHeight="1" x14ac:dyDescent="0.2">
      <c r="AE901" s="2"/>
    </row>
    <row r="902" spans="31:31" ht="15.75" customHeight="1" x14ac:dyDescent="0.2">
      <c r="AE902" s="2"/>
    </row>
    <row r="903" spans="31:31" ht="15.75" customHeight="1" x14ac:dyDescent="0.2">
      <c r="AE903" s="2"/>
    </row>
    <row r="904" spans="31:31" ht="15.75" customHeight="1" x14ac:dyDescent="0.2">
      <c r="AE904" s="2"/>
    </row>
    <row r="905" spans="31:31" ht="15.75" customHeight="1" x14ac:dyDescent="0.2">
      <c r="AE905" s="2"/>
    </row>
    <row r="906" spans="31:31" ht="15.75" customHeight="1" x14ac:dyDescent="0.2">
      <c r="AE906" s="2"/>
    </row>
    <row r="907" spans="31:31" ht="15.75" customHeight="1" x14ac:dyDescent="0.2">
      <c r="AE907" s="2"/>
    </row>
    <row r="908" spans="31:31" ht="15.75" customHeight="1" x14ac:dyDescent="0.2">
      <c r="AE908" s="2"/>
    </row>
    <row r="909" spans="31:31" ht="15.75" customHeight="1" x14ac:dyDescent="0.2">
      <c r="AE909" s="2"/>
    </row>
    <row r="910" spans="31:31" ht="15.75" customHeight="1" x14ac:dyDescent="0.2">
      <c r="AE910" s="2"/>
    </row>
    <row r="911" spans="31:31" ht="15.75" customHeight="1" x14ac:dyDescent="0.2">
      <c r="AE911" s="2"/>
    </row>
    <row r="912" spans="31:31" ht="15.75" customHeight="1" x14ac:dyDescent="0.2">
      <c r="AE912" s="2"/>
    </row>
    <row r="913" spans="31:31" ht="15.75" customHeight="1" x14ac:dyDescent="0.2">
      <c r="AE913" s="2"/>
    </row>
    <row r="914" spans="31:31" ht="15.75" customHeight="1" x14ac:dyDescent="0.2">
      <c r="AE914" s="2"/>
    </row>
    <row r="915" spans="31:31" ht="15.75" customHeight="1" x14ac:dyDescent="0.2">
      <c r="AE915" s="2"/>
    </row>
    <row r="916" spans="31:31" ht="15.75" customHeight="1" x14ac:dyDescent="0.2">
      <c r="AE916" s="2"/>
    </row>
    <row r="917" spans="31:31" ht="15.75" customHeight="1" x14ac:dyDescent="0.2">
      <c r="AE917" s="2"/>
    </row>
    <row r="918" spans="31:31" ht="15.75" customHeight="1" x14ac:dyDescent="0.2">
      <c r="AE918" s="2"/>
    </row>
    <row r="919" spans="31:31" ht="15.75" customHeight="1" x14ac:dyDescent="0.2">
      <c r="AE919" s="2"/>
    </row>
    <row r="920" spans="31:31" ht="15.75" customHeight="1" x14ac:dyDescent="0.2">
      <c r="AE920" s="2"/>
    </row>
    <row r="921" spans="31:31" ht="15.75" customHeight="1" x14ac:dyDescent="0.2">
      <c r="AE921" s="2"/>
    </row>
    <row r="922" spans="31:31" ht="15.75" customHeight="1" x14ac:dyDescent="0.2">
      <c r="AE922" s="2"/>
    </row>
    <row r="923" spans="31:31" ht="15.75" customHeight="1" x14ac:dyDescent="0.2">
      <c r="AE923" s="2"/>
    </row>
    <row r="924" spans="31:31" ht="15.75" customHeight="1" x14ac:dyDescent="0.2">
      <c r="AE924" s="2"/>
    </row>
    <row r="925" spans="31:31" ht="15.75" customHeight="1" x14ac:dyDescent="0.2">
      <c r="AE925" s="2"/>
    </row>
    <row r="926" spans="31:31" ht="15.75" customHeight="1" x14ac:dyDescent="0.2">
      <c r="AE926" s="2"/>
    </row>
    <row r="927" spans="31:31" ht="15.75" customHeight="1" x14ac:dyDescent="0.2">
      <c r="AE927" s="2"/>
    </row>
    <row r="928" spans="31:31" ht="15.75" customHeight="1" x14ac:dyDescent="0.2">
      <c r="AE928" s="2"/>
    </row>
    <row r="929" spans="31:31" ht="15.75" customHeight="1" x14ac:dyDescent="0.2">
      <c r="AE929" s="2"/>
    </row>
    <row r="930" spans="31:31" ht="15.75" customHeight="1" x14ac:dyDescent="0.2">
      <c r="AE930" s="2"/>
    </row>
    <row r="931" spans="31:31" ht="15.75" customHeight="1" x14ac:dyDescent="0.2">
      <c r="AE931" s="2"/>
    </row>
    <row r="932" spans="31:31" ht="15.75" customHeight="1" x14ac:dyDescent="0.2">
      <c r="AE932" s="2"/>
    </row>
    <row r="933" spans="31:31" ht="15.75" customHeight="1" x14ac:dyDescent="0.2">
      <c r="AE933" s="2"/>
    </row>
    <row r="934" spans="31:31" ht="15.75" customHeight="1" x14ac:dyDescent="0.2">
      <c r="AE934" s="2"/>
    </row>
    <row r="935" spans="31:31" ht="15.75" customHeight="1" x14ac:dyDescent="0.2">
      <c r="AE935" s="2"/>
    </row>
    <row r="936" spans="31:31" ht="15.75" customHeight="1" x14ac:dyDescent="0.2">
      <c r="AE936" s="2"/>
    </row>
    <row r="937" spans="31:31" ht="15.75" customHeight="1" x14ac:dyDescent="0.2">
      <c r="AE937" s="2"/>
    </row>
    <row r="938" spans="31:31" ht="15.75" customHeight="1" x14ac:dyDescent="0.2">
      <c r="AE938" s="2"/>
    </row>
    <row r="939" spans="31:31" ht="15.75" customHeight="1" x14ac:dyDescent="0.2">
      <c r="AE939" s="2"/>
    </row>
    <row r="940" spans="31:31" ht="15.75" customHeight="1" x14ac:dyDescent="0.2">
      <c r="AE940" s="2"/>
    </row>
    <row r="941" spans="31:31" ht="15.75" customHeight="1" x14ac:dyDescent="0.2">
      <c r="AE941" s="2"/>
    </row>
    <row r="942" spans="31:31" ht="15.75" customHeight="1" x14ac:dyDescent="0.2">
      <c r="AE942" s="2"/>
    </row>
    <row r="943" spans="31:31" ht="15.75" customHeight="1" x14ac:dyDescent="0.2">
      <c r="AE943" s="2"/>
    </row>
    <row r="944" spans="31:31" ht="15.75" customHeight="1" x14ac:dyDescent="0.2">
      <c r="AE944" s="2"/>
    </row>
    <row r="945" spans="31:31" ht="15.75" customHeight="1" x14ac:dyDescent="0.2">
      <c r="AE945" s="2"/>
    </row>
    <row r="946" spans="31:31" ht="15.75" customHeight="1" x14ac:dyDescent="0.2">
      <c r="AE946" s="2"/>
    </row>
    <row r="947" spans="31:31" ht="15.75" customHeight="1" x14ac:dyDescent="0.2">
      <c r="AE947" s="2"/>
    </row>
    <row r="948" spans="31:31" ht="15.75" customHeight="1" x14ac:dyDescent="0.2">
      <c r="AE948" s="2"/>
    </row>
    <row r="949" spans="31:31" ht="15.75" customHeight="1" x14ac:dyDescent="0.2">
      <c r="AE949" s="2"/>
    </row>
    <row r="950" spans="31:31" ht="15.75" customHeight="1" x14ac:dyDescent="0.2">
      <c r="AE950" s="2"/>
    </row>
    <row r="951" spans="31:31" ht="15.75" customHeight="1" x14ac:dyDescent="0.2">
      <c r="AE951" s="2"/>
    </row>
    <row r="952" spans="31:31" ht="15.75" customHeight="1" x14ac:dyDescent="0.2">
      <c r="AE952" s="2"/>
    </row>
    <row r="953" spans="31:31" ht="15.75" customHeight="1" x14ac:dyDescent="0.2">
      <c r="AE953" s="2"/>
    </row>
    <row r="954" spans="31:31" ht="15.75" customHeight="1" x14ac:dyDescent="0.2">
      <c r="AE954" s="2"/>
    </row>
    <row r="955" spans="31:31" ht="15.75" customHeight="1" x14ac:dyDescent="0.2">
      <c r="AE955" s="2"/>
    </row>
    <row r="956" spans="31:31" ht="15.75" customHeight="1" x14ac:dyDescent="0.2">
      <c r="AE956" s="2"/>
    </row>
    <row r="957" spans="31:31" ht="15.75" customHeight="1" x14ac:dyDescent="0.2">
      <c r="AE957" s="2"/>
    </row>
    <row r="958" spans="31:31" ht="15.75" customHeight="1" x14ac:dyDescent="0.2">
      <c r="AE958" s="2"/>
    </row>
    <row r="959" spans="31:31" ht="15.75" customHeight="1" x14ac:dyDescent="0.2">
      <c r="AE959" s="2"/>
    </row>
    <row r="960" spans="31:31" ht="15.75" customHeight="1" x14ac:dyDescent="0.2">
      <c r="AE960" s="2"/>
    </row>
    <row r="961" spans="31:31" ht="15.75" customHeight="1" x14ac:dyDescent="0.2">
      <c r="AE961" s="2"/>
    </row>
    <row r="962" spans="31:31" ht="15.75" customHeight="1" x14ac:dyDescent="0.2">
      <c r="AE962" s="2"/>
    </row>
    <row r="963" spans="31:31" ht="15.75" customHeight="1" x14ac:dyDescent="0.2">
      <c r="AE963" s="2"/>
    </row>
    <row r="964" spans="31:31" ht="15.75" customHeight="1" x14ac:dyDescent="0.2">
      <c r="AE964" s="2"/>
    </row>
    <row r="965" spans="31:31" ht="15.75" customHeight="1" x14ac:dyDescent="0.2">
      <c r="AE965" s="2"/>
    </row>
    <row r="966" spans="31:31" ht="15.75" customHeight="1" x14ac:dyDescent="0.2">
      <c r="AE966" s="2"/>
    </row>
    <row r="967" spans="31:31" ht="15.75" customHeight="1" x14ac:dyDescent="0.2">
      <c r="AE967" s="2"/>
    </row>
    <row r="968" spans="31:31" ht="15.75" customHeight="1" x14ac:dyDescent="0.2">
      <c r="AE968" s="2"/>
    </row>
    <row r="969" spans="31:31" ht="15.75" customHeight="1" x14ac:dyDescent="0.2">
      <c r="AE969" s="2"/>
    </row>
    <row r="970" spans="31:31" ht="15.75" customHeight="1" x14ac:dyDescent="0.2">
      <c r="AE970" s="2"/>
    </row>
    <row r="971" spans="31:31" ht="15.75" customHeight="1" x14ac:dyDescent="0.2">
      <c r="AE971" s="2"/>
    </row>
    <row r="972" spans="31:31" ht="15.75" customHeight="1" x14ac:dyDescent="0.2">
      <c r="AE972" s="2"/>
    </row>
    <row r="973" spans="31:31" ht="15.75" customHeight="1" x14ac:dyDescent="0.2">
      <c r="AE973" s="2"/>
    </row>
    <row r="974" spans="31:31" ht="15.75" customHeight="1" x14ac:dyDescent="0.2">
      <c r="AE974" s="2"/>
    </row>
    <row r="975" spans="31:31" ht="15.75" customHeight="1" x14ac:dyDescent="0.2">
      <c r="AE975" s="2"/>
    </row>
    <row r="976" spans="31:31" ht="15.75" customHeight="1" x14ac:dyDescent="0.2">
      <c r="AE976" s="2"/>
    </row>
    <row r="977" spans="31:31" ht="15.75" customHeight="1" x14ac:dyDescent="0.2">
      <c r="AE977" s="2"/>
    </row>
    <row r="978" spans="31:31" ht="15.75" customHeight="1" x14ac:dyDescent="0.2">
      <c r="AE978" s="2"/>
    </row>
    <row r="979" spans="31:31" ht="15.75" customHeight="1" x14ac:dyDescent="0.2">
      <c r="AE979" s="2"/>
    </row>
    <row r="980" spans="31:31" ht="15.75" customHeight="1" x14ac:dyDescent="0.2">
      <c r="AE980" s="2"/>
    </row>
    <row r="981" spans="31:31" ht="15.75" customHeight="1" x14ac:dyDescent="0.2">
      <c r="AE981" s="2"/>
    </row>
    <row r="982" spans="31:31" ht="15.75" customHeight="1" x14ac:dyDescent="0.2">
      <c r="AE982" s="2"/>
    </row>
    <row r="983" spans="31:31" ht="15.75" customHeight="1" x14ac:dyDescent="0.2">
      <c r="AE983" s="2"/>
    </row>
    <row r="984" spans="31:31" ht="15.75" customHeight="1" x14ac:dyDescent="0.2">
      <c r="AE984" s="2"/>
    </row>
    <row r="985" spans="31:31" ht="15.75" customHeight="1" x14ac:dyDescent="0.2">
      <c r="AE985" s="2"/>
    </row>
    <row r="986" spans="31:31" ht="15.75" customHeight="1" x14ac:dyDescent="0.2">
      <c r="AE986" s="2"/>
    </row>
    <row r="987" spans="31:31" ht="15.75" customHeight="1" x14ac:dyDescent="0.2">
      <c r="AE987" s="2"/>
    </row>
    <row r="988" spans="31:31" ht="15.75" customHeight="1" x14ac:dyDescent="0.2">
      <c r="AE988" s="2"/>
    </row>
    <row r="989" spans="31:31" ht="15.75" customHeight="1" x14ac:dyDescent="0.2">
      <c r="AE989" s="2"/>
    </row>
    <row r="990" spans="31:31" ht="15.75" customHeight="1" x14ac:dyDescent="0.2">
      <c r="AE990" s="2"/>
    </row>
    <row r="991" spans="31:31" ht="15.75" customHeight="1" x14ac:dyDescent="0.2">
      <c r="AE991" s="2"/>
    </row>
    <row r="992" spans="31:31" ht="15.75" customHeight="1" x14ac:dyDescent="0.2">
      <c r="AE992" s="2"/>
    </row>
    <row r="993" spans="31:31" ht="15.75" customHeight="1" x14ac:dyDescent="0.2">
      <c r="AE993" s="2"/>
    </row>
    <row r="994" spans="31:31" ht="15.75" customHeight="1" x14ac:dyDescent="0.2">
      <c r="AE994" s="2"/>
    </row>
    <row r="995" spans="31:31" ht="15.75" customHeight="1" x14ac:dyDescent="0.2">
      <c r="AE995" s="2"/>
    </row>
    <row r="996" spans="31:31" ht="15.75" customHeight="1" x14ac:dyDescent="0.2">
      <c r="AE996" s="2"/>
    </row>
    <row r="997" spans="31:31" ht="15.75" customHeight="1" x14ac:dyDescent="0.2">
      <c r="AE997" s="2"/>
    </row>
    <row r="998" spans="31:31" ht="15.75" customHeight="1" x14ac:dyDescent="0.2">
      <c r="AE998" s="2"/>
    </row>
    <row r="999" spans="31:31" ht="15.75" customHeight="1" x14ac:dyDescent="0.2">
      <c r="AE999" s="2"/>
    </row>
    <row r="1000" spans="31:31" ht="15.75" customHeight="1" x14ac:dyDescent="0.2">
      <c r="AE1000" s="2"/>
    </row>
  </sheetData>
  <autoFilter ref="A1:AR293" xr:uid="{00000000-0009-0000-0000-000000000000}"/>
  <conditionalFormatting sqref="A2:B293 C2:C546 AE2:AE6 AE8:AE55 AE57 AE59:AE160 AE162:AE293 D2:AD293">
    <cfRule type="cellIs" dxfId="10" priority="1" operator="equal">
      <formula>"#N/A N/A"</formula>
    </cfRule>
  </conditionalFormatting>
  <conditionalFormatting sqref="AE8:AE55 AE57 AE59:AE160 AE162:AE1000">
    <cfRule type="cellIs" dxfId="9" priority="2" operator="equal">
      <formula>""</formula>
    </cfRule>
  </conditionalFormatting>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427"/>
  <sheetViews>
    <sheetView workbookViewId="0"/>
  </sheetViews>
  <sheetFormatPr baseColWidth="10" defaultColWidth="14.5" defaultRowHeight="15" customHeight="1" x14ac:dyDescent="0.2"/>
  <cols>
    <col min="1" max="1" width="4.33203125" customWidth="1"/>
    <col min="25" max="26" width="26.6640625" customWidth="1"/>
  </cols>
  <sheetData>
    <row r="1" spans="1:26" x14ac:dyDescent="0.2">
      <c r="A1" s="16" t="s">
        <v>0</v>
      </c>
      <c r="B1" s="16" t="s">
        <v>1</v>
      </c>
      <c r="C1" s="16" t="s">
        <v>5</v>
      </c>
      <c r="D1" s="16" t="s">
        <v>21</v>
      </c>
      <c r="E1" s="16" t="s">
        <v>1763</v>
      </c>
      <c r="F1" s="16" t="s">
        <v>8</v>
      </c>
      <c r="G1" s="16" t="s">
        <v>3</v>
      </c>
      <c r="H1" s="16" t="s">
        <v>2</v>
      </c>
      <c r="I1" s="16" t="s">
        <v>4</v>
      </c>
      <c r="J1" s="16" t="s">
        <v>19</v>
      </c>
      <c r="K1" s="16" t="s">
        <v>20</v>
      </c>
      <c r="L1" s="16" t="s">
        <v>22</v>
      </c>
      <c r="M1" s="16" t="s">
        <v>16</v>
      </c>
      <c r="N1" s="16" t="s">
        <v>1764</v>
      </c>
      <c r="O1" s="16" t="s">
        <v>7</v>
      </c>
      <c r="P1" s="16" t="s">
        <v>10</v>
      </c>
      <c r="Q1" s="16" t="s">
        <v>9</v>
      </c>
      <c r="R1" s="16" t="s">
        <v>11</v>
      </c>
      <c r="S1" s="16" t="s">
        <v>15</v>
      </c>
      <c r="T1" s="16" t="s">
        <v>18</v>
      </c>
      <c r="U1" s="16" t="s">
        <v>13</v>
      </c>
      <c r="V1" s="16" t="s">
        <v>17</v>
      </c>
      <c r="W1" s="16" t="s">
        <v>1765</v>
      </c>
      <c r="X1" s="16" t="s">
        <v>36</v>
      </c>
      <c r="Y1" s="1" t="s">
        <v>1766</v>
      </c>
      <c r="Z1" s="1" t="s">
        <v>39</v>
      </c>
    </row>
    <row r="2" spans="1:26" x14ac:dyDescent="0.2">
      <c r="A2" s="6">
        <v>1</v>
      </c>
      <c r="B2" s="6" t="s">
        <v>774</v>
      </c>
      <c r="C2" s="6" t="s">
        <v>777</v>
      </c>
      <c r="D2" s="6" t="s">
        <v>57</v>
      </c>
      <c r="E2" s="6" t="str">
        <f>VLOOKUP(G2,'CBs RAW'!$E$2:$H$427,4)</f>
        <v>#N/A N/A</v>
      </c>
      <c r="F2" s="6" t="s">
        <v>199</v>
      </c>
      <c r="G2" s="6" t="s">
        <v>1767</v>
      </c>
      <c r="H2" s="6" t="s">
        <v>1768</v>
      </c>
      <c r="I2" s="6" t="s">
        <v>1769</v>
      </c>
      <c r="J2" s="6" t="s">
        <v>55</v>
      </c>
      <c r="K2" s="6" t="s">
        <v>56</v>
      </c>
      <c r="L2" s="5">
        <v>321444000</v>
      </c>
      <c r="M2" s="6" t="s">
        <v>52</v>
      </c>
      <c r="N2" s="6" t="s">
        <v>1770</v>
      </c>
      <c r="O2" s="6" t="s">
        <v>199</v>
      </c>
      <c r="P2" s="17">
        <v>42810</v>
      </c>
      <c r="Q2" s="5">
        <f>VLOOKUP(G2,'CBs RAW'!$E$2:$P$427,12)</f>
        <v>1.25</v>
      </c>
      <c r="R2" s="17">
        <v>45367</v>
      </c>
      <c r="S2" s="6" t="s">
        <v>225</v>
      </c>
      <c r="T2" s="6" t="s">
        <v>189</v>
      </c>
      <c r="U2" s="6" t="s">
        <v>49</v>
      </c>
      <c r="V2" s="6" t="s">
        <v>53</v>
      </c>
      <c r="W2" s="6" t="s">
        <v>1771</v>
      </c>
      <c r="X2" s="18">
        <f>VLOOKUP(G2,'CBs RAW'!$E$2:$W$427,19)</f>
        <v>1.34</v>
      </c>
      <c r="Y2" s="19">
        <f t="shared" ref="Y2:Y427" si="0">IF(X2="#N/A N/A",E2,X2)</f>
        <v>1.34</v>
      </c>
      <c r="Z2" s="2" t="str">
        <f t="shared" ref="Z2:Z427" si="1">B2&amp;U2&amp;K2&amp;V2&amp;M2</f>
        <v>A2A SpAAT MATURITYFIXEDEURSr Unsecured</v>
      </c>
    </row>
    <row r="3" spans="1:26" x14ac:dyDescent="0.2">
      <c r="A3" s="6">
        <v>2</v>
      </c>
      <c r="B3" s="6" t="s">
        <v>774</v>
      </c>
      <c r="C3" s="6" t="s">
        <v>777</v>
      </c>
      <c r="D3" s="6" t="s">
        <v>57</v>
      </c>
      <c r="E3" s="6" t="str">
        <f>VLOOKUP(G3,'CBs RAW'!$E$2:$H$427,4)</f>
        <v>#N/A N/A</v>
      </c>
      <c r="F3" s="6" t="s">
        <v>199</v>
      </c>
      <c r="G3" s="6" t="s">
        <v>1772</v>
      </c>
      <c r="H3" s="6" t="s">
        <v>1773</v>
      </c>
      <c r="I3" s="6" t="s">
        <v>1774</v>
      </c>
      <c r="J3" s="6" t="s">
        <v>55</v>
      </c>
      <c r="K3" s="6" t="s">
        <v>56</v>
      </c>
      <c r="L3" s="5">
        <v>355038000</v>
      </c>
      <c r="M3" s="6" t="s">
        <v>52</v>
      </c>
      <c r="N3" s="6" t="s">
        <v>1775</v>
      </c>
      <c r="O3" s="6" t="s">
        <v>199</v>
      </c>
      <c r="P3" s="17">
        <v>43027</v>
      </c>
      <c r="Q3" s="5">
        <f>VLOOKUP(G3,'CBs RAW'!$E$2:$P$427,12)</f>
        <v>1.625</v>
      </c>
      <c r="R3" s="17">
        <v>46679</v>
      </c>
      <c r="S3" s="6" t="s">
        <v>225</v>
      </c>
      <c r="T3" s="6" t="s">
        <v>174</v>
      </c>
      <c r="U3" s="6" t="s">
        <v>115</v>
      </c>
      <c r="V3" s="6" t="s">
        <v>53</v>
      </c>
      <c r="W3" s="6" t="s">
        <v>1776</v>
      </c>
      <c r="X3" s="18">
        <f>VLOOKUP(G3,'CBs RAW'!$E$2:$W$427,19)</f>
        <v>1.68</v>
      </c>
      <c r="Y3" s="19">
        <f t="shared" si="0"/>
        <v>1.68</v>
      </c>
      <c r="Z3" s="2" t="str">
        <f t="shared" si="1"/>
        <v>A2A SpACALLABLEFIXEDEURSr Unsecured</v>
      </c>
    </row>
    <row r="4" spans="1:26" x14ac:dyDescent="0.2">
      <c r="A4" s="6">
        <v>3</v>
      </c>
      <c r="B4" s="6" t="s">
        <v>774</v>
      </c>
      <c r="C4" s="6" t="s">
        <v>777</v>
      </c>
      <c r="D4" s="6" t="s">
        <v>57</v>
      </c>
      <c r="E4" s="6" t="str">
        <f>VLOOKUP(G4,'CBs RAW'!$E$2:$H$427,4)</f>
        <v>#N/A N/A</v>
      </c>
      <c r="F4" s="6" t="s">
        <v>199</v>
      </c>
      <c r="G4" s="6" t="s">
        <v>1777</v>
      </c>
      <c r="H4" s="6" t="s">
        <v>1778</v>
      </c>
      <c r="I4" s="6" t="s">
        <v>1779</v>
      </c>
      <c r="J4" s="6" t="s">
        <v>55</v>
      </c>
      <c r="K4" s="6" t="s">
        <v>56</v>
      </c>
      <c r="L4" s="5">
        <v>587530000</v>
      </c>
      <c r="M4" s="6" t="s">
        <v>52</v>
      </c>
      <c r="N4" s="6" t="s">
        <v>1775</v>
      </c>
      <c r="O4" s="6" t="s">
        <v>199</v>
      </c>
      <c r="P4" s="17">
        <v>44132</v>
      </c>
      <c r="Q4" s="5">
        <f>VLOOKUP(G4,'CBs RAW'!$E$2:$P$427,12)</f>
        <v>0.625</v>
      </c>
      <c r="R4" s="17">
        <v>48515</v>
      </c>
      <c r="S4" s="6" t="s">
        <v>225</v>
      </c>
      <c r="T4" s="6" t="s">
        <v>174</v>
      </c>
      <c r="U4" s="6" t="s">
        <v>115</v>
      </c>
      <c r="V4" s="6" t="s">
        <v>53</v>
      </c>
      <c r="W4" s="6" t="s">
        <v>1780</v>
      </c>
      <c r="X4" s="18">
        <f>VLOOKUP(G4,'CBs RAW'!$E$2:$W$427,19)</f>
        <v>0.60899999999999999</v>
      </c>
      <c r="Y4" s="19">
        <f t="shared" si="0"/>
        <v>0.60899999999999999</v>
      </c>
      <c r="Z4" s="2" t="str">
        <f t="shared" si="1"/>
        <v>A2A SpACALLABLEFIXEDEURSr Unsecured</v>
      </c>
    </row>
    <row r="5" spans="1:26" x14ac:dyDescent="0.2">
      <c r="A5" s="6">
        <v>4</v>
      </c>
      <c r="B5" s="6" t="s">
        <v>774</v>
      </c>
      <c r="C5" s="6" t="s">
        <v>777</v>
      </c>
      <c r="D5" s="6" t="s">
        <v>57</v>
      </c>
      <c r="E5" s="6" t="str">
        <f>VLOOKUP(G5,'CBs RAW'!$E$2:$H$427,4)</f>
        <v>#N/A N/A</v>
      </c>
      <c r="F5" s="6" t="s">
        <v>199</v>
      </c>
      <c r="G5" s="6" t="s">
        <v>1781</v>
      </c>
      <c r="H5" s="6" t="s">
        <v>1782</v>
      </c>
      <c r="I5" s="6" t="s">
        <v>1783</v>
      </c>
      <c r="J5" s="6" t="s">
        <v>55</v>
      </c>
      <c r="K5" s="6" t="s">
        <v>56</v>
      </c>
      <c r="L5" s="5">
        <v>407832000</v>
      </c>
      <c r="M5" s="6" t="s">
        <v>52</v>
      </c>
      <c r="N5" s="6" t="s">
        <v>1770</v>
      </c>
      <c r="O5" s="6" t="s">
        <v>199</v>
      </c>
      <c r="P5" s="17">
        <v>41612</v>
      </c>
      <c r="Q5" s="5">
        <f>VLOOKUP(G5,'CBs RAW'!$E$2:$P$427,12)</f>
        <v>4</v>
      </c>
      <c r="R5" s="17">
        <v>45264</v>
      </c>
      <c r="S5" s="6" t="s">
        <v>225</v>
      </c>
      <c r="T5" s="6" t="s">
        <v>189</v>
      </c>
      <c r="U5" s="6" t="s">
        <v>49</v>
      </c>
      <c r="V5" s="6" t="s">
        <v>53</v>
      </c>
      <c r="W5" s="6" t="s">
        <v>1784</v>
      </c>
      <c r="X5" s="18" t="str">
        <f>VLOOKUP(G5,'CBs RAW'!$E$2:$W$427,19)</f>
        <v>#N/A N/A</v>
      </c>
      <c r="Y5" s="2" t="str">
        <f t="shared" si="0"/>
        <v>#N/A N/A</v>
      </c>
      <c r="Z5" s="2" t="str">
        <f t="shared" si="1"/>
        <v>A2A SpAAT MATURITYFIXEDEURSr Unsecured</v>
      </c>
    </row>
    <row r="6" spans="1:26" x14ac:dyDescent="0.2">
      <c r="A6" s="6">
        <v>5</v>
      </c>
      <c r="B6" s="6" t="s">
        <v>774</v>
      </c>
      <c r="C6" s="6" t="s">
        <v>777</v>
      </c>
      <c r="D6" s="6" t="s">
        <v>57</v>
      </c>
      <c r="E6" s="6" t="str">
        <f>VLOOKUP(G6,'CBs RAW'!$E$2:$H$427,4)</f>
        <v>#N/A N/A</v>
      </c>
      <c r="F6" s="6" t="s">
        <v>199</v>
      </c>
      <c r="G6" s="6" t="s">
        <v>1785</v>
      </c>
      <c r="H6" s="6" t="s">
        <v>1786</v>
      </c>
      <c r="I6" s="6" t="s">
        <v>1787</v>
      </c>
      <c r="J6" s="6" t="s">
        <v>55</v>
      </c>
      <c r="K6" s="6" t="s">
        <v>56</v>
      </c>
      <c r="L6" s="5">
        <v>340893000</v>
      </c>
      <c r="M6" s="6" t="s">
        <v>52</v>
      </c>
      <c r="N6" s="6" t="s">
        <v>1770</v>
      </c>
      <c r="O6" s="6" t="s">
        <v>199</v>
      </c>
      <c r="P6" s="17">
        <v>42060</v>
      </c>
      <c r="Q6" s="5">
        <f>VLOOKUP(G6,'CBs RAW'!$E$2:$P$427,12)</f>
        <v>1.75</v>
      </c>
      <c r="R6" s="17">
        <v>45713</v>
      </c>
      <c r="S6" s="6" t="s">
        <v>225</v>
      </c>
      <c r="T6" s="6" t="s">
        <v>174</v>
      </c>
      <c r="U6" s="6" t="s">
        <v>115</v>
      </c>
      <c r="V6" s="6" t="s">
        <v>53</v>
      </c>
      <c r="W6" s="6" t="s">
        <v>1788</v>
      </c>
      <c r="X6" s="18">
        <f>VLOOKUP(G6,'CBs RAW'!$E$2:$W$427,19)</f>
        <v>1.63</v>
      </c>
      <c r="Y6" s="19">
        <f t="shared" si="0"/>
        <v>1.63</v>
      </c>
      <c r="Z6" s="2" t="str">
        <f t="shared" si="1"/>
        <v>A2A SpACALLABLEFIXEDEURSr Unsecured</v>
      </c>
    </row>
    <row r="7" spans="1:26" x14ac:dyDescent="0.2">
      <c r="A7" s="6">
        <v>6</v>
      </c>
      <c r="B7" s="6" t="s">
        <v>1157</v>
      </c>
      <c r="C7" s="6" t="s">
        <v>1160</v>
      </c>
      <c r="D7" s="6" t="s">
        <v>57</v>
      </c>
      <c r="E7" s="6">
        <f>VLOOKUP(G7,'CBs RAW'!$E$2:$H$427,4)</f>
        <v>1.373</v>
      </c>
      <c r="F7" s="6" t="s">
        <v>184</v>
      </c>
      <c r="G7" s="6" t="s">
        <v>1789</v>
      </c>
      <c r="H7" s="6" t="s">
        <v>1790</v>
      </c>
      <c r="I7" s="6" t="s">
        <v>1791</v>
      </c>
      <c r="J7" s="6" t="s">
        <v>117</v>
      </c>
      <c r="K7" s="6" t="s">
        <v>56</v>
      </c>
      <c r="L7" s="5">
        <v>644262000</v>
      </c>
      <c r="M7" s="6" t="s">
        <v>52</v>
      </c>
      <c r="N7" s="6" t="s">
        <v>1792</v>
      </c>
      <c r="O7" s="6" t="s">
        <v>184</v>
      </c>
      <c r="P7" s="17">
        <v>42760</v>
      </c>
      <c r="Q7" s="5">
        <f>VLOOKUP(G7,'CBs RAW'!$E$2:$P$427,12)</f>
        <v>2.5</v>
      </c>
      <c r="R7" s="17">
        <v>45316</v>
      </c>
      <c r="S7" s="6" t="s">
        <v>173</v>
      </c>
      <c r="T7" s="6" t="s">
        <v>263</v>
      </c>
      <c r="U7" s="6" t="s">
        <v>49</v>
      </c>
      <c r="V7" s="6" t="s">
        <v>53</v>
      </c>
      <c r="W7" s="6" t="s">
        <v>1793</v>
      </c>
      <c r="X7" s="18">
        <f>VLOOKUP(G7,'CBs RAW'!$E$2:$W$427,19)</f>
        <v>1.9319999999999999</v>
      </c>
      <c r="Y7" s="19">
        <f t="shared" si="0"/>
        <v>1.9319999999999999</v>
      </c>
      <c r="Z7" s="2" t="str">
        <f t="shared" si="1"/>
        <v>Accor SAAT MATURITYFIXEDEURSr Unsecured</v>
      </c>
    </row>
    <row r="8" spans="1:26" x14ac:dyDescent="0.2">
      <c r="A8" s="6">
        <v>7</v>
      </c>
      <c r="B8" s="6" t="s">
        <v>1157</v>
      </c>
      <c r="C8" s="6" t="s">
        <v>1160</v>
      </c>
      <c r="D8" s="6" t="s">
        <v>57</v>
      </c>
      <c r="E8" s="6" t="str">
        <f>VLOOKUP(G8,'CBs RAW'!$E$2:$H$427,4)</f>
        <v>#N/A N/A</v>
      </c>
      <c r="F8" s="6" t="s">
        <v>184</v>
      </c>
      <c r="G8" s="6" t="s">
        <v>1794</v>
      </c>
      <c r="H8" s="6" t="s">
        <v>1795</v>
      </c>
      <c r="I8" s="6" t="s">
        <v>1796</v>
      </c>
      <c r="J8" s="6" t="s">
        <v>117</v>
      </c>
      <c r="K8" s="6" t="s">
        <v>56</v>
      </c>
      <c r="L8" s="5">
        <v>685872000</v>
      </c>
      <c r="M8" s="6" t="s">
        <v>52</v>
      </c>
      <c r="N8" s="6" t="s">
        <v>1775</v>
      </c>
      <c r="O8" s="6" t="s">
        <v>184</v>
      </c>
      <c r="P8" s="17">
        <v>43500</v>
      </c>
      <c r="Q8" s="5">
        <f>VLOOKUP(G8,'CBs RAW'!$E$2:$P$427,12)</f>
        <v>3</v>
      </c>
      <c r="R8" s="17">
        <v>46057</v>
      </c>
      <c r="S8" s="6" t="s">
        <v>173</v>
      </c>
      <c r="T8" s="6" t="s">
        <v>263</v>
      </c>
      <c r="U8" s="6" t="s">
        <v>115</v>
      </c>
      <c r="V8" s="6" t="s">
        <v>53</v>
      </c>
      <c r="W8" s="6" t="s">
        <v>1797</v>
      </c>
      <c r="X8" s="18">
        <f>VLOOKUP(G8,'CBs RAW'!$E$2:$W$427,19)</f>
        <v>2.36</v>
      </c>
      <c r="Y8" s="19">
        <f t="shared" si="0"/>
        <v>2.36</v>
      </c>
      <c r="Z8" s="2" t="str">
        <f t="shared" si="1"/>
        <v>Accor SACALLABLEFIXEDEURSr Unsecured</v>
      </c>
    </row>
    <row r="9" spans="1:26" x14ac:dyDescent="0.2">
      <c r="A9" s="6">
        <v>8</v>
      </c>
      <c r="B9" s="6" t="s">
        <v>1157</v>
      </c>
      <c r="C9" s="6" t="s">
        <v>1160</v>
      </c>
      <c r="D9" s="6" t="s">
        <v>57</v>
      </c>
      <c r="E9" s="6" t="str">
        <f>VLOOKUP(G9,'CBs RAW'!$E$2:$H$427,4)</f>
        <v>#N/A N/A</v>
      </c>
      <c r="F9" s="6" t="s">
        <v>184</v>
      </c>
      <c r="G9" s="6" t="s">
        <v>1798</v>
      </c>
      <c r="H9" s="6" t="s">
        <v>1799</v>
      </c>
      <c r="I9" s="6" t="s">
        <v>1800</v>
      </c>
      <c r="J9" s="6" t="s">
        <v>117</v>
      </c>
      <c r="K9" s="6" t="s">
        <v>56</v>
      </c>
      <c r="L9" s="5">
        <v>606654945</v>
      </c>
      <c r="M9" s="6" t="s">
        <v>52</v>
      </c>
      <c r="N9" s="6" t="s">
        <v>1770</v>
      </c>
      <c r="O9" s="6" t="s">
        <v>184</v>
      </c>
      <c r="P9" s="17">
        <v>44172</v>
      </c>
      <c r="Q9" s="5">
        <f>VLOOKUP(G9,'CBs RAW'!$E$2:$P$427,12)</f>
        <v>0.7</v>
      </c>
      <c r="R9" s="17">
        <v>46728</v>
      </c>
      <c r="S9" s="6" t="s">
        <v>173</v>
      </c>
      <c r="T9" s="6" t="s">
        <v>54</v>
      </c>
      <c r="U9" s="6" t="s">
        <v>188</v>
      </c>
      <c r="V9" s="6" t="s">
        <v>53</v>
      </c>
      <c r="W9" s="6" t="s">
        <v>1801</v>
      </c>
      <c r="X9" s="18">
        <f>VLOOKUP(G9,'CBs RAW'!$E$2:$W$427,19)</f>
        <v>-1.0629999999999999</v>
      </c>
      <c r="Y9" s="19">
        <f t="shared" si="0"/>
        <v>-1.0629999999999999</v>
      </c>
      <c r="Z9" s="2" t="str">
        <f t="shared" si="1"/>
        <v>Accor SACONVERTIBLEFIXEDEURSr Unsecured</v>
      </c>
    </row>
    <row r="10" spans="1:26" x14ac:dyDescent="0.2">
      <c r="A10" s="6">
        <v>9</v>
      </c>
      <c r="B10" s="6" t="s">
        <v>1157</v>
      </c>
      <c r="C10" s="6" t="s">
        <v>1160</v>
      </c>
      <c r="D10" s="6" t="s">
        <v>57</v>
      </c>
      <c r="E10" s="6" t="str">
        <f>VLOOKUP(G10,'CBs RAW'!$E$2:$H$427,4)</f>
        <v>#N/A N/A</v>
      </c>
      <c r="F10" s="6" t="s">
        <v>184</v>
      </c>
      <c r="G10" s="6" t="s">
        <v>1802</v>
      </c>
      <c r="H10" s="6" t="s">
        <v>1803</v>
      </c>
      <c r="I10" s="6" t="s">
        <v>1804</v>
      </c>
      <c r="J10" s="6" t="s">
        <v>117</v>
      </c>
      <c r="K10" s="6" t="s">
        <v>1805</v>
      </c>
      <c r="L10" s="5">
        <v>168300000</v>
      </c>
      <c r="M10" s="6" t="s">
        <v>52</v>
      </c>
      <c r="N10" s="6" t="s">
        <v>173</v>
      </c>
      <c r="O10" s="6" t="s">
        <v>184</v>
      </c>
      <c r="P10" s="17">
        <v>41817</v>
      </c>
      <c r="Q10" s="5">
        <f>VLOOKUP(G10,'CBs RAW'!$E$2:$P$427,12)</f>
        <v>3</v>
      </c>
      <c r="R10" s="17">
        <v>44739</v>
      </c>
      <c r="S10" s="6" t="s">
        <v>225</v>
      </c>
      <c r="T10" s="6" t="s">
        <v>263</v>
      </c>
      <c r="U10" s="6" t="s">
        <v>49</v>
      </c>
      <c r="V10" s="6" t="s">
        <v>1806</v>
      </c>
      <c r="W10" s="6" t="s">
        <v>1807</v>
      </c>
      <c r="X10" s="18">
        <f>VLOOKUP(G10,'CBs RAW'!$E$2:$W$427,19)</f>
        <v>1.6879999999999999</v>
      </c>
      <c r="Y10" s="19">
        <f t="shared" si="0"/>
        <v>1.6879999999999999</v>
      </c>
      <c r="Z10" s="2" t="str">
        <f t="shared" si="1"/>
        <v>Accor SAAT MATURITYSTEP CPNCHFSr Unsecured</v>
      </c>
    </row>
    <row r="11" spans="1:26" x14ac:dyDescent="0.2">
      <c r="A11" s="6">
        <v>10</v>
      </c>
      <c r="B11" s="6" t="s">
        <v>1157</v>
      </c>
      <c r="C11" s="6" t="s">
        <v>1160</v>
      </c>
      <c r="D11" s="6" t="s">
        <v>57</v>
      </c>
      <c r="E11" s="6">
        <f>VLOOKUP(G11,'CBs RAW'!$E$2:$H$427,4)</f>
        <v>2.4079999999999999</v>
      </c>
      <c r="F11" s="6" t="s">
        <v>184</v>
      </c>
      <c r="G11" s="6" t="s">
        <v>1808</v>
      </c>
      <c r="H11" s="6" t="s">
        <v>1809</v>
      </c>
      <c r="I11" s="6" t="s">
        <v>1810</v>
      </c>
      <c r="J11" s="6" t="s">
        <v>117</v>
      </c>
      <c r="K11" s="6" t="s">
        <v>56</v>
      </c>
      <c r="L11" s="5">
        <v>565215000</v>
      </c>
      <c r="M11" s="6" t="s">
        <v>52</v>
      </c>
      <c r="N11" s="6" t="s">
        <v>1770</v>
      </c>
      <c r="O11" s="6" t="s">
        <v>184</v>
      </c>
      <c r="P11" s="17">
        <v>42264</v>
      </c>
      <c r="Q11" s="5">
        <f>VLOOKUP(G11,'CBs RAW'!$E$2:$P$427,12)</f>
        <v>3.625</v>
      </c>
      <c r="R11" s="17">
        <v>45186</v>
      </c>
      <c r="S11" s="6" t="s">
        <v>173</v>
      </c>
      <c r="T11" s="6" t="s">
        <v>263</v>
      </c>
      <c r="U11" s="6" t="s">
        <v>49</v>
      </c>
      <c r="V11" s="6" t="s">
        <v>53</v>
      </c>
      <c r="W11" s="6" t="s">
        <v>1811</v>
      </c>
      <c r="X11" s="18">
        <f>VLOOKUP(G11,'CBs RAW'!$E$2:$W$427,19)</f>
        <v>2.7389999999999999</v>
      </c>
      <c r="Y11" s="19">
        <f t="shared" si="0"/>
        <v>2.7389999999999999</v>
      </c>
      <c r="Z11" s="2" t="str">
        <f t="shared" si="1"/>
        <v>Accor SAAT MATURITYFIXEDEURSr Unsecured</v>
      </c>
    </row>
    <row r="12" spans="1:26" x14ac:dyDescent="0.2">
      <c r="A12" s="6">
        <v>11</v>
      </c>
      <c r="B12" s="6" t="s">
        <v>1579</v>
      </c>
      <c r="C12" s="6" t="s">
        <v>1582</v>
      </c>
      <c r="D12" s="6" t="s">
        <v>71</v>
      </c>
      <c r="E12" s="6">
        <f>VLOOKUP(G12,'CBs RAW'!$E$2:$H$427,4)</f>
        <v>5.7500000000000018</v>
      </c>
      <c r="F12" s="6" t="s">
        <v>258</v>
      </c>
      <c r="G12" s="6" t="s">
        <v>1812</v>
      </c>
      <c r="H12" s="6" t="s">
        <v>1813</v>
      </c>
      <c r="I12" s="6" t="s">
        <v>1814</v>
      </c>
      <c r="J12" s="6" t="s">
        <v>55</v>
      </c>
      <c r="K12" s="6" t="s">
        <v>56</v>
      </c>
      <c r="L12" s="5">
        <v>400000000</v>
      </c>
      <c r="M12" s="6" t="s">
        <v>52</v>
      </c>
      <c r="N12" s="6" t="s">
        <v>1815</v>
      </c>
      <c r="O12" s="6" t="s">
        <v>169</v>
      </c>
      <c r="P12" s="17">
        <v>43018</v>
      </c>
      <c r="Q12" s="5">
        <f>VLOOKUP(G12,'CBs RAW'!$E$2:$P$427,12)</f>
        <v>5.75</v>
      </c>
      <c r="R12" s="17">
        <v>45575</v>
      </c>
      <c r="S12" s="6" t="s">
        <v>261</v>
      </c>
      <c r="T12" s="6" t="s">
        <v>884</v>
      </c>
      <c r="U12" s="6" t="s">
        <v>115</v>
      </c>
      <c r="V12" s="6" t="s">
        <v>262</v>
      </c>
      <c r="W12" s="6" t="s">
        <v>1816</v>
      </c>
      <c r="X12" s="18">
        <f>VLOOKUP(G12,'CBs RAW'!$E$2:$W$427,19)</f>
        <v>5.38</v>
      </c>
      <c r="Y12" s="19">
        <f t="shared" si="0"/>
        <v>5.38</v>
      </c>
      <c r="Z12" s="2" t="str">
        <f t="shared" si="1"/>
        <v>Aegea Finance SarlCALLABLEFIXEDUSDSr Unsecured</v>
      </c>
    </row>
    <row r="13" spans="1:26" x14ac:dyDescent="0.2">
      <c r="A13" s="6">
        <v>12</v>
      </c>
      <c r="B13" s="6" t="s">
        <v>1579</v>
      </c>
      <c r="C13" s="6" t="s">
        <v>1582</v>
      </c>
      <c r="D13" s="6" t="s">
        <v>71</v>
      </c>
      <c r="E13" s="6">
        <f>VLOOKUP(G13,'CBs RAW'!$E$2:$H$427,4)</f>
        <v>5.7500000000000018</v>
      </c>
      <c r="F13" s="6" t="s">
        <v>258</v>
      </c>
      <c r="G13" s="6" t="s">
        <v>1817</v>
      </c>
      <c r="H13" s="6" t="s">
        <v>1818</v>
      </c>
      <c r="I13" s="6" t="s">
        <v>1819</v>
      </c>
      <c r="J13" s="6" t="s">
        <v>55</v>
      </c>
      <c r="K13" s="6" t="s">
        <v>56</v>
      </c>
      <c r="L13" s="5">
        <v>400000000</v>
      </c>
      <c r="M13" s="6" t="s">
        <v>52</v>
      </c>
      <c r="N13" s="6" t="s">
        <v>1815</v>
      </c>
      <c r="O13" s="6" t="s">
        <v>169</v>
      </c>
      <c r="P13" s="17">
        <v>43018</v>
      </c>
      <c r="Q13" s="5">
        <f>VLOOKUP(G13,'CBs RAW'!$E$2:$P$427,12)</f>
        <v>5.75</v>
      </c>
      <c r="R13" s="17">
        <v>45575</v>
      </c>
      <c r="S13" s="6" t="s">
        <v>270</v>
      </c>
      <c r="T13" s="6" t="s">
        <v>884</v>
      </c>
      <c r="U13" s="6" t="s">
        <v>115</v>
      </c>
      <c r="V13" s="6" t="s">
        <v>262</v>
      </c>
      <c r="W13" s="6" t="s">
        <v>1820</v>
      </c>
      <c r="X13" s="18">
        <f>VLOOKUP(G13,'CBs RAW'!$E$2:$W$427,19)</f>
        <v>5.35</v>
      </c>
      <c r="Y13" s="19">
        <f t="shared" si="0"/>
        <v>5.35</v>
      </c>
      <c r="Z13" s="2" t="str">
        <f t="shared" si="1"/>
        <v>Aegea Finance SarlCALLABLEFIXEDUSDSr Unsecured</v>
      </c>
    </row>
    <row r="14" spans="1:26" x14ac:dyDescent="0.2">
      <c r="A14" s="6">
        <v>13</v>
      </c>
      <c r="B14" s="6" t="s">
        <v>490</v>
      </c>
      <c r="C14" s="6" t="s">
        <v>493</v>
      </c>
      <c r="D14" s="6" t="s">
        <v>57</v>
      </c>
      <c r="E14" s="6">
        <f>VLOOKUP(G14,'CBs RAW'!$E$2:$H$427,4)</f>
        <v>1.7010000000000001</v>
      </c>
      <c r="F14" s="6" t="s">
        <v>199</v>
      </c>
      <c r="G14" s="6" t="s">
        <v>1821</v>
      </c>
      <c r="H14" s="6" t="s">
        <v>1822</v>
      </c>
      <c r="I14" s="6" t="s">
        <v>1823</v>
      </c>
      <c r="J14" s="6" t="s">
        <v>55</v>
      </c>
      <c r="K14" s="6" t="s">
        <v>56</v>
      </c>
      <c r="L14" s="5">
        <v>560580000</v>
      </c>
      <c r="M14" s="6" t="s">
        <v>52</v>
      </c>
      <c r="N14" s="6" t="s">
        <v>1824</v>
      </c>
      <c r="O14" s="6" t="s">
        <v>199</v>
      </c>
      <c r="P14" s="17">
        <v>42894</v>
      </c>
      <c r="Q14" s="5">
        <f>VLOOKUP(G14,'CBs RAW'!$E$2:$P$427,12)</f>
        <v>1.625</v>
      </c>
      <c r="R14" s="17">
        <v>46546</v>
      </c>
      <c r="S14" s="6" t="s">
        <v>225</v>
      </c>
      <c r="T14" s="6" t="s">
        <v>496</v>
      </c>
      <c r="U14" s="6" t="s">
        <v>115</v>
      </c>
      <c r="V14" s="6" t="s">
        <v>53</v>
      </c>
      <c r="W14" s="6" t="s">
        <v>1825</v>
      </c>
      <c r="X14" s="18">
        <f>VLOOKUP(G14,'CBs RAW'!$E$2:$W$427,19)</f>
        <v>1.647</v>
      </c>
      <c r="Y14" s="19">
        <f t="shared" si="0"/>
        <v>1.647</v>
      </c>
      <c r="Z14" s="2" t="str">
        <f t="shared" si="1"/>
        <v>Aeroporti di Roma SpACALLABLEFIXEDEURSr Unsecured</v>
      </c>
    </row>
    <row r="15" spans="1:26" x14ac:dyDescent="0.2">
      <c r="A15" s="6">
        <v>14</v>
      </c>
      <c r="B15" s="6" t="s">
        <v>1166</v>
      </c>
      <c r="C15" s="6" t="s">
        <v>1169</v>
      </c>
      <c r="D15" s="6" t="s">
        <v>57</v>
      </c>
      <c r="E15" s="6" t="str">
        <f>VLOOKUP(G15,'CBs RAW'!$E$2:$H$427,4)</f>
        <v>#N/A N/A</v>
      </c>
      <c r="F15" s="6" t="s">
        <v>199</v>
      </c>
      <c r="G15" s="6" t="s">
        <v>1826</v>
      </c>
      <c r="H15" s="6" t="s">
        <v>1827</v>
      </c>
      <c r="I15" s="6" t="s">
        <v>1828</v>
      </c>
      <c r="J15" s="6" t="s">
        <v>55</v>
      </c>
      <c r="K15" s="6" t="s">
        <v>56</v>
      </c>
      <c r="L15" s="5">
        <v>673766500</v>
      </c>
      <c r="M15" s="6" t="s">
        <v>1829</v>
      </c>
      <c r="N15" s="6" t="s">
        <v>1830</v>
      </c>
      <c r="O15" s="6" t="s">
        <v>199</v>
      </c>
      <c r="P15" s="17">
        <v>43139</v>
      </c>
      <c r="Q15" s="5">
        <f>VLOOKUP(G15,'CBs RAW'!$E$2:$P$427,12)</f>
        <v>1.625</v>
      </c>
      <c r="R15" s="17">
        <v>46791</v>
      </c>
      <c r="S15" s="6" t="s">
        <v>225</v>
      </c>
      <c r="T15" s="6" t="s">
        <v>496</v>
      </c>
      <c r="U15" s="6" t="s">
        <v>115</v>
      </c>
      <c r="V15" s="6" t="s">
        <v>53</v>
      </c>
      <c r="W15" s="6" t="s">
        <v>1831</v>
      </c>
      <c r="X15" s="18">
        <f>VLOOKUP(G15,'CBs RAW'!$E$2:$W$427,19)</f>
        <v>1.756</v>
      </c>
      <c r="Y15" s="19">
        <f t="shared" si="0"/>
        <v>1.756</v>
      </c>
      <c r="Z15" s="2" t="str">
        <f t="shared" si="1"/>
        <v>ASTM SpACALLABLEFIXEDEUR1st lien</v>
      </c>
    </row>
    <row r="16" spans="1:26" x14ac:dyDescent="0.2">
      <c r="A16" s="6">
        <v>15</v>
      </c>
      <c r="B16" s="6" t="s">
        <v>1166</v>
      </c>
      <c r="C16" s="6" t="s">
        <v>1169</v>
      </c>
      <c r="D16" s="6" t="s">
        <v>57</v>
      </c>
      <c r="E16" s="6">
        <f>VLOOKUP(G16,'CBs RAW'!$E$2:$H$427,4)</f>
        <v>3.4390000000000001</v>
      </c>
      <c r="F16" s="6" t="s">
        <v>199</v>
      </c>
      <c r="G16" s="6" t="s">
        <v>1832</v>
      </c>
      <c r="H16" s="6" t="s">
        <v>1833</v>
      </c>
      <c r="I16" s="6" t="s">
        <v>1834</v>
      </c>
      <c r="J16" s="6" t="s">
        <v>55</v>
      </c>
      <c r="K16" s="6" t="s">
        <v>56</v>
      </c>
      <c r="L16" s="5">
        <v>683485000</v>
      </c>
      <c r="M16" s="6" t="s">
        <v>1829</v>
      </c>
      <c r="N16" s="6" t="s">
        <v>1830</v>
      </c>
      <c r="O16" s="6" t="s">
        <v>199</v>
      </c>
      <c r="P16" s="17">
        <v>41683</v>
      </c>
      <c r="Q16" s="5">
        <f>VLOOKUP(G16,'CBs RAW'!$E$2:$P$427,12)</f>
        <v>3.375</v>
      </c>
      <c r="R16" s="17">
        <v>45335</v>
      </c>
      <c r="S16" s="6" t="s">
        <v>225</v>
      </c>
      <c r="T16" s="6" t="s">
        <v>496</v>
      </c>
      <c r="U16" s="6" t="s">
        <v>49</v>
      </c>
      <c r="V16" s="6" t="s">
        <v>53</v>
      </c>
      <c r="W16" s="6" t="s">
        <v>1835</v>
      </c>
      <c r="X16" s="18">
        <f>VLOOKUP(G16,'CBs RAW'!$E$2:$W$427,19)</f>
        <v>3.3540000000000001</v>
      </c>
      <c r="Y16" s="19">
        <f t="shared" si="0"/>
        <v>3.3540000000000001</v>
      </c>
      <c r="Z16" s="2" t="str">
        <f t="shared" si="1"/>
        <v>ASTM SpAAT MATURITYFIXEDEUR1st lien</v>
      </c>
    </row>
    <row r="17" spans="1:26" x14ac:dyDescent="0.2">
      <c r="A17" s="6">
        <v>16</v>
      </c>
      <c r="B17" s="6" t="s">
        <v>1066</v>
      </c>
      <c r="C17" s="6" t="s">
        <v>1069</v>
      </c>
      <c r="D17" s="6" t="s">
        <v>57</v>
      </c>
      <c r="E17" s="6" t="str">
        <f>VLOOKUP(G17,'CBs RAW'!$E$2:$H$427,4)</f>
        <v>#N/A N/A</v>
      </c>
      <c r="F17" s="6" t="s">
        <v>184</v>
      </c>
      <c r="G17" s="6" t="s">
        <v>1836</v>
      </c>
      <c r="H17" s="6" t="s">
        <v>1837</v>
      </c>
      <c r="I17" s="6" t="s">
        <v>1838</v>
      </c>
      <c r="J17" s="6" t="s">
        <v>55</v>
      </c>
      <c r="K17" s="6" t="s">
        <v>56</v>
      </c>
      <c r="L17" s="5">
        <v>859800000</v>
      </c>
      <c r="M17" s="6" t="s">
        <v>52</v>
      </c>
      <c r="N17" s="6" t="s">
        <v>1839</v>
      </c>
      <c r="O17" s="6" t="s">
        <v>184</v>
      </c>
      <c r="P17" s="17">
        <v>43411</v>
      </c>
      <c r="Q17" s="5">
        <f>VLOOKUP(G17,'CBs RAW'!$E$2:$P$427,12)</f>
        <v>1.75</v>
      </c>
      <c r="R17" s="17">
        <v>45784</v>
      </c>
      <c r="S17" s="6" t="s">
        <v>173</v>
      </c>
      <c r="T17" s="6" t="s">
        <v>189</v>
      </c>
      <c r="U17" s="6" t="s">
        <v>115</v>
      </c>
      <c r="V17" s="6" t="s">
        <v>53</v>
      </c>
      <c r="W17" s="6" t="s">
        <v>1840</v>
      </c>
      <c r="X17" s="18">
        <f>VLOOKUP(G17,'CBs RAW'!$E$2:$W$427,19)</f>
        <v>1.7250000000000001</v>
      </c>
      <c r="Y17" s="19">
        <f t="shared" si="0"/>
        <v>1.7250000000000001</v>
      </c>
      <c r="Z17" s="2" t="str">
        <f t="shared" si="1"/>
        <v>Atos SECALLABLEFIXEDEURSr Unsecured</v>
      </c>
    </row>
    <row r="18" spans="1:26" x14ac:dyDescent="0.2">
      <c r="A18" s="6">
        <v>17</v>
      </c>
      <c r="B18" s="6" t="s">
        <v>1066</v>
      </c>
      <c r="C18" s="6" t="s">
        <v>1069</v>
      </c>
      <c r="D18" s="6" t="s">
        <v>57</v>
      </c>
      <c r="E18" s="6" t="str">
        <f>VLOOKUP(G18,'CBs RAW'!$E$2:$H$427,4)</f>
        <v>#N/A N/A</v>
      </c>
      <c r="F18" s="6" t="s">
        <v>184</v>
      </c>
      <c r="G18" s="6" t="s">
        <v>1841</v>
      </c>
      <c r="H18" s="6" t="s">
        <v>1842</v>
      </c>
      <c r="I18" s="6" t="s">
        <v>1843</v>
      </c>
      <c r="J18" s="6" t="s">
        <v>55</v>
      </c>
      <c r="K18" s="6" t="s">
        <v>56</v>
      </c>
      <c r="L18" s="5">
        <v>802480000</v>
      </c>
      <c r="M18" s="6" t="s">
        <v>52</v>
      </c>
      <c r="N18" s="6" t="s">
        <v>1839</v>
      </c>
      <c r="O18" s="6" t="s">
        <v>184</v>
      </c>
      <c r="P18" s="17">
        <v>43411</v>
      </c>
      <c r="Q18" s="5">
        <f>VLOOKUP(G18,'CBs RAW'!$E$2:$P$427,12)</f>
        <v>0.75</v>
      </c>
      <c r="R18" s="17">
        <v>44688</v>
      </c>
      <c r="S18" s="6" t="s">
        <v>173</v>
      </c>
      <c r="T18" s="6" t="s">
        <v>189</v>
      </c>
      <c r="U18" s="6" t="s">
        <v>115</v>
      </c>
      <c r="V18" s="6" t="s">
        <v>53</v>
      </c>
      <c r="W18" s="6" t="s">
        <v>1844</v>
      </c>
      <c r="X18" s="18">
        <f>VLOOKUP(G18,'CBs RAW'!$E$2:$W$427,19)</f>
        <v>0.66600000000000004</v>
      </c>
      <c r="Y18" s="19">
        <f t="shared" si="0"/>
        <v>0.66600000000000004</v>
      </c>
      <c r="Z18" s="2" t="str">
        <f t="shared" si="1"/>
        <v>Atos SECALLABLEFIXEDEURSr Unsecured</v>
      </c>
    </row>
    <row r="19" spans="1:26" x14ac:dyDescent="0.2">
      <c r="A19" s="6">
        <v>18</v>
      </c>
      <c r="B19" s="6" t="s">
        <v>1066</v>
      </c>
      <c r="C19" s="6" t="s">
        <v>1069</v>
      </c>
      <c r="D19" s="6" t="s">
        <v>57</v>
      </c>
      <c r="E19" s="6" t="str">
        <f>VLOOKUP(G19,'CBs RAW'!$E$2:$H$427,4)</f>
        <v>#N/A N/A</v>
      </c>
      <c r="F19" s="6" t="s">
        <v>184</v>
      </c>
      <c r="G19" s="6" t="s">
        <v>1845</v>
      </c>
      <c r="H19" s="6" t="s">
        <v>1846</v>
      </c>
      <c r="I19" s="6" t="s">
        <v>1847</v>
      </c>
      <c r="J19" s="6" t="s">
        <v>55</v>
      </c>
      <c r="K19" s="6" t="s">
        <v>56</v>
      </c>
      <c r="L19" s="5">
        <v>401240000</v>
      </c>
      <c r="M19" s="6" t="s">
        <v>52</v>
      </c>
      <c r="N19" s="6" t="s">
        <v>1775</v>
      </c>
      <c r="O19" s="6" t="s">
        <v>184</v>
      </c>
      <c r="P19" s="17">
        <v>43411</v>
      </c>
      <c r="Q19" s="5">
        <f>VLOOKUP(G19,'CBs RAW'!$E$2:$P$427,12)</f>
        <v>2.5</v>
      </c>
      <c r="R19" s="17">
        <v>47064</v>
      </c>
      <c r="S19" s="6" t="s">
        <v>173</v>
      </c>
      <c r="T19" s="6" t="s">
        <v>189</v>
      </c>
      <c r="U19" s="6" t="s">
        <v>115</v>
      </c>
      <c r="V19" s="6" t="s">
        <v>53</v>
      </c>
      <c r="W19" s="6" t="s">
        <v>1848</v>
      </c>
      <c r="X19" s="18">
        <f>VLOOKUP(G19,'CBs RAW'!$E$2:$W$427,19)</f>
        <v>2.456</v>
      </c>
      <c r="Y19" s="19">
        <f t="shared" si="0"/>
        <v>2.456</v>
      </c>
      <c r="Z19" s="2" t="str">
        <f t="shared" si="1"/>
        <v>Atos SECALLABLEFIXEDEURSr Unsecured</v>
      </c>
    </row>
    <row r="20" spans="1:26" x14ac:dyDescent="0.2">
      <c r="A20" s="6">
        <v>19</v>
      </c>
      <c r="B20" s="6" t="s">
        <v>1066</v>
      </c>
      <c r="C20" s="6" t="s">
        <v>1069</v>
      </c>
      <c r="D20" s="6" t="s">
        <v>57</v>
      </c>
      <c r="E20" s="6" t="str">
        <f>VLOOKUP(G20,'CBs RAW'!$E$2:$H$427,4)</f>
        <v>#N/A N/A</v>
      </c>
      <c r="F20" s="6" t="s">
        <v>184</v>
      </c>
      <c r="G20" s="6" t="s">
        <v>1849</v>
      </c>
      <c r="H20" s="6" t="s">
        <v>1850</v>
      </c>
      <c r="I20" s="6" t="s">
        <v>1851</v>
      </c>
      <c r="J20" s="6" t="s">
        <v>55</v>
      </c>
      <c r="K20" s="6" t="s">
        <v>56</v>
      </c>
      <c r="L20" s="5">
        <v>334839000</v>
      </c>
      <c r="M20" s="6" t="s">
        <v>52</v>
      </c>
      <c r="N20" s="6" t="s">
        <v>1770</v>
      </c>
      <c r="O20" s="6" t="s">
        <v>184</v>
      </c>
      <c r="P20" s="17">
        <v>42649</v>
      </c>
      <c r="Q20" s="5">
        <f>VLOOKUP(G20,'CBs RAW'!$E$2:$P$427,12)</f>
        <v>1.444</v>
      </c>
      <c r="R20" s="17">
        <v>45205</v>
      </c>
      <c r="S20" s="6" t="s">
        <v>173</v>
      </c>
      <c r="T20" s="6" t="s">
        <v>54</v>
      </c>
      <c r="U20" s="6" t="s">
        <v>115</v>
      </c>
      <c r="V20" s="6" t="s">
        <v>53</v>
      </c>
      <c r="W20" s="6" t="s">
        <v>1852</v>
      </c>
      <c r="X20" s="18" t="str">
        <f>VLOOKUP(G20,'CBs RAW'!$E$2:$W$427,19)</f>
        <v>#N/A N/A</v>
      </c>
      <c r="Y20" s="2" t="str">
        <f t="shared" si="0"/>
        <v>#N/A N/A</v>
      </c>
      <c r="Z20" s="2" t="str">
        <f t="shared" si="1"/>
        <v>Atos SECALLABLEFIXEDEURSr Unsecured</v>
      </c>
    </row>
    <row r="21" spans="1:26" x14ac:dyDescent="0.2">
      <c r="A21" s="6">
        <v>20</v>
      </c>
      <c r="B21" s="6" t="s">
        <v>1066</v>
      </c>
      <c r="C21" s="6" t="s">
        <v>1069</v>
      </c>
      <c r="D21" s="6" t="s">
        <v>173</v>
      </c>
      <c r="E21" s="6" t="str">
        <f>VLOOKUP(G21,'CBs RAW'!$E$2:$H$427,4)</f>
        <v>#N/A N/A</v>
      </c>
      <c r="F21" s="6" t="s">
        <v>184</v>
      </c>
      <c r="G21" s="6" t="s">
        <v>1853</v>
      </c>
      <c r="H21" s="6" t="s">
        <v>1854</v>
      </c>
      <c r="I21" s="6" t="s">
        <v>1855</v>
      </c>
      <c r="J21" s="6" t="s">
        <v>55</v>
      </c>
      <c r="K21" s="6" t="s">
        <v>675</v>
      </c>
      <c r="L21" s="5">
        <v>553305000</v>
      </c>
      <c r="M21" s="6" t="s">
        <v>52</v>
      </c>
      <c r="N21" s="6" t="s">
        <v>1775</v>
      </c>
      <c r="O21" s="6" t="s">
        <v>184</v>
      </c>
      <c r="P21" s="17">
        <v>43775</v>
      </c>
      <c r="Q21" s="5">
        <f>VLOOKUP(G21,'CBs RAW'!$E$2:$P$427,12)</f>
        <v>0</v>
      </c>
      <c r="R21" s="17">
        <v>45602</v>
      </c>
      <c r="S21" s="6" t="s">
        <v>173</v>
      </c>
      <c r="T21" s="6" t="s">
        <v>54</v>
      </c>
      <c r="U21" s="6" t="s">
        <v>188</v>
      </c>
      <c r="V21" s="6" t="s">
        <v>53</v>
      </c>
      <c r="W21" s="6" t="s">
        <v>1856</v>
      </c>
      <c r="X21" s="18">
        <f>VLOOKUP(G21,'CBs RAW'!$E$2:$W$427,19)</f>
        <v>-2.198</v>
      </c>
      <c r="Y21" s="19">
        <f t="shared" si="0"/>
        <v>-2.198</v>
      </c>
      <c r="Z21" s="2" t="str">
        <f t="shared" si="1"/>
        <v>Atos SECONVERTIBLEZERO COUPONEURSr Unsecured</v>
      </c>
    </row>
    <row r="22" spans="1:26" x14ac:dyDescent="0.2">
      <c r="A22" s="6">
        <v>21</v>
      </c>
      <c r="B22" s="6" t="s">
        <v>1066</v>
      </c>
      <c r="C22" s="6" t="s">
        <v>1069</v>
      </c>
      <c r="D22" s="6" t="s">
        <v>57</v>
      </c>
      <c r="E22" s="6" t="str">
        <f>VLOOKUP(G22,'CBs RAW'!$E$2:$H$427,4)</f>
        <v>#N/A N/A</v>
      </c>
      <c r="F22" s="6" t="s">
        <v>184</v>
      </c>
      <c r="G22" s="6" t="s">
        <v>1857</v>
      </c>
      <c r="H22" s="6" t="s">
        <v>1858</v>
      </c>
      <c r="I22" s="6" t="s">
        <v>1859</v>
      </c>
      <c r="J22" s="6" t="s">
        <v>55</v>
      </c>
      <c r="K22" s="6" t="s">
        <v>56</v>
      </c>
      <c r="L22" s="5">
        <v>56481500</v>
      </c>
      <c r="M22" s="6" t="s">
        <v>52</v>
      </c>
      <c r="N22" s="6" t="s">
        <v>173</v>
      </c>
      <c r="O22" s="6" t="s">
        <v>184</v>
      </c>
      <c r="P22" s="17">
        <v>43572</v>
      </c>
      <c r="Q22" s="5">
        <f>VLOOKUP(G22,'CBs RAW'!$E$2:$P$427,12)</f>
        <v>1.125</v>
      </c>
      <c r="R22" s="17">
        <v>46129</v>
      </c>
      <c r="S22" s="6" t="s">
        <v>173</v>
      </c>
      <c r="T22" s="6" t="s">
        <v>54</v>
      </c>
      <c r="U22" s="6" t="s">
        <v>49</v>
      </c>
      <c r="V22" s="6" t="s">
        <v>53</v>
      </c>
      <c r="W22" s="6" t="s">
        <v>1860</v>
      </c>
      <c r="X22" s="18" t="str">
        <f>VLOOKUP(G22,'CBs RAW'!$E$2:$W$427,19)</f>
        <v>#N/A N/A</v>
      </c>
      <c r="Y22" s="2" t="str">
        <f t="shared" si="0"/>
        <v>#N/A N/A</v>
      </c>
      <c r="Z22" s="2" t="str">
        <f t="shared" si="1"/>
        <v>Atos SEAT MATURITYFIXEDEURSr Unsecured</v>
      </c>
    </row>
    <row r="23" spans="1:26" x14ac:dyDescent="0.2">
      <c r="A23" s="6">
        <v>22</v>
      </c>
      <c r="B23" s="6" t="s">
        <v>1431</v>
      </c>
      <c r="C23" s="6" t="s">
        <v>1434</v>
      </c>
      <c r="D23" s="6" t="s">
        <v>57</v>
      </c>
      <c r="E23" s="6" t="str">
        <f>VLOOKUP(G23,'CBs RAW'!$E$2:$H$427,4)</f>
        <v>#N/A N/A</v>
      </c>
      <c r="F23" s="6" t="s">
        <v>367</v>
      </c>
      <c r="G23" s="6" t="s">
        <v>1861</v>
      </c>
      <c r="H23" s="6" t="s">
        <v>1862</v>
      </c>
      <c r="I23" s="6" t="s">
        <v>1863</v>
      </c>
      <c r="J23" s="6" t="s">
        <v>55</v>
      </c>
      <c r="K23" s="6" t="s">
        <v>56</v>
      </c>
      <c r="L23" s="5">
        <v>59726500</v>
      </c>
      <c r="M23" s="6" t="s">
        <v>52</v>
      </c>
      <c r="N23" s="6" t="s">
        <v>173</v>
      </c>
      <c r="O23" s="6" t="s">
        <v>367</v>
      </c>
      <c r="P23" s="17">
        <v>43410</v>
      </c>
      <c r="Q23" s="5">
        <f>VLOOKUP(G23,'CBs RAW'!$E$2:$P$427,12)</f>
        <v>3.8450000000000002</v>
      </c>
      <c r="R23" s="17">
        <v>47063</v>
      </c>
      <c r="S23" s="6" t="s">
        <v>173</v>
      </c>
      <c r="T23" s="6" t="s">
        <v>54</v>
      </c>
      <c r="U23" s="6" t="s">
        <v>49</v>
      </c>
      <c r="V23" s="6" t="s">
        <v>609</v>
      </c>
      <c r="W23" s="6" t="s">
        <v>1864</v>
      </c>
      <c r="X23" s="18">
        <f>VLOOKUP(G23,'CBs RAW'!$E$2:$W$427,19)</f>
        <v>3.8410000000000002</v>
      </c>
      <c r="Y23" s="19">
        <f t="shared" si="0"/>
        <v>3.8410000000000002</v>
      </c>
      <c r="Z23" s="2" t="str">
        <f t="shared" si="1"/>
        <v>Atrium Ljungberg ABAT MATURITYFIXEDNOKSr Unsecured</v>
      </c>
    </row>
    <row r="24" spans="1:26" x14ac:dyDescent="0.2">
      <c r="A24" s="6">
        <v>23</v>
      </c>
      <c r="B24" s="6" t="s">
        <v>1431</v>
      </c>
      <c r="C24" s="6" t="s">
        <v>1434</v>
      </c>
      <c r="D24" s="6" t="s">
        <v>57</v>
      </c>
      <c r="E24" s="6" t="str">
        <f>VLOOKUP(G24,'CBs RAW'!$E$2:$H$427,4)</f>
        <v>#N/A N/A</v>
      </c>
      <c r="F24" s="6" t="s">
        <v>367</v>
      </c>
      <c r="G24" s="6" t="s">
        <v>1865</v>
      </c>
      <c r="H24" s="6" t="s">
        <v>1866</v>
      </c>
      <c r="I24" s="6" t="s">
        <v>1867</v>
      </c>
      <c r="J24" s="6" t="s">
        <v>55</v>
      </c>
      <c r="K24" s="6" t="s">
        <v>56</v>
      </c>
      <c r="L24" s="5">
        <v>58293500</v>
      </c>
      <c r="M24" s="6" t="s">
        <v>52</v>
      </c>
      <c r="N24" s="6" t="s">
        <v>1770</v>
      </c>
      <c r="O24" s="6" t="s">
        <v>367</v>
      </c>
      <c r="P24" s="17">
        <v>43522</v>
      </c>
      <c r="Q24" s="5">
        <f>VLOOKUP(G24,'CBs RAW'!$E$2:$P$427,12)</f>
        <v>3.2250000000000001</v>
      </c>
      <c r="R24" s="17">
        <v>45348</v>
      </c>
      <c r="S24" s="6" t="s">
        <v>685</v>
      </c>
      <c r="T24" s="6" t="s">
        <v>54</v>
      </c>
      <c r="U24" s="6" t="s">
        <v>49</v>
      </c>
      <c r="V24" s="6" t="s">
        <v>609</v>
      </c>
      <c r="W24" s="6" t="s">
        <v>1868</v>
      </c>
      <c r="X24" s="18">
        <f>VLOOKUP(G24,'CBs RAW'!$E$2:$W$427,19)</f>
        <v>2.2690000000000001</v>
      </c>
      <c r="Y24" s="19">
        <f t="shared" si="0"/>
        <v>2.2690000000000001</v>
      </c>
      <c r="Z24" s="2" t="str">
        <f t="shared" si="1"/>
        <v>Atrium Ljungberg ABAT MATURITYFIXEDNOKSr Unsecured</v>
      </c>
    </row>
    <row r="25" spans="1:26" x14ac:dyDescent="0.2">
      <c r="A25" s="6">
        <v>24</v>
      </c>
      <c r="B25" s="6" t="s">
        <v>1431</v>
      </c>
      <c r="C25" s="6" t="s">
        <v>1434</v>
      </c>
      <c r="D25" s="6" t="s">
        <v>391</v>
      </c>
      <c r="E25" s="6" t="str">
        <f>VLOOKUP(G25,'CBs RAW'!$E$2:$H$427,4)</f>
        <v>#N/A N/A</v>
      </c>
      <c r="F25" s="6" t="s">
        <v>367</v>
      </c>
      <c r="G25" s="6" t="s">
        <v>1869</v>
      </c>
      <c r="H25" s="6" t="s">
        <v>1870</v>
      </c>
      <c r="I25" s="6" t="s">
        <v>1871</v>
      </c>
      <c r="J25" s="6" t="s">
        <v>55</v>
      </c>
      <c r="K25" s="6" t="s">
        <v>70</v>
      </c>
      <c r="L25" s="5">
        <v>53677000</v>
      </c>
      <c r="M25" s="6" t="s">
        <v>52</v>
      </c>
      <c r="N25" s="6" t="s">
        <v>173</v>
      </c>
      <c r="O25" s="6" t="s">
        <v>367</v>
      </c>
      <c r="P25" s="17">
        <v>43879</v>
      </c>
      <c r="Q25" s="5">
        <f>VLOOKUP(G25,'CBs RAW'!$E$2:$P$427,12)</f>
        <v>2.09</v>
      </c>
      <c r="R25" s="17">
        <v>46071</v>
      </c>
      <c r="S25" s="6" t="s">
        <v>173</v>
      </c>
      <c r="T25" s="6" t="s">
        <v>54</v>
      </c>
      <c r="U25" s="6" t="s">
        <v>49</v>
      </c>
      <c r="V25" s="6" t="s">
        <v>609</v>
      </c>
      <c r="W25" s="6" t="s">
        <v>1872</v>
      </c>
      <c r="X25" s="18">
        <f>VLOOKUP(G25,'CBs RAW'!$E$2:$W$427,19)</f>
        <v>2.548</v>
      </c>
      <c r="Y25" s="19">
        <f t="shared" si="0"/>
        <v>2.548</v>
      </c>
      <c r="Z25" s="2" t="str">
        <f t="shared" si="1"/>
        <v>Atrium Ljungberg ABAT MATURITYFLOATINGNOKSr Unsecured</v>
      </c>
    </row>
    <row r="26" spans="1:26" x14ac:dyDescent="0.2">
      <c r="A26" s="6">
        <v>25</v>
      </c>
      <c r="B26" s="6" t="s">
        <v>1431</v>
      </c>
      <c r="C26" s="6" t="s">
        <v>1434</v>
      </c>
      <c r="D26" s="6" t="s">
        <v>391</v>
      </c>
      <c r="E26" s="6" t="str">
        <f>VLOOKUP(G26,'CBs RAW'!$E$2:$H$427,4)</f>
        <v>#N/A N/A</v>
      </c>
      <c r="F26" s="6" t="s">
        <v>367</v>
      </c>
      <c r="G26" s="6" t="s">
        <v>1873</v>
      </c>
      <c r="H26" s="6" t="s">
        <v>1874</v>
      </c>
      <c r="I26" s="6" t="s">
        <v>1875</v>
      </c>
      <c r="J26" s="6" t="s">
        <v>55</v>
      </c>
      <c r="K26" s="6" t="s">
        <v>70</v>
      </c>
      <c r="L26" s="5">
        <v>23007400</v>
      </c>
      <c r="M26" s="6" t="s">
        <v>52</v>
      </c>
      <c r="N26" s="6" t="s">
        <v>1770</v>
      </c>
      <c r="O26" s="6" t="s">
        <v>367</v>
      </c>
      <c r="P26" s="17">
        <v>44284</v>
      </c>
      <c r="Q26" s="5">
        <f>VLOOKUP(G26,'CBs RAW'!$E$2:$P$427,12)</f>
        <v>0.64600000000000002</v>
      </c>
      <c r="R26" s="17">
        <v>45014</v>
      </c>
      <c r="S26" s="6" t="s">
        <v>685</v>
      </c>
      <c r="T26" s="6" t="s">
        <v>54</v>
      </c>
      <c r="U26" s="6" t="s">
        <v>49</v>
      </c>
      <c r="V26" s="6" t="s">
        <v>686</v>
      </c>
      <c r="W26" s="6" t="s">
        <v>1876</v>
      </c>
      <c r="X26" s="18" t="str">
        <f>VLOOKUP(G26,'CBs RAW'!$E$2:$W$427,19)</f>
        <v>#N/A N/A</v>
      </c>
      <c r="Y26" s="2" t="str">
        <f t="shared" si="0"/>
        <v>#N/A N/A</v>
      </c>
      <c r="Z26" s="2" t="str">
        <f t="shared" si="1"/>
        <v>Atrium Ljungberg ABAT MATURITYFLOATINGSEKSr Unsecured</v>
      </c>
    </row>
    <row r="27" spans="1:26" x14ac:dyDescent="0.2">
      <c r="A27" s="6">
        <v>26</v>
      </c>
      <c r="B27" s="6" t="s">
        <v>1431</v>
      </c>
      <c r="C27" s="6" t="s">
        <v>1434</v>
      </c>
      <c r="D27" s="6" t="s">
        <v>391</v>
      </c>
      <c r="E27" s="6" t="str">
        <f>VLOOKUP(G27,'CBs RAW'!$E$2:$H$427,4)</f>
        <v>#N/A N/A</v>
      </c>
      <c r="F27" s="6" t="s">
        <v>367</v>
      </c>
      <c r="G27" s="6" t="s">
        <v>1877</v>
      </c>
      <c r="H27" s="6" t="s">
        <v>1878</v>
      </c>
      <c r="I27" s="6" t="s">
        <v>1879</v>
      </c>
      <c r="J27" s="6" t="s">
        <v>55</v>
      </c>
      <c r="K27" s="6" t="s">
        <v>70</v>
      </c>
      <c r="L27" s="5">
        <v>51782500</v>
      </c>
      <c r="M27" s="6" t="s">
        <v>52</v>
      </c>
      <c r="N27" s="6" t="s">
        <v>173</v>
      </c>
      <c r="O27" s="6" t="s">
        <v>367</v>
      </c>
      <c r="P27" s="17">
        <v>43606</v>
      </c>
      <c r="Q27" s="5">
        <f>VLOOKUP(G27,'CBs RAW'!$E$2:$P$427,12)</f>
        <v>0.90600000000000003</v>
      </c>
      <c r="R27" s="17">
        <v>44886</v>
      </c>
      <c r="S27" s="6" t="s">
        <v>685</v>
      </c>
      <c r="T27" s="6" t="s">
        <v>54</v>
      </c>
      <c r="U27" s="6" t="s">
        <v>49</v>
      </c>
      <c r="V27" s="6" t="s">
        <v>686</v>
      </c>
      <c r="W27" s="6" t="s">
        <v>1880</v>
      </c>
      <c r="X27" s="18">
        <f>VLOOKUP(G27,'CBs RAW'!$E$2:$W$427,19)</f>
        <v>0.874</v>
      </c>
      <c r="Y27" s="19">
        <f t="shared" si="0"/>
        <v>0.874</v>
      </c>
      <c r="Z27" s="2" t="str">
        <f t="shared" si="1"/>
        <v>Atrium Ljungberg ABAT MATURITYFLOATINGSEKSr Unsecured</v>
      </c>
    </row>
    <row r="28" spans="1:26" x14ac:dyDescent="0.2">
      <c r="A28" s="6">
        <v>27</v>
      </c>
      <c r="B28" s="6" t="s">
        <v>1291</v>
      </c>
      <c r="C28" s="6" t="s">
        <v>1294</v>
      </c>
      <c r="D28" s="6" t="s">
        <v>71</v>
      </c>
      <c r="E28" s="6" t="str">
        <f>VLOOKUP(G28,'CBs RAW'!$E$2:$H$427,4)</f>
        <v>#N/A N/A</v>
      </c>
      <c r="F28" s="6" t="s">
        <v>45</v>
      </c>
      <c r="G28" s="6" t="s">
        <v>1881</v>
      </c>
      <c r="H28" s="6" t="s">
        <v>173</v>
      </c>
      <c r="I28" s="6" t="s">
        <v>1882</v>
      </c>
      <c r="J28" s="6" t="s">
        <v>55</v>
      </c>
      <c r="K28" s="6" t="s">
        <v>70</v>
      </c>
      <c r="L28" s="5">
        <v>67322340</v>
      </c>
      <c r="M28" s="6" t="s">
        <v>52</v>
      </c>
      <c r="N28" s="6" t="s">
        <v>173</v>
      </c>
      <c r="O28" s="6" t="s">
        <v>45</v>
      </c>
      <c r="P28" s="17">
        <v>43300</v>
      </c>
      <c r="Q28" s="5">
        <f>VLOOKUP(G28,'CBs RAW'!$E$2:$P$427,12)</f>
        <v>0</v>
      </c>
      <c r="R28" s="17">
        <v>45126</v>
      </c>
      <c r="S28" s="6" t="s">
        <v>76</v>
      </c>
      <c r="T28" s="6" t="s">
        <v>54</v>
      </c>
      <c r="U28" s="6" t="s">
        <v>49</v>
      </c>
      <c r="V28" s="6" t="s">
        <v>53</v>
      </c>
      <c r="W28" s="6" t="s">
        <v>1883</v>
      </c>
      <c r="X28" s="18" t="str">
        <f>VLOOKUP(G28,'CBs RAW'!$E$2:$W$427,19)</f>
        <v>#N/A N/A</v>
      </c>
      <c r="Y28" s="2" t="str">
        <f t="shared" si="0"/>
        <v>#N/A N/A</v>
      </c>
      <c r="Z28" s="2" t="str">
        <f t="shared" si="1"/>
        <v>BayWa AGAT MATURITYFLOATINGEURSr Unsecured</v>
      </c>
    </row>
    <row r="29" spans="1:26" x14ac:dyDescent="0.2">
      <c r="A29" s="6">
        <v>28</v>
      </c>
      <c r="B29" s="6" t="s">
        <v>1291</v>
      </c>
      <c r="C29" s="6" t="s">
        <v>1294</v>
      </c>
      <c r="D29" s="6" t="s">
        <v>71</v>
      </c>
      <c r="E29" s="6" t="str">
        <f>VLOOKUP(G29,'CBs RAW'!$E$2:$H$427,4)</f>
        <v>#N/A N/A</v>
      </c>
      <c r="F29" s="6" t="s">
        <v>45</v>
      </c>
      <c r="G29" s="6" t="s">
        <v>1884</v>
      </c>
      <c r="H29" s="6" t="s">
        <v>173</v>
      </c>
      <c r="I29" s="6" t="s">
        <v>1885</v>
      </c>
      <c r="J29" s="6" t="s">
        <v>55</v>
      </c>
      <c r="K29" s="6" t="s">
        <v>70</v>
      </c>
      <c r="L29" s="5">
        <v>67322340</v>
      </c>
      <c r="M29" s="6" t="s">
        <v>52</v>
      </c>
      <c r="N29" s="6" t="s">
        <v>173</v>
      </c>
      <c r="O29" s="6" t="s">
        <v>45</v>
      </c>
      <c r="P29" s="17">
        <v>43300</v>
      </c>
      <c r="Q29" s="5">
        <f>VLOOKUP(G29,'CBs RAW'!$E$2:$P$427,12)</f>
        <v>0</v>
      </c>
      <c r="R29" s="17">
        <v>45857</v>
      </c>
      <c r="S29" s="6" t="s">
        <v>69</v>
      </c>
      <c r="T29" s="6" t="s">
        <v>54</v>
      </c>
      <c r="U29" s="6" t="s">
        <v>49</v>
      </c>
      <c r="V29" s="6" t="s">
        <v>53</v>
      </c>
      <c r="W29" s="6" t="s">
        <v>1886</v>
      </c>
      <c r="X29" s="18" t="str">
        <f>VLOOKUP(G29,'CBs RAW'!$E$2:$W$427,19)</f>
        <v>#N/A N/A</v>
      </c>
      <c r="Y29" s="2" t="str">
        <f t="shared" si="0"/>
        <v>#N/A N/A</v>
      </c>
      <c r="Z29" s="2" t="str">
        <f t="shared" si="1"/>
        <v>BayWa AGAT MATURITYFLOATINGEURSr Unsecured</v>
      </c>
    </row>
    <row r="30" spans="1:26" x14ac:dyDescent="0.2">
      <c r="A30" s="6">
        <v>29</v>
      </c>
      <c r="B30" s="6" t="s">
        <v>1291</v>
      </c>
      <c r="C30" s="6" t="s">
        <v>1294</v>
      </c>
      <c r="D30" s="6" t="s">
        <v>71</v>
      </c>
      <c r="E30" s="6" t="str">
        <f>VLOOKUP(G30,'CBs RAW'!$E$2:$H$427,4)</f>
        <v>#N/A N/A</v>
      </c>
      <c r="F30" s="6" t="s">
        <v>45</v>
      </c>
      <c r="G30" s="6" t="s">
        <v>1887</v>
      </c>
      <c r="H30" s="6" t="s">
        <v>173</v>
      </c>
      <c r="I30" s="6" t="s">
        <v>1888</v>
      </c>
      <c r="J30" s="6" t="s">
        <v>55</v>
      </c>
      <c r="K30" s="6" t="s">
        <v>70</v>
      </c>
      <c r="L30" s="5">
        <v>79604700</v>
      </c>
      <c r="M30" s="6" t="s">
        <v>52</v>
      </c>
      <c r="N30" s="6" t="s">
        <v>1839</v>
      </c>
      <c r="O30" s="6" t="s">
        <v>45</v>
      </c>
      <c r="P30" s="17">
        <v>43398</v>
      </c>
      <c r="Q30" s="5">
        <f>VLOOKUP(G30,'CBs RAW'!$E$2:$P$427,12)</f>
        <v>0</v>
      </c>
      <c r="R30" s="17">
        <v>45224</v>
      </c>
      <c r="S30" s="6" t="s">
        <v>76</v>
      </c>
      <c r="T30" s="6" t="s">
        <v>54</v>
      </c>
      <c r="U30" s="6" t="s">
        <v>49</v>
      </c>
      <c r="V30" s="6" t="s">
        <v>53</v>
      </c>
      <c r="W30" s="6" t="s">
        <v>1889</v>
      </c>
      <c r="X30" s="18" t="str">
        <f>VLOOKUP(G30,'CBs RAW'!$E$2:$W$427,19)</f>
        <v>#N/A N/A</v>
      </c>
      <c r="Y30" s="2" t="str">
        <f t="shared" si="0"/>
        <v>#N/A N/A</v>
      </c>
      <c r="Z30" s="2" t="str">
        <f t="shared" si="1"/>
        <v>BayWa AGAT MATURITYFLOATINGEURSr Unsecured</v>
      </c>
    </row>
    <row r="31" spans="1:26" x14ac:dyDescent="0.2">
      <c r="A31" s="6">
        <v>30</v>
      </c>
      <c r="B31" s="6" t="s">
        <v>1291</v>
      </c>
      <c r="C31" s="6" t="s">
        <v>1294</v>
      </c>
      <c r="D31" s="6" t="s">
        <v>71</v>
      </c>
      <c r="E31" s="6" t="str">
        <f>VLOOKUP(G31,'CBs RAW'!$E$2:$H$427,4)</f>
        <v>#N/A N/A</v>
      </c>
      <c r="F31" s="6" t="s">
        <v>45</v>
      </c>
      <c r="G31" s="6" t="s">
        <v>1890</v>
      </c>
      <c r="H31" s="6" t="s">
        <v>173</v>
      </c>
      <c r="I31" s="6" t="s">
        <v>1891</v>
      </c>
      <c r="J31" s="6" t="s">
        <v>55</v>
      </c>
      <c r="K31" s="6" t="s">
        <v>70</v>
      </c>
      <c r="L31" s="5">
        <v>79604700</v>
      </c>
      <c r="M31" s="6" t="s">
        <v>52</v>
      </c>
      <c r="N31" s="6" t="s">
        <v>1839</v>
      </c>
      <c r="O31" s="6" t="s">
        <v>45</v>
      </c>
      <c r="P31" s="17">
        <v>43398</v>
      </c>
      <c r="Q31" s="5">
        <f>VLOOKUP(G31,'CBs RAW'!$E$2:$P$427,12)</f>
        <v>0</v>
      </c>
      <c r="R31" s="17">
        <v>45955</v>
      </c>
      <c r="S31" s="6" t="s">
        <v>69</v>
      </c>
      <c r="T31" s="6" t="s">
        <v>54</v>
      </c>
      <c r="U31" s="6" t="s">
        <v>49</v>
      </c>
      <c r="V31" s="6" t="s">
        <v>53</v>
      </c>
      <c r="W31" s="6" t="s">
        <v>1892</v>
      </c>
      <c r="X31" s="18" t="str">
        <f>VLOOKUP(G31,'CBs RAW'!$E$2:$W$427,19)</f>
        <v>#N/A N/A</v>
      </c>
      <c r="Y31" s="2" t="str">
        <f t="shared" si="0"/>
        <v>#N/A N/A</v>
      </c>
      <c r="Z31" s="2" t="str">
        <f t="shared" si="1"/>
        <v>BayWa AGAT MATURITYFLOATINGEURSr Unsecured</v>
      </c>
    </row>
    <row r="32" spans="1:26" x14ac:dyDescent="0.2">
      <c r="A32" s="6">
        <v>31</v>
      </c>
      <c r="B32" s="6" t="s">
        <v>1291</v>
      </c>
      <c r="C32" s="6" t="s">
        <v>1294</v>
      </c>
      <c r="D32" s="6" t="s">
        <v>71</v>
      </c>
      <c r="E32" s="6" t="str">
        <f>VLOOKUP(G32,'CBs RAW'!$E$2:$H$427,4)</f>
        <v>#N/A N/A</v>
      </c>
      <c r="F32" s="6" t="s">
        <v>45</v>
      </c>
      <c r="G32" s="6" t="s">
        <v>1893</v>
      </c>
      <c r="H32" s="6" t="s">
        <v>173</v>
      </c>
      <c r="I32" s="6" t="s">
        <v>1894</v>
      </c>
      <c r="J32" s="6" t="s">
        <v>55</v>
      </c>
      <c r="K32" s="6" t="s">
        <v>70</v>
      </c>
      <c r="L32" s="5">
        <v>79604700</v>
      </c>
      <c r="M32" s="6" t="s">
        <v>52</v>
      </c>
      <c r="N32" s="6" t="s">
        <v>1839</v>
      </c>
      <c r="O32" s="6" t="s">
        <v>45</v>
      </c>
      <c r="P32" s="17">
        <v>43398</v>
      </c>
      <c r="Q32" s="5">
        <f>VLOOKUP(G32,'CBs RAW'!$E$2:$P$427,12)</f>
        <v>0</v>
      </c>
      <c r="R32" s="17">
        <v>47051</v>
      </c>
      <c r="S32" s="6" t="s">
        <v>51</v>
      </c>
      <c r="T32" s="6" t="s">
        <v>54</v>
      </c>
      <c r="U32" s="6" t="s">
        <v>49</v>
      </c>
      <c r="V32" s="6" t="s">
        <v>53</v>
      </c>
      <c r="W32" s="6" t="s">
        <v>1895</v>
      </c>
      <c r="X32" s="18" t="str">
        <f>VLOOKUP(G32,'CBs RAW'!$E$2:$W$427,19)</f>
        <v>#N/A N/A</v>
      </c>
      <c r="Y32" s="2" t="str">
        <f t="shared" si="0"/>
        <v>#N/A N/A</v>
      </c>
      <c r="Z32" s="2" t="str">
        <f t="shared" si="1"/>
        <v>BayWa AGAT MATURITYFLOATINGEURSr Unsecured</v>
      </c>
    </row>
    <row r="33" spans="1:26" x14ac:dyDescent="0.2">
      <c r="A33" s="6">
        <v>32</v>
      </c>
      <c r="B33" s="6" t="s">
        <v>476</v>
      </c>
      <c r="C33" s="6" t="s">
        <v>479</v>
      </c>
      <c r="D33" s="6" t="s">
        <v>57</v>
      </c>
      <c r="E33" s="6" t="str">
        <f>VLOOKUP(G33,'CBs RAW'!$E$2:$H$427,4)</f>
        <v>#N/A N/A</v>
      </c>
      <c r="F33" s="6" t="s">
        <v>45</v>
      </c>
      <c r="G33" s="6" t="s">
        <v>1896</v>
      </c>
      <c r="H33" s="6" t="s">
        <v>1897</v>
      </c>
      <c r="I33" s="6" t="s">
        <v>1898</v>
      </c>
      <c r="J33" s="6" t="s">
        <v>55</v>
      </c>
      <c r="K33" s="6" t="s">
        <v>56</v>
      </c>
      <c r="L33" s="5">
        <v>527325000</v>
      </c>
      <c r="M33" s="6" t="s">
        <v>458</v>
      </c>
      <c r="N33" s="6" t="s">
        <v>173</v>
      </c>
      <c r="O33" s="6" t="s">
        <v>45</v>
      </c>
      <c r="P33" s="17">
        <v>42788</v>
      </c>
      <c r="Q33" s="5">
        <f>VLOOKUP(G33,'CBs RAW'!$E$2:$P$427,12)</f>
        <v>0.375</v>
      </c>
      <c r="R33" s="17">
        <v>45709</v>
      </c>
      <c r="S33" s="6">
        <v>200</v>
      </c>
      <c r="T33" s="6" t="s">
        <v>189</v>
      </c>
      <c r="U33" s="6" t="s">
        <v>49</v>
      </c>
      <c r="V33" s="6" t="s">
        <v>53</v>
      </c>
      <c r="W33" s="6" t="s">
        <v>1899</v>
      </c>
      <c r="X33" s="18">
        <f>VLOOKUP(G33,'CBs RAW'!$E$2:$W$427,19)</f>
        <v>0.38100000000000001</v>
      </c>
      <c r="Y33" s="19">
        <f t="shared" si="0"/>
        <v>0.38100000000000001</v>
      </c>
      <c r="Z33" s="2" t="str">
        <f t="shared" si="1"/>
        <v>Berlin Hyp AGAT MATURITYFIXEDEURSecured</v>
      </c>
    </row>
    <row r="34" spans="1:26" x14ac:dyDescent="0.2">
      <c r="A34" s="6">
        <v>33</v>
      </c>
      <c r="B34" s="6" t="s">
        <v>476</v>
      </c>
      <c r="C34" s="6" t="s">
        <v>479</v>
      </c>
      <c r="D34" s="6" t="s">
        <v>57</v>
      </c>
      <c r="E34" s="6" t="str">
        <f>VLOOKUP(G34,'CBs RAW'!$E$2:$H$427,4)</f>
        <v>#N/A N/A</v>
      </c>
      <c r="F34" s="6" t="s">
        <v>45</v>
      </c>
      <c r="G34" s="6" t="s">
        <v>1900</v>
      </c>
      <c r="H34" s="6" t="s">
        <v>1901</v>
      </c>
      <c r="I34" s="6" t="s">
        <v>1902</v>
      </c>
      <c r="J34" s="6" t="s">
        <v>55</v>
      </c>
      <c r="K34" s="6" t="s">
        <v>56</v>
      </c>
      <c r="L34" s="5">
        <v>595155000</v>
      </c>
      <c r="M34" s="6" t="s">
        <v>458</v>
      </c>
      <c r="N34" s="6" t="s">
        <v>1770</v>
      </c>
      <c r="O34" s="6" t="s">
        <v>45</v>
      </c>
      <c r="P34" s="17">
        <v>42983</v>
      </c>
      <c r="Q34" s="5">
        <f>VLOOKUP(G34,'CBs RAW'!$E$2:$P$427,12)</f>
        <v>0.125</v>
      </c>
      <c r="R34" s="17">
        <v>45296</v>
      </c>
      <c r="S34" s="6">
        <v>203</v>
      </c>
      <c r="T34" s="6" t="s">
        <v>189</v>
      </c>
      <c r="U34" s="6" t="s">
        <v>49</v>
      </c>
      <c r="V34" s="6" t="s">
        <v>53</v>
      </c>
      <c r="W34" s="6" t="s">
        <v>1903</v>
      </c>
      <c r="X34" s="18">
        <f>VLOOKUP(G34,'CBs RAW'!$E$2:$W$427,19)</f>
        <v>0.153</v>
      </c>
      <c r="Y34" s="19">
        <f t="shared" si="0"/>
        <v>0.153</v>
      </c>
      <c r="Z34" s="2" t="str">
        <f t="shared" si="1"/>
        <v>Berlin Hyp AGAT MATURITYFIXEDEURSecured</v>
      </c>
    </row>
    <row r="35" spans="1:26" x14ac:dyDescent="0.2">
      <c r="A35" s="6">
        <v>34</v>
      </c>
      <c r="B35" s="6" t="s">
        <v>476</v>
      </c>
      <c r="C35" s="6" t="s">
        <v>479</v>
      </c>
      <c r="D35" s="6" t="s">
        <v>391</v>
      </c>
      <c r="E35" s="6" t="str">
        <f>VLOOKUP(G35,'CBs RAW'!$E$2:$H$427,4)</f>
        <v>#N/A N/A</v>
      </c>
      <c r="F35" s="6" t="s">
        <v>45</v>
      </c>
      <c r="G35" s="6" t="s">
        <v>1904</v>
      </c>
      <c r="H35" s="6" t="s">
        <v>1905</v>
      </c>
      <c r="I35" s="6" t="s">
        <v>1906</v>
      </c>
      <c r="J35" s="6" t="s">
        <v>55</v>
      </c>
      <c r="K35" s="6" t="s">
        <v>70</v>
      </c>
      <c r="L35" s="5">
        <v>62358000</v>
      </c>
      <c r="M35" s="6" t="s">
        <v>458</v>
      </c>
      <c r="N35" s="6" t="s">
        <v>1770</v>
      </c>
      <c r="O35" s="6" t="s">
        <v>45</v>
      </c>
      <c r="P35" s="17">
        <v>43146</v>
      </c>
      <c r="Q35" s="5">
        <f>VLOOKUP(G35,'CBs RAW'!$E$2:$P$427,12)</f>
        <v>0</v>
      </c>
      <c r="R35" s="17">
        <v>44972</v>
      </c>
      <c r="S35" s="6" t="s">
        <v>225</v>
      </c>
      <c r="T35" s="6" t="s">
        <v>189</v>
      </c>
      <c r="U35" s="6" t="s">
        <v>49</v>
      </c>
      <c r="V35" s="6" t="s">
        <v>53</v>
      </c>
      <c r="W35" s="6" t="s">
        <v>1907</v>
      </c>
      <c r="X35" s="18" t="str">
        <f>VLOOKUP(G35,'CBs RAW'!$E$2:$W$427,19)</f>
        <v>#N/A N/A</v>
      </c>
      <c r="Y35" s="2" t="str">
        <f t="shared" si="0"/>
        <v>#N/A N/A</v>
      </c>
      <c r="Z35" s="2" t="str">
        <f t="shared" si="1"/>
        <v>Berlin Hyp AGAT MATURITYFLOATINGEURSecured</v>
      </c>
    </row>
    <row r="36" spans="1:26" x14ac:dyDescent="0.2">
      <c r="A36" s="6">
        <v>35</v>
      </c>
      <c r="B36" s="6" t="s">
        <v>476</v>
      </c>
      <c r="C36" s="6" t="s">
        <v>479</v>
      </c>
      <c r="D36" s="6" t="s">
        <v>57</v>
      </c>
      <c r="E36" s="6" t="str">
        <f>VLOOKUP(G36,'CBs RAW'!$E$2:$H$427,4)</f>
        <v>#N/A N/A</v>
      </c>
      <c r="F36" s="6" t="s">
        <v>45</v>
      </c>
      <c r="G36" s="6" t="s">
        <v>1908</v>
      </c>
      <c r="H36" s="6" t="s">
        <v>1909</v>
      </c>
      <c r="I36" s="6" t="s">
        <v>1910</v>
      </c>
      <c r="J36" s="6" t="s">
        <v>55</v>
      </c>
      <c r="K36" s="6" t="s">
        <v>56</v>
      </c>
      <c r="L36" s="5">
        <v>615385000</v>
      </c>
      <c r="M36" s="6" t="s">
        <v>458</v>
      </c>
      <c r="N36" s="6" t="s">
        <v>173</v>
      </c>
      <c r="O36" s="6" t="s">
        <v>45</v>
      </c>
      <c r="P36" s="17">
        <v>43157</v>
      </c>
      <c r="Q36" s="5">
        <f>VLOOKUP(G36,'CBs RAW'!$E$2:$P$427,12)</f>
        <v>0.75</v>
      </c>
      <c r="R36" s="17">
        <v>46079</v>
      </c>
      <c r="S36" s="6">
        <v>207</v>
      </c>
      <c r="T36" s="6" t="s">
        <v>189</v>
      </c>
      <c r="U36" s="6" t="s">
        <v>49</v>
      </c>
      <c r="V36" s="6" t="s">
        <v>53</v>
      </c>
      <c r="W36" s="6" t="s">
        <v>1911</v>
      </c>
      <c r="X36" s="18">
        <f>VLOOKUP(G36,'CBs RAW'!$E$2:$W$427,19)</f>
        <v>0.7</v>
      </c>
      <c r="Y36" s="19">
        <f t="shared" si="0"/>
        <v>0.7</v>
      </c>
      <c r="Z36" s="2" t="str">
        <f t="shared" si="1"/>
        <v>Berlin Hyp AGAT MATURITYFIXEDEURSecured</v>
      </c>
    </row>
    <row r="37" spans="1:26" x14ac:dyDescent="0.2">
      <c r="A37" s="6">
        <v>36</v>
      </c>
      <c r="B37" s="6" t="s">
        <v>476</v>
      </c>
      <c r="C37" s="6" t="s">
        <v>479</v>
      </c>
      <c r="D37" s="6" t="s">
        <v>57</v>
      </c>
      <c r="E37" s="6" t="str">
        <f>VLOOKUP(G37,'CBs RAW'!$E$2:$H$427,4)</f>
        <v>#N/A N/A</v>
      </c>
      <c r="F37" s="6" t="s">
        <v>45</v>
      </c>
      <c r="G37" s="6" t="s">
        <v>1912</v>
      </c>
      <c r="H37" s="6" t="s">
        <v>1913</v>
      </c>
      <c r="I37" s="6" t="s">
        <v>1914</v>
      </c>
      <c r="J37" s="6" t="s">
        <v>55</v>
      </c>
      <c r="K37" s="6" t="s">
        <v>56</v>
      </c>
      <c r="L37" s="5">
        <v>874792500</v>
      </c>
      <c r="M37" s="6" t="s">
        <v>458</v>
      </c>
      <c r="N37" s="6" t="s">
        <v>1770</v>
      </c>
      <c r="O37" s="6" t="s">
        <v>45</v>
      </c>
      <c r="P37" s="17">
        <v>43250</v>
      </c>
      <c r="Q37" s="5">
        <f>VLOOKUP(G37,'CBs RAW'!$E$2:$P$427,12)</f>
        <v>0.25</v>
      </c>
      <c r="R37" s="17">
        <v>45076</v>
      </c>
      <c r="S37" s="6" t="s">
        <v>225</v>
      </c>
      <c r="T37" s="6" t="s">
        <v>189</v>
      </c>
      <c r="U37" s="6" t="s">
        <v>49</v>
      </c>
      <c r="V37" s="6" t="s">
        <v>53</v>
      </c>
      <c r="W37" s="6" t="s">
        <v>1915</v>
      </c>
      <c r="X37" s="18">
        <f>VLOOKUP(G37,'CBs RAW'!$E$2:$W$427,19)</f>
        <v>0.189</v>
      </c>
      <c r="Y37" s="19">
        <f t="shared" si="0"/>
        <v>0.189</v>
      </c>
      <c r="Z37" s="2" t="str">
        <f t="shared" si="1"/>
        <v>Berlin Hyp AGAT MATURITYFIXEDEURSecured</v>
      </c>
    </row>
    <row r="38" spans="1:26" x14ac:dyDescent="0.2">
      <c r="A38" s="6">
        <v>37</v>
      </c>
      <c r="B38" s="6" t="s">
        <v>476</v>
      </c>
      <c r="C38" s="6" t="s">
        <v>479</v>
      </c>
      <c r="D38" s="6" t="s">
        <v>57</v>
      </c>
      <c r="E38" s="6" t="str">
        <f>VLOOKUP(G38,'CBs RAW'!$E$2:$H$427,4)</f>
        <v>#N/A N/A</v>
      </c>
      <c r="F38" s="6" t="s">
        <v>45</v>
      </c>
      <c r="G38" s="6" t="s">
        <v>1916</v>
      </c>
      <c r="H38" s="6" t="s">
        <v>1917</v>
      </c>
      <c r="I38" s="6" t="s">
        <v>1918</v>
      </c>
      <c r="J38" s="6" t="s">
        <v>55</v>
      </c>
      <c r="K38" s="6" t="s">
        <v>56</v>
      </c>
      <c r="L38" s="5">
        <v>881025000</v>
      </c>
      <c r="M38" s="6" t="s">
        <v>458</v>
      </c>
      <c r="N38" s="6" t="s">
        <v>1770</v>
      </c>
      <c r="O38" s="6" t="s">
        <v>45</v>
      </c>
      <c r="P38" s="17">
        <v>43290</v>
      </c>
      <c r="Q38" s="5">
        <f>VLOOKUP(G38,'CBs RAW'!$E$2:$P$427,12)</f>
        <v>0</v>
      </c>
      <c r="R38" s="17">
        <v>44844</v>
      </c>
      <c r="S38" s="6" t="s">
        <v>225</v>
      </c>
      <c r="T38" s="6" t="s">
        <v>189</v>
      </c>
      <c r="U38" s="6" t="s">
        <v>49</v>
      </c>
      <c r="V38" s="6" t="s">
        <v>53</v>
      </c>
      <c r="W38" s="6" t="s">
        <v>1919</v>
      </c>
      <c r="X38" s="18">
        <f>VLOOKUP(G38,'CBs RAW'!$E$2:$W$427,19)</f>
        <v>2.5000000000000001E-2</v>
      </c>
      <c r="Y38" s="19">
        <f t="shared" si="0"/>
        <v>2.5000000000000001E-2</v>
      </c>
      <c r="Z38" s="2" t="str">
        <f t="shared" si="1"/>
        <v>Berlin Hyp AGAT MATURITYFIXEDEURSecured</v>
      </c>
    </row>
    <row r="39" spans="1:26" x14ac:dyDescent="0.2">
      <c r="A39" s="6">
        <v>38</v>
      </c>
      <c r="B39" s="6" t="s">
        <v>476</v>
      </c>
      <c r="C39" s="6" t="s">
        <v>479</v>
      </c>
      <c r="D39" s="6" t="s">
        <v>57</v>
      </c>
      <c r="E39" s="6">
        <f>VLOOKUP(G39,'CBs RAW'!$E$2:$H$427,4)</f>
        <v>0.39</v>
      </c>
      <c r="F39" s="6" t="s">
        <v>45</v>
      </c>
      <c r="G39" s="6" t="s">
        <v>1920</v>
      </c>
      <c r="H39" s="6" t="s">
        <v>1921</v>
      </c>
      <c r="I39" s="6" t="s">
        <v>1922</v>
      </c>
      <c r="J39" s="6" t="s">
        <v>55</v>
      </c>
      <c r="K39" s="6" t="s">
        <v>56</v>
      </c>
      <c r="L39" s="5">
        <v>584405000</v>
      </c>
      <c r="M39" s="6" t="s">
        <v>482</v>
      </c>
      <c r="N39" s="6" t="s">
        <v>173</v>
      </c>
      <c r="O39" s="6" t="s">
        <v>45</v>
      </c>
      <c r="P39" s="17">
        <v>43339</v>
      </c>
      <c r="Q39" s="5">
        <f>VLOOKUP(G39,'CBs RAW'!$E$2:$P$427,12)</f>
        <v>0.375</v>
      </c>
      <c r="R39" s="17">
        <v>45166</v>
      </c>
      <c r="S39" s="6" t="s">
        <v>225</v>
      </c>
      <c r="T39" s="6" t="s">
        <v>483</v>
      </c>
      <c r="U39" s="6" t="s">
        <v>49</v>
      </c>
      <c r="V39" s="6" t="s">
        <v>53</v>
      </c>
      <c r="W39" s="6" t="s">
        <v>1923</v>
      </c>
      <c r="X39" s="18">
        <f>VLOOKUP(G39,'CBs RAW'!$E$2:$W$427,19)</f>
        <v>0.44500000000000001</v>
      </c>
      <c r="Y39" s="19">
        <f t="shared" si="0"/>
        <v>0.44500000000000001</v>
      </c>
      <c r="Z39" s="2" t="str">
        <f t="shared" si="1"/>
        <v>Berlin Hyp AGAT MATURITYFIXEDEURSr Preferred</v>
      </c>
    </row>
    <row r="40" spans="1:26" x14ac:dyDescent="0.2">
      <c r="A40" s="6">
        <v>39</v>
      </c>
      <c r="B40" s="6" t="s">
        <v>476</v>
      </c>
      <c r="C40" s="6" t="s">
        <v>479</v>
      </c>
      <c r="D40" s="6" t="s">
        <v>57</v>
      </c>
      <c r="E40" s="6" t="str">
        <f>VLOOKUP(G40,'CBs RAW'!$E$2:$H$427,4)</f>
        <v>#N/A N/A</v>
      </c>
      <c r="F40" s="6" t="s">
        <v>45</v>
      </c>
      <c r="G40" s="6" t="s">
        <v>1924</v>
      </c>
      <c r="H40" s="6" t="s">
        <v>1925</v>
      </c>
      <c r="I40" s="6" t="s">
        <v>1926</v>
      </c>
      <c r="J40" s="6" t="s">
        <v>55</v>
      </c>
      <c r="K40" s="6" t="s">
        <v>56</v>
      </c>
      <c r="L40" s="5">
        <v>11376700</v>
      </c>
      <c r="M40" s="6" t="s">
        <v>458</v>
      </c>
      <c r="N40" s="6" t="s">
        <v>173</v>
      </c>
      <c r="O40" s="6" t="s">
        <v>45</v>
      </c>
      <c r="P40" s="17">
        <v>43446</v>
      </c>
      <c r="Q40" s="5">
        <f>VLOOKUP(G40,'CBs RAW'!$E$2:$P$427,12)</f>
        <v>0.8</v>
      </c>
      <c r="R40" s="17">
        <v>47099</v>
      </c>
      <c r="S40" s="6">
        <v>212</v>
      </c>
      <c r="T40" s="6" t="s">
        <v>189</v>
      </c>
      <c r="U40" s="6" t="s">
        <v>49</v>
      </c>
      <c r="V40" s="6" t="s">
        <v>53</v>
      </c>
      <c r="W40" s="6" t="s">
        <v>1927</v>
      </c>
      <c r="X40" s="18">
        <f>VLOOKUP(G40,'CBs RAW'!$E$2:$W$427,19)</f>
        <v>0.749</v>
      </c>
      <c r="Y40" s="19">
        <f t="shared" si="0"/>
        <v>0.749</v>
      </c>
      <c r="Z40" s="2" t="str">
        <f t="shared" si="1"/>
        <v>Berlin Hyp AGAT MATURITYFIXEDEURSecured</v>
      </c>
    </row>
    <row r="41" spans="1:26" x14ac:dyDescent="0.2">
      <c r="A41" s="6">
        <v>40</v>
      </c>
      <c r="B41" s="6" t="s">
        <v>476</v>
      </c>
      <c r="C41" s="6" t="s">
        <v>479</v>
      </c>
      <c r="D41" s="6" t="s">
        <v>57</v>
      </c>
      <c r="E41" s="6" t="str">
        <f>VLOOKUP(G41,'CBs RAW'!$E$2:$H$427,4)</f>
        <v>#N/A N/A</v>
      </c>
      <c r="F41" s="6" t="s">
        <v>45</v>
      </c>
      <c r="G41" s="6" t="s">
        <v>1928</v>
      </c>
      <c r="H41" s="6" t="s">
        <v>1929</v>
      </c>
      <c r="I41" s="6" t="s">
        <v>1930</v>
      </c>
      <c r="J41" s="6" t="s">
        <v>55</v>
      </c>
      <c r="K41" s="6" t="s">
        <v>56</v>
      </c>
      <c r="L41" s="5">
        <v>570465000</v>
      </c>
      <c r="M41" s="6" t="s">
        <v>482</v>
      </c>
      <c r="N41" s="6" t="s">
        <v>173</v>
      </c>
      <c r="O41" s="6" t="s">
        <v>45</v>
      </c>
      <c r="P41" s="17">
        <v>43501</v>
      </c>
      <c r="Q41" s="5">
        <f>VLOOKUP(G41,'CBs RAW'!$E$2:$P$427,12)</f>
        <v>1</v>
      </c>
      <c r="R41" s="17">
        <v>46058</v>
      </c>
      <c r="S41" s="6" t="s">
        <v>225</v>
      </c>
      <c r="T41" s="6" t="s">
        <v>483</v>
      </c>
      <c r="U41" s="6" t="s">
        <v>49</v>
      </c>
      <c r="V41" s="6" t="s">
        <v>53</v>
      </c>
      <c r="W41" s="6" t="s">
        <v>1931</v>
      </c>
      <c r="X41" s="18">
        <f>VLOOKUP(G41,'CBs RAW'!$E$2:$W$427,19)</f>
        <v>0.83799999999999997</v>
      </c>
      <c r="Y41" s="19">
        <f t="shared" si="0"/>
        <v>0.83799999999999997</v>
      </c>
      <c r="Z41" s="2" t="str">
        <f t="shared" si="1"/>
        <v>Berlin Hyp AGAT MATURITYFIXEDEURSr Preferred</v>
      </c>
    </row>
    <row r="42" spans="1:26" x14ac:dyDescent="0.2">
      <c r="A42" s="6">
        <v>41</v>
      </c>
      <c r="B42" s="6" t="s">
        <v>476</v>
      </c>
      <c r="C42" s="6" t="s">
        <v>479</v>
      </c>
      <c r="D42" s="6" t="s">
        <v>57</v>
      </c>
      <c r="E42" s="6" t="str">
        <f>VLOOKUP(G42,'CBs RAW'!$E$2:$H$427,4)</f>
        <v>#N/A N/A</v>
      </c>
      <c r="F42" s="6" t="s">
        <v>45</v>
      </c>
      <c r="G42" s="6" t="s">
        <v>1932</v>
      </c>
      <c r="H42" s="6" t="s">
        <v>1933</v>
      </c>
      <c r="I42" s="6" t="s">
        <v>1934</v>
      </c>
      <c r="J42" s="6" t="s">
        <v>55</v>
      </c>
      <c r="K42" s="6" t="s">
        <v>56</v>
      </c>
      <c r="L42" s="5">
        <v>224224000</v>
      </c>
      <c r="M42" s="6" t="s">
        <v>482</v>
      </c>
      <c r="N42" s="6" t="s">
        <v>173</v>
      </c>
      <c r="O42" s="6" t="s">
        <v>45</v>
      </c>
      <c r="P42" s="17">
        <v>43686</v>
      </c>
      <c r="Q42" s="5">
        <f>VLOOKUP(G42,'CBs RAW'!$E$2:$P$427,12)</f>
        <v>0.01</v>
      </c>
      <c r="R42" s="17">
        <v>44782</v>
      </c>
      <c r="S42" s="6" t="s">
        <v>225</v>
      </c>
      <c r="T42" s="6" t="s">
        <v>483</v>
      </c>
      <c r="U42" s="6" t="s">
        <v>49</v>
      </c>
      <c r="V42" s="6" t="s">
        <v>53</v>
      </c>
      <c r="W42" s="6" t="s">
        <v>1935</v>
      </c>
      <c r="X42" s="18">
        <f>VLOOKUP(G42,'CBs RAW'!$E$2:$W$427,19)</f>
        <v>-0.495</v>
      </c>
      <c r="Y42" s="19">
        <f t="shared" si="0"/>
        <v>-0.495</v>
      </c>
      <c r="Z42" s="2" t="str">
        <f t="shared" si="1"/>
        <v>Berlin Hyp AGAT MATURITYFIXEDEURSr Preferred</v>
      </c>
    </row>
    <row r="43" spans="1:26" x14ac:dyDescent="0.2">
      <c r="A43" s="6">
        <v>42</v>
      </c>
      <c r="B43" s="6" t="s">
        <v>476</v>
      </c>
      <c r="C43" s="6" t="s">
        <v>479</v>
      </c>
      <c r="D43" s="6" t="s">
        <v>57</v>
      </c>
      <c r="E43" s="6" t="str">
        <f>VLOOKUP(G43,'CBs RAW'!$E$2:$H$427,4)</f>
        <v>#N/A N/A</v>
      </c>
      <c r="F43" s="6" t="s">
        <v>45</v>
      </c>
      <c r="G43" s="6" t="s">
        <v>1936</v>
      </c>
      <c r="H43" s="6" t="s">
        <v>1937</v>
      </c>
      <c r="I43" s="6" t="s">
        <v>1938</v>
      </c>
      <c r="J43" s="6" t="s">
        <v>55</v>
      </c>
      <c r="K43" s="6" t="s">
        <v>56</v>
      </c>
      <c r="L43" s="5">
        <v>16685550</v>
      </c>
      <c r="M43" s="6" t="s">
        <v>458</v>
      </c>
      <c r="N43" s="6" t="s">
        <v>173</v>
      </c>
      <c r="O43" s="6" t="s">
        <v>45</v>
      </c>
      <c r="P43" s="17">
        <v>43894</v>
      </c>
      <c r="Q43" s="5">
        <f>VLOOKUP(G43,'CBs RAW'!$E$2:$P$427,12)</f>
        <v>0.75</v>
      </c>
      <c r="R43" s="17">
        <v>54851</v>
      </c>
      <c r="S43" s="6" t="s">
        <v>225</v>
      </c>
      <c r="T43" s="6" t="s">
        <v>189</v>
      </c>
      <c r="U43" s="6" t="s">
        <v>115</v>
      </c>
      <c r="V43" s="6" t="s">
        <v>53</v>
      </c>
      <c r="W43" s="6" t="s">
        <v>1939</v>
      </c>
      <c r="X43" s="18">
        <f>VLOOKUP(G43,'CBs RAW'!$E$2:$W$427,19)</f>
        <v>0.68300000000000005</v>
      </c>
      <c r="Y43" s="19">
        <f t="shared" si="0"/>
        <v>0.68300000000000005</v>
      </c>
      <c r="Z43" s="2" t="str">
        <f t="shared" si="1"/>
        <v>Berlin Hyp AGCALLABLEFIXEDEURSecured</v>
      </c>
    </row>
    <row r="44" spans="1:26" x14ac:dyDescent="0.2">
      <c r="A44" s="6">
        <v>43</v>
      </c>
      <c r="B44" s="6" t="s">
        <v>476</v>
      </c>
      <c r="C44" s="6" t="s">
        <v>479</v>
      </c>
      <c r="D44" s="6" t="s">
        <v>57</v>
      </c>
      <c r="E44" s="6" t="str">
        <f>VLOOKUP(G44,'CBs RAW'!$E$2:$H$427,4)</f>
        <v>#N/A N/A</v>
      </c>
      <c r="F44" s="6" t="s">
        <v>45</v>
      </c>
      <c r="G44" s="6" t="s">
        <v>1940</v>
      </c>
      <c r="H44" s="6" t="s">
        <v>1941</v>
      </c>
      <c r="I44" s="6" t="s">
        <v>1942</v>
      </c>
      <c r="J44" s="6" t="s">
        <v>55</v>
      </c>
      <c r="K44" s="6" t="s">
        <v>56</v>
      </c>
      <c r="L44" s="5">
        <v>81117750</v>
      </c>
      <c r="M44" s="6" t="s">
        <v>482</v>
      </c>
      <c r="N44" s="6" t="s">
        <v>173</v>
      </c>
      <c r="O44" s="6" t="s">
        <v>45</v>
      </c>
      <c r="P44" s="17">
        <v>43943</v>
      </c>
      <c r="Q44" s="5">
        <f>VLOOKUP(G44,'CBs RAW'!$E$2:$P$427,12)</f>
        <v>0.45</v>
      </c>
      <c r="R44" s="17">
        <v>45404</v>
      </c>
      <c r="S44" s="6" t="s">
        <v>225</v>
      </c>
      <c r="T44" s="6" t="s">
        <v>483</v>
      </c>
      <c r="U44" s="6" t="s">
        <v>49</v>
      </c>
      <c r="V44" s="6" t="s">
        <v>53</v>
      </c>
      <c r="W44" s="6" t="s">
        <v>1943</v>
      </c>
      <c r="X44" s="18" t="str">
        <f>VLOOKUP(G44,'CBs RAW'!$E$2:$W$427,19)</f>
        <v>#N/A N/A</v>
      </c>
      <c r="Y44" s="2" t="str">
        <f t="shared" si="0"/>
        <v>#N/A N/A</v>
      </c>
      <c r="Z44" s="2" t="str">
        <f t="shared" si="1"/>
        <v>Berlin Hyp AGAT MATURITYFIXEDEURSr Preferred</v>
      </c>
    </row>
    <row r="45" spans="1:26" x14ac:dyDescent="0.2">
      <c r="A45" s="6">
        <v>44</v>
      </c>
      <c r="B45" s="6" t="s">
        <v>476</v>
      </c>
      <c r="C45" s="6" t="s">
        <v>479</v>
      </c>
      <c r="D45" s="6" t="s">
        <v>57</v>
      </c>
      <c r="E45" s="6" t="str">
        <f>VLOOKUP(G45,'CBs RAW'!$E$2:$H$427,4)</f>
        <v>#N/A N/A</v>
      </c>
      <c r="F45" s="6" t="s">
        <v>45</v>
      </c>
      <c r="G45" s="6" t="s">
        <v>1944</v>
      </c>
      <c r="H45" s="6" t="s">
        <v>1945</v>
      </c>
      <c r="I45" s="6" t="s">
        <v>1946</v>
      </c>
      <c r="J45" s="6" t="s">
        <v>55</v>
      </c>
      <c r="K45" s="6" t="s">
        <v>56</v>
      </c>
      <c r="L45" s="5">
        <v>54501500</v>
      </c>
      <c r="M45" s="6" t="s">
        <v>482</v>
      </c>
      <c r="N45" s="6" t="s">
        <v>173</v>
      </c>
      <c r="O45" s="6" t="s">
        <v>45</v>
      </c>
      <c r="P45" s="17">
        <v>43955</v>
      </c>
      <c r="Q45" s="5">
        <f>VLOOKUP(G45,'CBs RAW'!$E$2:$P$427,12)</f>
        <v>0.46</v>
      </c>
      <c r="R45" s="17">
        <v>45105</v>
      </c>
      <c r="S45" s="6" t="s">
        <v>225</v>
      </c>
      <c r="T45" s="6" t="s">
        <v>483</v>
      </c>
      <c r="U45" s="6" t="s">
        <v>49</v>
      </c>
      <c r="V45" s="6" t="s">
        <v>53</v>
      </c>
      <c r="W45" s="6" t="s">
        <v>1947</v>
      </c>
      <c r="X45" s="18">
        <f>VLOOKUP(G45,'CBs RAW'!$E$2:$W$427,19)</f>
        <v>0.29699999999999999</v>
      </c>
      <c r="Y45" s="19">
        <f t="shared" si="0"/>
        <v>0.29699999999999999</v>
      </c>
      <c r="Z45" s="2" t="str">
        <f t="shared" si="1"/>
        <v>Berlin Hyp AGAT MATURITYFIXEDEURSr Preferred</v>
      </c>
    </row>
    <row r="46" spans="1:26" x14ac:dyDescent="0.2">
      <c r="A46" s="6">
        <v>45</v>
      </c>
      <c r="B46" s="6" t="s">
        <v>476</v>
      </c>
      <c r="C46" s="6" t="s">
        <v>479</v>
      </c>
      <c r="D46" s="6" t="s">
        <v>57</v>
      </c>
      <c r="E46" s="6" t="str">
        <f>VLOOKUP(G46,'CBs RAW'!$E$2:$H$427,4)</f>
        <v>#N/A N/A</v>
      </c>
      <c r="F46" s="6" t="s">
        <v>45</v>
      </c>
      <c r="G46" s="6" t="s">
        <v>1948</v>
      </c>
      <c r="H46" s="6" t="s">
        <v>1949</v>
      </c>
      <c r="I46" s="6" t="s">
        <v>1950</v>
      </c>
      <c r="J46" s="6" t="s">
        <v>55</v>
      </c>
      <c r="K46" s="6" t="s">
        <v>56</v>
      </c>
      <c r="L46" s="5">
        <v>27343250</v>
      </c>
      <c r="M46" s="6" t="s">
        <v>482</v>
      </c>
      <c r="N46" s="6" t="s">
        <v>173</v>
      </c>
      <c r="O46" s="6" t="s">
        <v>45</v>
      </c>
      <c r="P46" s="17">
        <v>43951</v>
      </c>
      <c r="Q46" s="5">
        <f>VLOOKUP(G46,'CBs RAW'!$E$2:$P$427,12)</f>
        <v>0.45</v>
      </c>
      <c r="R46" s="17">
        <v>45105</v>
      </c>
      <c r="S46" s="6" t="s">
        <v>225</v>
      </c>
      <c r="T46" s="6" t="s">
        <v>483</v>
      </c>
      <c r="U46" s="6" t="s">
        <v>49</v>
      </c>
      <c r="V46" s="6" t="s">
        <v>53</v>
      </c>
      <c r="W46" s="6" t="s">
        <v>1951</v>
      </c>
      <c r="X46" s="18" t="str">
        <f>VLOOKUP(G46,'CBs RAW'!$E$2:$W$427,19)</f>
        <v>#N/A N/A</v>
      </c>
      <c r="Y46" s="2" t="str">
        <f t="shared" si="0"/>
        <v>#N/A N/A</v>
      </c>
      <c r="Z46" s="2" t="str">
        <f t="shared" si="1"/>
        <v>Berlin Hyp AGAT MATURITYFIXEDEURSr Preferred</v>
      </c>
    </row>
    <row r="47" spans="1:26" x14ac:dyDescent="0.2">
      <c r="A47" s="6">
        <v>46</v>
      </c>
      <c r="B47" s="6" t="s">
        <v>476</v>
      </c>
      <c r="C47" s="6" t="s">
        <v>479</v>
      </c>
      <c r="D47" s="6" t="s">
        <v>57</v>
      </c>
      <c r="E47" s="6" t="str">
        <f>VLOOKUP(G47,'CBs RAW'!$E$2:$H$427,4)</f>
        <v>#N/A N/A</v>
      </c>
      <c r="F47" s="6" t="s">
        <v>45</v>
      </c>
      <c r="G47" s="6" t="s">
        <v>1952</v>
      </c>
      <c r="H47" s="6" t="s">
        <v>1953</v>
      </c>
      <c r="I47" s="6" t="s">
        <v>1954</v>
      </c>
      <c r="J47" s="6" t="s">
        <v>55</v>
      </c>
      <c r="K47" s="6" t="s">
        <v>56</v>
      </c>
      <c r="L47" s="5">
        <v>10937300</v>
      </c>
      <c r="M47" s="6" t="s">
        <v>482</v>
      </c>
      <c r="N47" s="6" t="s">
        <v>173</v>
      </c>
      <c r="O47" s="6" t="s">
        <v>45</v>
      </c>
      <c r="P47" s="17">
        <v>43951</v>
      </c>
      <c r="Q47" s="5">
        <f>VLOOKUP(G47,'CBs RAW'!$E$2:$P$427,12)</f>
        <v>0.49</v>
      </c>
      <c r="R47" s="17">
        <v>45412</v>
      </c>
      <c r="S47" s="6" t="s">
        <v>225</v>
      </c>
      <c r="T47" s="6" t="s">
        <v>483</v>
      </c>
      <c r="U47" s="6" t="s">
        <v>49</v>
      </c>
      <c r="V47" s="6" t="s">
        <v>53</v>
      </c>
      <c r="W47" s="6" t="s">
        <v>1955</v>
      </c>
      <c r="X47" s="18">
        <f>VLOOKUP(G47,'CBs RAW'!$E$2:$W$427,19)</f>
        <v>0.29699999999999999</v>
      </c>
      <c r="Y47" s="19">
        <f t="shared" si="0"/>
        <v>0.29699999999999999</v>
      </c>
      <c r="Z47" s="2" t="str">
        <f t="shared" si="1"/>
        <v>Berlin Hyp AGAT MATURITYFIXEDEURSr Preferred</v>
      </c>
    </row>
    <row r="48" spans="1:26" x14ac:dyDescent="0.2">
      <c r="A48" s="6">
        <v>47</v>
      </c>
      <c r="B48" s="6" t="s">
        <v>476</v>
      </c>
      <c r="C48" s="6" t="s">
        <v>479</v>
      </c>
      <c r="D48" s="6" t="s">
        <v>391</v>
      </c>
      <c r="E48" s="6" t="str">
        <f>VLOOKUP(G48,'CBs RAW'!$E$2:$H$427,4)</f>
        <v>#N/A N/A</v>
      </c>
      <c r="F48" s="6" t="s">
        <v>45</v>
      </c>
      <c r="G48" s="6" t="s">
        <v>1956</v>
      </c>
      <c r="H48" s="6" t="s">
        <v>1957</v>
      </c>
      <c r="I48" s="6" t="s">
        <v>1958</v>
      </c>
      <c r="J48" s="6" t="s">
        <v>55</v>
      </c>
      <c r="K48" s="6" t="s">
        <v>70</v>
      </c>
      <c r="L48" s="5">
        <v>730923100</v>
      </c>
      <c r="M48" s="6" t="s">
        <v>458</v>
      </c>
      <c r="N48" s="6" t="s">
        <v>1770</v>
      </c>
      <c r="O48" s="6" t="s">
        <v>45</v>
      </c>
      <c r="P48" s="17">
        <v>43969</v>
      </c>
      <c r="Q48" s="5">
        <f>VLOOKUP(G48,'CBs RAW'!$E$2:$P$427,12)</f>
        <v>0</v>
      </c>
      <c r="R48" s="17">
        <v>45793</v>
      </c>
      <c r="S48" s="6" t="s">
        <v>225</v>
      </c>
      <c r="T48" s="6" t="s">
        <v>189</v>
      </c>
      <c r="U48" s="6" t="s">
        <v>49</v>
      </c>
      <c r="V48" s="6" t="s">
        <v>53</v>
      </c>
      <c r="W48" s="6" t="s">
        <v>1959</v>
      </c>
      <c r="X48" s="18">
        <f>VLOOKUP(G48,'CBs RAW'!$E$2:$W$427,19)</f>
        <v>-7.9000000000000001E-2</v>
      </c>
      <c r="Y48" s="19">
        <f t="shared" si="0"/>
        <v>-7.9000000000000001E-2</v>
      </c>
      <c r="Z48" s="2" t="str">
        <f t="shared" si="1"/>
        <v>Berlin Hyp AGAT MATURITYFLOATINGEURSecured</v>
      </c>
    </row>
    <row r="49" spans="1:26" x14ac:dyDescent="0.2">
      <c r="A49" s="6">
        <v>48</v>
      </c>
      <c r="B49" s="6" t="s">
        <v>476</v>
      </c>
      <c r="C49" s="6" t="s">
        <v>479</v>
      </c>
      <c r="D49" s="6" t="s">
        <v>57</v>
      </c>
      <c r="E49" s="6">
        <f>VLOOKUP(G49,'CBs RAW'!$E$2:$H$427,4)</f>
        <v>-0.28599999999999998</v>
      </c>
      <c r="F49" s="6" t="s">
        <v>45</v>
      </c>
      <c r="G49" s="6" t="s">
        <v>1960</v>
      </c>
      <c r="H49" s="6" t="s">
        <v>1961</v>
      </c>
      <c r="I49" s="6" t="s">
        <v>1962</v>
      </c>
      <c r="J49" s="6" t="s">
        <v>55</v>
      </c>
      <c r="K49" s="6" t="s">
        <v>56</v>
      </c>
      <c r="L49" s="5">
        <v>16935750</v>
      </c>
      <c r="M49" s="6" t="s">
        <v>458</v>
      </c>
      <c r="N49" s="6" t="s">
        <v>173</v>
      </c>
      <c r="O49" s="6" t="s">
        <v>45</v>
      </c>
      <c r="P49" s="17">
        <v>43987</v>
      </c>
      <c r="Q49" s="5">
        <f>VLOOKUP(G49,'CBs RAW'!$E$2:$P$427,12)</f>
        <v>0.01</v>
      </c>
      <c r="R49" s="17">
        <v>45082</v>
      </c>
      <c r="S49" s="6" t="s">
        <v>225</v>
      </c>
      <c r="T49" s="6" t="s">
        <v>189</v>
      </c>
      <c r="U49" s="6" t="s">
        <v>49</v>
      </c>
      <c r="V49" s="6" t="s">
        <v>53</v>
      </c>
      <c r="W49" s="6" t="s">
        <v>1963</v>
      </c>
      <c r="X49" s="18" t="str">
        <f>VLOOKUP(G49,'CBs RAW'!$E$2:$W$427,19)</f>
        <v>#N/A N/A</v>
      </c>
      <c r="Y49" s="2">
        <f t="shared" si="0"/>
        <v>-0.28599999999999998</v>
      </c>
      <c r="Z49" s="2" t="str">
        <f t="shared" si="1"/>
        <v>Berlin Hyp AGAT MATURITYFIXEDEURSecured</v>
      </c>
    </row>
    <row r="50" spans="1:26" x14ac:dyDescent="0.2">
      <c r="A50" s="6">
        <v>49</v>
      </c>
      <c r="B50" s="6" t="s">
        <v>476</v>
      </c>
      <c r="C50" s="6" t="s">
        <v>479</v>
      </c>
      <c r="D50" s="6" t="s">
        <v>391</v>
      </c>
      <c r="E50" s="6" t="str">
        <f>VLOOKUP(G50,'CBs RAW'!$E$2:$H$427,4)</f>
        <v>#N/A N/A</v>
      </c>
      <c r="F50" s="6" t="s">
        <v>45</v>
      </c>
      <c r="G50" s="6" t="s">
        <v>1964</v>
      </c>
      <c r="H50" s="6" t="s">
        <v>1965</v>
      </c>
      <c r="I50" s="6" t="s">
        <v>1966</v>
      </c>
      <c r="J50" s="6" t="s">
        <v>55</v>
      </c>
      <c r="K50" s="6" t="s">
        <v>70</v>
      </c>
      <c r="L50" s="5">
        <v>451416000</v>
      </c>
      <c r="M50" s="6" t="s">
        <v>458</v>
      </c>
      <c r="N50" s="6" t="s">
        <v>173</v>
      </c>
      <c r="O50" s="6" t="s">
        <v>45</v>
      </c>
      <c r="P50" s="17">
        <v>43997</v>
      </c>
      <c r="Q50" s="5">
        <f>VLOOKUP(G50,'CBs RAW'!$E$2:$P$427,12)</f>
        <v>0</v>
      </c>
      <c r="R50" s="17">
        <v>45821</v>
      </c>
      <c r="S50" s="6" t="s">
        <v>225</v>
      </c>
      <c r="T50" s="6" t="s">
        <v>189</v>
      </c>
      <c r="U50" s="6" t="s">
        <v>49</v>
      </c>
      <c r="V50" s="6" t="s">
        <v>53</v>
      </c>
      <c r="W50" s="6" t="s">
        <v>1967</v>
      </c>
      <c r="X50" s="18">
        <f>VLOOKUP(G50,'CBs RAW'!$E$2:$W$427,19)</f>
        <v>-8.3000000000000004E-2</v>
      </c>
      <c r="Y50" s="19">
        <f t="shared" si="0"/>
        <v>-8.3000000000000004E-2</v>
      </c>
      <c r="Z50" s="2" t="str">
        <f t="shared" si="1"/>
        <v>Berlin Hyp AGAT MATURITYFLOATINGEURSecured</v>
      </c>
    </row>
    <row r="51" spans="1:26" x14ac:dyDescent="0.2">
      <c r="A51" s="6">
        <v>50</v>
      </c>
      <c r="B51" s="6" t="s">
        <v>476</v>
      </c>
      <c r="C51" s="6" t="s">
        <v>479</v>
      </c>
      <c r="D51" s="6" t="s">
        <v>57</v>
      </c>
      <c r="E51" s="6" t="str">
        <f>VLOOKUP(G51,'CBs RAW'!$E$2:$H$427,4)</f>
        <v>#N/A N/A</v>
      </c>
      <c r="F51" s="6" t="s">
        <v>45</v>
      </c>
      <c r="G51" s="6" t="s">
        <v>1968</v>
      </c>
      <c r="H51" s="6" t="s">
        <v>1969</v>
      </c>
      <c r="I51" s="6" t="s">
        <v>1970</v>
      </c>
      <c r="J51" s="6" t="s">
        <v>55</v>
      </c>
      <c r="K51" s="6" t="s">
        <v>56</v>
      </c>
      <c r="L51" s="5">
        <v>11438600</v>
      </c>
      <c r="M51" s="6" t="s">
        <v>458</v>
      </c>
      <c r="N51" s="6" t="s">
        <v>1770</v>
      </c>
      <c r="O51" s="6" t="s">
        <v>45</v>
      </c>
      <c r="P51" s="17">
        <v>44032</v>
      </c>
      <c r="Q51" s="5">
        <f>VLOOKUP(G51,'CBs RAW'!$E$2:$P$427,12)</f>
        <v>0.89500000000000002</v>
      </c>
      <c r="R51" s="17">
        <v>54989</v>
      </c>
      <c r="S51" s="6" t="s">
        <v>225</v>
      </c>
      <c r="T51" s="6" t="s">
        <v>189</v>
      </c>
      <c r="U51" s="6" t="s">
        <v>115</v>
      </c>
      <c r="V51" s="6" t="s">
        <v>53</v>
      </c>
      <c r="W51" s="6" t="s">
        <v>1971</v>
      </c>
      <c r="X51" s="18">
        <f>VLOOKUP(G51,'CBs RAW'!$E$2:$W$427,19)</f>
        <v>0.88200000000000001</v>
      </c>
      <c r="Y51" s="19">
        <f t="shared" si="0"/>
        <v>0.88200000000000001</v>
      </c>
      <c r="Z51" s="2" t="str">
        <f t="shared" si="1"/>
        <v>Berlin Hyp AGCALLABLEFIXEDEURSecured</v>
      </c>
    </row>
    <row r="52" spans="1:26" x14ac:dyDescent="0.2">
      <c r="A52" s="6">
        <v>51</v>
      </c>
      <c r="B52" s="6" t="s">
        <v>476</v>
      </c>
      <c r="C52" s="6" t="s">
        <v>479</v>
      </c>
      <c r="D52" s="6" t="s">
        <v>57</v>
      </c>
      <c r="E52" s="6" t="str">
        <f>VLOOKUP(G52,'CBs RAW'!$E$2:$H$427,4)</f>
        <v>#N/A N/A</v>
      </c>
      <c r="F52" s="6" t="s">
        <v>45</v>
      </c>
      <c r="G52" s="6" t="s">
        <v>1972</v>
      </c>
      <c r="H52" s="6" t="s">
        <v>1973</v>
      </c>
      <c r="I52" s="6" t="s">
        <v>1974</v>
      </c>
      <c r="J52" s="6" t="s">
        <v>55</v>
      </c>
      <c r="K52" s="6" t="s">
        <v>56</v>
      </c>
      <c r="L52" s="5">
        <v>7577635</v>
      </c>
      <c r="M52" s="6" t="s">
        <v>482</v>
      </c>
      <c r="N52" s="6" t="s">
        <v>173</v>
      </c>
      <c r="O52" s="6" t="s">
        <v>45</v>
      </c>
      <c r="P52" s="17">
        <v>44133</v>
      </c>
      <c r="Q52" s="5">
        <f>VLOOKUP(G52,'CBs RAW'!$E$2:$P$427,12)</f>
        <v>0.44</v>
      </c>
      <c r="R52" s="17">
        <v>49611</v>
      </c>
      <c r="S52" s="6" t="s">
        <v>225</v>
      </c>
      <c r="T52" s="6" t="s">
        <v>483</v>
      </c>
      <c r="U52" s="6" t="s">
        <v>115</v>
      </c>
      <c r="V52" s="6" t="s">
        <v>53</v>
      </c>
      <c r="W52" s="6" t="s">
        <v>1975</v>
      </c>
      <c r="X52" s="18" t="str">
        <f>VLOOKUP(G52,'CBs RAW'!$E$2:$W$427,19)</f>
        <v>#N/A N/A</v>
      </c>
      <c r="Y52" s="2" t="str">
        <f t="shared" si="0"/>
        <v>#N/A N/A</v>
      </c>
      <c r="Z52" s="2" t="str">
        <f t="shared" si="1"/>
        <v>Berlin Hyp AGCALLABLEFIXEDEURSr Preferred</v>
      </c>
    </row>
    <row r="53" spans="1:26" x14ac:dyDescent="0.2">
      <c r="A53" s="6">
        <v>52</v>
      </c>
      <c r="B53" s="6" t="s">
        <v>476</v>
      </c>
      <c r="C53" s="6" t="s">
        <v>479</v>
      </c>
      <c r="D53" s="6" t="s">
        <v>391</v>
      </c>
      <c r="E53" s="6" t="str">
        <f>VLOOKUP(G53,'CBs RAW'!$E$2:$H$427,4)</f>
        <v>#N/A N/A</v>
      </c>
      <c r="F53" s="6" t="s">
        <v>45</v>
      </c>
      <c r="G53" s="6" t="s">
        <v>1976</v>
      </c>
      <c r="H53" s="6" t="s">
        <v>1977</v>
      </c>
      <c r="I53" s="6" t="s">
        <v>1978</v>
      </c>
      <c r="J53" s="6" t="s">
        <v>55</v>
      </c>
      <c r="K53" s="6" t="s">
        <v>70</v>
      </c>
      <c r="L53" s="5">
        <v>700338400</v>
      </c>
      <c r="M53" s="6" t="s">
        <v>458</v>
      </c>
      <c r="N53" s="6" t="s">
        <v>1770</v>
      </c>
      <c r="O53" s="6" t="s">
        <v>45</v>
      </c>
      <c r="P53" s="17">
        <v>44214</v>
      </c>
      <c r="Q53" s="5">
        <f>VLOOKUP(G53,'CBs RAW'!$E$2:$P$427,12)</f>
        <v>-0.40499999999999997</v>
      </c>
      <c r="R53" s="17">
        <v>46038</v>
      </c>
      <c r="S53" s="6" t="s">
        <v>225</v>
      </c>
      <c r="T53" s="6" t="s">
        <v>189</v>
      </c>
      <c r="U53" s="6" t="s">
        <v>49</v>
      </c>
      <c r="V53" s="6" t="s">
        <v>53</v>
      </c>
      <c r="W53" s="6" t="s">
        <v>1979</v>
      </c>
      <c r="X53" s="18">
        <f>VLOOKUP(G53,'CBs RAW'!$E$2:$W$427,19)</f>
        <v>8.9999999999999993E-3</v>
      </c>
      <c r="Y53" s="19">
        <f t="shared" si="0"/>
        <v>8.9999999999999993E-3</v>
      </c>
      <c r="Z53" s="2" t="str">
        <f t="shared" si="1"/>
        <v>Berlin Hyp AGAT MATURITYFLOATINGEURSecured</v>
      </c>
    </row>
    <row r="54" spans="1:26" x14ac:dyDescent="0.2">
      <c r="A54" s="6">
        <v>53</v>
      </c>
      <c r="B54" s="6" t="s">
        <v>476</v>
      </c>
      <c r="C54" s="6" t="s">
        <v>479</v>
      </c>
      <c r="D54" s="6" t="s">
        <v>57</v>
      </c>
      <c r="E54" s="6" t="str">
        <f>VLOOKUP(G54,'CBs RAW'!$E$2:$H$427,4)</f>
        <v>#N/A N/A</v>
      </c>
      <c r="F54" s="6" t="s">
        <v>45</v>
      </c>
      <c r="G54" s="6" t="s">
        <v>1980</v>
      </c>
      <c r="H54" s="6" t="s">
        <v>1981</v>
      </c>
      <c r="I54" s="6" t="s">
        <v>1982</v>
      </c>
      <c r="J54" s="6" t="s">
        <v>55</v>
      </c>
      <c r="K54" s="6" t="s">
        <v>56</v>
      </c>
      <c r="L54" s="5">
        <v>36320400</v>
      </c>
      <c r="M54" s="6" t="s">
        <v>482</v>
      </c>
      <c r="N54" s="6" t="s">
        <v>1770</v>
      </c>
      <c r="O54" s="6" t="s">
        <v>45</v>
      </c>
      <c r="P54" s="17">
        <v>44216</v>
      </c>
      <c r="Q54" s="5">
        <f>VLOOKUP(G54,'CBs RAW'!$E$2:$P$427,12)</f>
        <v>0.11</v>
      </c>
      <c r="R54" s="17">
        <v>47868</v>
      </c>
      <c r="S54" s="6" t="s">
        <v>225</v>
      </c>
      <c r="T54" s="6" t="s">
        <v>483</v>
      </c>
      <c r="U54" s="6" t="s">
        <v>49</v>
      </c>
      <c r="V54" s="6" t="s">
        <v>53</v>
      </c>
      <c r="W54" s="6" t="s">
        <v>1983</v>
      </c>
      <c r="X54" s="18" t="str">
        <f>VLOOKUP(G54,'CBs RAW'!$E$2:$W$427,19)</f>
        <v>#N/A N/A</v>
      </c>
      <c r="Y54" s="2" t="str">
        <f t="shared" si="0"/>
        <v>#N/A N/A</v>
      </c>
      <c r="Z54" s="2" t="str">
        <f t="shared" si="1"/>
        <v>Berlin Hyp AGAT MATURITYFIXEDEURSr Preferred</v>
      </c>
    </row>
    <row r="55" spans="1:26" x14ac:dyDescent="0.2">
      <c r="A55" s="6">
        <v>54</v>
      </c>
      <c r="B55" s="6" t="s">
        <v>476</v>
      </c>
      <c r="C55" s="6" t="s">
        <v>479</v>
      </c>
      <c r="D55" s="6" t="s">
        <v>57</v>
      </c>
      <c r="E55" s="6" t="str">
        <f>VLOOKUP(G55,'CBs RAW'!$E$2:$H$427,4)</f>
        <v>#N/A N/A</v>
      </c>
      <c r="F55" s="6" t="s">
        <v>45</v>
      </c>
      <c r="G55" s="6" t="s">
        <v>1984</v>
      </c>
      <c r="H55" s="6" t="s">
        <v>1985</v>
      </c>
      <c r="I55" s="6" t="s">
        <v>1986</v>
      </c>
      <c r="J55" s="6" t="s">
        <v>55</v>
      </c>
      <c r="K55" s="6" t="s">
        <v>56</v>
      </c>
      <c r="L55" s="5">
        <v>36446100</v>
      </c>
      <c r="M55" s="6" t="s">
        <v>482</v>
      </c>
      <c r="N55" s="6" t="s">
        <v>1770</v>
      </c>
      <c r="O55" s="6" t="s">
        <v>45</v>
      </c>
      <c r="P55" s="17">
        <v>44217</v>
      </c>
      <c r="Q55" s="5">
        <f>VLOOKUP(G55,'CBs RAW'!$E$2:$P$427,12)</f>
        <v>0.02</v>
      </c>
      <c r="R55" s="17">
        <v>47504</v>
      </c>
      <c r="S55" s="6" t="s">
        <v>225</v>
      </c>
      <c r="T55" s="6" t="s">
        <v>483</v>
      </c>
      <c r="U55" s="6" t="s">
        <v>49</v>
      </c>
      <c r="V55" s="6" t="s">
        <v>53</v>
      </c>
      <c r="W55" s="6" t="s">
        <v>1987</v>
      </c>
      <c r="X55" s="18" t="str">
        <f>VLOOKUP(G55,'CBs RAW'!$E$2:$W$427,19)</f>
        <v>#N/A N/A</v>
      </c>
      <c r="Y55" s="2" t="str">
        <f t="shared" si="0"/>
        <v>#N/A N/A</v>
      </c>
      <c r="Z55" s="2" t="str">
        <f t="shared" si="1"/>
        <v>Berlin Hyp AGAT MATURITYFIXEDEURSr Preferred</v>
      </c>
    </row>
    <row r="56" spans="1:26" x14ac:dyDescent="0.2">
      <c r="A56" s="6">
        <v>55</v>
      </c>
      <c r="B56" s="6" t="s">
        <v>476</v>
      </c>
      <c r="C56" s="6" t="s">
        <v>479</v>
      </c>
      <c r="D56" s="6" t="s">
        <v>57</v>
      </c>
      <c r="E56" s="6" t="str">
        <f>VLOOKUP(G56,'CBs RAW'!$E$2:$H$427,4)</f>
        <v>#N/A N/A</v>
      </c>
      <c r="F56" s="6" t="s">
        <v>45</v>
      </c>
      <c r="G56" s="6" t="s">
        <v>1988</v>
      </c>
      <c r="H56" s="6" t="s">
        <v>1989</v>
      </c>
      <c r="I56" s="6" t="s">
        <v>1990</v>
      </c>
      <c r="J56" s="6" t="s">
        <v>55</v>
      </c>
      <c r="K56" s="6" t="s">
        <v>56</v>
      </c>
      <c r="L56" s="5">
        <v>605895000</v>
      </c>
      <c r="M56" s="6" t="s">
        <v>458</v>
      </c>
      <c r="N56" s="6" t="s">
        <v>1770</v>
      </c>
      <c r="O56" s="6" t="s">
        <v>45</v>
      </c>
      <c r="P56" s="17">
        <v>44223</v>
      </c>
      <c r="Q56" s="5">
        <f>VLOOKUP(G56,'CBs RAW'!$E$2:$P$427,12)</f>
        <v>0.01</v>
      </c>
      <c r="R56" s="17">
        <v>47875</v>
      </c>
      <c r="S56" s="6" t="s">
        <v>225</v>
      </c>
      <c r="T56" s="6" t="s">
        <v>189</v>
      </c>
      <c r="U56" s="6" t="s">
        <v>49</v>
      </c>
      <c r="V56" s="6" t="s">
        <v>53</v>
      </c>
      <c r="W56" s="6" t="s">
        <v>1991</v>
      </c>
      <c r="X56" s="18">
        <f>VLOOKUP(G56,'CBs RAW'!$E$2:$W$427,19)</f>
        <v>-0.22500000000000001</v>
      </c>
      <c r="Y56" s="19">
        <f t="shared" si="0"/>
        <v>-0.22500000000000001</v>
      </c>
      <c r="Z56" s="2" t="str">
        <f t="shared" si="1"/>
        <v>Berlin Hyp AGAT MATURITYFIXEDEURSecured</v>
      </c>
    </row>
    <row r="57" spans="1:26" x14ac:dyDescent="0.2">
      <c r="A57" s="6">
        <v>56</v>
      </c>
      <c r="B57" s="6" t="s">
        <v>476</v>
      </c>
      <c r="C57" s="6" t="s">
        <v>479</v>
      </c>
      <c r="D57" s="6" t="s">
        <v>57</v>
      </c>
      <c r="E57" s="6" t="str">
        <f>VLOOKUP(G57,'CBs RAW'!$E$2:$H$427,4)</f>
        <v>#N/A N/A</v>
      </c>
      <c r="F57" s="6" t="s">
        <v>45</v>
      </c>
      <c r="G57" s="6" t="s">
        <v>1992</v>
      </c>
      <c r="H57" s="6" t="s">
        <v>1993</v>
      </c>
      <c r="I57" s="6" t="s">
        <v>1994</v>
      </c>
      <c r="J57" s="6" t="s">
        <v>55</v>
      </c>
      <c r="K57" s="6" t="s">
        <v>56</v>
      </c>
      <c r="L57" s="5">
        <v>78813150</v>
      </c>
      <c r="M57" s="6" t="s">
        <v>482</v>
      </c>
      <c r="N57" s="6" t="s">
        <v>1770</v>
      </c>
      <c r="O57" s="6" t="s">
        <v>45</v>
      </c>
      <c r="P57" s="17">
        <v>44224</v>
      </c>
      <c r="Q57" s="5">
        <f>VLOOKUP(G57,'CBs RAW'!$E$2:$P$427,12)</f>
        <v>0.01</v>
      </c>
      <c r="R57" s="17">
        <v>45317</v>
      </c>
      <c r="S57" s="6" t="s">
        <v>225</v>
      </c>
      <c r="T57" s="6" t="s">
        <v>483</v>
      </c>
      <c r="U57" s="6" t="s">
        <v>49</v>
      </c>
      <c r="V57" s="6" t="s">
        <v>53</v>
      </c>
      <c r="W57" s="6" t="s">
        <v>1995</v>
      </c>
      <c r="X57" s="18">
        <f>VLOOKUP(G57,'CBs RAW'!$E$2:$W$427,19)</f>
        <v>-0.53500000000000003</v>
      </c>
      <c r="Y57" s="19">
        <f t="shared" si="0"/>
        <v>-0.53500000000000003</v>
      </c>
      <c r="Z57" s="2" t="str">
        <f t="shared" si="1"/>
        <v>Berlin Hyp AGAT MATURITYFIXEDEURSr Preferred</v>
      </c>
    </row>
    <row r="58" spans="1:26" x14ac:dyDescent="0.2">
      <c r="A58" s="6">
        <v>57</v>
      </c>
      <c r="B58" s="6" t="s">
        <v>476</v>
      </c>
      <c r="C58" s="6" t="s">
        <v>479</v>
      </c>
      <c r="D58" s="6" t="s">
        <v>57</v>
      </c>
      <c r="E58" s="6" t="str">
        <f>VLOOKUP(G58,'CBs RAW'!$E$2:$H$427,4)</f>
        <v>#N/A N/A</v>
      </c>
      <c r="F58" s="6" t="s">
        <v>45</v>
      </c>
      <c r="G58" s="6" t="s">
        <v>1996</v>
      </c>
      <c r="H58" s="6" t="s">
        <v>1997</v>
      </c>
      <c r="I58" s="6" t="s">
        <v>1998</v>
      </c>
      <c r="J58" s="6" t="s">
        <v>55</v>
      </c>
      <c r="K58" s="6" t="s">
        <v>56</v>
      </c>
      <c r="L58" s="5">
        <v>60691500</v>
      </c>
      <c r="M58" s="6" t="s">
        <v>482</v>
      </c>
      <c r="N58" s="6" t="s">
        <v>173</v>
      </c>
      <c r="O58" s="6" t="s">
        <v>45</v>
      </c>
      <c r="P58" s="17">
        <v>44237</v>
      </c>
      <c r="Q58" s="5">
        <f>VLOOKUP(G58,'CBs RAW'!$E$2:$P$427,12)</f>
        <v>0.01</v>
      </c>
      <c r="R58" s="17">
        <v>45334</v>
      </c>
      <c r="S58" s="6" t="s">
        <v>225</v>
      </c>
      <c r="T58" s="6" t="s">
        <v>483</v>
      </c>
      <c r="U58" s="6" t="s">
        <v>49</v>
      </c>
      <c r="V58" s="6" t="s">
        <v>53</v>
      </c>
      <c r="W58" s="6" t="s">
        <v>1999</v>
      </c>
      <c r="X58" s="18" t="str">
        <f>VLOOKUP(G58,'CBs RAW'!$E$2:$W$427,19)</f>
        <v>#N/A N/A</v>
      </c>
      <c r="Y58" s="2" t="str">
        <f t="shared" si="0"/>
        <v>#N/A N/A</v>
      </c>
      <c r="Z58" s="2" t="str">
        <f t="shared" si="1"/>
        <v>Berlin Hyp AGAT MATURITYFIXEDEURSr Preferred</v>
      </c>
    </row>
    <row r="59" spans="1:26" x14ac:dyDescent="0.2">
      <c r="A59" s="6">
        <v>58</v>
      </c>
      <c r="B59" s="6" t="s">
        <v>476</v>
      </c>
      <c r="C59" s="6" t="s">
        <v>479</v>
      </c>
      <c r="D59" s="6" t="s">
        <v>57</v>
      </c>
      <c r="E59" s="6" t="str">
        <f>VLOOKUP(G59,'CBs RAW'!$E$2:$H$427,4)</f>
        <v>#N/A N/A</v>
      </c>
      <c r="F59" s="6" t="s">
        <v>45</v>
      </c>
      <c r="G59" s="6" t="s">
        <v>2000</v>
      </c>
      <c r="H59" s="6" t="s">
        <v>2001</v>
      </c>
      <c r="I59" s="6" t="s">
        <v>2002</v>
      </c>
      <c r="J59" s="6" t="s">
        <v>55</v>
      </c>
      <c r="K59" s="6" t="s">
        <v>56</v>
      </c>
      <c r="L59" s="5">
        <v>305312500</v>
      </c>
      <c r="M59" s="6" t="s">
        <v>458</v>
      </c>
      <c r="N59" s="6" t="s">
        <v>1770</v>
      </c>
      <c r="O59" s="6" t="s">
        <v>45</v>
      </c>
      <c r="P59" s="17">
        <v>44252</v>
      </c>
      <c r="Q59" s="5">
        <f>VLOOKUP(G59,'CBs RAW'!$E$2:$P$427,12)</f>
        <v>0.01</v>
      </c>
      <c r="R59" s="17">
        <v>48180</v>
      </c>
      <c r="S59" s="6" t="s">
        <v>225</v>
      </c>
      <c r="T59" s="6" t="s">
        <v>189</v>
      </c>
      <c r="U59" s="6" t="s">
        <v>49</v>
      </c>
      <c r="V59" s="6" t="s">
        <v>53</v>
      </c>
      <c r="W59" s="6" t="s">
        <v>2003</v>
      </c>
      <c r="X59" s="18" t="str">
        <f>VLOOKUP(G59,'CBs RAW'!$E$2:$W$427,19)</f>
        <v>#N/A N/A</v>
      </c>
      <c r="Y59" s="2" t="str">
        <f t="shared" si="0"/>
        <v>#N/A N/A</v>
      </c>
      <c r="Z59" s="2" t="str">
        <f t="shared" si="1"/>
        <v>Berlin Hyp AGAT MATURITYFIXEDEURSecured</v>
      </c>
    </row>
    <row r="60" spans="1:26" x14ac:dyDescent="0.2">
      <c r="A60" s="6">
        <v>59</v>
      </c>
      <c r="B60" s="6" t="s">
        <v>476</v>
      </c>
      <c r="C60" s="6" t="s">
        <v>479</v>
      </c>
      <c r="D60" s="6" t="s">
        <v>57</v>
      </c>
      <c r="E60" s="6">
        <f>VLOOKUP(G60,'CBs RAW'!$E$2:$H$427,4)</f>
        <v>-0.35</v>
      </c>
      <c r="F60" s="6" t="s">
        <v>45</v>
      </c>
      <c r="G60" s="6" t="s">
        <v>2004</v>
      </c>
      <c r="H60" s="6" t="s">
        <v>2005</v>
      </c>
      <c r="I60" s="6" t="s">
        <v>2006</v>
      </c>
      <c r="J60" s="6" t="s">
        <v>55</v>
      </c>
      <c r="K60" s="6" t="s">
        <v>56</v>
      </c>
      <c r="L60" s="5">
        <v>12070300</v>
      </c>
      <c r="M60" s="6" t="s">
        <v>482</v>
      </c>
      <c r="N60" s="6" t="s">
        <v>173</v>
      </c>
      <c r="O60" s="6" t="s">
        <v>45</v>
      </c>
      <c r="P60" s="17">
        <v>44258</v>
      </c>
      <c r="Q60" s="5">
        <f>VLOOKUP(G60,'CBs RAW'!$E$2:$P$427,12)</f>
        <v>0.01</v>
      </c>
      <c r="R60" s="17">
        <v>45379</v>
      </c>
      <c r="S60" s="6" t="s">
        <v>225</v>
      </c>
      <c r="T60" s="6" t="s">
        <v>483</v>
      </c>
      <c r="U60" s="6" t="s">
        <v>49</v>
      </c>
      <c r="V60" s="6" t="s">
        <v>53</v>
      </c>
      <c r="W60" s="6" t="s">
        <v>2007</v>
      </c>
      <c r="X60" s="18" t="str">
        <f>VLOOKUP(G60,'CBs RAW'!$E$2:$W$427,19)</f>
        <v>#N/A N/A</v>
      </c>
      <c r="Y60" s="2">
        <f t="shared" si="0"/>
        <v>-0.35</v>
      </c>
      <c r="Z60" s="2" t="str">
        <f t="shared" si="1"/>
        <v>Berlin Hyp AGAT MATURITYFIXEDEURSr Preferred</v>
      </c>
    </row>
    <row r="61" spans="1:26" x14ac:dyDescent="0.2">
      <c r="A61" s="6">
        <v>60</v>
      </c>
      <c r="B61" s="6" t="s">
        <v>476</v>
      </c>
      <c r="C61" s="6" t="s">
        <v>479</v>
      </c>
      <c r="D61" s="6" t="s">
        <v>57</v>
      </c>
      <c r="E61" s="6">
        <f>VLOOKUP(G61,'CBs RAW'!$E$2:$H$427,4)</f>
        <v>0.158</v>
      </c>
      <c r="F61" s="6" t="s">
        <v>45</v>
      </c>
      <c r="G61" s="6" t="s">
        <v>2008</v>
      </c>
      <c r="H61" s="6" t="s">
        <v>2009</v>
      </c>
      <c r="I61" s="6" t="s">
        <v>2010</v>
      </c>
      <c r="J61" s="6" t="s">
        <v>55</v>
      </c>
      <c r="K61" s="6" t="s">
        <v>56</v>
      </c>
      <c r="L61" s="5">
        <v>89955000</v>
      </c>
      <c r="M61" s="6" t="s">
        <v>2011</v>
      </c>
      <c r="N61" s="6" t="s">
        <v>2012</v>
      </c>
      <c r="O61" s="6" t="s">
        <v>45</v>
      </c>
      <c r="P61" s="17">
        <v>44259</v>
      </c>
      <c r="Q61" s="5">
        <f>VLOOKUP(G61,'CBs RAW'!$E$2:$P$427,12)</f>
        <v>0.5</v>
      </c>
      <c r="R61" s="17">
        <v>47546</v>
      </c>
      <c r="S61" s="6" t="s">
        <v>225</v>
      </c>
      <c r="T61" s="6" t="s">
        <v>483</v>
      </c>
      <c r="U61" s="6" t="s">
        <v>49</v>
      </c>
      <c r="V61" s="6" t="s">
        <v>53</v>
      </c>
      <c r="W61" s="6" t="s">
        <v>2013</v>
      </c>
      <c r="X61" s="18">
        <f>VLOOKUP(G61,'CBs RAW'!$E$2:$W$427,19)</f>
        <v>2.4E-2</v>
      </c>
      <c r="Y61" s="19">
        <f t="shared" si="0"/>
        <v>2.4E-2</v>
      </c>
      <c r="Z61" s="2" t="str">
        <f t="shared" si="1"/>
        <v>Berlin Hyp AGAT MATURITYFIXEDEURSr Non Preferred</v>
      </c>
    </row>
    <row r="62" spans="1:26" x14ac:dyDescent="0.2">
      <c r="A62" s="6">
        <v>61</v>
      </c>
      <c r="B62" s="6" t="s">
        <v>476</v>
      </c>
      <c r="C62" s="6" t="s">
        <v>479</v>
      </c>
      <c r="D62" s="6" t="s">
        <v>57</v>
      </c>
      <c r="E62" s="6" t="str">
        <f>VLOOKUP(G62,'CBs RAW'!$E$2:$H$427,4)</f>
        <v>#N/A N/A</v>
      </c>
      <c r="F62" s="6" t="s">
        <v>45</v>
      </c>
      <c r="G62" s="6" t="s">
        <v>2014</v>
      </c>
      <c r="H62" s="6" t="s">
        <v>2015</v>
      </c>
      <c r="I62" s="6" t="s">
        <v>2016</v>
      </c>
      <c r="J62" s="6" t="s">
        <v>55</v>
      </c>
      <c r="K62" s="6" t="s">
        <v>56</v>
      </c>
      <c r="L62" s="5">
        <v>11948000</v>
      </c>
      <c r="M62" s="6" t="s">
        <v>482</v>
      </c>
      <c r="N62" s="6" t="s">
        <v>1770</v>
      </c>
      <c r="O62" s="6" t="s">
        <v>45</v>
      </c>
      <c r="P62" s="17">
        <v>44267</v>
      </c>
      <c r="Q62" s="5">
        <f>VLOOKUP(G62,'CBs RAW'!$E$2:$P$427,12)</f>
        <v>0.01</v>
      </c>
      <c r="R62" s="17">
        <v>47189</v>
      </c>
      <c r="S62" s="6" t="s">
        <v>225</v>
      </c>
      <c r="T62" s="6" t="s">
        <v>483</v>
      </c>
      <c r="U62" s="6" t="s">
        <v>49</v>
      </c>
      <c r="V62" s="6" t="s">
        <v>53</v>
      </c>
      <c r="W62" s="6" t="s">
        <v>2017</v>
      </c>
      <c r="X62" s="18" t="str">
        <f>VLOOKUP(G62,'CBs RAW'!$E$2:$W$427,19)</f>
        <v>#N/A N/A</v>
      </c>
      <c r="Y62" s="2" t="str">
        <f t="shared" si="0"/>
        <v>#N/A N/A</v>
      </c>
      <c r="Z62" s="2" t="str">
        <f t="shared" si="1"/>
        <v>Berlin Hyp AGAT MATURITYFIXEDEURSr Preferred</v>
      </c>
    </row>
    <row r="63" spans="1:26" x14ac:dyDescent="0.2">
      <c r="A63" s="6">
        <v>62</v>
      </c>
      <c r="B63" s="6" t="s">
        <v>476</v>
      </c>
      <c r="C63" s="6" t="s">
        <v>479</v>
      </c>
      <c r="D63" s="6" t="s">
        <v>57</v>
      </c>
      <c r="E63" s="6" t="str">
        <f>VLOOKUP(G63,'CBs RAW'!$E$2:$H$427,4)</f>
        <v>#N/A N/A</v>
      </c>
      <c r="F63" s="6" t="s">
        <v>45</v>
      </c>
      <c r="G63" s="6" t="s">
        <v>2018</v>
      </c>
      <c r="H63" s="6" t="s">
        <v>2019</v>
      </c>
      <c r="I63" s="6" t="s">
        <v>2020</v>
      </c>
      <c r="J63" s="6" t="s">
        <v>55</v>
      </c>
      <c r="K63" s="6" t="s">
        <v>56</v>
      </c>
      <c r="L63" s="5">
        <v>11929300</v>
      </c>
      <c r="M63" s="6" t="s">
        <v>482</v>
      </c>
      <c r="N63" s="6" t="s">
        <v>1770</v>
      </c>
      <c r="O63" s="6" t="s">
        <v>45</v>
      </c>
      <c r="P63" s="17">
        <v>44273</v>
      </c>
      <c r="Q63" s="5">
        <f>VLOOKUP(G63,'CBs RAW'!$E$2:$P$427,12)</f>
        <v>0.11799999999999999</v>
      </c>
      <c r="R63" s="17">
        <v>47560</v>
      </c>
      <c r="S63" s="6" t="s">
        <v>225</v>
      </c>
      <c r="T63" s="6" t="s">
        <v>483</v>
      </c>
      <c r="U63" s="6" t="s">
        <v>49</v>
      </c>
      <c r="V63" s="6" t="s">
        <v>53</v>
      </c>
      <c r="W63" s="6" t="s">
        <v>2021</v>
      </c>
      <c r="X63" s="18" t="str">
        <f>VLOOKUP(G63,'CBs RAW'!$E$2:$W$427,19)</f>
        <v>#N/A N/A</v>
      </c>
      <c r="Y63" s="2" t="str">
        <f t="shared" si="0"/>
        <v>#N/A N/A</v>
      </c>
      <c r="Z63" s="2" t="str">
        <f t="shared" si="1"/>
        <v>Berlin Hyp AGAT MATURITYFIXEDEURSr Preferred</v>
      </c>
    </row>
    <row r="64" spans="1:26" x14ac:dyDescent="0.2">
      <c r="A64" s="6">
        <v>63</v>
      </c>
      <c r="B64" s="6" t="s">
        <v>476</v>
      </c>
      <c r="C64" s="6" t="s">
        <v>479</v>
      </c>
      <c r="D64" s="6" t="s">
        <v>391</v>
      </c>
      <c r="E64" s="6" t="str">
        <f>VLOOKUP(G64,'CBs RAW'!$E$2:$H$427,4)</f>
        <v>#N/A N/A</v>
      </c>
      <c r="F64" s="6" t="s">
        <v>45</v>
      </c>
      <c r="G64" s="6" t="s">
        <v>2022</v>
      </c>
      <c r="H64" s="6" t="s">
        <v>2023</v>
      </c>
      <c r="I64" s="6" t="s">
        <v>2024</v>
      </c>
      <c r="J64" s="6" t="s">
        <v>55</v>
      </c>
      <c r="K64" s="6" t="s">
        <v>70</v>
      </c>
      <c r="L64" s="5">
        <v>686171700</v>
      </c>
      <c r="M64" s="6" t="s">
        <v>458</v>
      </c>
      <c r="N64" s="6" t="s">
        <v>1770</v>
      </c>
      <c r="O64" s="6" t="s">
        <v>45</v>
      </c>
      <c r="P64" s="17">
        <v>44305</v>
      </c>
      <c r="Q64" s="5">
        <f>VLOOKUP(G64,'CBs RAW'!$E$2:$P$427,12)</f>
        <v>0</v>
      </c>
      <c r="R64" s="17">
        <v>46129</v>
      </c>
      <c r="S64" s="6" t="s">
        <v>225</v>
      </c>
      <c r="T64" s="6" t="s">
        <v>189</v>
      </c>
      <c r="U64" s="6" t="s">
        <v>49</v>
      </c>
      <c r="V64" s="6" t="s">
        <v>53</v>
      </c>
      <c r="W64" s="6" t="s">
        <v>2025</v>
      </c>
      <c r="X64" s="18">
        <f>VLOOKUP(G64,'CBs RAW'!$E$2:$W$427,19)</f>
        <v>-5.3999999999999999E-2</v>
      </c>
      <c r="Y64" s="19">
        <f t="shared" si="0"/>
        <v>-5.3999999999999999E-2</v>
      </c>
      <c r="Z64" s="2" t="str">
        <f t="shared" si="1"/>
        <v>Berlin Hyp AGAT MATURITYFLOATINGEURSecured</v>
      </c>
    </row>
    <row r="65" spans="1:26" x14ac:dyDescent="0.2">
      <c r="A65" s="6">
        <v>64</v>
      </c>
      <c r="B65" s="6" t="s">
        <v>476</v>
      </c>
      <c r="C65" s="6" t="s">
        <v>479</v>
      </c>
      <c r="D65" s="6" t="s">
        <v>57</v>
      </c>
      <c r="E65" s="6" t="str">
        <f>VLOOKUP(G65,'CBs RAW'!$E$2:$H$427,4)</f>
        <v>#N/A N/A</v>
      </c>
      <c r="F65" s="6" t="s">
        <v>45</v>
      </c>
      <c r="G65" s="6" t="s">
        <v>2026</v>
      </c>
      <c r="H65" s="6" t="s">
        <v>2027</v>
      </c>
      <c r="I65" s="6" t="s">
        <v>2028</v>
      </c>
      <c r="J65" s="6" t="s">
        <v>55</v>
      </c>
      <c r="K65" s="6" t="s">
        <v>56</v>
      </c>
      <c r="L65" s="5">
        <v>915810000</v>
      </c>
      <c r="M65" s="6" t="s">
        <v>458</v>
      </c>
      <c r="N65" s="6" t="s">
        <v>1770</v>
      </c>
      <c r="O65" s="6" t="s">
        <v>45</v>
      </c>
      <c r="P65" s="17">
        <v>44335</v>
      </c>
      <c r="Q65" s="5">
        <f>VLOOKUP(G65,'CBs RAW'!$E$2:$P$427,12)</f>
        <v>0.25</v>
      </c>
      <c r="R65" s="17">
        <v>48718</v>
      </c>
      <c r="S65" s="6" t="s">
        <v>225</v>
      </c>
      <c r="T65" s="6" t="s">
        <v>189</v>
      </c>
      <c r="U65" s="6" t="s">
        <v>49</v>
      </c>
      <c r="V65" s="6" t="s">
        <v>53</v>
      </c>
      <c r="W65" s="6" t="s">
        <v>2029</v>
      </c>
      <c r="X65" s="18">
        <f>VLOOKUP(G65,'CBs RAW'!$E$2:$W$427,19)</f>
        <v>0.27500000000000002</v>
      </c>
      <c r="Y65" s="19">
        <f t="shared" si="0"/>
        <v>0.27500000000000002</v>
      </c>
      <c r="Z65" s="2" t="str">
        <f t="shared" si="1"/>
        <v>Berlin Hyp AGAT MATURITYFIXEDEURSecured</v>
      </c>
    </row>
    <row r="66" spans="1:26" x14ac:dyDescent="0.2">
      <c r="A66" s="6">
        <v>65</v>
      </c>
      <c r="B66" s="6" t="s">
        <v>476</v>
      </c>
      <c r="C66" s="6" t="s">
        <v>479</v>
      </c>
      <c r="D66" s="6" t="s">
        <v>57</v>
      </c>
      <c r="E66" s="6" t="str">
        <f>VLOOKUP(G66,'CBs RAW'!$E$2:$H$427,4)</f>
        <v>#N/A N/A</v>
      </c>
      <c r="F66" s="6" t="s">
        <v>45</v>
      </c>
      <c r="G66" s="6" t="s">
        <v>2030</v>
      </c>
      <c r="H66" s="6" t="s">
        <v>2031</v>
      </c>
      <c r="I66" s="6" t="s">
        <v>2032</v>
      </c>
      <c r="J66" s="6" t="s">
        <v>55</v>
      </c>
      <c r="K66" s="6" t="s">
        <v>56</v>
      </c>
      <c r="L66" s="5">
        <v>118962000</v>
      </c>
      <c r="M66" s="6" t="s">
        <v>2011</v>
      </c>
      <c r="N66" s="6" t="s">
        <v>2012</v>
      </c>
      <c r="O66" s="6" t="s">
        <v>45</v>
      </c>
      <c r="P66" s="17">
        <v>44376</v>
      </c>
      <c r="Q66" s="5">
        <f>VLOOKUP(G66,'CBs RAW'!$E$2:$P$427,12)</f>
        <v>0.625</v>
      </c>
      <c r="R66" s="17">
        <v>48029</v>
      </c>
      <c r="S66" s="6" t="s">
        <v>225</v>
      </c>
      <c r="T66" s="6" t="s">
        <v>117</v>
      </c>
      <c r="U66" s="6" t="s">
        <v>49</v>
      </c>
      <c r="V66" s="6" t="s">
        <v>53</v>
      </c>
      <c r="W66" s="6" t="s">
        <v>2033</v>
      </c>
      <c r="X66" s="18">
        <f>VLOOKUP(G66,'CBs RAW'!$E$2:$W$427,19)</f>
        <v>0.60699999999999998</v>
      </c>
      <c r="Y66" s="19">
        <f t="shared" si="0"/>
        <v>0.60699999999999998</v>
      </c>
      <c r="Z66" s="2" t="str">
        <f t="shared" si="1"/>
        <v>Berlin Hyp AGAT MATURITYFIXEDEURSr Non Preferred</v>
      </c>
    </row>
    <row r="67" spans="1:26" x14ac:dyDescent="0.2">
      <c r="A67" s="6">
        <v>66</v>
      </c>
      <c r="B67" s="6" t="s">
        <v>476</v>
      </c>
      <c r="C67" s="6" t="s">
        <v>479</v>
      </c>
      <c r="D67" s="6" t="s">
        <v>57</v>
      </c>
      <c r="E67" s="6" t="str">
        <f>VLOOKUP(G67,'CBs RAW'!$E$2:$H$427,4)</f>
        <v>#N/A N/A</v>
      </c>
      <c r="F67" s="6" t="s">
        <v>45</v>
      </c>
      <c r="G67" s="6" t="s">
        <v>2034</v>
      </c>
      <c r="H67" s="6" t="s">
        <v>2035</v>
      </c>
      <c r="I67" s="6" t="s">
        <v>2036</v>
      </c>
      <c r="J67" s="6" t="s">
        <v>55</v>
      </c>
      <c r="K67" s="6" t="s">
        <v>56</v>
      </c>
      <c r="L67" s="5">
        <v>11762800</v>
      </c>
      <c r="M67" s="6" t="s">
        <v>482</v>
      </c>
      <c r="N67" s="6" t="s">
        <v>173</v>
      </c>
      <c r="O67" s="6" t="s">
        <v>45</v>
      </c>
      <c r="P67" s="17">
        <v>44399</v>
      </c>
      <c r="Q67" s="5">
        <f>VLOOKUP(G67,'CBs RAW'!$E$2:$P$427,12)</f>
        <v>0.03</v>
      </c>
      <c r="R67" s="17">
        <v>47686</v>
      </c>
      <c r="S67" s="6" t="s">
        <v>225</v>
      </c>
      <c r="T67" s="6" t="s">
        <v>483</v>
      </c>
      <c r="U67" s="6" t="s">
        <v>49</v>
      </c>
      <c r="V67" s="6" t="s">
        <v>53</v>
      </c>
      <c r="W67" s="6" t="s">
        <v>2037</v>
      </c>
      <c r="X67" s="18" t="str">
        <f>VLOOKUP(G67,'CBs RAW'!$E$2:$W$427,19)</f>
        <v>#N/A N/A</v>
      </c>
      <c r="Y67" s="2" t="str">
        <f t="shared" si="0"/>
        <v>#N/A N/A</v>
      </c>
      <c r="Z67" s="2" t="str">
        <f t="shared" si="1"/>
        <v>Berlin Hyp AGAT MATURITYFIXEDEURSr Preferred</v>
      </c>
    </row>
    <row r="68" spans="1:26" x14ac:dyDescent="0.2">
      <c r="A68" s="6">
        <v>67</v>
      </c>
      <c r="B68" s="6" t="s">
        <v>476</v>
      </c>
      <c r="C68" s="6" t="s">
        <v>479</v>
      </c>
      <c r="D68" s="6" t="s">
        <v>57</v>
      </c>
      <c r="E68" s="6">
        <f>VLOOKUP(G68,'CBs RAW'!$E$2:$H$427,4)</f>
        <v>-0.39999999999999997</v>
      </c>
      <c r="F68" s="6" t="s">
        <v>45</v>
      </c>
      <c r="G68" s="6" t="s">
        <v>2038</v>
      </c>
      <c r="H68" s="6" t="s">
        <v>2039</v>
      </c>
      <c r="I68" s="6" t="s">
        <v>2040</v>
      </c>
      <c r="J68" s="6" t="s">
        <v>55</v>
      </c>
      <c r="K68" s="6" t="s">
        <v>56</v>
      </c>
      <c r="L68" s="5">
        <v>881062500</v>
      </c>
      <c r="M68" s="6" t="s">
        <v>458</v>
      </c>
      <c r="N68" s="6" t="s">
        <v>1770</v>
      </c>
      <c r="O68" s="6" t="s">
        <v>45</v>
      </c>
      <c r="P68" s="17">
        <v>44432</v>
      </c>
      <c r="Q68" s="5">
        <f>VLOOKUP(G68,'CBs RAW'!$E$2:$P$427,12)</f>
        <v>0.01</v>
      </c>
      <c r="R68" s="17">
        <v>46258</v>
      </c>
      <c r="S68" s="6" t="s">
        <v>225</v>
      </c>
      <c r="T68" s="6" t="s">
        <v>189</v>
      </c>
      <c r="U68" s="6" t="s">
        <v>49</v>
      </c>
      <c r="V68" s="6" t="s">
        <v>53</v>
      </c>
      <c r="W68" s="6" t="s">
        <v>2041</v>
      </c>
      <c r="X68" s="18">
        <f>VLOOKUP(G68,'CBs RAW'!$E$2:$W$427,19)</f>
        <v>-0.42299999999999999</v>
      </c>
      <c r="Y68" s="19">
        <f t="shared" si="0"/>
        <v>-0.42299999999999999</v>
      </c>
      <c r="Z68" s="2" t="str">
        <f t="shared" si="1"/>
        <v>Berlin Hyp AGAT MATURITYFIXEDEURSecured</v>
      </c>
    </row>
    <row r="69" spans="1:26" x14ac:dyDescent="0.2">
      <c r="A69" s="6">
        <v>68</v>
      </c>
      <c r="B69" s="6" t="s">
        <v>476</v>
      </c>
      <c r="C69" s="6" t="s">
        <v>479</v>
      </c>
      <c r="D69" s="6" t="s">
        <v>57</v>
      </c>
      <c r="E69" s="6" t="str">
        <f>VLOOKUP(G69,'CBs RAW'!$E$2:$H$427,4)</f>
        <v>#N/A N/A</v>
      </c>
      <c r="F69" s="6" t="s">
        <v>45</v>
      </c>
      <c r="G69" s="6" t="s">
        <v>2042</v>
      </c>
      <c r="H69" s="6" t="s">
        <v>2043</v>
      </c>
      <c r="I69" s="6" t="s">
        <v>2044</v>
      </c>
      <c r="J69" s="6" t="s">
        <v>55</v>
      </c>
      <c r="K69" s="6" t="s">
        <v>56</v>
      </c>
      <c r="L69" s="5">
        <v>11601400</v>
      </c>
      <c r="M69" s="6" t="s">
        <v>52</v>
      </c>
      <c r="N69" s="6" t="s">
        <v>1770</v>
      </c>
      <c r="O69" s="6" t="s">
        <v>45</v>
      </c>
      <c r="P69" s="17">
        <v>44468</v>
      </c>
      <c r="Q69" s="5">
        <f>VLOOKUP(G69,'CBs RAW'!$E$2:$P$427,12)</f>
        <v>0.375</v>
      </c>
      <c r="R69" s="17">
        <v>48120</v>
      </c>
      <c r="S69" s="6" t="s">
        <v>225</v>
      </c>
      <c r="T69" s="6" t="s">
        <v>483</v>
      </c>
      <c r="U69" s="6" t="s">
        <v>115</v>
      </c>
      <c r="V69" s="6" t="s">
        <v>53</v>
      </c>
      <c r="W69" s="6" t="s">
        <v>2045</v>
      </c>
      <c r="X69" s="18" t="str">
        <f>VLOOKUP(G69,'CBs RAW'!$E$2:$W$427,19)</f>
        <v>#N/A N/A</v>
      </c>
      <c r="Y69" s="2" t="str">
        <f t="shared" si="0"/>
        <v>#N/A N/A</v>
      </c>
      <c r="Z69" s="2" t="str">
        <f t="shared" si="1"/>
        <v>Berlin Hyp AGCALLABLEFIXEDEURSr Unsecured</v>
      </c>
    </row>
    <row r="70" spans="1:26" x14ac:dyDescent="0.2">
      <c r="A70" s="6">
        <v>69</v>
      </c>
      <c r="B70" s="6" t="s">
        <v>476</v>
      </c>
      <c r="C70" s="6" t="s">
        <v>479</v>
      </c>
      <c r="D70" s="6" t="s">
        <v>57</v>
      </c>
      <c r="E70" s="6" t="str">
        <f>VLOOKUP(G70,'CBs RAW'!$E$2:$H$427,4)</f>
        <v>#N/A N/A</v>
      </c>
      <c r="F70" s="6" t="s">
        <v>45</v>
      </c>
      <c r="G70" s="6" t="s">
        <v>2046</v>
      </c>
      <c r="H70" s="6" t="s">
        <v>2047</v>
      </c>
      <c r="I70" s="6" t="s">
        <v>2048</v>
      </c>
      <c r="J70" s="6" t="s">
        <v>55</v>
      </c>
      <c r="K70" s="6" t="s">
        <v>56</v>
      </c>
      <c r="L70" s="5">
        <v>9244480</v>
      </c>
      <c r="M70" s="6" t="s">
        <v>482</v>
      </c>
      <c r="N70" s="6" t="s">
        <v>173</v>
      </c>
      <c r="O70" s="6" t="s">
        <v>45</v>
      </c>
      <c r="P70" s="17">
        <v>44476</v>
      </c>
      <c r="Q70" s="5">
        <f>VLOOKUP(G70,'CBs RAW'!$E$2:$P$427,12)</f>
        <v>0.4</v>
      </c>
      <c r="R70" s="17">
        <v>48128</v>
      </c>
      <c r="S70" s="6" t="s">
        <v>225</v>
      </c>
      <c r="T70" s="6" t="s">
        <v>483</v>
      </c>
      <c r="U70" s="6" t="s">
        <v>115</v>
      </c>
      <c r="V70" s="6" t="s">
        <v>53</v>
      </c>
      <c r="W70" s="6" t="s">
        <v>2049</v>
      </c>
      <c r="X70" s="18" t="str">
        <f>VLOOKUP(G70,'CBs RAW'!$E$2:$W$427,19)</f>
        <v>#N/A N/A</v>
      </c>
      <c r="Y70" s="2" t="str">
        <f t="shared" si="0"/>
        <v>#N/A N/A</v>
      </c>
      <c r="Z70" s="2" t="str">
        <f t="shared" si="1"/>
        <v>Berlin Hyp AGCALLABLEFIXEDEURSr Preferred</v>
      </c>
    </row>
    <row r="71" spans="1:26" x14ac:dyDescent="0.2">
      <c r="A71" s="6">
        <v>70</v>
      </c>
      <c r="B71" s="6" t="s">
        <v>476</v>
      </c>
      <c r="C71" s="6" t="s">
        <v>479</v>
      </c>
      <c r="D71" s="6" t="s">
        <v>57</v>
      </c>
      <c r="E71" s="6" t="str">
        <f>VLOOKUP(G71,'CBs RAW'!$E$2:$H$427,4)</f>
        <v>#N/A N/A</v>
      </c>
      <c r="F71" s="6" t="s">
        <v>45</v>
      </c>
      <c r="G71" s="6" t="s">
        <v>2050</v>
      </c>
      <c r="H71" s="6" t="s">
        <v>2051</v>
      </c>
      <c r="I71" s="6" t="s">
        <v>2052</v>
      </c>
      <c r="J71" s="6" t="s">
        <v>55</v>
      </c>
      <c r="K71" s="6" t="s">
        <v>56</v>
      </c>
      <c r="L71" s="5">
        <v>23111200</v>
      </c>
      <c r="M71" s="6" t="s">
        <v>482</v>
      </c>
      <c r="N71" s="6" t="s">
        <v>173</v>
      </c>
      <c r="O71" s="6" t="s">
        <v>45</v>
      </c>
      <c r="P71" s="17">
        <v>44476</v>
      </c>
      <c r="Q71" s="5">
        <f>VLOOKUP(G71,'CBs RAW'!$E$2:$P$427,12)</f>
        <v>0.46</v>
      </c>
      <c r="R71" s="17">
        <v>48128</v>
      </c>
      <c r="S71" s="6" t="s">
        <v>225</v>
      </c>
      <c r="T71" s="6" t="s">
        <v>483</v>
      </c>
      <c r="U71" s="6" t="s">
        <v>115</v>
      </c>
      <c r="V71" s="6" t="s">
        <v>53</v>
      </c>
      <c r="W71" s="6" t="s">
        <v>2053</v>
      </c>
      <c r="X71" s="18" t="str">
        <f>VLOOKUP(G71,'CBs RAW'!$E$2:$W$427,19)</f>
        <v>#N/A N/A</v>
      </c>
      <c r="Y71" s="2" t="str">
        <f t="shared" si="0"/>
        <v>#N/A N/A</v>
      </c>
      <c r="Z71" s="2" t="str">
        <f t="shared" si="1"/>
        <v>Berlin Hyp AGCALLABLEFIXEDEURSr Preferred</v>
      </c>
    </row>
    <row r="72" spans="1:26" x14ac:dyDescent="0.2">
      <c r="A72" s="6">
        <v>71</v>
      </c>
      <c r="B72" s="6" t="s">
        <v>476</v>
      </c>
      <c r="C72" s="6" t="s">
        <v>479</v>
      </c>
      <c r="D72" s="6" t="s">
        <v>57</v>
      </c>
      <c r="E72" s="6" t="str">
        <f>VLOOKUP(G72,'CBs RAW'!$E$2:$H$427,4)</f>
        <v>#N/A N/A</v>
      </c>
      <c r="F72" s="6" t="s">
        <v>45</v>
      </c>
      <c r="G72" s="6" t="s">
        <v>2054</v>
      </c>
      <c r="H72" s="6" t="s">
        <v>2055</v>
      </c>
      <c r="I72" s="6" t="s">
        <v>2056</v>
      </c>
      <c r="J72" s="6" t="s">
        <v>55</v>
      </c>
      <c r="K72" s="6" t="s">
        <v>56</v>
      </c>
      <c r="L72" s="5">
        <v>1162170000</v>
      </c>
      <c r="M72" s="6" t="s">
        <v>458</v>
      </c>
      <c r="N72" s="6" t="s">
        <v>1770</v>
      </c>
      <c r="O72" s="6" t="s">
        <v>45</v>
      </c>
      <c r="P72" s="17">
        <v>44487</v>
      </c>
      <c r="Q72" s="5">
        <f>VLOOKUP(G72,'CBs RAW'!$E$2:$P$427,12)</f>
        <v>0.125</v>
      </c>
      <c r="R72" s="17">
        <v>47501</v>
      </c>
      <c r="S72" s="6" t="s">
        <v>225</v>
      </c>
      <c r="T72" s="6" t="s">
        <v>189</v>
      </c>
      <c r="U72" s="6" t="s">
        <v>49</v>
      </c>
      <c r="V72" s="6" t="s">
        <v>53</v>
      </c>
      <c r="W72" s="6" t="s">
        <v>2057</v>
      </c>
      <c r="X72" s="18">
        <f>VLOOKUP(G72,'CBs RAW'!$E$2:$W$427,19)</f>
        <v>0.114</v>
      </c>
      <c r="Y72" s="19">
        <f t="shared" si="0"/>
        <v>0.114</v>
      </c>
      <c r="Z72" s="2" t="str">
        <f t="shared" si="1"/>
        <v>Berlin Hyp AGAT MATURITYFIXEDEURSecured</v>
      </c>
    </row>
    <row r="73" spans="1:26" x14ac:dyDescent="0.2">
      <c r="A73" s="6">
        <v>72</v>
      </c>
      <c r="B73" s="6" t="s">
        <v>476</v>
      </c>
      <c r="C73" s="6" t="s">
        <v>479</v>
      </c>
      <c r="D73" s="6" t="s">
        <v>57</v>
      </c>
      <c r="E73" s="6" t="str">
        <f>VLOOKUP(G73,'CBs RAW'!$E$2:$H$427,4)</f>
        <v>#N/A N/A</v>
      </c>
      <c r="F73" s="6" t="s">
        <v>45</v>
      </c>
      <c r="G73" s="6" t="s">
        <v>2058</v>
      </c>
      <c r="H73" s="6" t="s">
        <v>2059</v>
      </c>
      <c r="I73" s="6" t="s">
        <v>2060</v>
      </c>
      <c r="J73" s="6" t="s">
        <v>55</v>
      </c>
      <c r="K73" s="6" t="s">
        <v>56</v>
      </c>
      <c r="L73" s="5">
        <v>17454150</v>
      </c>
      <c r="M73" s="6" t="s">
        <v>482</v>
      </c>
      <c r="N73" s="6" t="s">
        <v>173</v>
      </c>
      <c r="O73" s="6" t="s">
        <v>45</v>
      </c>
      <c r="P73" s="17">
        <v>44488</v>
      </c>
      <c r="Q73" s="5">
        <f>VLOOKUP(G73,'CBs RAW'!$E$2:$P$427,12)</f>
        <v>0.01</v>
      </c>
      <c r="R73" s="17">
        <v>46314</v>
      </c>
      <c r="S73" s="6" t="s">
        <v>225</v>
      </c>
      <c r="T73" s="6" t="s">
        <v>483</v>
      </c>
      <c r="U73" s="6" t="s">
        <v>49</v>
      </c>
      <c r="V73" s="6" t="s">
        <v>53</v>
      </c>
      <c r="W73" s="6" t="s">
        <v>2061</v>
      </c>
      <c r="X73" s="18" t="str">
        <f>VLOOKUP(G73,'CBs RAW'!$E$2:$W$427,19)</f>
        <v>#N/A N/A</v>
      </c>
      <c r="Y73" s="2" t="str">
        <f t="shared" si="0"/>
        <v>#N/A N/A</v>
      </c>
      <c r="Z73" s="2" t="str">
        <f t="shared" si="1"/>
        <v>Berlin Hyp AGAT MATURITYFIXEDEURSr Preferred</v>
      </c>
    </row>
    <row r="74" spans="1:26" x14ac:dyDescent="0.2">
      <c r="A74" s="6">
        <v>73</v>
      </c>
      <c r="B74" s="6" t="s">
        <v>476</v>
      </c>
      <c r="C74" s="6" t="s">
        <v>479</v>
      </c>
      <c r="D74" s="6" t="s">
        <v>57</v>
      </c>
      <c r="E74" s="6" t="str">
        <f>VLOOKUP(G74,'CBs RAW'!$E$2:$H$427,4)</f>
        <v>#N/A N/A</v>
      </c>
      <c r="F74" s="6" t="s">
        <v>45</v>
      </c>
      <c r="G74" s="6" t="s">
        <v>2062</v>
      </c>
      <c r="H74" s="6" t="s">
        <v>2063</v>
      </c>
      <c r="I74" s="6" t="s">
        <v>2064</v>
      </c>
      <c r="J74" s="6" t="s">
        <v>55</v>
      </c>
      <c r="K74" s="6" t="s">
        <v>56</v>
      </c>
      <c r="L74" s="5">
        <v>23024600</v>
      </c>
      <c r="M74" s="6" t="s">
        <v>482</v>
      </c>
      <c r="N74" s="6" t="s">
        <v>1839</v>
      </c>
      <c r="O74" s="6" t="s">
        <v>45</v>
      </c>
      <c r="P74" s="17">
        <v>44510</v>
      </c>
      <c r="Q74" s="5">
        <f>VLOOKUP(G74,'CBs RAW'!$E$2:$P$427,12)</f>
        <v>0.05</v>
      </c>
      <c r="R74" s="17">
        <v>46336</v>
      </c>
      <c r="S74" s="6" t="s">
        <v>225</v>
      </c>
      <c r="T74" s="6" t="s">
        <v>483</v>
      </c>
      <c r="U74" s="6" t="s">
        <v>49</v>
      </c>
      <c r="V74" s="6" t="s">
        <v>53</v>
      </c>
      <c r="W74" s="6" t="s">
        <v>2065</v>
      </c>
      <c r="X74" s="18" t="str">
        <f>VLOOKUP(G74,'CBs RAW'!$E$2:$W$427,19)</f>
        <v>#N/A N/A</v>
      </c>
      <c r="Y74" s="2" t="str">
        <f t="shared" si="0"/>
        <v>#N/A N/A</v>
      </c>
      <c r="Z74" s="2" t="str">
        <f t="shared" si="1"/>
        <v>Berlin Hyp AGAT MATURITYFIXEDEURSr Preferred</v>
      </c>
    </row>
    <row r="75" spans="1:26" x14ac:dyDescent="0.2">
      <c r="A75" s="6">
        <v>74</v>
      </c>
      <c r="B75" s="6" t="s">
        <v>476</v>
      </c>
      <c r="C75" s="6" t="s">
        <v>479</v>
      </c>
      <c r="D75" s="6" t="s">
        <v>57</v>
      </c>
      <c r="E75" s="6" t="str">
        <f>VLOOKUP(G75,'CBs RAW'!$E$2:$H$427,4)</f>
        <v>#N/A N/A</v>
      </c>
      <c r="F75" s="6" t="s">
        <v>45</v>
      </c>
      <c r="G75" s="6" t="s">
        <v>2066</v>
      </c>
      <c r="H75" s="6" t="s">
        <v>2067</v>
      </c>
      <c r="I75" s="6" t="s">
        <v>2068</v>
      </c>
      <c r="J75" s="6" t="s">
        <v>55</v>
      </c>
      <c r="K75" s="6" t="s">
        <v>56</v>
      </c>
      <c r="L75" s="5">
        <v>11369800</v>
      </c>
      <c r="M75" s="6" t="s">
        <v>482</v>
      </c>
      <c r="N75" s="6" t="s">
        <v>173</v>
      </c>
      <c r="O75" s="6" t="s">
        <v>45</v>
      </c>
      <c r="P75" s="17">
        <v>44518</v>
      </c>
      <c r="Q75" s="5">
        <f>VLOOKUP(G75,'CBs RAW'!$E$2:$P$427,12)</f>
        <v>1.4999999999999999E-2</v>
      </c>
      <c r="R75" s="17">
        <v>45979</v>
      </c>
      <c r="S75" s="6" t="s">
        <v>225</v>
      </c>
      <c r="T75" s="6" t="s">
        <v>483</v>
      </c>
      <c r="U75" s="6" t="s">
        <v>49</v>
      </c>
      <c r="V75" s="6" t="s">
        <v>53</v>
      </c>
      <c r="W75" s="6" t="s">
        <v>2069</v>
      </c>
      <c r="X75" s="18" t="str">
        <f>VLOOKUP(G75,'CBs RAW'!$E$2:$W$427,19)</f>
        <v>#N/A N/A</v>
      </c>
      <c r="Y75" s="2" t="str">
        <f t="shared" si="0"/>
        <v>#N/A N/A</v>
      </c>
      <c r="Z75" s="2" t="str">
        <f t="shared" si="1"/>
        <v>Berlin Hyp AGAT MATURITYFIXEDEURSr Preferred</v>
      </c>
    </row>
    <row r="76" spans="1:26" x14ac:dyDescent="0.2">
      <c r="A76" s="6">
        <v>75</v>
      </c>
      <c r="B76" s="6" t="s">
        <v>476</v>
      </c>
      <c r="C76" s="6" t="s">
        <v>479</v>
      </c>
      <c r="D76" s="6" t="s">
        <v>57</v>
      </c>
      <c r="E76" s="6" t="str">
        <f>VLOOKUP(G76,'CBs RAW'!$E$2:$H$427,4)</f>
        <v>#N/A N/A</v>
      </c>
      <c r="F76" s="6" t="s">
        <v>45</v>
      </c>
      <c r="G76" s="6" t="s">
        <v>2070</v>
      </c>
      <c r="H76" s="6" t="s">
        <v>2071</v>
      </c>
      <c r="I76" s="6" t="s">
        <v>2072</v>
      </c>
      <c r="J76" s="6" t="s">
        <v>55</v>
      </c>
      <c r="K76" s="6" t="s">
        <v>56</v>
      </c>
      <c r="L76" s="5">
        <v>20939965</v>
      </c>
      <c r="M76" s="6" t="s">
        <v>482</v>
      </c>
      <c r="N76" s="6" t="s">
        <v>1770</v>
      </c>
      <c r="O76" s="6" t="s">
        <v>45</v>
      </c>
      <c r="P76" s="17">
        <v>44540</v>
      </c>
      <c r="Q76" s="5">
        <f>VLOOKUP(G76,'CBs RAW'!$E$2:$P$427,12)</f>
        <v>0.34899999999999998</v>
      </c>
      <c r="R76" s="17">
        <v>48192</v>
      </c>
      <c r="S76" s="6" t="s">
        <v>225</v>
      </c>
      <c r="T76" s="6" t="s">
        <v>483</v>
      </c>
      <c r="U76" s="6" t="s">
        <v>49</v>
      </c>
      <c r="V76" s="6" t="s">
        <v>53</v>
      </c>
      <c r="W76" s="6" t="s">
        <v>2073</v>
      </c>
      <c r="X76" s="18" t="str">
        <f>VLOOKUP(G76,'CBs RAW'!$E$2:$W$427,19)</f>
        <v>#N/A N/A</v>
      </c>
      <c r="Y76" s="2" t="str">
        <f t="shared" si="0"/>
        <v>#N/A N/A</v>
      </c>
      <c r="Z76" s="2" t="str">
        <f t="shared" si="1"/>
        <v>Berlin Hyp AGAT MATURITYFIXEDEURSr Preferred</v>
      </c>
    </row>
    <row r="77" spans="1:26" x14ac:dyDescent="0.2">
      <c r="A77" s="6">
        <v>76</v>
      </c>
      <c r="B77" s="6" t="s">
        <v>476</v>
      </c>
      <c r="C77" s="6" t="s">
        <v>479</v>
      </c>
      <c r="D77" s="6" t="s">
        <v>57</v>
      </c>
      <c r="E77" s="6">
        <f>VLOOKUP(G77,'CBs RAW'!$E$2:$H$427,4)</f>
        <v>0.29199999999999998</v>
      </c>
      <c r="F77" s="6" t="s">
        <v>45</v>
      </c>
      <c r="G77" s="6" t="s">
        <v>2074</v>
      </c>
      <c r="H77" s="6" t="s">
        <v>2075</v>
      </c>
      <c r="I77" s="6" t="s">
        <v>2076</v>
      </c>
      <c r="J77" s="6" t="s">
        <v>55</v>
      </c>
      <c r="K77" s="6" t="s">
        <v>56</v>
      </c>
      <c r="L77" s="5">
        <v>11461300</v>
      </c>
      <c r="M77" s="6" t="s">
        <v>482</v>
      </c>
      <c r="N77" s="6" t="s">
        <v>1770</v>
      </c>
      <c r="O77" s="6" t="s">
        <v>45</v>
      </c>
      <c r="P77" s="17">
        <v>44574</v>
      </c>
      <c r="Q77" s="5">
        <f>VLOOKUP(G77,'CBs RAW'!$E$2:$P$427,12)</f>
        <v>0.29199999999999998</v>
      </c>
      <c r="R77" s="17">
        <v>46765</v>
      </c>
      <c r="S77" s="6" t="s">
        <v>225</v>
      </c>
      <c r="T77" s="6" t="s">
        <v>483</v>
      </c>
      <c r="U77" s="6" t="s">
        <v>49</v>
      </c>
      <c r="V77" s="6" t="s">
        <v>53</v>
      </c>
      <c r="W77" s="6" t="s">
        <v>2077</v>
      </c>
      <c r="X77" s="18" t="str">
        <f>VLOOKUP(G77,'CBs RAW'!$E$2:$W$427,19)</f>
        <v>#N/A N/A</v>
      </c>
      <c r="Y77" s="2">
        <f t="shared" si="0"/>
        <v>0.29199999999999998</v>
      </c>
      <c r="Z77" s="2" t="str">
        <f t="shared" si="1"/>
        <v>Berlin Hyp AGAT MATURITYFIXEDEURSr Preferred</v>
      </c>
    </row>
    <row r="78" spans="1:26" x14ac:dyDescent="0.2">
      <c r="A78" s="6">
        <v>77</v>
      </c>
      <c r="B78" s="6" t="s">
        <v>476</v>
      </c>
      <c r="C78" s="6" t="s">
        <v>479</v>
      </c>
      <c r="D78" s="6" t="s">
        <v>57</v>
      </c>
      <c r="E78" s="6" t="str">
        <f>VLOOKUP(G78,'CBs RAW'!$E$2:$H$427,4)</f>
        <v>#N/A N/A</v>
      </c>
      <c r="F78" s="6" t="s">
        <v>45</v>
      </c>
      <c r="G78" s="6" t="s">
        <v>2078</v>
      </c>
      <c r="H78" s="6" t="s">
        <v>2079</v>
      </c>
      <c r="I78" s="6" t="s">
        <v>2080</v>
      </c>
      <c r="J78" s="6" t="s">
        <v>55</v>
      </c>
      <c r="K78" s="6" t="s">
        <v>56</v>
      </c>
      <c r="L78" s="5">
        <v>17016150</v>
      </c>
      <c r="M78" s="6" t="s">
        <v>482</v>
      </c>
      <c r="N78" s="6" t="s">
        <v>173</v>
      </c>
      <c r="O78" s="6" t="s">
        <v>45</v>
      </c>
      <c r="P78" s="17">
        <v>44580</v>
      </c>
      <c r="Q78" s="5">
        <f>VLOOKUP(G78,'CBs RAW'!$E$2:$P$427,12)</f>
        <v>0.16</v>
      </c>
      <c r="R78" s="17">
        <v>46041</v>
      </c>
      <c r="S78" s="6" t="s">
        <v>225</v>
      </c>
      <c r="T78" s="6" t="s">
        <v>483</v>
      </c>
      <c r="U78" s="6" t="s">
        <v>49</v>
      </c>
      <c r="V78" s="6" t="s">
        <v>53</v>
      </c>
      <c r="W78" s="6" t="s">
        <v>2081</v>
      </c>
      <c r="X78" s="18" t="str">
        <f>VLOOKUP(G78,'CBs RAW'!$E$2:$W$427,19)</f>
        <v>#N/A N/A</v>
      </c>
      <c r="Y78" s="2" t="str">
        <f t="shared" si="0"/>
        <v>#N/A N/A</v>
      </c>
      <c r="Z78" s="2" t="str">
        <f t="shared" si="1"/>
        <v>Berlin Hyp AGAT MATURITYFIXEDEURSr Preferred</v>
      </c>
    </row>
    <row r="79" spans="1:26" x14ac:dyDescent="0.2">
      <c r="A79" s="6">
        <v>78</v>
      </c>
      <c r="B79" s="6" t="s">
        <v>476</v>
      </c>
      <c r="C79" s="6" t="s">
        <v>479</v>
      </c>
      <c r="D79" s="6" t="s">
        <v>57</v>
      </c>
      <c r="E79" s="6" t="str">
        <f>VLOOKUP(G79,'CBs RAW'!$E$2:$H$427,4)</f>
        <v>#N/A N/A</v>
      </c>
      <c r="F79" s="6" t="s">
        <v>45</v>
      </c>
      <c r="G79" s="6" t="s">
        <v>2082</v>
      </c>
      <c r="H79" s="6" t="s">
        <v>2083</v>
      </c>
      <c r="I79" s="6" t="s">
        <v>2084</v>
      </c>
      <c r="J79" s="6" t="s">
        <v>55</v>
      </c>
      <c r="K79" s="6" t="s">
        <v>56</v>
      </c>
      <c r="L79" s="5">
        <v>22645400</v>
      </c>
      <c r="M79" s="6" t="s">
        <v>482</v>
      </c>
      <c r="N79" s="6" t="s">
        <v>173</v>
      </c>
      <c r="O79" s="6" t="s">
        <v>45</v>
      </c>
      <c r="P79" s="17">
        <v>44579</v>
      </c>
      <c r="Q79" s="5">
        <f>VLOOKUP(G79,'CBs RAW'!$E$2:$P$427,12)</f>
        <v>0.44800000000000001</v>
      </c>
      <c r="R79" s="17">
        <v>47501</v>
      </c>
      <c r="S79" s="6" t="s">
        <v>225</v>
      </c>
      <c r="T79" s="6" t="s">
        <v>483</v>
      </c>
      <c r="U79" s="6" t="s">
        <v>49</v>
      </c>
      <c r="V79" s="6" t="s">
        <v>53</v>
      </c>
      <c r="W79" s="6" t="s">
        <v>2085</v>
      </c>
      <c r="X79" s="18" t="str">
        <f>VLOOKUP(G79,'CBs RAW'!$E$2:$W$427,19)</f>
        <v>#N/A N/A</v>
      </c>
      <c r="Y79" s="2" t="str">
        <f t="shared" si="0"/>
        <v>#N/A N/A</v>
      </c>
      <c r="Z79" s="2" t="str">
        <f t="shared" si="1"/>
        <v>Berlin Hyp AGAT MATURITYFIXEDEURSr Preferred</v>
      </c>
    </row>
    <row r="80" spans="1:26" x14ac:dyDescent="0.2">
      <c r="A80" s="6">
        <v>79</v>
      </c>
      <c r="B80" s="6" t="s">
        <v>476</v>
      </c>
      <c r="C80" s="6" t="s">
        <v>479</v>
      </c>
      <c r="D80" s="6" t="s">
        <v>57</v>
      </c>
      <c r="E80" s="6" t="str">
        <f>VLOOKUP(G80,'CBs RAW'!$E$2:$H$427,4)</f>
        <v>#N/A N/A</v>
      </c>
      <c r="F80" s="6" t="s">
        <v>45</v>
      </c>
      <c r="G80" s="6" t="s">
        <v>2086</v>
      </c>
      <c r="H80" s="6" t="s">
        <v>2087</v>
      </c>
      <c r="I80" s="6" t="s">
        <v>2088</v>
      </c>
      <c r="J80" s="6" t="s">
        <v>55</v>
      </c>
      <c r="K80" s="6" t="s">
        <v>56</v>
      </c>
      <c r="L80" s="5">
        <v>22688200</v>
      </c>
      <c r="M80" s="6" t="s">
        <v>458</v>
      </c>
      <c r="N80" s="6" t="s">
        <v>173</v>
      </c>
      <c r="O80" s="6" t="s">
        <v>45</v>
      </c>
      <c r="P80" s="17">
        <v>44580</v>
      </c>
      <c r="Q80" s="5">
        <f>VLOOKUP(G80,'CBs RAW'!$E$2:$P$427,12)</f>
        <v>0.33500000000000002</v>
      </c>
      <c r="R80" s="17">
        <v>48232</v>
      </c>
      <c r="S80" s="6" t="s">
        <v>225</v>
      </c>
      <c r="T80" s="6" t="s">
        <v>189</v>
      </c>
      <c r="U80" s="6" t="s">
        <v>49</v>
      </c>
      <c r="V80" s="6" t="s">
        <v>53</v>
      </c>
      <c r="W80" s="6" t="s">
        <v>2089</v>
      </c>
      <c r="X80" s="18" t="str">
        <f>VLOOKUP(G80,'CBs RAW'!$E$2:$W$427,19)</f>
        <v>#N/A N/A</v>
      </c>
      <c r="Y80" s="2" t="str">
        <f t="shared" si="0"/>
        <v>#N/A N/A</v>
      </c>
      <c r="Z80" s="2" t="str">
        <f t="shared" si="1"/>
        <v>Berlin Hyp AGAT MATURITYFIXEDEURSecured</v>
      </c>
    </row>
    <row r="81" spans="1:26" x14ac:dyDescent="0.2">
      <c r="A81" s="6">
        <v>80</v>
      </c>
      <c r="B81" s="6" t="s">
        <v>476</v>
      </c>
      <c r="C81" s="6" t="s">
        <v>479</v>
      </c>
      <c r="D81" s="6" t="s">
        <v>57</v>
      </c>
      <c r="E81" s="6" t="str">
        <f>VLOOKUP(G81,'CBs RAW'!$E$2:$H$427,4)</f>
        <v>#N/A N/A</v>
      </c>
      <c r="F81" s="6" t="s">
        <v>45</v>
      </c>
      <c r="G81" s="6" t="s">
        <v>2090</v>
      </c>
      <c r="H81" s="6" t="s">
        <v>2091</v>
      </c>
      <c r="I81" s="6" t="s">
        <v>2092</v>
      </c>
      <c r="J81" s="6" t="s">
        <v>55</v>
      </c>
      <c r="K81" s="6" t="s">
        <v>56</v>
      </c>
      <c r="L81" s="5">
        <v>28398250</v>
      </c>
      <c r="M81" s="6" t="s">
        <v>458</v>
      </c>
      <c r="N81" s="6" t="s">
        <v>173</v>
      </c>
      <c r="O81" s="6" t="s">
        <v>45</v>
      </c>
      <c r="P81" s="17">
        <v>44609</v>
      </c>
      <c r="Q81" s="5">
        <f>VLOOKUP(G81,'CBs RAW'!$E$2:$P$427,12)</f>
        <v>0.28999999999999998</v>
      </c>
      <c r="R81" s="17">
        <v>45705</v>
      </c>
      <c r="S81" s="6" t="s">
        <v>225</v>
      </c>
      <c r="T81" s="6" t="s">
        <v>189</v>
      </c>
      <c r="U81" s="6" t="s">
        <v>49</v>
      </c>
      <c r="V81" s="6" t="s">
        <v>53</v>
      </c>
      <c r="W81" s="6" t="s">
        <v>2093</v>
      </c>
      <c r="X81" s="18" t="str">
        <f>VLOOKUP(G81,'CBs RAW'!$E$2:$W$427,19)</f>
        <v>#N/A N/A</v>
      </c>
      <c r="Y81" s="2" t="str">
        <f t="shared" si="0"/>
        <v>#N/A N/A</v>
      </c>
      <c r="Z81" s="2" t="str">
        <f t="shared" si="1"/>
        <v>Berlin Hyp AGAT MATURITYFIXEDEURSecured</v>
      </c>
    </row>
    <row r="82" spans="1:26" x14ac:dyDescent="0.2">
      <c r="A82" s="6">
        <v>81</v>
      </c>
      <c r="B82" s="6" t="s">
        <v>476</v>
      </c>
      <c r="C82" s="6" t="s">
        <v>479</v>
      </c>
      <c r="D82" s="6" t="s">
        <v>57</v>
      </c>
      <c r="E82" s="6">
        <f>VLOOKUP(G82,'CBs RAW'!$E$2:$H$427,4)</f>
        <v>0.67400000000000004</v>
      </c>
      <c r="F82" s="6" t="s">
        <v>45</v>
      </c>
      <c r="G82" s="6" t="s">
        <v>2094</v>
      </c>
      <c r="H82" s="6" t="s">
        <v>2095</v>
      </c>
      <c r="I82" s="6" t="s">
        <v>2096</v>
      </c>
      <c r="J82" s="6" t="s">
        <v>55</v>
      </c>
      <c r="K82" s="6" t="s">
        <v>56</v>
      </c>
      <c r="L82" s="5">
        <v>558330000</v>
      </c>
      <c r="M82" s="6" t="s">
        <v>458</v>
      </c>
      <c r="N82" s="6" t="s">
        <v>173</v>
      </c>
      <c r="O82" s="6" t="s">
        <v>45</v>
      </c>
      <c r="P82" s="17">
        <v>44616</v>
      </c>
      <c r="Q82" s="5">
        <f>VLOOKUP(G82,'CBs RAW'!$E$2:$P$427,12)</f>
        <v>0.625</v>
      </c>
      <c r="R82" s="17">
        <v>47172</v>
      </c>
      <c r="S82" s="6" t="s">
        <v>225</v>
      </c>
      <c r="T82" s="6" t="s">
        <v>189</v>
      </c>
      <c r="U82" s="6" t="s">
        <v>49</v>
      </c>
      <c r="V82" s="6" t="s">
        <v>53</v>
      </c>
      <c r="W82" s="6" t="s">
        <v>2097</v>
      </c>
      <c r="X82" s="18">
        <f>VLOOKUP(G82,'CBs RAW'!$E$2:$W$427,19)</f>
        <v>0.65300000000000002</v>
      </c>
      <c r="Y82" s="19">
        <f t="shared" si="0"/>
        <v>0.65300000000000002</v>
      </c>
      <c r="Z82" s="2" t="str">
        <f t="shared" si="1"/>
        <v>Berlin Hyp AGAT MATURITYFIXEDEURSecured</v>
      </c>
    </row>
    <row r="83" spans="1:26" x14ac:dyDescent="0.2">
      <c r="A83" s="6">
        <v>82</v>
      </c>
      <c r="B83" s="6" t="s">
        <v>476</v>
      </c>
      <c r="C83" s="6" t="s">
        <v>479</v>
      </c>
      <c r="D83" s="6" t="s">
        <v>57</v>
      </c>
      <c r="E83" s="6" t="str">
        <f>VLOOKUP(G83,'CBs RAW'!$E$2:$H$427,4)</f>
        <v>#N/A N/A</v>
      </c>
      <c r="F83" s="6" t="s">
        <v>45</v>
      </c>
      <c r="G83" s="6" t="s">
        <v>2098</v>
      </c>
      <c r="H83" s="6" t="s">
        <v>2099</v>
      </c>
      <c r="I83" s="6" t="s">
        <v>2100</v>
      </c>
      <c r="J83" s="6" t="s">
        <v>55</v>
      </c>
      <c r="K83" s="6" t="s">
        <v>56</v>
      </c>
      <c r="L83" s="5">
        <v>11051200</v>
      </c>
      <c r="M83" s="6" t="s">
        <v>482</v>
      </c>
      <c r="N83" s="6" t="s">
        <v>173</v>
      </c>
      <c r="O83" s="6" t="s">
        <v>45</v>
      </c>
      <c r="P83" s="17">
        <v>44623</v>
      </c>
      <c r="Q83" s="5">
        <f>VLOOKUP(G83,'CBs RAW'!$E$2:$P$427,12)</f>
        <v>0.42</v>
      </c>
      <c r="R83" s="17">
        <v>45719</v>
      </c>
      <c r="S83" s="6" t="s">
        <v>225</v>
      </c>
      <c r="T83" s="6" t="s">
        <v>483</v>
      </c>
      <c r="U83" s="6" t="s">
        <v>49</v>
      </c>
      <c r="V83" s="6" t="s">
        <v>53</v>
      </c>
      <c r="W83" s="6" t="s">
        <v>2101</v>
      </c>
      <c r="X83" s="18" t="str">
        <f>VLOOKUP(G83,'CBs RAW'!$E$2:$W$427,19)</f>
        <v>#N/A N/A</v>
      </c>
      <c r="Y83" s="2" t="str">
        <f t="shared" si="0"/>
        <v>#N/A N/A</v>
      </c>
      <c r="Z83" s="2" t="str">
        <f t="shared" si="1"/>
        <v>Berlin Hyp AGAT MATURITYFIXEDEURSr Preferred</v>
      </c>
    </row>
    <row r="84" spans="1:26" x14ac:dyDescent="0.2">
      <c r="A84" s="6">
        <v>83</v>
      </c>
      <c r="B84" s="6" t="s">
        <v>476</v>
      </c>
      <c r="C84" s="6" t="s">
        <v>479</v>
      </c>
      <c r="D84" s="6" t="s">
        <v>57</v>
      </c>
      <c r="E84" s="6" t="str">
        <f>VLOOKUP(G84,'CBs RAW'!$E$2:$H$427,4)</f>
        <v>#N/A N/A</v>
      </c>
      <c r="F84" s="6" t="s">
        <v>45</v>
      </c>
      <c r="G84" s="6" t="s">
        <v>2102</v>
      </c>
      <c r="H84" s="6" t="s">
        <v>2103</v>
      </c>
      <c r="I84" s="6" t="s">
        <v>2104</v>
      </c>
      <c r="J84" s="6" t="s">
        <v>55</v>
      </c>
      <c r="K84" s="6" t="s">
        <v>56</v>
      </c>
      <c r="L84" s="5">
        <v>55256000</v>
      </c>
      <c r="M84" s="6" t="s">
        <v>482</v>
      </c>
      <c r="N84" s="6" t="s">
        <v>1770</v>
      </c>
      <c r="O84" s="6" t="s">
        <v>45</v>
      </c>
      <c r="P84" s="17">
        <v>44623</v>
      </c>
      <c r="Q84" s="5">
        <f>VLOOKUP(G84,'CBs RAW'!$E$2:$P$427,12)</f>
        <v>0.45</v>
      </c>
      <c r="R84" s="17">
        <v>45719</v>
      </c>
      <c r="S84" s="6" t="s">
        <v>225</v>
      </c>
      <c r="T84" s="6" t="s">
        <v>483</v>
      </c>
      <c r="U84" s="6" t="s">
        <v>49</v>
      </c>
      <c r="V84" s="6" t="s">
        <v>53</v>
      </c>
      <c r="W84" s="6" t="s">
        <v>2105</v>
      </c>
      <c r="X84" s="18" t="str">
        <f>VLOOKUP(G84,'CBs RAW'!$E$2:$W$427,19)</f>
        <v>#N/A N/A</v>
      </c>
      <c r="Y84" s="2" t="str">
        <f t="shared" si="0"/>
        <v>#N/A N/A</v>
      </c>
      <c r="Z84" s="2" t="str">
        <f t="shared" si="1"/>
        <v>Berlin Hyp AGAT MATURITYFIXEDEURSr Preferred</v>
      </c>
    </row>
    <row r="85" spans="1:26" x14ac:dyDescent="0.2">
      <c r="A85" s="6">
        <v>84</v>
      </c>
      <c r="B85" s="6" t="s">
        <v>476</v>
      </c>
      <c r="C85" s="6" t="s">
        <v>479</v>
      </c>
      <c r="D85" s="6" t="s">
        <v>57</v>
      </c>
      <c r="E85" s="6" t="str">
        <f>VLOOKUP(G85,'CBs RAW'!$E$2:$H$427,4)</f>
        <v>#N/A N/A</v>
      </c>
      <c r="F85" s="6" t="s">
        <v>45</v>
      </c>
      <c r="G85" s="6" t="s">
        <v>2106</v>
      </c>
      <c r="H85" s="6" t="s">
        <v>2107</v>
      </c>
      <c r="I85" s="6" t="s">
        <v>2108</v>
      </c>
      <c r="J85" s="6" t="s">
        <v>55</v>
      </c>
      <c r="K85" s="6" t="s">
        <v>56</v>
      </c>
      <c r="L85" s="5">
        <v>10938400</v>
      </c>
      <c r="M85" s="6" t="s">
        <v>482</v>
      </c>
      <c r="N85" s="6" t="s">
        <v>173</v>
      </c>
      <c r="O85" s="6" t="s">
        <v>45</v>
      </c>
      <c r="P85" s="17">
        <v>44635</v>
      </c>
      <c r="Q85" s="5">
        <f>VLOOKUP(G85,'CBs RAW'!$E$2:$P$427,12)</f>
        <v>1.125</v>
      </c>
      <c r="R85" s="17">
        <v>48288</v>
      </c>
      <c r="S85" s="6" t="s">
        <v>225</v>
      </c>
      <c r="T85" s="6" t="s">
        <v>483</v>
      </c>
      <c r="U85" s="6" t="s">
        <v>49</v>
      </c>
      <c r="V85" s="6" t="s">
        <v>53</v>
      </c>
      <c r="W85" s="6" t="s">
        <v>2109</v>
      </c>
      <c r="X85" s="18" t="str">
        <f>VLOOKUP(G85,'CBs RAW'!$E$2:$W$427,19)</f>
        <v>#N/A N/A</v>
      </c>
      <c r="Y85" s="2" t="str">
        <f t="shared" si="0"/>
        <v>#N/A N/A</v>
      </c>
      <c r="Z85" s="2" t="str">
        <f t="shared" si="1"/>
        <v>Berlin Hyp AGAT MATURITYFIXEDEURSr Preferred</v>
      </c>
    </row>
    <row r="86" spans="1:26" x14ac:dyDescent="0.2">
      <c r="A86" s="6">
        <v>85</v>
      </c>
      <c r="B86" s="6" t="s">
        <v>476</v>
      </c>
      <c r="C86" s="6" t="s">
        <v>479</v>
      </c>
      <c r="D86" s="6" t="s">
        <v>57</v>
      </c>
      <c r="E86" s="6" t="str">
        <f>VLOOKUP(G86,'CBs RAW'!$E$2:$H$427,4)</f>
        <v>#N/A N/A</v>
      </c>
      <c r="F86" s="6" t="s">
        <v>45</v>
      </c>
      <c r="G86" s="6" t="s">
        <v>2110</v>
      </c>
      <c r="H86" s="6" t="s">
        <v>2111</v>
      </c>
      <c r="I86" s="6" t="s">
        <v>2112</v>
      </c>
      <c r="J86" s="6" t="s">
        <v>55</v>
      </c>
      <c r="K86" s="6" t="s">
        <v>56</v>
      </c>
      <c r="L86" s="5">
        <v>27646750</v>
      </c>
      <c r="M86" s="6" t="s">
        <v>482</v>
      </c>
      <c r="N86" s="6" t="s">
        <v>1770</v>
      </c>
      <c r="O86" s="6" t="s">
        <v>45</v>
      </c>
      <c r="P86" s="17">
        <v>44638</v>
      </c>
      <c r="Q86" s="5">
        <f>VLOOKUP(G86,'CBs RAW'!$E$2:$P$427,12)</f>
        <v>0.55000000000000004</v>
      </c>
      <c r="R86" s="17">
        <v>45734</v>
      </c>
      <c r="S86" s="6" t="s">
        <v>225</v>
      </c>
      <c r="T86" s="6" t="s">
        <v>483</v>
      </c>
      <c r="U86" s="6" t="s">
        <v>49</v>
      </c>
      <c r="V86" s="6" t="s">
        <v>53</v>
      </c>
      <c r="W86" s="6" t="s">
        <v>2113</v>
      </c>
      <c r="X86" s="18" t="str">
        <f>VLOOKUP(G86,'CBs RAW'!$E$2:$W$427,19)</f>
        <v>#N/A N/A</v>
      </c>
      <c r="Y86" s="2" t="str">
        <f t="shared" si="0"/>
        <v>#N/A N/A</v>
      </c>
      <c r="Z86" s="2" t="str">
        <f t="shared" si="1"/>
        <v>Berlin Hyp AGAT MATURITYFIXEDEURSr Preferred</v>
      </c>
    </row>
    <row r="87" spans="1:26" x14ac:dyDescent="0.2">
      <c r="A87" s="6">
        <v>86</v>
      </c>
      <c r="B87" s="6" t="s">
        <v>476</v>
      </c>
      <c r="C87" s="6" t="s">
        <v>479</v>
      </c>
      <c r="D87" s="6" t="s">
        <v>57</v>
      </c>
      <c r="E87" s="6" t="str">
        <f>VLOOKUP(G87,'CBs RAW'!$E$2:$H$427,4)</f>
        <v>#N/A N/A</v>
      </c>
      <c r="F87" s="6" t="s">
        <v>45</v>
      </c>
      <c r="G87" s="6" t="s">
        <v>2114</v>
      </c>
      <c r="H87" s="6" t="s">
        <v>2115</v>
      </c>
      <c r="I87" s="6" t="s">
        <v>2116</v>
      </c>
      <c r="J87" s="6" t="s">
        <v>55</v>
      </c>
      <c r="K87" s="6" t="s">
        <v>56</v>
      </c>
      <c r="L87" s="5">
        <v>21949600</v>
      </c>
      <c r="M87" s="6" t="s">
        <v>458</v>
      </c>
      <c r="N87" s="6" t="s">
        <v>173</v>
      </c>
      <c r="O87" s="6" t="s">
        <v>45</v>
      </c>
      <c r="P87" s="17">
        <v>44655</v>
      </c>
      <c r="Q87" s="5">
        <f>VLOOKUP(G87,'CBs RAW'!$E$2:$P$427,12)</f>
        <v>0.75</v>
      </c>
      <c r="R87" s="17">
        <v>45751</v>
      </c>
      <c r="S87" s="6" t="s">
        <v>225</v>
      </c>
      <c r="T87" s="6" t="s">
        <v>189</v>
      </c>
      <c r="U87" s="6" t="s">
        <v>49</v>
      </c>
      <c r="V87" s="6" t="s">
        <v>53</v>
      </c>
      <c r="W87" s="6" t="s">
        <v>2117</v>
      </c>
      <c r="X87" s="18" t="str">
        <f>VLOOKUP(G87,'CBs RAW'!$E$2:$W$427,19)</f>
        <v>#N/A N/A</v>
      </c>
      <c r="Y87" s="2" t="str">
        <f t="shared" si="0"/>
        <v>#N/A N/A</v>
      </c>
      <c r="Z87" s="2" t="str">
        <f t="shared" si="1"/>
        <v>Berlin Hyp AGAT MATURITYFIXEDEURSecured</v>
      </c>
    </row>
    <row r="88" spans="1:26" x14ac:dyDescent="0.2">
      <c r="A88" s="6">
        <v>87</v>
      </c>
      <c r="B88" s="6" t="s">
        <v>476</v>
      </c>
      <c r="C88" s="6" t="s">
        <v>479</v>
      </c>
      <c r="D88" s="6" t="s">
        <v>57</v>
      </c>
      <c r="E88" s="6" t="str">
        <f>VLOOKUP(G88,'CBs RAW'!$E$2:$H$427,4)</f>
        <v>#N/A N/A</v>
      </c>
      <c r="F88" s="6" t="s">
        <v>45</v>
      </c>
      <c r="G88" s="6" t="s">
        <v>2118</v>
      </c>
      <c r="H88" s="6" t="s">
        <v>2119</v>
      </c>
      <c r="I88" s="6" t="s">
        <v>2120</v>
      </c>
      <c r="J88" s="6" t="s">
        <v>55</v>
      </c>
      <c r="K88" s="6" t="s">
        <v>56</v>
      </c>
      <c r="L88" s="5">
        <v>8653040</v>
      </c>
      <c r="M88" s="6" t="s">
        <v>482</v>
      </c>
      <c r="N88" s="6" t="s">
        <v>173</v>
      </c>
      <c r="O88" s="6" t="s">
        <v>45</v>
      </c>
      <c r="P88" s="17">
        <v>44665</v>
      </c>
      <c r="Q88" s="5">
        <f>VLOOKUP(G88,'CBs RAW'!$E$2:$P$427,12)</f>
        <v>1</v>
      </c>
      <c r="R88" s="17">
        <v>45761</v>
      </c>
      <c r="S88" s="6" t="s">
        <v>225</v>
      </c>
      <c r="T88" s="6" t="s">
        <v>483</v>
      </c>
      <c r="U88" s="6" t="s">
        <v>49</v>
      </c>
      <c r="V88" s="6" t="s">
        <v>53</v>
      </c>
      <c r="W88" s="6" t="s">
        <v>2121</v>
      </c>
      <c r="X88" s="18" t="str">
        <f>VLOOKUP(G88,'CBs RAW'!$E$2:$W$427,19)</f>
        <v>#N/A N/A</v>
      </c>
      <c r="Y88" s="2" t="str">
        <f t="shared" si="0"/>
        <v>#N/A N/A</v>
      </c>
      <c r="Z88" s="2" t="str">
        <f t="shared" si="1"/>
        <v>Berlin Hyp AGAT MATURITYFIXEDEURSr Preferred</v>
      </c>
    </row>
    <row r="89" spans="1:26" x14ac:dyDescent="0.2">
      <c r="A89" s="6">
        <v>88</v>
      </c>
      <c r="B89" s="6" t="s">
        <v>476</v>
      </c>
      <c r="C89" s="6" t="s">
        <v>479</v>
      </c>
      <c r="D89" s="6" t="s">
        <v>57</v>
      </c>
      <c r="E89" s="6" t="str">
        <f>VLOOKUP(G89,'CBs RAW'!$E$2:$H$427,4)</f>
        <v>#N/A N/A</v>
      </c>
      <c r="F89" s="6" t="s">
        <v>45</v>
      </c>
      <c r="G89" s="6" t="s">
        <v>2122</v>
      </c>
      <c r="H89" s="6" t="s">
        <v>2123</v>
      </c>
      <c r="I89" s="6" t="s">
        <v>2124</v>
      </c>
      <c r="J89" s="6" t="s">
        <v>55</v>
      </c>
      <c r="K89" s="6" t="s">
        <v>56</v>
      </c>
      <c r="L89" s="5">
        <v>21558800</v>
      </c>
      <c r="M89" s="6" t="s">
        <v>482</v>
      </c>
      <c r="N89" s="6" t="s">
        <v>173</v>
      </c>
      <c r="O89" s="6" t="s">
        <v>45</v>
      </c>
      <c r="P89" s="17">
        <v>44673</v>
      </c>
      <c r="Q89" s="5">
        <f>VLOOKUP(G89,'CBs RAW'!$E$2:$P$427,12)</f>
        <v>1.1000000000000001</v>
      </c>
      <c r="R89" s="17">
        <v>45769</v>
      </c>
      <c r="S89" s="6" t="s">
        <v>225</v>
      </c>
      <c r="T89" s="6" t="s">
        <v>483</v>
      </c>
      <c r="U89" s="6" t="s">
        <v>49</v>
      </c>
      <c r="V89" s="6" t="s">
        <v>53</v>
      </c>
      <c r="W89" s="6" t="s">
        <v>2125</v>
      </c>
      <c r="X89" s="18" t="str">
        <f>VLOOKUP(G89,'CBs RAW'!$E$2:$W$427,19)</f>
        <v>#N/A N/A</v>
      </c>
      <c r="Y89" s="2" t="str">
        <f t="shared" si="0"/>
        <v>#N/A N/A</v>
      </c>
      <c r="Z89" s="2" t="str">
        <f t="shared" si="1"/>
        <v>Berlin Hyp AGAT MATURITYFIXEDEURSr Preferred</v>
      </c>
    </row>
    <row r="90" spans="1:26" x14ac:dyDescent="0.2">
      <c r="A90" s="6">
        <v>89</v>
      </c>
      <c r="B90" s="6" t="s">
        <v>476</v>
      </c>
      <c r="C90" s="6" t="s">
        <v>479</v>
      </c>
      <c r="D90" s="6" t="s">
        <v>57</v>
      </c>
      <c r="E90" s="6" t="str">
        <f>VLOOKUP(G90,'CBs RAW'!$E$2:$H$427,4)</f>
        <v>#N/A N/A</v>
      </c>
      <c r="F90" s="6" t="s">
        <v>45</v>
      </c>
      <c r="G90" s="6" t="s">
        <v>2126</v>
      </c>
      <c r="H90" s="6" t="s">
        <v>2127</v>
      </c>
      <c r="I90" s="6" t="s">
        <v>2128</v>
      </c>
      <c r="J90" s="6" t="s">
        <v>55</v>
      </c>
      <c r="K90" s="6" t="s">
        <v>56</v>
      </c>
      <c r="L90" s="5">
        <v>26621200</v>
      </c>
      <c r="M90" s="6" t="s">
        <v>2011</v>
      </c>
      <c r="N90" s="6" t="s">
        <v>2129</v>
      </c>
      <c r="O90" s="6" t="s">
        <v>45</v>
      </c>
      <c r="P90" s="17">
        <v>41529</v>
      </c>
      <c r="Q90" s="5">
        <f>VLOOKUP(G90,'CBs RAW'!$E$2:$P$427,12)</f>
        <v>2.4500000000000002</v>
      </c>
      <c r="R90" s="17">
        <v>44816</v>
      </c>
      <c r="S90" s="6">
        <v>78</v>
      </c>
      <c r="T90" s="6" t="s">
        <v>189</v>
      </c>
      <c r="U90" s="6" t="s">
        <v>49</v>
      </c>
      <c r="V90" s="6" t="s">
        <v>53</v>
      </c>
      <c r="W90" s="6" t="s">
        <v>2130</v>
      </c>
      <c r="X90" s="18" t="str">
        <f>VLOOKUP(G90,'CBs RAW'!$E$2:$W$427,19)</f>
        <v>#N/A N/A</v>
      </c>
      <c r="Y90" s="2" t="str">
        <f t="shared" si="0"/>
        <v>#N/A N/A</v>
      </c>
      <c r="Z90" s="2" t="str">
        <f t="shared" si="1"/>
        <v>Berlin Hyp AGAT MATURITYFIXEDEURSr Non Preferred</v>
      </c>
    </row>
    <row r="91" spans="1:26" x14ac:dyDescent="0.2">
      <c r="A91" s="6">
        <v>90</v>
      </c>
      <c r="B91" s="6" t="s">
        <v>476</v>
      </c>
      <c r="C91" s="6" t="s">
        <v>479</v>
      </c>
      <c r="D91" s="6" t="s">
        <v>57</v>
      </c>
      <c r="E91" s="6" t="str">
        <f>VLOOKUP(G91,'CBs RAW'!$E$2:$H$427,4)</f>
        <v>#N/A N/A</v>
      </c>
      <c r="F91" s="6" t="s">
        <v>45</v>
      </c>
      <c r="G91" s="6" t="s">
        <v>2131</v>
      </c>
      <c r="H91" s="6" t="s">
        <v>2132</v>
      </c>
      <c r="I91" s="6" t="s">
        <v>2133</v>
      </c>
      <c r="J91" s="6" t="s">
        <v>55</v>
      </c>
      <c r="K91" s="6" t="s">
        <v>56</v>
      </c>
      <c r="L91" s="5">
        <v>34174250</v>
      </c>
      <c r="M91" s="6" t="s">
        <v>2011</v>
      </c>
      <c r="N91" s="6" t="s">
        <v>2129</v>
      </c>
      <c r="O91" s="6" t="s">
        <v>45</v>
      </c>
      <c r="P91" s="17">
        <v>41683</v>
      </c>
      <c r="Q91" s="5">
        <f>VLOOKUP(G91,'CBs RAW'!$E$2:$P$427,12)</f>
        <v>2.5</v>
      </c>
      <c r="R91" s="17">
        <v>46066</v>
      </c>
      <c r="S91" s="6" t="s">
        <v>2134</v>
      </c>
      <c r="T91" s="6" t="s">
        <v>189</v>
      </c>
      <c r="U91" s="6" t="s">
        <v>49</v>
      </c>
      <c r="V91" s="6" t="s">
        <v>53</v>
      </c>
      <c r="W91" s="6" t="s">
        <v>2135</v>
      </c>
      <c r="X91" s="18" t="str">
        <f>VLOOKUP(G91,'CBs RAW'!$E$2:$W$427,19)</f>
        <v>#N/A N/A</v>
      </c>
      <c r="Y91" s="2" t="str">
        <f t="shared" si="0"/>
        <v>#N/A N/A</v>
      </c>
      <c r="Z91" s="2" t="str">
        <f t="shared" si="1"/>
        <v>Berlin Hyp AGAT MATURITYFIXEDEURSr Non Preferred</v>
      </c>
    </row>
    <row r="92" spans="1:26" x14ac:dyDescent="0.2">
      <c r="A92" s="6">
        <v>91</v>
      </c>
      <c r="B92" s="6" t="s">
        <v>476</v>
      </c>
      <c r="C92" s="6" t="s">
        <v>479</v>
      </c>
      <c r="D92" s="6" t="s">
        <v>57</v>
      </c>
      <c r="E92" s="6" t="str">
        <f>VLOOKUP(G92,'CBs RAW'!$E$2:$H$427,4)</f>
        <v>#N/A N/A</v>
      </c>
      <c r="F92" s="6" t="s">
        <v>45</v>
      </c>
      <c r="G92" s="6" t="s">
        <v>2136</v>
      </c>
      <c r="H92" s="6" t="s">
        <v>2137</v>
      </c>
      <c r="I92" s="6" t="s">
        <v>2138</v>
      </c>
      <c r="J92" s="6" t="s">
        <v>55</v>
      </c>
      <c r="K92" s="6" t="s">
        <v>56</v>
      </c>
      <c r="L92" s="5">
        <v>6876950</v>
      </c>
      <c r="M92" s="6" t="s">
        <v>2011</v>
      </c>
      <c r="N92" s="6" t="s">
        <v>2129</v>
      </c>
      <c r="O92" s="6" t="s">
        <v>45</v>
      </c>
      <c r="P92" s="17">
        <v>41688</v>
      </c>
      <c r="Q92" s="5">
        <f>VLOOKUP(G92,'CBs RAW'!$E$2:$P$427,12)</f>
        <v>2.125</v>
      </c>
      <c r="R92" s="17">
        <v>44974</v>
      </c>
      <c r="S92" s="6" t="s">
        <v>225</v>
      </c>
      <c r="T92" s="6" t="s">
        <v>189</v>
      </c>
      <c r="U92" s="6" t="s">
        <v>49</v>
      </c>
      <c r="V92" s="6" t="s">
        <v>53</v>
      </c>
      <c r="W92" s="6" t="s">
        <v>2139</v>
      </c>
      <c r="X92" s="18" t="str">
        <f>VLOOKUP(G92,'CBs RAW'!$E$2:$W$427,19)</f>
        <v>#N/A N/A</v>
      </c>
      <c r="Y92" s="2" t="str">
        <f t="shared" si="0"/>
        <v>#N/A N/A</v>
      </c>
      <c r="Z92" s="2" t="str">
        <f t="shared" si="1"/>
        <v>Berlin Hyp AGAT MATURITYFIXEDEURSr Non Preferred</v>
      </c>
    </row>
    <row r="93" spans="1:26" x14ac:dyDescent="0.2">
      <c r="A93" s="6">
        <v>92</v>
      </c>
      <c r="B93" s="6" t="s">
        <v>476</v>
      </c>
      <c r="C93" s="6" t="s">
        <v>479</v>
      </c>
      <c r="D93" s="6" t="s">
        <v>57</v>
      </c>
      <c r="E93" s="6" t="str">
        <f>VLOOKUP(G93,'CBs RAW'!$E$2:$H$427,4)</f>
        <v>#N/A N/A</v>
      </c>
      <c r="F93" s="6" t="s">
        <v>45</v>
      </c>
      <c r="G93" s="6" t="s">
        <v>2140</v>
      </c>
      <c r="H93" s="6" t="s">
        <v>2141</v>
      </c>
      <c r="I93" s="6" t="s">
        <v>2142</v>
      </c>
      <c r="J93" s="6" t="s">
        <v>55</v>
      </c>
      <c r="K93" s="6" t="s">
        <v>56</v>
      </c>
      <c r="L93" s="5">
        <v>68058000</v>
      </c>
      <c r="M93" s="6" t="s">
        <v>458</v>
      </c>
      <c r="N93" s="6" t="s">
        <v>1770</v>
      </c>
      <c r="O93" s="6" t="s">
        <v>45</v>
      </c>
      <c r="P93" s="17">
        <v>41834</v>
      </c>
      <c r="Q93" s="5">
        <f>VLOOKUP(G93,'CBs RAW'!$E$2:$P$427,12)</f>
        <v>1.2</v>
      </c>
      <c r="R93" s="17">
        <v>44756</v>
      </c>
      <c r="S93" s="6" t="s">
        <v>2134</v>
      </c>
      <c r="T93" s="6" t="s">
        <v>189</v>
      </c>
      <c r="U93" s="6" t="s">
        <v>49</v>
      </c>
      <c r="V93" s="6" t="s">
        <v>53</v>
      </c>
      <c r="W93" s="6" t="s">
        <v>2143</v>
      </c>
      <c r="X93" s="18" t="str">
        <f>VLOOKUP(G93,'CBs RAW'!$E$2:$W$427,19)</f>
        <v>#N/A N/A</v>
      </c>
      <c r="Y93" s="2" t="str">
        <f t="shared" si="0"/>
        <v>#N/A N/A</v>
      </c>
      <c r="Z93" s="2" t="str">
        <f t="shared" si="1"/>
        <v>Berlin Hyp AGAT MATURITYFIXEDEURSecured</v>
      </c>
    </row>
    <row r="94" spans="1:26" x14ac:dyDescent="0.2">
      <c r="A94" s="6">
        <v>93</v>
      </c>
      <c r="B94" s="6" t="s">
        <v>476</v>
      </c>
      <c r="C94" s="6" t="s">
        <v>479</v>
      </c>
      <c r="D94" s="6" t="s">
        <v>57</v>
      </c>
      <c r="E94" s="6">
        <f>VLOOKUP(G94,'CBs RAW'!$E$2:$H$427,4)</f>
        <v>1.5260000000000002</v>
      </c>
      <c r="F94" s="6" t="s">
        <v>45</v>
      </c>
      <c r="G94" s="6" t="s">
        <v>2144</v>
      </c>
      <c r="H94" s="6" t="s">
        <v>2145</v>
      </c>
      <c r="I94" s="6" t="s">
        <v>2146</v>
      </c>
      <c r="J94" s="6" t="s">
        <v>55</v>
      </c>
      <c r="K94" s="6" t="s">
        <v>56</v>
      </c>
      <c r="L94" s="5">
        <v>183756600</v>
      </c>
      <c r="M94" s="6" t="s">
        <v>458</v>
      </c>
      <c r="N94" s="6" t="s">
        <v>1770</v>
      </c>
      <c r="O94" s="6" t="s">
        <v>45</v>
      </c>
      <c r="P94" s="17">
        <v>41834</v>
      </c>
      <c r="Q94" s="5">
        <f>VLOOKUP(G94,'CBs RAW'!$E$2:$P$427,12)</f>
        <v>1.52</v>
      </c>
      <c r="R94" s="17">
        <v>45488</v>
      </c>
      <c r="S94" s="6" t="s">
        <v>2134</v>
      </c>
      <c r="T94" s="6" t="s">
        <v>189</v>
      </c>
      <c r="U94" s="6" t="s">
        <v>49</v>
      </c>
      <c r="V94" s="6" t="s">
        <v>53</v>
      </c>
      <c r="W94" s="6" t="s">
        <v>2147</v>
      </c>
      <c r="X94" s="18">
        <f>VLOOKUP(G94,'CBs RAW'!$E$2:$W$427,19)</f>
        <v>1.532</v>
      </c>
      <c r="Y94" s="19">
        <f t="shared" si="0"/>
        <v>1.532</v>
      </c>
      <c r="Z94" s="2" t="str">
        <f t="shared" si="1"/>
        <v>Berlin Hyp AGAT MATURITYFIXEDEURSecured</v>
      </c>
    </row>
    <row r="95" spans="1:26" x14ac:dyDescent="0.2">
      <c r="A95" s="6">
        <v>94</v>
      </c>
      <c r="B95" s="6" t="s">
        <v>476</v>
      </c>
      <c r="C95" s="6" t="s">
        <v>479</v>
      </c>
      <c r="D95" s="6" t="s">
        <v>57</v>
      </c>
      <c r="E95" s="6" t="str">
        <f>VLOOKUP(G95,'CBs RAW'!$E$2:$H$427,4)</f>
        <v>#N/A N/A</v>
      </c>
      <c r="F95" s="6" t="s">
        <v>45</v>
      </c>
      <c r="G95" s="6" t="s">
        <v>2148</v>
      </c>
      <c r="H95" s="6" t="s">
        <v>2149</v>
      </c>
      <c r="I95" s="6" t="s">
        <v>2150</v>
      </c>
      <c r="J95" s="6" t="s">
        <v>55</v>
      </c>
      <c r="K95" s="6" t="s">
        <v>56</v>
      </c>
      <c r="L95" s="5">
        <v>13368900</v>
      </c>
      <c r="M95" s="6" t="s">
        <v>2011</v>
      </c>
      <c r="N95" s="6" t="s">
        <v>2129</v>
      </c>
      <c r="O95" s="6" t="s">
        <v>45</v>
      </c>
      <c r="P95" s="17">
        <v>41857</v>
      </c>
      <c r="Q95" s="5">
        <f>VLOOKUP(G95,'CBs RAW'!$E$2:$P$427,12)</f>
        <v>1.625</v>
      </c>
      <c r="R95" s="17">
        <v>45510</v>
      </c>
      <c r="S95" s="6" t="s">
        <v>2134</v>
      </c>
      <c r="T95" s="6" t="s">
        <v>189</v>
      </c>
      <c r="U95" s="6" t="s">
        <v>49</v>
      </c>
      <c r="V95" s="6" t="s">
        <v>53</v>
      </c>
      <c r="W95" s="6" t="s">
        <v>2151</v>
      </c>
      <c r="X95" s="18" t="str">
        <f>VLOOKUP(G95,'CBs RAW'!$E$2:$W$427,19)</f>
        <v>#N/A N/A</v>
      </c>
      <c r="Y95" s="2" t="str">
        <f t="shared" si="0"/>
        <v>#N/A N/A</v>
      </c>
      <c r="Z95" s="2" t="str">
        <f t="shared" si="1"/>
        <v>Berlin Hyp AGAT MATURITYFIXEDEURSr Non Preferred</v>
      </c>
    </row>
    <row r="96" spans="1:26" x14ac:dyDescent="0.2">
      <c r="A96" s="6">
        <v>95</v>
      </c>
      <c r="B96" s="6" t="s">
        <v>476</v>
      </c>
      <c r="C96" s="6" t="s">
        <v>479</v>
      </c>
      <c r="D96" s="6" t="s">
        <v>391</v>
      </c>
      <c r="E96" s="6" t="str">
        <f>VLOOKUP(G96,'CBs RAW'!$E$2:$H$427,4)</f>
        <v>#N/A N/A</v>
      </c>
      <c r="F96" s="6" t="s">
        <v>45</v>
      </c>
      <c r="G96" s="6" t="s">
        <v>2152</v>
      </c>
      <c r="H96" s="6" t="s">
        <v>2153</v>
      </c>
      <c r="I96" s="6" t="s">
        <v>2154</v>
      </c>
      <c r="J96" s="6" t="s">
        <v>55</v>
      </c>
      <c r="K96" s="6" t="s">
        <v>70</v>
      </c>
      <c r="L96" s="5">
        <v>6344650</v>
      </c>
      <c r="M96" s="6" t="s">
        <v>2011</v>
      </c>
      <c r="N96" s="6" t="s">
        <v>2129</v>
      </c>
      <c r="O96" s="6" t="s">
        <v>45</v>
      </c>
      <c r="P96" s="17">
        <v>41908</v>
      </c>
      <c r="Q96" s="5">
        <f>VLOOKUP(G96,'CBs RAW'!$E$2:$P$427,12)</f>
        <v>0.78</v>
      </c>
      <c r="R96" s="17">
        <v>44830</v>
      </c>
      <c r="S96" s="6" t="s">
        <v>225</v>
      </c>
      <c r="T96" s="6" t="s">
        <v>189</v>
      </c>
      <c r="U96" s="6" t="s">
        <v>49</v>
      </c>
      <c r="V96" s="6" t="s">
        <v>53</v>
      </c>
      <c r="W96" s="6" t="s">
        <v>2155</v>
      </c>
      <c r="X96" s="18" t="str">
        <f>VLOOKUP(G96,'CBs RAW'!$E$2:$W$427,19)</f>
        <v>#N/A N/A</v>
      </c>
      <c r="Y96" s="2" t="str">
        <f t="shared" si="0"/>
        <v>#N/A N/A</v>
      </c>
      <c r="Z96" s="2" t="str">
        <f t="shared" si="1"/>
        <v>Berlin Hyp AGAT MATURITYFLOATINGEURSr Non Preferred</v>
      </c>
    </row>
    <row r="97" spans="1:26" x14ac:dyDescent="0.2">
      <c r="A97" s="6">
        <v>96</v>
      </c>
      <c r="B97" s="6" t="s">
        <v>476</v>
      </c>
      <c r="C97" s="6" t="s">
        <v>479</v>
      </c>
      <c r="D97" s="6" t="s">
        <v>57</v>
      </c>
      <c r="E97" s="6" t="str">
        <f>VLOOKUP(G97,'CBs RAW'!$E$2:$H$427,4)</f>
        <v>#N/A N/A</v>
      </c>
      <c r="F97" s="6" t="s">
        <v>45</v>
      </c>
      <c r="G97" s="6" t="s">
        <v>2156</v>
      </c>
      <c r="H97" s="6" t="s">
        <v>2157</v>
      </c>
      <c r="I97" s="6" t="s">
        <v>2158</v>
      </c>
      <c r="J97" s="6" t="s">
        <v>55</v>
      </c>
      <c r="K97" s="6" t="s">
        <v>56</v>
      </c>
      <c r="L97" s="5">
        <v>12531600</v>
      </c>
      <c r="M97" s="6" t="s">
        <v>2011</v>
      </c>
      <c r="N97" s="6" t="s">
        <v>2129</v>
      </c>
      <c r="O97" s="6" t="s">
        <v>45</v>
      </c>
      <c r="P97" s="17">
        <v>41961</v>
      </c>
      <c r="Q97" s="5">
        <f>VLOOKUP(G97,'CBs RAW'!$E$2:$P$427,12)</f>
        <v>1.3</v>
      </c>
      <c r="R97" s="17">
        <v>45614</v>
      </c>
      <c r="S97" s="6" t="s">
        <v>225</v>
      </c>
      <c r="T97" s="6" t="s">
        <v>189</v>
      </c>
      <c r="U97" s="6" t="s">
        <v>49</v>
      </c>
      <c r="V97" s="6" t="s">
        <v>53</v>
      </c>
      <c r="W97" s="6" t="s">
        <v>2159</v>
      </c>
      <c r="X97" s="18" t="str">
        <f>VLOOKUP(G97,'CBs RAW'!$E$2:$W$427,19)</f>
        <v>#N/A N/A</v>
      </c>
      <c r="Y97" s="2" t="str">
        <f t="shared" si="0"/>
        <v>#N/A N/A</v>
      </c>
      <c r="Z97" s="2" t="str">
        <f t="shared" si="1"/>
        <v>Berlin Hyp AGAT MATURITYFIXEDEURSr Non Preferred</v>
      </c>
    </row>
    <row r="98" spans="1:26" x14ac:dyDescent="0.2">
      <c r="A98" s="6">
        <v>97</v>
      </c>
      <c r="B98" s="6" t="s">
        <v>476</v>
      </c>
      <c r="C98" s="6" t="s">
        <v>479</v>
      </c>
      <c r="D98" s="6" t="s">
        <v>57</v>
      </c>
      <c r="E98" s="6" t="str">
        <f>VLOOKUP(G98,'CBs RAW'!$E$2:$H$427,4)</f>
        <v>#N/A N/A</v>
      </c>
      <c r="F98" s="6" t="s">
        <v>45</v>
      </c>
      <c r="G98" s="6" t="s">
        <v>2160</v>
      </c>
      <c r="H98" s="6" t="s">
        <v>2161</v>
      </c>
      <c r="I98" s="6" t="s">
        <v>2162</v>
      </c>
      <c r="J98" s="6" t="s">
        <v>55</v>
      </c>
      <c r="K98" s="6" t="s">
        <v>56</v>
      </c>
      <c r="L98" s="5">
        <v>12175700</v>
      </c>
      <c r="M98" s="6" t="s">
        <v>2011</v>
      </c>
      <c r="N98" s="6" t="s">
        <v>2129</v>
      </c>
      <c r="O98" s="6" t="s">
        <v>45</v>
      </c>
      <c r="P98" s="17">
        <v>41996</v>
      </c>
      <c r="Q98" s="5">
        <f>VLOOKUP(G98,'CBs RAW'!$E$2:$P$427,12)</f>
        <v>1</v>
      </c>
      <c r="R98" s="17">
        <v>45287</v>
      </c>
      <c r="S98" s="6" t="s">
        <v>225</v>
      </c>
      <c r="T98" s="6" t="s">
        <v>189</v>
      </c>
      <c r="U98" s="6" t="s">
        <v>49</v>
      </c>
      <c r="V98" s="6" t="s">
        <v>53</v>
      </c>
      <c r="W98" s="6" t="s">
        <v>2163</v>
      </c>
      <c r="X98" s="18" t="str">
        <f>VLOOKUP(G98,'CBs RAW'!$E$2:$W$427,19)</f>
        <v>#N/A N/A</v>
      </c>
      <c r="Y98" s="2" t="str">
        <f t="shared" si="0"/>
        <v>#N/A N/A</v>
      </c>
      <c r="Z98" s="2" t="str">
        <f t="shared" si="1"/>
        <v>Berlin Hyp AGAT MATURITYFIXEDEURSr Non Preferred</v>
      </c>
    </row>
    <row r="99" spans="1:26" x14ac:dyDescent="0.2">
      <c r="A99" s="6">
        <v>98</v>
      </c>
      <c r="B99" s="6" t="s">
        <v>476</v>
      </c>
      <c r="C99" s="6" t="s">
        <v>479</v>
      </c>
      <c r="D99" s="6" t="s">
        <v>391</v>
      </c>
      <c r="E99" s="6" t="str">
        <f>VLOOKUP(G99,'CBs RAW'!$E$2:$H$427,4)</f>
        <v>#N/A N/A</v>
      </c>
      <c r="F99" s="6" t="s">
        <v>45</v>
      </c>
      <c r="G99" s="6" t="s">
        <v>2164</v>
      </c>
      <c r="H99" s="6" t="s">
        <v>2165</v>
      </c>
      <c r="I99" s="6" t="s">
        <v>2166</v>
      </c>
      <c r="J99" s="6" t="s">
        <v>55</v>
      </c>
      <c r="K99" s="6" t="s">
        <v>70</v>
      </c>
      <c r="L99" s="5">
        <v>24315000</v>
      </c>
      <c r="M99" s="6" t="s">
        <v>2011</v>
      </c>
      <c r="N99" s="6" t="s">
        <v>2129</v>
      </c>
      <c r="O99" s="6" t="s">
        <v>45</v>
      </c>
      <c r="P99" s="17">
        <v>42003</v>
      </c>
      <c r="Q99" s="5">
        <f>VLOOKUP(G99,'CBs RAW'!$E$2:$P$427,12)</f>
        <v>0.4</v>
      </c>
      <c r="R99" s="17">
        <v>45656</v>
      </c>
      <c r="S99" s="6" t="s">
        <v>2134</v>
      </c>
      <c r="T99" s="6" t="s">
        <v>189</v>
      </c>
      <c r="U99" s="6" t="s">
        <v>49</v>
      </c>
      <c r="V99" s="6" t="s">
        <v>53</v>
      </c>
      <c r="W99" s="6" t="s">
        <v>2167</v>
      </c>
      <c r="X99" s="18" t="str">
        <f>VLOOKUP(G99,'CBs RAW'!$E$2:$W$427,19)</f>
        <v>#N/A N/A</v>
      </c>
      <c r="Y99" s="2" t="str">
        <f t="shared" si="0"/>
        <v>#N/A N/A</v>
      </c>
      <c r="Z99" s="2" t="str">
        <f t="shared" si="1"/>
        <v>Berlin Hyp AGAT MATURITYFLOATINGEURSr Non Preferred</v>
      </c>
    </row>
    <row r="100" spans="1:26" x14ac:dyDescent="0.2">
      <c r="A100" s="6">
        <v>99</v>
      </c>
      <c r="B100" s="6" t="s">
        <v>476</v>
      </c>
      <c r="C100" s="6" t="s">
        <v>479</v>
      </c>
      <c r="D100" s="6" t="s">
        <v>391</v>
      </c>
      <c r="E100" s="6" t="str">
        <f>VLOOKUP(G100,'CBs RAW'!$E$2:$H$427,4)</f>
        <v>#N/A N/A</v>
      </c>
      <c r="F100" s="6" t="s">
        <v>45</v>
      </c>
      <c r="G100" s="6" t="s">
        <v>2168</v>
      </c>
      <c r="H100" s="6" t="s">
        <v>2169</v>
      </c>
      <c r="I100" s="6" t="s">
        <v>2170</v>
      </c>
      <c r="J100" s="6" t="s">
        <v>55</v>
      </c>
      <c r="K100" s="6" t="s">
        <v>70</v>
      </c>
      <c r="L100" s="5">
        <v>36472500</v>
      </c>
      <c r="M100" s="6" t="s">
        <v>482</v>
      </c>
      <c r="N100" s="6" t="s">
        <v>1770</v>
      </c>
      <c r="O100" s="6" t="s">
        <v>45</v>
      </c>
      <c r="P100" s="17">
        <v>42003</v>
      </c>
      <c r="Q100" s="5">
        <f>VLOOKUP(G100,'CBs RAW'!$E$2:$P$427,12)</f>
        <v>0.4</v>
      </c>
      <c r="R100" s="17">
        <v>45656</v>
      </c>
      <c r="S100" s="6" t="s">
        <v>2171</v>
      </c>
      <c r="T100" s="6" t="s">
        <v>483</v>
      </c>
      <c r="U100" s="6" t="s">
        <v>49</v>
      </c>
      <c r="V100" s="6" t="s">
        <v>53</v>
      </c>
      <c r="W100" s="6" t="s">
        <v>2172</v>
      </c>
      <c r="X100" s="18" t="str">
        <f>VLOOKUP(G100,'CBs RAW'!$E$2:$W$427,19)</f>
        <v>#N/A N/A</v>
      </c>
      <c r="Y100" s="2" t="str">
        <f t="shared" si="0"/>
        <v>#N/A N/A</v>
      </c>
      <c r="Z100" s="2" t="str">
        <f t="shared" si="1"/>
        <v>Berlin Hyp AGAT MATURITYFLOATINGEURSr Preferred</v>
      </c>
    </row>
    <row r="101" spans="1:26" x14ac:dyDescent="0.2">
      <c r="A101" s="6">
        <v>100</v>
      </c>
      <c r="B101" s="6" t="s">
        <v>476</v>
      </c>
      <c r="C101" s="6" t="s">
        <v>479</v>
      </c>
      <c r="D101" s="6" t="s">
        <v>57</v>
      </c>
      <c r="E101" s="6" t="str">
        <f>VLOOKUP(G101,'CBs RAW'!$E$2:$H$427,4)</f>
        <v>#N/A N/A</v>
      </c>
      <c r="F101" s="6" t="s">
        <v>45</v>
      </c>
      <c r="G101" s="6" t="s">
        <v>2173</v>
      </c>
      <c r="H101" s="6" t="s">
        <v>2174</v>
      </c>
      <c r="I101" s="6" t="s">
        <v>2175</v>
      </c>
      <c r="J101" s="6" t="s">
        <v>55</v>
      </c>
      <c r="K101" s="6" t="s">
        <v>56</v>
      </c>
      <c r="L101" s="5">
        <v>853732500</v>
      </c>
      <c r="M101" s="6" t="s">
        <v>2011</v>
      </c>
      <c r="N101" s="6" t="s">
        <v>2129</v>
      </c>
      <c r="O101" s="6" t="s">
        <v>45</v>
      </c>
      <c r="P101" s="17">
        <v>42026</v>
      </c>
      <c r="Q101" s="5">
        <f>VLOOKUP(G101,'CBs RAW'!$E$2:$P$427,12)</f>
        <v>1.25</v>
      </c>
      <c r="R101" s="17">
        <v>45679</v>
      </c>
      <c r="S101" s="6" t="s">
        <v>225</v>
      </c>
      <c r="T101" s="6" t="s">
        <v>189</v>
      </c>
      <c r="U101" s="6" t="s">
        <v>49</v>
      </c>
      <c r="V101" s="6" t="s">
        <v>53</v>
      </c>
      <c r="W101" s="6" t="s">
        <v>2176</v>
      </c>
      <c r="X101" s="18">
        <f>VLOOKUP(G101,'CBs RAW'!$E$2:$W$427,19)</f>
        <v>1.1859999999999999</v>
      </c>
      <c r="Y101" s="19">
        <f t="shared" si="0"/>
        <v>1.1859999999999999</v>
      </c>
      <c r="Z101" s="2" t="str">
        <f t="shared" si="1"/>
        <v>Berlin Hyp AGAT MATURITYFIXEDEURSr Non Preferred</v>
      </c>
    </row>
    <row r="102" spans="1:26" x14ac:dyDescent="0.2">
      <c r="A102" s="6">
        <v>101</v>
      </c>
      <c r="B102" s="6" t="s">
        <v>476</v>
      </c>
      <c r="C102" s="6" t="s">
        <v>479</v>
      </c>
      <c r="D102" s="6" t="s">
        <v>57</v>
      </c>
      <c r="E102" s="6" t="str">
        <f>VLOOKUP(G102,'CBs RAW'!$E$2:$H$427,4)</f>
        <v>#N/A N/A</v>
      </c>
      <c r="F102" s="6" t="s">
        <v>45</v>
      </c>
      <c r="G102" s="6" t="s">
        <v>2177</v>
      </c>
      <c r="H102" s="6" t="s">
        <v>2178</v>
      </c>
      <c r="I102" s="6" t="s">
        <v>2179</v>
      </c>
      <c r="J102" s="6" t="s">
        <v>55</v>
      </c>
      <c r="K102" s="6" t="s">
        <v>56</v>
      </c>
      <c r="L102" s="5">
        <v>551405000</v>
      </c>
      <c r="M102" s="6" t="s">
        <v>458</v>
      </c>
      <c r="N102" s="6" t="s">
        <v>1770</v>
      </c>
      <c r="O102" s="6" t="s">
        <v>45</v>
      </c>
      <c r="P102" s="17">
        <v>42422</v>
      </c>
      <c r="Q102" s="5">
        <f>VLOOKUP(G102,'CBs RAW'!$E$2:$P$427,12)</f>
        <v>0.25</v>
      </c>
      <c r="R102" s="17">
        <v>44979</v>
      </c>
      <c r="S102" s="6" t="s">
        <v>225</v>
      </c>
      <c r="T102" s="6" t="s">
        <v>189</v>
      </c>
      <c r="U102" s="6" t="s">
        <v>49</v>
      </c>
      <c r="V102" s="6" t="s">
        <v>53</v>
      </c>
      <c r="W102" s="6" t="s">
        <v>2180</v>
      </c>
      <c r="X102" s="18">
        <f>VLOOKUP(G102,'CBs RAW'!$E$2:$W$427,19)</f>
        <v>0.20200000000000001</v>
      </c>
      <c r="Y102" s="19">
        <f t="shared" si="0"/>
        <v>0.20200000000000001</v>
      </c>
      <c r="Z102" s="2" t="str">
        <f t="shared" si="1"/>
        <v>Berlin Hyp AGAT MATURITYFIXEDEURSecured</v>
      </c>
    </row>
    <row r="103" spans="1:26" x14ac:dyDescent="0.2">
      <c r="A103" s="6">
        <v>102</v>
      </c>
      <c r="B103" s="6" t="s">
        <v>476</v>
      </c>
      <c r="C103" s="6" t="s">
        <v>479</v>
      </c>
      <c r="D103" s="6" t="s">
        <v>57</v>
      </c>
      <c r="E103" s="6" t="str">
        <f>VLOOKUP(G103,'CBs RAW'!$E$2:$H$427,4)</f>
        <v>#N/A N/A</v>
      </c>
      <c r="F103" s="6" t="s">
        <v>45</v>
      </c>
      <c r="G103" s="6" t="s">
        <v>2181</v>
      </c>
      <c r="H103" s="6" t="s">
        <v>2182</v>
      </c>
      <c r="I103" s="6" t="s">
        <v>2183</v>
      </c>
      <c r="J103" s="6" t="s">
        <v>55</v>
      </c>
      <c r="K103" s="6" t="s">
        <v>56</v>
      </c>
      <c r="L103" s="5">
        <v>576335000</v>
      </c>
      <c r="M103" s="6" t="s">
        <v>458</v>
      </c>
      <c r="N103" s="6" t="s">
        <v>1770</v>
      </c>
      <c r="O103" s="6" t="s">
        <v>45</v>
      </c>
      <c r="P103" s="17">
        <v>42493</v>
      </c>
      <c r="Q103" s="5">
        <f>VLOOKUP(G103,'CBs RAW'!$E$2:$P$427,12)</f>
        <v>0.375</v>
      </c>
      <c r="R103" s="17">
        <v>45415</v>
      </c>
      <c r="S103" s="6">
        <v>198</v>
      </c>
      <c r="T103" s="6" t="s">
        <v>189</v>
      </c>
      <c r="U103" s="6" t="s">
        <v>49</v>
      </c>
      <c r="V103" s="6" t="s">
        <v>53</v>
      </c>
      <c r="W103" s="6" t="s">
        <v>2184</v>
      </c>
      <c r="X103" s="18">
        <f>VLOOKUP(G103,'CBs RAW'!$E$2:$W$427,19)</f>
        <v>0.31900000000000001</v>
      </c>
      <c r="Y103" s="19">
        <f t="shared" si="0"/>
        <v>0.31900000000000001</v>
      </c>
      <c r="Z103" s="2" t="str">
        <f t="shared" si="1"/>
        <v>Berlin Hyp AGAT MATURITYFIXEDEURSecured</v>
      </c>
    </row>
    <row r="104" spans="1:26" x14ac:dyDescent="0.2">
      <c r="A104" s="6">
        <v>103</v>
      </c>
      <c r="B104" s="6" t="s">
        <v>476</v>
      </c>
      <c r="C104" s="6" t="s">
        <v>479</v>
      </c>
      <c r="D104" s="6" t="s">
        <v>391</v>
      </c>
      <c r="E104" s="6" t="str">
        <f>VLOOKUP(G104,'CBs RAW'!$E$2:$H$427,4)</f>
        <v>#N/A N/A</v>
      </c>
      <c r="F104" s="6" t="s">
        <v>45</v>
      </c>
      <c r="G104" s="6" t="s">
        <v>2185</v>
      </c>
      <c r="H104" s="6" t="s">
        <v>2186</v>
      </c>
      <c r="I104" s="6" t="s">
        <v>2187</v>
      </c>
      <c r="J104" s="6" t="s">
        <v>55</v>
      </c>
      <c r="K104" s="6" t="s">
        <v>70</v>
      </c>
      <c r="L104" s="5">
        <v>11160000</v>
      </c>
      <c r="M104" s="6" t="s">
        <v>2011</v>
      </c>
      <c r="N104" s="6" t="s">
        <v>2129</v>
      </c>
      <c r="O104" s="6" t="s">
        <v>45</v>
      </c>
      <c r="P104" s="17">
        <v>42256</v>
      </c>
      <c r="Q104" s="5">
        <f>VLOOKUP(G104,'CBs RAW'!$E$2:$P$427,12)</f>
        <v>0.10200000000000001</v>
      </c>
      <c r="R104" s="17">
        <v>44813</v>
      </c>
      <c r="S104" s="6" t="s">
        <v>225</v>
      </c>
      <c r="T104" s="6" t="s">
        <v>117</v>
      </c>
      <c r="U104" s="6" t="s">
        <v>49</v>
      </c>
      <c r="V104" s="6" t="s">
        <v>53</v>
      </c>
      <c r="W104" s="6" t="s">
        <v>2188</v>
      </c>
      <c r="X104" s="18" t="str">
        <f>VLOOKUP(G104,'CBs RAW'!$E$2:$W$427,19)</f>
        <v>#N/A N/A</v>
      </c>
      <c r="Y104" s="2" t="str">
        <f t="shared" si="0"/>
        <v>#N/A N/A</v>
      </c>
      <c r="Z104" s="2" t="str">
        <f t="shared" si="1"/>
        <v>Berlin Hyp AGAT MATURITYFLOATINGEURSr Non Preferred</v>
      </c>
    </row>
    <row r="105" spans="1:26" x14ac:dyDescent="0.2">
      <c r="A105" s="6">
        <v>104</v>
      </c>
      <c r="B105" s="6" t="s">
        <v>476</v>
      </c>
      <c r="C105" s="6" t="s">
        <v>479</v>
      </c>
      <c r="D105" s="6" t="s">
        <v>57</v>
      </c>
      <c r="E105" s="6" t="str">
        <f>VLOOKUP(G105,'CBs RAW'!$E$2:$H$427,4)</f>
        <v>#N/A N/A</v>
      </c>
      <c r="F105" s="6" t="s">
        <v>45</v>
      </c>
      <c r="G105" s="6" t="s">
        <v>2189</v>
      </c>
      <c r="H105" s="6" t="s">
        <v>2190</v>
      </c>
      <c r="I105" s="6" t="s">
        <v>2191</v>
      </c>
      <c r="J105" s="6" t="s">
        <v>55</v>
      </c>
      <c r="K105" s="6" t="s">
        <v>56</v>
      </c>
      <c r="L105" s="5">
        <v>10563930</v>
      </c>
      <c r="M105" s="6" t="s">
        <v>458</v>
      </c>
      <c r="N105" s="6" t="s">
        <v>1770</v>
      </c>
      <c r="O105" s="6" t="s">
        <v>45</v>
      </c>
      <c r="P105" s="17">
        <v>44103</v>
      </c>
      <c r="Q105" s="5">
        <f>VLOOKUP(G105,'CBs RAW'!$E$2:$P$427,12)</f>
        <v>0.13</v>
      </c>
      <c r="R105" s="17">
        <v>48486</v>
      </c>
      <c r="S105" s="6" t="s">
        <v>225</v>
      </c>
      <c r="T105" s="6" t="s">
        <v>189</v>
      </c>
      <c r="U105" s="6" t="s">
        <v>115</v>
      </c>
      <c r="V105" s="6" t="s">
        <v>53</v>
      </c>
      <c r="W105" s="6" t="s">
        <v>2192</v>
      </c>
      <c r="X105" s="18" t="str">
        <f>VLOOKUP(G105,'CBs RAW'!$E$2:$W$427,19)</f>
        <v>#N/A N/A</v>
      </c>
      <c r="Y105" s="2" t="str">
        <f t="shared" si="0"/>
        <v>#N/A N/A</v>
      </c>
      <c r="Z105" s="2" t="str">
        <f t="shared" si="1"/>
        <v>Berlin Hyp AGCALLABLEFIXEDEURSecured</v>
      </c>
    </row>
    <row r="106" spans="1:26" x14ac:dyDescent="0.2">
      <c r="A106" s="6">
        <v>105</v>
      </c>
      <c r="B106" s="6" t="s">
        <v>476</v>
      </c>
      <c r="C106" s="6" t="s">
        <v>479</v>
      </c>
      <c r="D106" s="6" t="s">
        <v>57</v>
      </c>
      <c r="E106" s="6" t="str">
        <f>VLOOKUP(G106,'CBs RAW'!$E$2:$H$427,4)</f>
        <v>#N/A N/A</v>
      </c>
      <c r="F106" s="6" t="s">
        <v>45</v>
      </c>
      <c r="G106" s="6" t="s">
        <v>2193</v>
      </c>
      <c r="H106" s="6" t="s">
        <v>2194</v>
      </c>
      <c r="I106" s="6" t="s">
        <v>2195</v>
      </c>
      <c r="J106" s="6" t="s">
        <v>55</v>
      </c>
      <c r="K106" s="6" t="s">
        <v>1805</v>
      </c>
      <c r="L106" s="5">
        <v>17716200</v>
      </c>
      <c r="M106" s="6" t="s">
        <v>458</v>
      </c>
      <c r="N106" s="6" t="s">
        <v>173</v>
      </c>
      <c r="O106" s="6" t="s">
        <v>45</v>
      </c>
      <c r="P106" s="17">
        <v>44116</v>
      </c>
      <c r="Q106" s="5">
        <f>VLOOKUP(G106,'CBs RAW'!$E$2:$P$427,12)</f>
        <v>0.03</v>
      </c>
      <c r="R106" s="17">
        <v>55073</v>
      </c>
      <c r="S106" s="6" t="s">
        <v>225</v>
      </c>
      <c r="T106" s="6" t="s">
        <v>189</v>
      </c>
      <c r="U106" s="6" t="s">
        <v>115</v>
      </c>
      <c r="V106" s="6" t="s">
        <v>53</v>
      </c>
      <c r="W106" s="6" t="s">
        <v>2196</v>
      </c>
      <c r="X106" s="18" t="str">
        <f>VLOOKUP(G106,'CBs RAW'!$E$2:$W$427,19)</f>
        <v>#N/A N/A</v>
      </c>
      <c r="Y106" s="2" t="str">
        <f t="shared" si="0"/>
        <v>#N/A N/A</v>
      </c>
      <c r="Z106" s="2" t="str">
        <f t="shared" si="1"/>
        <v>Berlin Hyp AGCALLABLESTEP CPNEURSecured</v>
      </c>
    </row>
    <row r="107" spans="1:26" x14ac:dyDescent="0.2">
      <c r="A107" s="6">
        <v>106</v>
      </c>
      <c r="B107" s="6" t="s">
        <v>476</v>
      </c>
      <c r="C107" s="6" t="s">
        <v>479</v>
      </c>
      <c r="D107" s="6" t="s">
        <v>57</v>
      </c>
      <c r="E107" s="6">
        <f>VLOOKUP(G107,'CBs RAW'!$E$2:$H$427,4)</f>
        <v>5.5E-2</v>
      </c>
      <c r="F107" s="6" t="s">
        <v>45</v>
      </c>
      <c r="G107" s="6" t="s">
        <v>2197</v>
      </c>
      <c r="H107" s="6" t="s">
        <v>2198</v>
      </c>
      <c r="I107" s="6" t="s">
        <v>2199</v>
      </c>
      <c r="J107" s="6" t="s">
        <v>55</v>
      </c>
      <c r="K107" s="6" t="s">
        <v>56</v>
      </c>
      <c r="L107" s="5">
        <v>11719000</v>
      </c>
      <c r="M107" s="6" t="s">
        <v>482</v>
      </c>
      <c r="N107" s="6" t="s">
        <v>1770</v>
      </c>
      <c r="O107" s="6" t="s">
        <v>45</v>
      </c>
      <c r="P107" s="17">
        <v>44120</v>
      </c>
      <c r="Q107" s="5">
        <f>VLOOKUP(G107,'CBs RAW'!$E$2:$P$427,12)</f>
        <v>5.5E-2</v>
      </c>
      <c r="R107" s="17">
        <v>47772</v>
      </c>
      <c r="S107" s="6" t="s">
        <v>225</v>
      </c>
      <c r="T107" s="6" t="s">
        <v>483</v>
      </c>
      <c r="U107" s="6" t="s">
        <v>49</v>
      </c>
      <c r="V107" s="6" t="s">
        <v>53</v>
      </c>
      <c r="W107" s="6" t="s">
        <v>2200</v>
      </c>
      <c r="X107" s="18" t="str">
        <f>VLOOKUP(G107,'CBs RAW'!$E$2:$W$427,19)</f>
        <v>#N/A N/A</v>
      </c>
      <c r="Y107" s="2">
        <f t="shared" si="0"/>
        <v>5.5E-2</v>
      </c>
      <c r="Z107" s="2" t="str">
        <f t="shared" si="1"/>
        <v>Berlin Hyp AGAT MATURITYFIXEDEURSr Preferred</v>
      </c>
    </row>
    <row r="108" spans="1:26" x14ac:dyDescent="0.2">
      <c r="A108" s="6">
        <v>107</v>
      </c>
      <c r="B108" s="6" t="s">
        <v>476</v>
      </c>
      <c r="C108" s="6" t="s">
        <v>479</v>
      </c>
      <c r="D108" s="6" t="s">
        <v>57</v>
      </c>
      <c r="E108" s="6" t="str">
        <f>VLOOKUP(G108,'CBs RAW'!$E$2:$H$427,4)</f>
        <v>#N/A N/A</v>
      </c>
      <c r="F108" s="6" t="s">
        <v>45</v>
      </c>
      <c r="G108" s="6" t="s">
        <v>2201</v>
      </c>
      <c r="H108" s="6" t="s">
        <v>2202</v>
      </c>
      <c r="I108" s="6" t="s">
        <v>2203</v>
      </c>
      <c r="J108" s="6" t="s">
        <v>55</v>
      </c>
      <c r="K108" s="6" t="s">
        <v>56</v>
      </c>
      <c r="L108" s="5">
        <v>33153000</v>
      </c>
      <c r="M108" s="6" t="s">
        <v>482</v>
      </c>
      <c r="N108" s="6" t="s">
        <v>173</v>
      </c>
      <c r="O108" s="6" t="s">
        <v>45</v>
      </c>
      <c r="P108" s="17">
        <v>43853</v>
      </c>
      <c r="Q108" s="5">
        <f>VLOOKUP(G108,'CBs RAW'!$E$2:$P$427,12)</f>
        <v>8.8999999999999996E-2</v>
      </c>
      <c r="R108" s="17">
        <v>45680</v>
      </c>
      <c r="S108" s="6" t="s">
        <v>225</v>
      </c>
      <c r="T108" s="6" t="s">
        <v>483</v>
      </c>
      <c r="U108" s="6" t="s">
        <v>49</v>
      </c>
      <c r="V108" s="6" t="s">
        <v>53</v>
      </c>
      <c r="W108" s="6" t="s">
        <v>2204</v>
      </c>
      <c r="X108" s="18" t="str">
        <f>VLOOKUP(G108,'CBs RAW'!$E$2:$W$427,19)</f>
        <v>#N/A N/A</v>
      </c>
      <c r="Y108" s="2" t="str">
        <f t="shared" si="0"/>
        <v>#N/A N/A</v>
      </c>
      <c r="Z108" s="2" t="str">
        <f t="shared" si="1"/>
        <v>Berlin Hyp AGAT MATURITYFIXEDEURSr Preferred</v>
      </c>
    </row>
    <row r="109" spans="1:26" x14ac:dyDescent="0.2">
      <c r="A109" s="6">
        <v>108</v>
      </c>
      <c r="B109" s="6" t="s">
        <v>476</v>
      </c>
      <c r="C109" s="6" t="s">
        <v>479</v>
      </c>
      <c r="D109" s="6" t="s">
        <v>391</v>
      </c>
      <c r="E109" s="6" t="str">
        <f>VLOOKUP(G109,'CBs RAW'!$E$2:$H$427,4)</f>
        <v>#N/A N/A</v>
      </c>
      <c r="F109" s="6" t="s">
        <v>45</v>
      </c>
      <c r="G109" s="6" t="s">
        <v>2205</v>
      </c>
      <c r="H109" s="6" t="s">
        <v>2206</v>
      </c>
      <c r="I109" s="6" t="s">
        <v>2207</v>
      </c>
      <c r="J109" s="6" t="s">
        <v>55</v>
      </c>
      <c r="K109" s="6" t="s">
        <v>70</v>
      </c>
      <c r="L109" s="5">
        <v>22017800</v>
      </c>
      <c r="M109" s="6" t="s">
        <v>458</v>
      </c>
      <c r="N109" s="6" t="s">
        <v>1770</v>
      </c>
      <c r="O109" s="6" t="s">
        <v>45</v>
      </c>
      <c r="P109" s="17">
        <v>43858</v>
      </c>
      <c r="Q109" s="5">
        <f>VLOOKUP(G109,'CBs RAW'!$E$2:$P$427,12)</f>
        <v>6.9999999999999993E-2</v>
      </c>
      <c r="R109" s="17">
        <v>45685</v>
      </c>
      <c r="S109" s="6" t="s">
        <v>225</v>
      </c>
      <c r="T109" s="6" t="s">
        <v>189</v>
      </c>
      <c r="U109" s="6" t="s">
        <v>49</v>
      </c>
      <c r="V109" s="6" t="s">
        <v>53</v>
      </c>
      <c r="W109" s="6" t="s">
        <v>2208</v>
      </c>
      <c r="X109" s="18" t="str">
        <f>VLOOKUP(G109,'CBs RAW'!$E$2:$W$427,19)</f>
        <v>#N/A N/A</v>
      </c>
      <c r="Y109" s="2" t="str">
        <f t="shared" si="0"/>
        <v>#N/A N/A</v>
      </c>
      <c r="Z109" s="2" t="str">
        <f t="shared" si="1"/>
        <v>Berlin Hyp AGAT MATURITYFLOATINGEURSecured</v>
      </c>
    </row>
    <row r="110" spans="1:26" x14ac:dyDescent="0.2">
      <c r="A110" s="6">
        <v>109</v>
      </c>
      <c r="B110" s="6" t="s">
        <v>476</v>
      </c>
      <c r="C110" s="6" t="s">
        <v>479</v>
      </c>
      <c r="D110" s="6" t="s">
        <v>57</v>
      </c>
      <c r="E110" s="6" t="str">
        <f>VLOOKUP(G110,'CBs RAW'!$E$2:$H$427,4)</f>
        <v>#N/A N/A</v>
      </c>
      <c r="F110" s="6" t="s">
        <v>45</v>
      </c>
      <c r="G110" s="6" t="s">
        <v>2209</v>
      </c>
      <c r="H110" s="6" t="s">
        <v>2210</v>
      </c>
      <c r="I110" s="6" t="s">
        <v>2211</v>
      </c>
      <c r="J110" s="6" t="s">
        <v>55</v>
      </c>
      <c r="K110" s="6" t="s">
        <v>56</v>
      </c>
      <c r="L110" s="5">
        <v>541610000</v>
      </c>
      <c r="M110" s="6" t="s">
        <v>458</v>
      </c>
      <c r="N110" s="6" t="s">
        <v>173</v>
      </c>
      <c r="O110" s="6" t="s">
        <v>45</v>
      </c>
      <c r="P110" s="17">
        <v>43878</v>
      </c>
      <c r="Q110" s="5">
        <f>VLOOKUP(G110,'CBs RAW'!$E$2:$P$427,12)</f>
        <v>0.01</v>
      </c>
      <c r="R110" s="17">
        <v>46435</v>
      </c>
      <c r="S110" s="6" t="s">
        <v>173</v>
      </c>
      <c r="T110" s="6" t="s">
        <v>189</v>
      </c>
      <c r="U110" s="6" t="s">
        <v>49</v>
      </c>
      <c r="V110" s="6" t="s">
        <v>53</v>
      </c>
      <c r="W110" s="6" t="s">
        <v>2212</v>
      </c>
      <c r="X110" s="18">
        <f>VLOOKUP(G110,'CBs RAW'!$E$2:$W$427,19)</f>
        <v>-0.23</v>
      </c>
      <c r="Y110" s="19">
        <f t="shared" si="0"/>
        <v>-0.23</v>
      </c>
      <c r="Z110" s="2" t="str">
        <f t="shared" si="1"/>
        <v>Berlin Hyp AGAT MATURITYFIXEDEURSecured</v>
      </c>
    </row>
    <row r="111" spans="1:26" x14ac:dyDescent="0.2">
      <c r="A111" s="6">
        <v>110</v>
      </c>
      <c r="B111" s="6" t="s">
        <v>476</v>
      </c>
      <c r="C111" s="6" t="s">
        <v>479</v>
      </c>
      <c r="D111" s="6" t="s">
        <v>57</v>
      </c>
      <c r="E111" s="6" t="str">
        <f>VLOOKUP(G111,'CBs RAW'!$E$2:$H$427,4)</f>
        <v>#N/A N/A</v>
      </c>
      <c r="F111" s="6" t="s">
        <v>45</v>
      </c>
      <c r="G111" s="6" t="s">
        <v>2213</v>
      </c>
      <c r="H111" s="6" t="s">
        <v>2214</v>
      </c>
      <c r="I111" s="6" t="s">
        <v>2215</v>
      </c>
      <c r="J111" s="6" t="s">
        <v>55</v>
      </c>
      <c r="K111" s="6" t="s">
        <v>56</v>
      </c>
      <c r="L111" s="5">
        <v>111262000</v>
      </c>
      <c r="M111" s="6" t="s">
        <v>458</v>
      </c>
      <c r="N111" s="6" t="s">
        <v>173</v>
      </c>
      <c r="O111" s="6" t="s">
        <v>45</v>
      </c>
      <c r="P111" s="17">
        <v>43755</v>
      </c>
      <c r="Q111" s="5">
        <f>VLOOKUP(G111,'CBs RAW'!$E$2:$P$427,12)</f>
        <v>0.01</v>
      </c>
      <c r="R111" s="17">
        <v>45947</v>
      </c>
      <c r="S111" s="6" t="s">
        <v>225</v>
      </c>
      <c r="T111" s="6" t="s">
        <v>189</v>
      </c>
      <c r="U111" s="6" t="s">
        <v>49</v>
      </c>
      <c r="V111" s="6" t="s">
        <v>53</v>
      </c>
      <c r="W111" s="6" t="s">
        <v>2216</v>
      </c>
      <c r="X111" s="18">
        <f>VLOOKUP(G111,'CBs RAW'!$E$2:$W$427,19)</f>
        <v>-0.32500000000000001</v>
      </c>
      <c r="Y111" s="19">
        <f t="shared" si="0"/>
        <v>-0.32500000000000001</v>
      </c>
      <c r="Z111" s="2" t="str">
        <f t="shared" si="1"/>
        <v>Berlin Hyp AGAT MATURITYFIXEDEURSecured</v>
      </c>
    </row>
    <row r="112" spans="1:26" x14ac:dyDescent="0.2">
      <c r="A112" s="6">
        <v>111</v>
      </c>
      <c r="B112" s="6" t="s">
        <v>476</v>
      </c>
      <c r="C112" s="6" t="s">
        <v>479</v>
      </c>
      <c r="D112" s="6" t="s">
        <v>391</v>
      </c>
      <c r="E112" s="6" t="str">
        <f>VLOOKUP(G112,'CBs RAW'!$E$2:$H$427,4)</f>
        <v>#N/A N/A</v>
      </c>
      <c r="F112" s="6" t="s">
        <v>45</v>
      </c>
      <c r="G112" s="6" t="s">
        <v>2217</v>
      </c>
      <c r="H112" s="6" t="s">
        <v>2218</v>
      </c>
      <c r="I112" s="6" t="s">
        <v>2219</v>
      </c>
      <c r="J112" s="6" t="s">
        <v>55</v>
      </c>
      <c r="K112" s="6" t="s">
        <v>70</v>
      </c>
      <c r="L112" s="5">
        <v>467742250</v>
      </c>
      <c r="M112" s="6" t="s">
        <v>458</v>
      </c>
      <c r="N112" s="6" t="s">
        <v>173</v>
      </c>
      <c r="O112" s="6" t="s">
        <v>45</v>
      </c>
      <c r="P112" s="17">
        <v>43794</v>
      </c>
      <c r="Q112" s="5">
        <f>VLOOKUP(G112,'CBs RAW'!$E$2:$P$427,12)</f>
        <v>0</v>
      </c>
      <c r="R112" s="17">
        <v>45610</v>
      </c>
      <c r="S112" s="6" t="s">
        <v>225</v>
      </c>
      <c r="T112" s="6" t="s">
        <v>189</v>
      </c>
      <c r="U112" s="6" t="s">
        <v>49</v>
      </c>
      <c r="V112" s="6" t="s">
        <v>53</v>
      </c>
      <c r="W112" s="6" t="s">
        <v>2220</v>
      </c>
      <c r="X112" s="18">
        <f>VLOOKUP(G112,'CBs RAW'!$E$2:$W$427,19)</f>
        <v>-5.0000000000000001E-3</v>
      </c>
      <c r="Y112" s="19">
        <f t="shared" si="0"/>
        <v>-5.0000000000000001E-3</v>
      </c>
      <c r="Z112" s="2" t="str">
        <f t="shared" si="1"/>
        <v>Berlin Hyp AGAT MATURITYFLOATINGEURSecured</v>
      </c>
    </row>
    <row r="113" spans="1:26" x14ac:dyDescent="0.2">
      <c r="A113" s="6">
        <v>112</v>
      </c>
      <c r="B113" s="6" t="s">
        <v>476</v>
      </c>
      <c r="C113" s="6" t="s">
        <v>479</v>
      </c>
      <c r="D113" s="6" t="s">
        <v>57</v>
      </c>
      <c r="E113" s="6" t="str">
        <f>VLOOKUP(G113,'CBs RAW'!$E$2:$H$427,4)</f>
        <v>#N/A N/A</v>
      </c>
      <c r="F113" s="6" t="s">
        <v>45</v>
      </c>
      <c r="G113" s="6" t="s">
        <v>2221</v>
      </c>
      <c r="H113" s="6" t="s">
        <v>2222</v>
      </c>
      <c r="I113" s="6" t="s">
        <v>2223</v>
      </c>
      <c r="J113" s="6" t="s">
        <v>55</v>
      </c>
      <c r="K113" s="6" t="s">
        <v>56</v>
      </c>
      <c r="L113" s="5">
        <v>49756050</v>
      </c>
      <c r="M113" s="6" t="s">
        <v>2011</v>
      </c>
      <c r="N113" s="6" t="s">
        <v>2012</v>
      </c>
      <c r="O113" s="6" t="s">
        <v>45</v>
      </c>
      <c r="P113" s="17">
        <v>43808</v>
      </c>
      <c r="Q113" s="5">
        <f>VLOOKUP(G113,'CBs RAW'!$E$2:$P$427,12)</f>
        <v>1.157</v>
      </c>
      <c r="R113" s="17">
        <v>51113</v>
      </c>
      <c r="S113" s="6" t="s">
        <v>173</v>
      </c>
      <c r="T113" s="6" t="s">
        <v>117</v>
      </c>
      <c r="U113" s="6" t="s">
        <v>49</v>
      </c>
      <c r="V113" s="6" t="s">
        <v>53</v>
      </c>
      <c r="W113" s="6" t="s">
        <v>2224</v>
      </c>
      <c r="X113" s="18" t="str">
        <f>VLOOKUP(G113,'CBs RAW'!$E$2:$W$427,19)</f>
        <v>#N/A N/A</v>
      </c>
      <c r="Y113" s="2" t="str">
        <f t="shared" si="0"/>
        <v>#N/A N/A</v>
      </c>
      <c r="Z113" s="2" t="str">
        <f t="shared" si="1"/>
        <v>Berlin Hyp AGAT MATURITYFIXEDEURSr Non Preferred</v>
      </c>
    </row>
    <row r="114" spans="1:26" x14ac:dyDescent="0.2">
      <c r="A114" s="6">
        <v>113</v>
      </c>
      <c r="B114" s="6" t="s">
        <v>476</v>
      </c>
      <c r="C114" s="6" t="s">
        <v>479</v>
      </c>
      <c r="D114" s="6" t="s">
        <v>57</v>
      </c>
      <c r="E114" s="6" t="str">
        <f>VLOOKUP(G114,'CBs RAW'!$E$2:$H$427,4)</f>
        <v>#N/A N/A</v>
      </c>
      <c r="F114" s="6" t="s">
        <v>45</v>
      </c>
      <c r="G114" s="6" t="s">
        <v>2225</v>
      </c>
      <c r="H114" s="6" t="s">
        <v>2226</v>
      </c>
      <c r="I114" s="6" t="s">
        <v>2227</v>
      </c>
      <c r="J114" s="6" t="s">
        <v>55</v>
      </c>
      <c r="K114" s="6" t="s">
        <v>56</v>
      </c>
      <c r="L114" s="5">
        <v>1109670000</v>
      </c>
      <c r="M114" s="6" t="s">
        <v>458</v>
      </c>
      <c r="N114" s="6" t="s">
        <v>1770</v>
      </c>
      <c r="O114" s="6" t="s">
        <v>45</v>
      </c>
      <c r="P114" s="17">
        <v>43704</v>
      </c>
      <c r="Q114" s="5">
        <f>VLOOKUP(G114,'CBs RAW'!$E$2:$P$427,12)</f>
        <v>0.01</v>
      </c>
      <c r="R114" s="17">
        <v>44802</v>
      </c>
      <c r="S114" s="6" t="s">
        <v>225</v>
      </c>
      <c r="T114" s="6" t="s">
        <v>189</v>
      </c>
      <c r="U114" s="6" t="s">
        <v>49</v>
      </c>
      <c r="V114" s="6" t="s">
        <v>53</v>
      </c>
      <c r="W114" s="6" t="s">
        <v>2228</v>
      </c>
      <c r="X114" s="18">
        <f>VLOOKUP(G114,'CBs RAW'!$E$2:$W$427,19)</f>
        <v>-0.58099999999999996</v>
      </c>
      <c r="Y114" s="19">
        <f t="shared" si="0"/>
        <v>-0.58099999999999996</v>
      </c>
      <c r="Z114" s="2" t="str">
        <f t="shared" si="1"/>
        <v>Berlin Hyp AGAT MATURITYFIXEDEURSecured</v>
      </c>
    </row>
    <row r="115" spans="1:26" x14ac:dyDescent="0.2">
      <c r="A115" s="6">
        <v>114</v>
      </c>
      <c r="B115" s="6" t="s">
        <v>476</v>
      </c>
      <c r="C115" s="6" t="s">
        <v>479</v>
      </c>
      <c r="D115" s="6" t="s">
        <v>391</v>
      </c>
      <c r="E115" s="6" t="str">
        <f>VLOOKUP(G115,'CBs RAW'!$E$2:$H$427,4)</f>
        <v>#N/A N/A</v>
      </c>
      <c r="F115" s="6" t="s">
        <v>45</v>
      </c>
      <c r="G115" s="6" t="s">
        <v>2229</v>
      </c>
      <c r="H115" s="6" t="s">
        <v>2230</v>
      </c>
      <c r="I115" s="6" t="s">
        <v>2231</v>
      </c>
      <c r="J115" s="6" t="s">
        <v>55</v>
      </c>
      <c r="K115" s="6" t="s">
        <v>70</v>
      </c>
      <c r="L115" s="5">
        <v>163546500</v>
      </c>
      <c r="M115" s="6" t="s">
        <v>458</v>
      </c>
      <c r="N115" s="6" t="s">
        <v>173</v>
      </c>
      <c r="O115" s="6" t="s">
        <v>45</v>
      </c>
      <c r="P115" s="17">
        <v>43738</v>
      </c>
      <c r="Q115" s="5">
        <f>VLOOKUP(G115,'CBs RAW'!$E$2:$P$427,12)</f>
        <v>0</v>
      </c>
      <c r="R115" s="17">
        <v>45230</v>
      </c>
      <c r="S115" s="6" t="s">
        <v>225</v>
      </c>
      <c r="T115" s="6" t="s">
        <v>189</v>
      </c>
      <c r="U115" s="6" t="s">
        <v>49</v>
      </c>
      <c r="V115" s="6" t="s">
        <v>53</v>
      </c>
      <c r="W115" s="6" t="s">
        <v>2232</v>
      </c>
      <c r="X115" s="18" t="str">
        <f>VLOOKUP(G115,'CBs RAW'!$E$2:$W$427,19)</f>
        <v>#N/A N/A</v>
      </c>
      <c r="Y115" s="2" t="str">
        <f t="shared" si="0"/>
        <v>#N/A N/A</v>
      </c>
      <c r="Z115" s="2" t="str">
        <f t="shared" si="1"/>
        <v>Berlin Hyp AGAT MATURITYFLOATINGEURSecured</v>
      </c>
    </row>
    <row r="116" spans="1:26" x14ac:dyDescent="0.2">
      <c r="A116" s="6">
        <v>115</v>
      </c>
      <c r="B116" s="6" t="s">
        <v>476</v>
      </c>
      <c r="C116" s="6" t="s">
        <v>479</v>
      </c>
      <c r="D116" s="6" t="s">
        <v>57</v>
      </c>
      <c r="E116" s="6" t="str">
        <f>VLOOKUP(G116,'CBs RAW'!$E$2:$H$427,4)</f>
        <v>#N/A N/A</v>
      </c>
      <c r="F116" s="6" t="s">
        <v>45</v>
      </c>
      <c r="G116" s="6" t="s">
        <v>2233</v>
      </c>
      <c r="H116" s="6" t="s">
        <v>2234</v>
      </c>
      <c r="I116" s="6" t="s">
        <v>2235</v>
      </c>
      <c r="J116" s="6" t="s">
        <v>55</v>
      </c>
      <c r="K116" s="6" t="s">
        <v>56</v>
      </c>
      <c r="L116" s="5">
        <v>556690000</v>
      </c>
      <c r="M116" s="6" t="s">
        <v>458</v>
      </c>
      <c r="N116" s="6" t="s">
        <v>173</v>
      </c>
      <c r="O116" s="6" t="s">
        <v>45</v>
      </c>
      <c r="P116" s="17">
        <v>43614</v>
      </c>
      <c r="Q116" s="5">
        <f>VLOOKUP(G116,'CBs RAW'!$E$2:$P$427,12)</f>
        <v>0.375</v>
      </c>
      <c r="R116" s="17">
        <v>47267</v>
      </c>
      <c r="S116" s="6" t="s">
        <v>173</v>
      </c>
      <c r="T116" s="6" t="s">
        <v>189</v>
      </c>
      <c r="U116" s="6" t="s">
        <v>49</v>
      </c>
      <c r="V116" s="6" t="s">
        <v>53</v>
      </c>
      <c r="W116" s="6" t="s">
        <v>2236</v>
      </c>
      <c r="X116" s="18">
        <f>VLOOKUP(G116,'CBs RAW'!$E$2:$W$427,19)</f>
        <v>0.317</v>
      </c>
      <c r="Y116" s="19">
        <f t="shared" si="0"/>
        <v>0.317</v>
      </c>
      <c r="Z116" s="2" t="str">
        <f t="shared" si="1"/>
        <v>Berlin Hyp AGAT MATURITYFIXEDEURSecured</v>
      </c>
    </row>
    <row r="117" spans="1:26" x14ac:dyDescent="0.2">
      <c r="A117" s="6">
        <v>116</v>
      </c>
      <c r="B117" s="6" t="s">
        <v>932</v>
      </c>
      <c r="C117" s="6" t="s">
        <v>935</v>
      </c>
      <c r="D117" s="6" t="s">
        <v>71</v>
      </c>
      <c r="E117" s="6" t="str">
        <f>VLOOKUP(G117,'CBs RAW'!$E$2:$H$427,4)</f>
        <v>#N/A N/A</v>
      </c>
      <c r="F117" s="6" t="s">
        <v>45</v>
      </c>
      <c r="G117" s="6" t="s">
        <v>2237</v>
      </c>
      <c r="H117" s="6" t="s">
        <v>173</v>
      </c>
      <c r="I117" s="6" t="s">
        <v>2238</v>
      </c>
      <c r="J117" s="6" t="s">
        <v>55</v>
      </c>
      <c r="K117" s="6" t="s">
        <v>70</v>
      </c>
      <c r="L117" s="5">
        <v>71857200</v>
      </c>
      <c r="M117" s="6" t="s">
        <v>52</v>
      </c>
      <c r="N117" s="6" t="s">
        <v>173</v>
      </c>
      <c r="O117" s="6" t="s">
        <v>45</v>
      </c>
      <c r="P117" s="17">
        <v>43234</v>
      </c>
      <c r="Q117" s="5">
        <f>VLOOKUP(G117,'CBs RAW'!$E$2:$P$427,12)</f>
        <v>0</v>
      </c>
      <c r="R117" s="17">
        <v>45060</v>
      </c>
      <c r="S117" s="6" t="s">
        <v>76</v>
      </c>
      <c r="T117" s="6" t="s">
        <v>54</v>
      </c>
      <c r="U117" s="6" t="s">
        <v>49</v>
      </c>
      <c r="V117" s="6" t="s">
        <v>53</v>
      </c>
      <c r="W117" s="6" t="s">
        <v>2239</v>
      </c>
      <c r="X117" s="18" t="str">
        <f>VLOOKUP(G117,'CBs RAW'!$E$2:$W$427,19)</f>
        <v>#N/A N/A</v>
      </c>
      <c r="Y117" s="2" t="str">
        <f t="shared" si="0"/>
        <v>#N/A N/A</v>
      </c>
      <c r="Z117" s="2" t="str">
        <f t="shared" si="1"/>
        <v>Biesterfeld AGAT MATURITYFLOATINGEURSr Unsecured</v>
      </c>
    </row>
    <row r="118" spans="1:26" x14ac:dyDescent="0.2">
      <c r="A118" s="6">
        <v>117</v>
      </c>
      <c r="B118" s="6" t="s">
        <v>932</v>
      </c>
      <c r="C118" s="6" t="s">
        <v>935</v>
      </c>
      <c r="D118" s="6" t="s">
        <v>71</v>
      </c>
      <c r="E118" s="6" t="str">
        <f>VLOOKUP(G118,'CBs RAW'!$E$2:$H$427,4)</f>
        <v>#N/A N/A</v>
      </c>
      <c r="F118" s="6" t="s">
        <v>45</v>
      </c>
      <c r="G118" s="6" t="s">
        <v>2240</v>
      </c>
      <c r="H118" s="6" t="s">
        <v>173</v>
      </c>
      <c r="I118" s="6" t="s">
        <v>2241</v>
      </c>
      <c r="J118" s="6" t="s">
        <v>55</v>
      </c>
      <c r="K118" s="6" t="s">
        <v>70</v>
      </c>
      <c r="L118" s="5">
        <v>71857200</v>
      </c>
      <c r="M118" s="6" t="s">
        <v>52</v>
      </c>
      <c r="N118" s="6" t="s">
        <v>173</v>
      </c>
      <c r="O118" s="6" t="s">
        <v>45</v>
      </c>
      <c r="P118" s="17">
        <v>43234</v>
      </c>
      <c r="Q118" s="5">
        <f>VLOOKUP(G118,'CBs RAW'!$E$2:$P$427,12)</f>
        <v>0</v>
      </c>
      <c r="R118" s="17">
        <v>45426</v>
      </c>
      <c r="S118" s="6" t="s">
        <v>157</v>
      </c>
      <c r="T118" s="6" t="s">
        <v>54</v>
      </c>
      <c r="U118" s="6" t="s">
        <v>49</v>
      </c>
      <c r="V118" s="6" t="s">
        <v>53</v>
      </c>
      <c r="W118" s="6" t="s">
        <v>2242</v>
      </c>
      <c r="X118" s="18" t="str">
        <f>VLOOKUP(G118,'CBs RAW'!$E$2:$W$427,19)</f>
        <v>#N/A N/A</v>
      </c>
      <c r="Y118" s="2" t="str">
        <f t="shared" si="0"/>
        <v>#N/A N/A</v>
      </c>
      <c r="Z118" s="2" t="str">
        <f t="shared" si="1"/>
        <v>Biesterfeld AGAT MATURITYFLOATINGEURSr Unsecured</v>
      </c>
    </row>
    <row r="119" spans="1:26" x14ac:dyDescent="0.2">
      <c r="A119" s="6">
        <v>118</v>
      </c>
      <c r="B119" s="6" t="s">
        <v>932</v>
      </c>
      <c r="C119" s="6" t="s">
        <v>935</v>
      </c>
      <c r="D119" s="6" t="s">
        <v>71</v>
      </c>
      <c r="E119" s="6" t="str">
        <f>VLOOKUP(G119,'CBs RAW'!$E$2:$H$427,4)</f>
        <v>#N/A N/A</v>
      </c>
      <c r="F119" s="6" t="s">
        <v>45</v>
      </c>
      <c r="G119" s="6" t="s">
        <v>2243</v>
      </c>
      <c r="H119" s="6" t="s">
        <v>173</v>
      </c>
      <c r="I119" s="6" t="s">
        <v>2244</v>
      </c>
      <c r="J119" s="6" t="s">
        <v>55</v>
      </c>
      <c r="K119" s="6" t="s">
        <v>70</v>
      </c>
      <c r="L119" s="5">
        <v>71857200</v>
      </c>
      <c r="M119" s="6" t="s">
        <v>52</v>
      </c>
      <c r="N119" s="6" t="s">
        <v>173</v>
      </c>
      <c r="O119" s="6" t="s">
        <v>45</v>
      </c>
      <c r="P119" s="17">
        <v>43234</v>
      </c>
      <c r="Q119" s="5">
        <f>VLOOKUP(G119,'CBs RAW'!$E$2:$P$427,12)</f>
        <v>0</v>
      </c>
      <c r="R119" s="17">
        <v>45791</v>
      </c>
      <c r="S119" s="6" t="s">
        <v>69</v>
      </c>
      <c r="T119" s="6" t="s">
        <v>54</v>
      </c>
      <c r="U119" s="6" t="s">
        <v>49</v>
      </c>
      <c r="V119" s="6" t="s">
        <v>53</v>
      </c>
      <c r="W119" s="6" t="s">
        <v>2245</v>
      </c>
      <c r="X119" s="18" t="str">
        <f>VLOOKUP(G119,'CBs RAW'!$E$2:$W$427,19)</f>
        <v>#N/A N/A</v>
      </c>
      <c r="Y119" s="2" t="str">
        <f t="shared" si="0"/>
        <v>#N/A N/A</v>
      </c>
      <c r="Z119" s="2" t="str">
        <f t="shared" si="1"/>
        <v>Biesterfeld AGAT MATURITYFLOATINGEURSr Unsecured</v>
      </c>
    </row>
    <row r="120" spans="1:26" x14ac:dyDescent="0.2">
      <c r="A120" s="6">
        <v>119</v>
      </c>
      <c r="B120" s="6" t="s">
        <v>1550</v>
      </c>
      <c r="C120" s="6" t="s">
        <v>1553</v>
      </c>
      <c r="D120" s="6" t="s">
        <v>57</v>
      </c>
      <c r="E120" s="6" t="str">
        <f>VLOOKUP(G120,'CBs RAW'!$E$2:$H$427,4)</f>
        <v>#N/A N/A</v>
      </c>
      <c r="F120" s="6" t="s">
        <v>1554</v>
      </c>
      <c r="G120" s="6" t="s">
        <v>2246</v>
      </c>
      <c r="H120" s="6" t="s">
        <v>2247</v>
      </c>
      <c r="I120" s="6" t="s">
        <v>2248</v>
      </c>
      <c r="J120" s="6" t="s">
        <v>55</v>
      </c>
      <c r="K120" s="6" t="s">
        <v>56</v>
      </c>
      <c r="L120" s="5">
        <v>60362000</v>
      </c>
      <c r="M120" s="6" t="s">
        <v>52</v>
      </c>
      <c r="N120" s="6" t="s">
        <v>1775</v>
      </c>
      <c r="O120" s="6" t="s">
        <v>1554</v>
      </c>
      <c r="P120" s="17">
        <v>44174</v>
      </c>
      <c r="Q120" s="5">
        <f>VLOOKUP(G120,'CBs RAW'!$E$2:$P$427,12)</f>
        <v>4</v>
      </c>
      <c r="R120" s="17">
        <v>46000</v>
      </c>
      <c r="S120" s="6" t="s">
        <v>173</v>
      </c>
      <c r="T120" s="6" t="s">
        <v>54</v>
      </c>
      <c r="U120" s="6" t="s">
        <v>115</v>
      </c>
      <c r="V120" s="6" t="s">
        <v>53</v>
      </c>
      <c r="W120" s="6" t="s">
        <v>2249</v>
      </c>
      <c r="X120" s="18" t="str">
        <f>VLOOKUP(G120,'CBs RAW'!$E$2:$W$427,19)</f>
        <v>#N/A N/A</v>
      </c>
      <c r="Y120" s="2" t="str">
        <f t="shared" si="0"/>
        <v>#N/A N/A</v>
      </c>
      <c r="Z120" s="2" t="str">
        <f t="shared" si="1"/>
        <v>CapMan OyjCALLABLEFIXEDEURSr Unsecured</v>
      </c>
    </row>
    <row r="121" spans="1:26" x14ac:dyDescent="0.2">
      <c r="A121" s="6">
        <v>120</v>
      </c>
      <c r="B121" s="6" t="s">
        <v>1486</v>
      </c>
      <c r="C121" s="6" t="s">
        <v>1489</v>
      </c>
      <c r="D121" s="6" t="s">
        <v>173</v>
      </c>
      <c r="E121" s="6">
        <f>VLOOKUP(G121,'CBs RAW'!$E$2:$H$427,4)</f>
        <v>0.29000000000000004</v>
      </c>
      <c r="F121" s="6" t="s">
        <v>184</v>
      </c>
      <c r="G121" s="6" t="s">
        <v>2250</v>
      </c>
      <c r="H121" s="6" t="s">
        <v>2251</v>
      </c>
      <c r="I121" s="6" t="s">
        <v>2252</v>
      </c>
      <c r="J121" s="6" t="s">
        <v>117</v>
      </c>
      <c r="K121" s="6" t="s">
        <v>675</v>
      </c>
      <c r="L121" s="5">
        <v>500000000</v>
      </c>
      <c r="M121" s="6" t="s">
        <v>52</v>
      </c>
      <c r="N121" s="6" t="s">
        <v>1770</v>
      </c>
      <c r="O121" s="6" t="s">
        <v>184</v>
      </c>
      <c r="P121" s="17">
        <v>42900</v>
      </c>
      <c r="Q121" s="5">
        <f>VLOOKUP(G121,'CBs RAW'!$E$2:$P$427,12)</f>
        <v>0</v>
      </c>
      <c r="R121" s="17">
        <v>45091</v>
      </c>
      <c r="S121" s="6" t="s">
        <v>1489</v>
      </c>
      <c r="T121" s="6" t="s">
        <v>54</v>
      </c>
      <c r="U121" s="6" t="s">
        <v>188</v>
      </c>
      <c r="V121" s="6" t="s">
        <v>262</v>
      </c>
      <c r="W121" s="6" t="s">
        <v>2253</v>
      </c>
      <c r="X121" s="18">
        <f>VLOOKUP(G121,'CBs RAW'!$E$2:$W$427,19)</f>
        <v>0.2</v>
      </c>
      <c r="Y121" s="19">
        <f t="shared" si="0"/>
        <v>0.2</v>
      </c>
      <c r="Z121" s="2" t="str">
        <f t="shared" si="1"/>
        <v>Carrefour SACONVERTIBLEZERO COUPONUSDSr Unsecured</v>
      </c>
    </row>
    <row r="122" spans="1:26" x14ac:dyDescent="0.2">
      <c r="A122" s="6">
        <v>121</v>
      </c>
      <c r="B122" s="6" t="s">
        <v>1486</v>
      </c>
      <c r="C122" s="6" t="s">
        <v>1489</v>
      </c>
      <c r="D122" s="6" t="s">
        <v>173</v>
      </c>
      <c r="E122" s="6" t="str">
        <f>VLOOKUP(G122,'CBs RAW'!$E$2:$H$427,4)</f>
        <v>#N/A N/A</v>
      </c>
      <c r="F122" s="6" t="s">
        <v>184</v>
      </c>
      <c r="G122" s="6" t="s">
        <v>2254</v>
      </c>
      <c r="H122" s="6" t="s">
        <v>2255</v>
      </c>
      <c r="I122" s="6" t="s">
        <v>2256</v>
      </c>
      <c r="J122" s="6" t="s">
        <v>117</v>
      </c>
      <c r="K122" s="6" t="s">
        <v>675</v>
      </c>
      <c r="L122" s="5">
        <v>500000000</v>
      </c>
      <c r="M122" s="6" t="s">
        <v>52</v>
      </c>
      <c r="N122" s="6" t="s">
        <v>2257</v>
      </c>
      <c r="O122" s="6" t="s">
        <v>184</v>
      </c>
      <c r="P122" s="17">
        <v>43186</v>
      </c>
      <c r="Q122" s="5">
        <f>VLOOKUP(G122,'CBs RAW'!$E$2:$P$427,12)</f>
        <v>0</v>
      </c>
      <c r="R122" s="17">
        <v>45378</v>
      </c>
      <c r="S122" s="6" t="s">
        <v>173</v>
      </c>
      <c r="T122" s="6" t="s">
        <v>54</v>
      </c>
      <c r="U122" s="6" t="s">
        <v>188</v>
      </c>
      <c r="V122" s="6" t="s">
        <v>262</v>
      </c>
      <c r="W122" s="6" t="s">
        <v>2258</v>
      </c>
      <c r="X122" s="18" t="str">
        <f>VLOOKUP(G122,'CBs RAW'!$E$2:$W$427,19)</f>
        <v>#N/A N/A</v>
      </c>
      <c r="Y122" s="2" t="str">
        <f t="shared" si="0"/>
        <v>#N/A N/A</v>
      </c>
      <c r="Z122" s="2" t="str">
        <f t="shared" si="1"/>
        <v>Carrefour SACONVERTIBLEZERO COUPONUSDSr Unsecured</v>
      </c>
    </row>
    <row r="123" spans="1:26" x14ac:dyDescent="0.2">
      <c r="A123" s="6">
        <v>122</v>
      </c>
      <c r="B123" s="6" t="s">
        <v>1486</v>
      </c>
      <c r="C123" s="6" t="s">
        <v>1489</v>
      </c>
      <c r="D123" s="6" t="s">
        <v>57</v>
      </c>
      <c r="E123" s="6" t="str">
        <f>VLOOKUP(G123,'CBs RAW'!$E$2:$H$427,4)</f>
        <v>#N/A N/A</v>
      </c>
      <c r="F123" s="6" t="s">
        <v>184</v>
      </c>
      <c r="G123" s="6" t="s">
        <v>2259</v>
      </c>
      <c r="H123" s="6" t="s">
        <v>2260</v>
      </c>
      <c r="I123" s="6" t="s">
        <v>2261</v>
      </c>
      <c r="J123" s="6" t="s">
        <v>117</v>
      </c>
      <c r="K123" s="6" t="s">
        <v>56</v>
      </c>
      <c r="L123" s="5">
        <v>588680000</v>
      </c>
      <c r="M123" s="6" t="s">
        <v>52</v>
      </c>
      <c r="N123" s="6" t="s">
        <v>1770</v>
      </c>
      <c r="O123" s="6" t="s">
        <v>184</v>
      </c>
      <c r="P123" s="17">
        <v>43263</v>
      </c>
      <c r="Q123" s="5">
        <f>VLOOKUP(G123,'CBs RAW'!$E$2:$P$427,12)</f>
        <v>0.875</v>
      </c>
      <c r="R123" s="17">
        <v>45089</v>
      </c>
      <c r="S123" s="6" t="s">
        <v>225</v>
      </c>
      <c r="T123" s="6" t="s">
        <v>189</v>
      </c>
      <c r="U123" s="6" t="s">
        <v>115</v>
      </c>
      <c r="V123" s="6" t="s">
        <v>53</v>
      </c>
      <c r="W123" s="6" t="s">
        <v>2262</v>
      </c>
      <c r="X123" s="18">
        <f>VLOOKUP(G123,'CBs RAW'!$E$2:$W$427,19)</f>
        <v>0.95399999999999996</v>
      </c>
      <c r="Y123" s="19">
        <f t="shared" si="0"/>
        <v>0.95399999999999996</v>
      </c>
      <c r="Z123" s="2" t="str">
        <f t="shared" si="1"/>
        <v>Carrefour SACALLABLEFIXEDEURSr Unsecured</v>
      </c>
    </row>
    <row r="124" spans="1:26" x14ac:dyDescent="0.2">
      <c r="A124" s="6">
        <v>123</v>
      </c>
      <c r="B124" s="6" t="s">
        <v>1486</v>
      </c>
      <c r="C124" s="6" t="s">
        <v>1489</v>
      </c>
      <c r="D124" s="6" t="s">
        <v>57</v>
      </c>
      <c r="E124" s="6" t="str">
        <f>VLOOKUP(G124,'CBs RAW'!$E$2:$H$427,4)</f>
        <v>#N/A N/A</v>
      </c>
      <c r="F124" s="6" t="s">
        <v>184</v>
      </c>
      <c r="G124" s="6" t="s">
        <v>2263</v>
      </c>
      <c r="H124" s="6" t="s">
        <v>2264</v>
      </c>
      <c r="I124" s="6" t="s">
        <v>2265</v>
      </c>
      <c r="J124" s="6" t="s">
        <v>117</v>
      </c>
      <c r="K124" s="6" t="s">
        <v>56</v>
      </c>
      <c r="L124" s="5">
        <v>567140000</v>
      </c>
      <c r="M124" s="6" t="s">
        <v>52</v>
      </c>
      <c r="N124" s="6" t="s">
        <v>1770</v>
      </c>
      <c r="O124" s="6" t="s">
        <v>184</v>
      </c>
      <c r="P124" s="17">
        <v>43438</v>
      </c>
      <c r="Q124" s="5">
        <f>VLOOKUP(G124,'CBs RAW'!$E$2:$P$427,12)</f>
        <v>1.75</v>
      </c>
      <c r="R124" s="17">
        <v>46146</v>
      </c>
      <c r="S124" s="6" t="s">
        <v>225</v>
      </c>
      <c r="T124" s="6" t="s">
        <v>189</v>
      </c>
      <c r="U124" s="6" t="s">
        <v>115</v>
      </c>
      <c r="V124" s="6" t="s">
        <v>53</v>
      </c>
      <c r="W124" s="6" t="s">
        <v>2266</v>
      </c>
      <c r="X124" s="18">
        <f>VLOOKUP(G124,'CBs RAW'!$E$2:$W$427,19)</f>
        <v>1.74</v>
      </c>
      <c r="Y124" s="19">
        <f t="shared" si="0"/>
        <v>1.74</v>
      </c>
      <c r="Z124" s="2" t="str">
        <f t="shared" si="1"/>
        <v>Carrefour SACALLABLEFIXEDEURSr Unsecured</v>
      </c>
    </row>
    <row r="125" spans="1:26" x14ac:dyDescent="0.2">
      <c r="A125" s="6">
        <v>124</v>
      </c>
      <c r="B125" s="6" t="s">
        <v>1486</v>
      </c>
      <c r="C125" s="6" t="s">
        <v>1489</v>
      </c>
      <c r="D125" s="6" t="s">
        <v>57</v>
      </c>
      <c r="E125" s="6" t="str">
        <f>VLOOKUP(G125,'CBs RAW'!$E$2:$H$427,4)</f>
        <v>#N/A N/A</v>
      </c>
      <c r="F125" s="6" t="s">
        <v>184</v>
      </c>
      <c r="G125" s="6" t="s">
        <v>2267</v>
      </c>
      <c r="H125" s="6" t="s">
        <v>2268</v>
      </c>
      <c r="I125" s="6" t="s">
        <v>2269</v>
      </c>
      <c r="J125" s="6" t="s">
        <v>117</v>
      </c>
      <c r="K125" s="6" t="s">
        <v>56</v>
      </c>
      <c r="L125" s="5">
        <v>1092530000</v>
      </c>
      <c r="M125" s="6" t="s">
        <v>52</v>
      </c>
      <c r="N125" s="6" t="s">
        <v>1770</v>
      </c>
      <c r="O125" s="6" t="s">
        <v>184</v>
      </c>
      <c r="P125" s="17">
        <v>43922</v>
      </c>
      <c r="Q125" s="5">
        <f>VLOOKUP(G125,'CBs RAW'!$E$2:$P$427,12)</f>
        <v>2.625</v>
      </c>
      <c r="R125" s="17">
        <v>46736</v>
      </c>
      <c r="S125" s="6" t="s">
        <v>2134</v>
      </c>
      <c r="T125" s="6" t="s">
        <v>189</v>
      </c>
      <c r="U125" s="6" t="s">
        <v>115</v>
      </c>
      <c r="V125" s="6" t="s">
        <v>53</v>
      </c>
      <c r="W125" s="6" t="s">
        <v>2270</v>
      </c>
      <c r="X125" s="18">
        <f>VLOOKUP(G125,'CBs RAW'!$E$2:$W$427,19)</f>
        <v>2.1389999999999998</v>
      </c>
      <c r="Y125" s="19">
        <f t="shared" si="0"/>
        <v>2.1389999999999998</v>
      </c>
      <c r="Z125" s="2" t="str">
        <f t="shared" si="1"/>
        <v>Carrefour SACALLABLEFIXEDEURSr Unsecured</v>
      </c>
    </row>
    <row r="126" spans="1:26" x14ac:dyDescent="0.2">
      <c r="A126" s="6">
        <v>125</v>
      </c>
      <c r="B126" s="6" t="s">
        <v>1486</v>
      </c>
      <c r="C126" s="6" t="s">
        <v>1489</v>
      </c>
      <c r="D126" s="6" t="s">
        <v>57</v>
      </c>
      <c r="E126" s="6">
        <f>VLOOKUP(G126,'CBs RAW'!$E$2:$H$427,4)</f>
        <v>1.8460000000000001</v>
      </c>
      <c r="F126" s="6" t="s">
        <v>184</v>
      </c>
      <c r="G126" s="6" t="s">
        <v>2271</v>
      </c>
      <c r="H126" s="6" t="s">
        <v>2272</v>
      </c>
      <c r="I126" s="6" t="s">
        <v>2273</v>
      </c>
      <c r="J126" s="6" t="s">
        <v>117</v>
      </c>
      <c r="K126" s="6" t="s">
        <v>56</v>
      </c>
      <c r="L126" s="5">
        <v>1356760000</v>
      </c>
      <c r="M126" s="6" t="s">
        <v>52</v>
      </c>
      <c r="N126" s="6" t="s">
        <v>1770</v>
      </c>
      <c r="O126" s="6" t="s">
        <v>184</v>
      </c>
      <c r="P126" s="17">
        <v>41835</v>
      </c>
      <c r="Q126" s="5">
        <f>VLOOKUP(G126,'CBs RAW'!$E$2:$P$427,12)</f>
        <v>1.75</v>
      </c>
      <c r="R126" s="17">
        <v>44757</v>
      </c>
      <c r="S126" s="6" t="s">
        <v>225</v>
      </c>
      <c r="T126" s="6" t="s">
        <v>189</v>
      </c>
      <c r="U126" s="6" t="s">
        <v>115</v>
      </c>
      <c r="V126" s="6" t="s">
        <v>53</v>
      </c>
      <c r="W126" s="6" t="s">
        <v>2274</v>
      </c>
      <c r="X126" s="18" t="str">
        <f>VLOOKUP(G126,'CBs RAW'!$E$2:$W$427,19)</f>
        <v>#N/A N/A</v>
      </c>
      <c r="Y126" s="2">
        <f t="shared" si="0"/>
        <v>1.8460000000000001</v>
      </c>
      <c r="Z126" s="2" t="str">
        <f t="shared" si="1"/>
        <v>Carrefour SACALLABLEFIXEDEURSr Unsecured</v>
      </c>
    </row>
    <row r="127" spans="1:26" x14ac:dyDescent="0.2">
      <c r="A127" s="6">
        <v>126</v>
      </c>
      <c r="B127" s="6" t="s">
        <v>1486</v>
      </c>
      <c r="C127" s="6" t="s">
        <v>1489</v>
      </c>
      <c r="D127" s="6" t="s">
        <v>57</v>
      </c>
      <c r="E127" s="6">
        <f>VLOOKUP(G127,'CBs RAW'!$E$2:$H$427,4)</f>
        <v>1.3049999999999999</v>
      </c>
      <c r="F127" s="6" t="s">
        <v>184</v>
      </c>
      <c r="G127" s="6" t="s">
        <v>2275</v>
      </c>
      <c r="H127" s="6" t="s">
        <v>2276</v>
      </c>
      <c r="I127" s="6" t="s">
        <v>2277</v>
      </c>
      <c r="J127" s="6" t="s">
        <v>117</v>
      </c>
      <c r="K127" s="6" t="s">
        <v>56</v>
      </c>
      <c r="L127" s="5">
        <v>860347500</v>
      </c>
      <c r="M127" s="6" t="s">
        <v>52</v>
      </c>
      <c r="N127" s="6" t="s">
        <v>1770</v>
      </c>
      <c r="O127" s="6" t="s">
        <v>184</v>
      </c>
      <c r="P127" s="17">
        <v>42038</v>
      </c>
      <c r="Q127" s="5">
        <f>VLOOKUP(G127,'CBs RAW'!$E$2:$P$427,12)</f>
        <v>1.25</v>
      </c>
      <c r="R127" s="17">
        <v>45811</v>
      </c>
      <c r="S127" s="6" t="s">
        <v>225</v>
      </c>
      <c r="T127" s="6" t="s">
        <v>189</v>
      </c>
      <c r="U127" s="6" t="s">
        <v>115</v>
      </c>
      <c r="V127" s="6" t="s">
        <v>53</v>
      </c>
      <c r="W127" s="6" t="s">
        <v>2278</v>
      </c>
      <c r="X127" s="18">
        <f>VLOOKUP(G127,'CBs RAW'!$E$2:$W$427,19)</f>
        <v>1.196</v>
      </c>
      <c r="Y127" s="19">
        <f t="shared" si="0"/>
        <v>1.196</v>
      </c>
      <c r="Z127" s="2" t="str">
        <f t="shared" si="1"/>
        <v>Carrefour SACALLABLEFIXEDEURSr Unsecured</v>
      </c>
    </row>
    <row r="128" spans="1:26" x14ac:dyDescent="0.2">
      <c r="A128" s="6">
        <v>127</v>
      </c>
      <c r="B128" s="6" t="s">
        <v>1486</v>
      </c>
      <c r="C128" s="6" t="s">
        <v>1489</v>
      </c>
      <c r="D128" s="6" t="s">
        <v>57</v>
      </c>
      <c r="E128" s="6" t="str">
        <f>VLOOKUP(G128,'CBs RAW'!$E$2:$H$427,4)</f>
        <v>#N/A N/A</v>
      </c>
      <c r="F128" s="6" t="s">
        <v>184</v>
      </c>
      <c r="G128" s="6" t="s">
        <v>2279</v>
      </c>
      <c r="H128" s="6" t="s">
        <v>2280</v>
      </c>
      <c r="I128" s="6" t="s">
        <v>2281</v>
      </c>
      <c r="J128" s="6" t="s">
        <v>117</v>
      </c>
      <c r="K128" s="6" t="s">
        <v>56</v>
      </c>
      <c r="L128" s="5">
        <v>847132500</v>
      </c>
      <c r="M128" s="6" t="s">
        <v>52</v>
      </c>
      <c r="N128" s="6" t="s">
        <v>1770</v>
      </c>
      <c r="O128" s="6" t="s">
        <v>184</v>
      </c>
      <c r="P128" s="17">
        <v>42486</v>
      </c>
      <c r="Q128" s="5">
        <f>VLOOKUP(G128,'CBs RAW'!$E$2:$P$427,12)</f>
        <v>0.75</v>
      </c>
      <c r="R128" s="17">
        <v>45408</v>
      </c>
      <c r="S128" s="6" t="s">
        <v>225</v>
      </c>
      <c r="T128" s="6" t="s">
        <v>189</v>
      </c>
      <c r="U128" s="6" t="s">
        <v>115</v>
      </c>
      <c r="V128" s="6" t="s">
        <v>53</v>
      </c>
      <c r="W128" s="6" t="s">
        <v>2282</v>
      </c>
      <c r="X128" s="18">
        <f>VLOOKUP(G128,'CBs RAW'!$E$2:$W$427,19)</f>
        <v>0.91100000000000003</v>
      </c>
      <c r="Y128" s="19">
        <f t="shared" si="0"/>
        <v>0.91100000000000003</v>
      </c>
      <c r="Z128" s="2" t="str">
        <f t="shared" si="1"/>
        <v>Carrefour SACALLABLEFIXEDEURSr Unsecured</v>
      </c>
    </row>
    <row r="129" spans="1:26" x14ac:dyDescent="0.2">
      <c r="A129" s="6">
        <v>128</v>
      </c>
      <c r="B129" s="6" t="s">
        <v>1486</v>
      </c>
      <c r="C129" s="6" t="s">
        <v>1489</v>
      </c>
      <c r="D129" s="6" t="s">
        <v>57</v>
      </c>
      <c r="E129" s="6" t="str">
        <f>VLOOKUP(G129,'CBs RAW'!$E$2:$H$427,4)</f>
        <v>#N/A N/A</v>
      </c>
      <c r="F129" s="6" t="s">
        <v>184</v>
      </c>
      <c r="G129" s="6" t="s">
        <v>2283</v>
      </c>
      <c r="H129" s="6" t="s">
        <v>2284</v>
      </c>
      <c r="I129" s="6" t="s">
        <v>2285</v>
      </c>
      <c r="J129" s="6" t="s">
        <v>117</v>
      </c>
      <c r="K129" s="6" t="s">
        <v>56</v>
      </c>
      <c r="L129" s="5">
        <v>560320000</v>
      </c>
      <c r="M129" s="6" t="s">
        <v>52</v>
      </c>
      <c r="N129" s="6" t="s">
        <v>1770</v>
      </c>
      <c r="O129" s="6" t="s">
        <v>184</v>
      </c>
      <c r="P129" s="17">
        <v>43600</v>
      </c>
      <c r="Q129" s="5">
        <f>VLOOKUP(G129,'CBs RAW'!$E$2:$P$427,12)</f>
        <v>1</v>
      </c>
      <c r="R129" s="17">
        <v>46524</v>
      </c>
      <c r="S129" s="6" t="s">
        <v>225</v>
      </c>
      <c r="T129" s="6" t="s">
        <v>189</v>
      </c>
      <c r="U129" s="6" t="s">
        <v>115</v>
      </c>
      <c r="V129" s="6" t="s">
        <v>53</v>
      </c>
      <c r="W129" s="6" t="s">
        <v>2286</v>
      </c>
      <c r="X129" s="18">
        <f>VLOOKUP(G129,'CBs RAW'!$E$2:$W$427,19)</f>
        <v>1.032</v>
      </c>
      <c r="Y129" s="19">
        <f t="shared" si="0"/>
        <v>1.032</v>
      </c>
      <c r="Z129" s="2" t="str">
        <f t="shared" si="1"/>
        <v>Carrefour SACALLABLEFIXEDEURSr Unsecured</v>
      </c>
    </row>
    <row r="130" spans="1:26" x14ac:dyDescent="0.2">
      <c r="A130" s="6">
        <v>129</v>
      </c>
      <c r="B130" s="6" t="s">
        <v>244</v>
      </c>
      <c r="C130" s="6" t="s">
        <v>247</v>
      </c>
      <c r="D130" s="6" t="s">
        <v>57</v>
      </c>
      <c r="E130" s="6" t="str">
        <f>VLOOKUP(G130,'CBs RAW'!$E$2:$H$427,4)</f>
        <v>#N/A N/A</v>
      </c>
      <c r="F130" s="6" t="s">
        <v>184</v>
      </c>
      <c r="G130" s="6" t="s">
        <v>2287</v>
      </c>
      <c r="H130" s="6" t="s">
        <v>2288</v>
      </c>
      <c r="I130" s="6" t="s">
        <v>2289</v>
      </c>
      <c r="J130" s="6" t="s">
        <v>55</v>
      </c>
      <c r="K130" s="6" t="s">
        <v>56</v>
      </c>
      <c r="L130" s="5">
        <v>45059200</v>
      </c>
      <c r="M130" s="6" t="s">
        <v>52</v>
      </c>
      <c r="N130" s="6" t="s">
        <v>173</v>
      </c>
      <c r="O130" s="6" t="s">
        <v>184</v>
      </c>
      <c r="P130" s="17">
        <v>42893</v>
      </c>
      <c r="Q130" s="5">
        <f>VLOOKUP(G130,'CBs RAW'!$E$2:$P$427,12)</f>
        <v>3.16</v>
      </c>
      <c r="R130" s="17">
        <v>45815</v>
      </c>
      <c r="S130" s="6" t="s">
        <v>173</v>
      </c>
      <c r="T130" s="6" t="s">
        <v>54</v>
      </c>
      <c r="U130" s="6" t="s">
        <v>49</v>
      </c>
      <c r="V130" s="6" t="s">
        <v>53</v>
      </c>
      <c r="W130" s="6" t="s">
        <v>2290</v>
      </c>
      <c r="X130" s="18" t="str">
        <f>VLOOKUP(G130,'CBs RAW'!$E$2:$W$427,19)</f>
        <v>#N/A N/A</v>
      </c>
      <c r="Y130" s="2" t="str">
        <f t="shared" si="0"/>
        <v>#N/A N/A</v>
      </c>
      <c r="Z130" s="2" t="str">
        <f t="shared" si="1"/>
        <v>Chargeurs SAAT MATURITYFIXEDEURSr Unsecured</v>
      </c>
    </row>
    <row r="131" spans="1:26" x14ac:dyDescent="0.2">
      <c r="A131" s="6">
        <v>130</v>
      </c>
      <c r="B131" s="6" t="s">
        <v>689</v>
      </c>
      <c r="C131" s="6" t="s">
        <v>692</v>
      </c>
      <c r="D131" s="6" t="s">
        <v>57</v>
      </c>
      <c r="E131" s="6" t="str">
        <f>VLOOKUP(G131,'CBs RAW'!$E$2:$H$427,4)</f>
        <v>#N/A N/A</v>
      </c>
      <c r="F131" s="6" t="s">
        <v>257</v>
      </c>
      <c r="G131" s="6" t="s">
        <v>2291</v>
      </c>
      <c r="H131" s="6" t="s">
        <v>173</v>
      </c>
      <c r="I131" s="6" t="s">
        <v>2292</v>
      </c>
      <c r="J131" s="6" t="s">
        <v>55</v>
      </c>
      <c r="K131" s="6" t="s">
        <v>56</v>
      </c>
      <c r="L131" s="5">
        <v>176250000</v>
      </c>
      <c r="M131" s="6" t="s">
        <v>52</v>
      </c>
      <c r="N131" s="6" t="s">
        <v>173</v>
      </c>
      <c r="O131" s="6" t="s">
        <v>257</v>
      </c>
      <c r="P131" s="17">
        <v>44286</v>
      </c>
      <c r="Q131" s="5">
        <f>VLOOKUP(G131,'CBs RAW'!$E$2:$P$427,12)</f>
        <v>0</v>
      </c>
      <c r="R131" s="17">
        <v>45016</v>
      </c>
      <c r="S131" s="6" t="s">
        <v>2293</v>
      </c>
      <c r="T131" s="6" t="s">
        <v>54</v>
      </c>
      <c r="U131" s="6" t="s">
        <v>49</v>
      </c>
      <c r="V131" s="6" t="s">
        <v>53</v>
      </c>
      <c r="W131" s="6" t="s">
        <v>2294</v>
      </c>
      <c r="X131" s="18" t="str">
        <f>VLOOKUP(G131,'CBs RAW'!$E$2:$W$427,19)</f>
        <v>#N/A N/A</v>
      </c>
      <c r="Y131" s="2" t="str">
        <f t="shared" si="0"/>
        <v>#N/A N/A</v>
      </c>
      <c r="Z131" s="2" t="str">
        <f t="shared" si="1"/>
        <v>Constantia Flexibles GmbHAT MATURITYFIXEDEURSr Unsecured</v>
      </c>
    </row>
    <row r="132" spans="1:26" x14ac:dyDescent="0.2">
      <c r="A132" s="6">
        <v>131</v>
      </c>
      <c r="B132" s="6" t="s">
        <v>344</v>
      </c>
      <c r="C132" s="6" t="s">
        <v>347</v>
      </c>
      <c r="D132" s="6" t="s">
        <v>71</v>
      </c>
      <c r="E132" s="6">
        <f>VLOOKUP(G132,'CBs RAW'!$E$2:$H$427,4)</f>
        <v>5.875</v>
      </c>
      <c r="F132" s="6" t="s">
        <v>185</v>
      </c>
      <c r="G132" s="6" t="s">
        <v>2295</v>
      </c>
      <c r="H132" s="6" t="s">
        <v>2296</v>
      </c>
      <c r="I132" s="6" t="s">
        <v>2297</v>
      </c>
      <c r="J132" s="6" t="s">
        <v>55</v>
      </c>
      <c r="K132" s="6" t="s">
        <v>56</v>
      </c>
      <c r="L132" s="5">
        <v>500000000</v>
      </c>
      <c r="M132" s="6" t="s">
        <v>52</v>
      </c>
      <c r="N132" s="6" t="s">
        <v>1839</v>
      </c>
      <c r="O132" s="6" t="s">
        <v>184</v>
      </c>
      <c r="P132" s="17">
        <v>43048</v>
      </c>
      <c r="Q132" s="5">
        <f>VLOOKUP(G132,'CBs RAW'!$E$2:$P$427,12)</f>
        <v>5.875</v>
      </c>
      <c r="R132" s="17">
        <v>46068</v>
      </c>
      <c r="S132" s="6" t="s">
        <v>261</v>
      </c>
      <c r="T132" s="6" t="s">
        <v>350</v>
      </c>
      <c r="U132" s="6" t="s">
        <v>115</v>
      </c>
      <c r="V132" s="6" t="s">
        <v>262</v>
      </c>
      <c r="W132" s="6" t="s">
        <v>2298</v>
      </c>
      <c r="X132" s="18">
        <f>VLOOKUP(G132,'CBs RAW'!$E$2:$W$427,19)</f>
        <v>5.7389999999999999</v>
      </c>
      <c r="Y132" s="19">
        <f t="shared" si="0"/>
        <v>5.7389999999999999</v>
      </c>
      <c r="Z132" s="2" t="str">
        <f t="shared" si="1"/>
        <v>Constellium SECALLABLEFIXEDUSDSr Unsecured</v>
      </c>
    </row>
    <row r="133" spans="1:26" x14ac:dyDescent="0.2">
      <c r="A133" s="6">
        <v>132</v>
      </c>
      <c r="B133" s="6" t="s">
        <v>344</v>
      </c>
      <c r="C133" s="6" t="s">
        <v>347</v>
      </c>
      <c r="D133" s="6" t="s">
        <v>71</v>
      </c>
      <c r="E133" s="6" t="str">
        <f>VLOOKUP(G133,'CBs RAW'!$E$2:$H$427,4)</f>
        <v>#N/A N/A</v>
      </c>
      <c r="F133" s="6" t="s">
        <v>185</v>
      </c>
      <c r="G133" s="6" t="s">
        <v>2299</v>
      </c>
      <c r="H133" s="6" t="s">
        <v>2300</v>
      </c>
      <c r="I133" s="6" t="s">
        <v>2301</v>
      </c>
      <c r="J133" s="6" t="s">
        <v>55</v>
      </c>
      <c r="K133" s="6" t="s">
        <v>56</v>
      </c>
      <c r="L133" s="5">
        <v>465612000</v>
      </c>
      <c r="M133" s="6" t="s">
        <v>52</v>
      </c>
      <c r="N133" s="6" t="s">
        <v>1839</v>
      </c>
      <c r="O133" s="6" t="s">
        <v>184</v>
      </c>
      <c r="P133" s="17">
        <v>43048</v>
      </c>
      <c r="Q133" s="5">
        <f>VLOOKUP(G133,'CBs RAW'!$E$2:$P$427,12)</f>
        <v>4.25</v>
      </c>
      <c r="R133" s="17">
        <v>46068</v>
      </c>
      <c r="S133" s="6" t="s">
        <v>270</v>
      </c>
      <c r="T133" s="6" t="s">
        <v>350</v>
      </c>
      <c r="U133" s="6" t="s">
        <v>115</v>
      </c>
      <c r="V133" s="6" t="s">
        <v>53</v>
      </c>
      <c r="W133" s="6" t="s">
        <v>2302</v>
      </c>
      <c r="X133" s="18">
        <f>VLOOKUP(G133,'CBs RAW'!$E$2:$W$427,19)</f>
        <v>4.1719999999999997</v>
      </c>
      <c r="Y133" s="19">
        <f t="shared" si="0"/>
        <v>4.1719999999999997</v>
      </c>
      <c r="Z133" s="2" t="str">
        <f t="shared" si="1"/>
        <v>Constellium SECALLABLEFIXEDEURSr Unsecured</v>
      </c>
    </row>
    <row r="134" spans="1:26" x14ac:dyDescent="0.2">
      <c r="A134" s="6">
        <v>133</v>
      </c>
      <c r="B134" s="6" t="s">
        <v>344</v>
      </c>
      <c r="C134" s="6" t="s">
        <v>347</v>
      </c>
      <c r="D134" s="6" t="s">
        <v>71</v>
      </c>
      <c r="E134" s="6" t="str">
        <f>VLOOKUP(G134,'CBs RAW'!$E$2:$H$427,4)</f>
        <v>#N/A N/A</v>
      </c>
      <c r="F134" s="6" t="s">
        <v>185</v>
      </c>
      <c r="G134" s="6" t="s">
        <v>2303</v>
      </c>
      <c r="H134" s="6" t="s">
        <v>2304</v>
      </c>
      <c r="I134" s="6" t="s">
        <v>2305</v>
      </c>
      <c r="J134" s="6" t="s">
        <v>55</v>
      </c>
      <c r="K134" s="6" t="s">
        <v>56</v>
      </c>
      <c r="L134" s="5">
        <v>465612000</v>
      </c>
      <c r="M134" s="6" t="s">
        <v>52</v>
      </c>
      <c r="N134" s="6" t="s">
        <v>1839</v>
      </c>
      <c r="O134" s="6" t="s">
        <v>184</v>
      </c>
      <c r="P134" s="17">
        <v>43048</v>
      </c>
      <c r="Q134" s="5">
        <f>VLOOKUP(G134,'CBs RAW'!$E$2:$P$427,12)</f>
        <v>4.25</v>
      </c>
      <c r="R134" s="17">
        <v>46068</v>
      </c>
      <c r="S134" s="6" t="s">
        <v>261</v>
      </c>
      <c r="T134" s="6" t="s">
        <v>350</v>
      </c>
      <c r="U134" s="6" t="s">
        <v>115</v>
      </c>
      <c r="V134" s="6" t="s">
        <v>53</v>
      </c>
      <c r="W134" s="6" t="s">
        <v>2306</v>
      </c>
      <c r="X134" s="18">
        <f>VLOOKUP(G134,'CBs RAW'!$E$2:$W$427,19)</f>
        <v>4.1779999999999999</v>
      </c>
      <c r="Y134" s="19">
        <f t="shared" si="0"/>
        <v>4.1779999999999999</v>
      </c>
      <c r="Z134" s="2" t="str">
        <f t="shared" si="1"/>
        <v>Constellium SECALLABLEFIXEDEURSr Unsecured</v>
      </c>
    </row>
    <row r="135" spans="1:26" x14ac:dyDescent="0.2">
      <c r="A135" s="6">
        <v>134</v>
      </c>
      <c r="B135" s="6" t="s">
        <v>344</v>
      </c>
      <c r="C135" s="6" t="s">
        <v>347</v>
      </c>
      <c r="D135" s="6" t="s">
        <v>71</v>
      </c>
      <c r="E135" s="6">
        <f>VLOOKUP(G135,'CBs RAW'!$E$2:$H$427,4)</f>
        <v>5.875</v>
      </c>
      <c r="F135" s="6" t="s">
        <v>185</v>
      </c>
      <c r="G135" s="6" t="s">
        <v>2307</v>
      </c>
      <c r="H135" s="6" t="s">
        <v>2308</v>
      </c>
      <c r="I135" s="6" t="s">
        <v>2309</v>
      </c>
      <c r="J135" s="6" t="s">
        <v>55</v>
      </c>
      <c r="K135" s="6" t="s">
        <v>56</v>
      </c>
      <c r="L135" s="5">
        <v>500000000</v>
      </c>
      <c r="M135" s="6" t="s">
        <v>52</v>
      </c>
      <c r="N135" s="6" t="s">
        <v>1839</v>
      </c>
      <c r="O135" s="6" t="s">
        <v>184</v>
      </c>
      <c r="P135" s="17">
        <v>43048</v>
      </c>
      <c r="Q135" s="5">
        <f>VLOOKUP(G135,'CBs RAW'!$E$2:$P$427,12)</f>
        <v>5.875</v>
      </c>
      <c r="R135" s="17">
        <v>46068</v>
      </c>
      <c r="S135" s="6" t="s">
        <v>270</v>
      </c>
      <c r="T135" s="6" t="s">
        <v>350</v>
      </c>
      <c r="U135" s="6" t="s">
        <v>115</v>
      </c>
      <c r="V135" s="6" t="s">
        <v>262</v>
      </c>
      <c r="W135" s="6" t="s">
        <v>2310</v>
      </c>
      <c r="X135" s="18">
        <f>VLOOKUP(G135,'CBs RAW'!$E$2:$W$427,19)</f>
        <v>5.6769999999999996</v>
      </c>
      <c r="Y135" s="19">
        <f t="shared" si="0"/>
        <v>5.6769999999999996</v>
      </c>
      <c r="Z135" s="2" t="str">
        <f t="shared" si="1"/>
        <v>Constellium SECALLABLEFIXEDUSDSr Unsecured</v>
      </c>
    </row>
    <row r="136" spans="1:26" x14ac:dyDescent="0.2">
      <c r="A136" s="6">
        <v>135</v>
      </c>
      <c r="B136" s="6" t="s">
        <v>344</v>
      </c>
      <c r="C136" s="6" t="s">
        <v>347</v>
      </c>
      <c r="D136" s="6" t="s">
        <v>71</v>
      </c>
      <c r="E136" s="6">
        <f>VLOOKUP(G136,'CBs RAW'!$E$2:$H$427,4)</f>
        <v>5.625</v>
      </c>
      <c r="F136" s="6" t="s">
        <v>185</v>
      </c>
      <c r="G136" s="6" t="s">
        <v>2311</v>
      </c>
      <c r="H136" s="6" t="s">
        <v>2312</v>
      </c>
      <c r="I136" s="6" t="s">
        <v>2313</v>
      </c>
      <c r="J136" s="6" t="s">
        <v>55</v>
      </c>
      <c r="K136" s="6" t="s">
        <v>56</v>
      </c>
      <c r="L136" s="5">
        <v>325000000</v>
      </c>
      <c r="M136" s="6" t="s">
        <v>52</v>
      </c>
      <c r="N136" s="6" t="s">
        <v>1775</v>
      </c>
      <c r="O136" s="6" t="s">
        <v>184</v>
      </c>
      <c r="P136" s="17">
        <v>44012</v>
      </c>
      <c r="Q136" s="5">
        <f>VLOOKUP(G136,'CBs RAW'!$E$2:$P$427,12)</f>
        <v>5.625</v>
      </c>
      <c r="R136" s="17">
        <v>46919</v>
      </c>
      <c r="S136" s="6" t="s">
        <v>261</v>
      </c>
      <c r="T136" s="6" t="s">
        <v>350</v>
      </c>
      <c r="U136" s="6" t="s">
        <v>115</v>
      </c>
      <c r="V136" s="6" t="s">
        <v>262</v>
      </c>
      <c r="W136" s="6" t="s">
        <v>2314</v>
      </c>
      <c r="X136" s="18">
        <f>VLOOKUP(G136,'CBs RAW'!$E$2:$W$427,19)</f>
        <v>5.702</v>
      </c>
      <c r="Y136" s="19">
        <f t="shared" si="0"/>
        <v>5.702</v>
      </c>
      <c r="Z136" s="2" t="str">
        <f t="shared" si="1"/>
        <v>Constellium SECALLABLEFIXEDUSDSr Unsecured</v>
      </c>
    </row>
    <row r="137" spans="1:26" x14ac:dyDescent="0.2">
      <c r="A137" s="6">
        <v>136</v>
      </c>
      <c r="B137" s="6" t="s">
        <v>344</v>
      </c>
      <c r="C137" s="6" t="s">
        <v>347</v>
      </c>
      <c r="D137" s="6" t="s">
        <v>71</v>
      </c>
      <c r="E137" s="6">
        <f>VLOOKUP(G137,'CBs RAW'!$E$2:$H$427,4)</f>
        <v>5.625</v>
      </c>
      <c r="F137" s="6" t="s">
        <v>185</v>
      </c>
      <c r="G137" s="6" t="s">
        <v>2315</v>
      </c>
      <c r="H137" s="6" t="s">
        <v>2316</v>
      </c>
      <c r="I137" s="6" t="s">
        <v>2317</v>
      </c>
      <c r="J137" s="6" t="s">
        <v>55</v>
      </c>
      <c r="K137" s="6" t="s">
        <v>56</v>
      </c>
      <c r="L137" s="5">
        <v>325000000</v>
      </c>
      <c r="M137" s="6" t="s">
        <v>52</v>
      </c>
      <c r="N137" s="6" t="s">
        <v>1775</v>
      </c>
      <c r="O137" s="6" t="s">
        <v>184</v>
      </c>
      <c r="P137" s="17">
        <v>44012</v>
      </c>
      <c r="Q137" s="5">
        <f>VLOOKUP(G137,'CBs RAW'!$E$2:$P$427,12)</f>
        <v>5.625</v>
      </c>
      <c r="R137" s="17">
        <v>46919</v>
      </c>
      <c r="S137" s="6" t="s">
        <v>270</v>
      </c>
      <c r="T137" s="6" t="s">
        <v>350</v>
      </c>
      <c r="U137" s="6" t="s">
        <v>115</v>
      </c>
      <c r="V137" s="6" t="s">
        <v>262</v>
      </c>
      <c r="W137" s="6" t="s">
        <v>2318</v>
      </c>
      <c r="X137" s="18">
        <f>VLOOKUP(G137,'CBs RAW'!$E$2:$W$427,19)</f>
        <v>5.6520000000000001</v>
      </c>
      <c r="Y137" s="19">
        <f t="shared" si="0"/>
        <v>5.6520000000000001</v>
      </c>
      <c r="Z137" s="2" t="str">
        <f t="shared" si="1"/>
        <v>Constellium SECALLABLEFIXEDUSDSr Unsecured</v>
      </c>
    </row>
    <row r="138" spans="1:26" x14ac:dyDescent="0.2">
      <c r="A138" s="6">
        <v>137</v>
      </c>
      <c r="B138" s="6" t="s">
        <v>1335</v>
      </c>
      <c r="C138" s="6" t="s">
        <v>1338</v>
      </c>
      <c r="D138" s="6" t="s">
        <v>57</v>
      </c>
      <c r="E138" s="6" t="str">
        <f>VLOOKUP(G138,'CBs RAW'!$E$2:$H$427,4)</f>
        <v>#N/A N/A</v>
      </c>
      <c r="F138" s="6" t="s">
        <v>1339</v>
      </c>
      <c r="G138" s="6" t="s">
        <v>2319</v>
      </c>
      <c r="H138" s="6" t="s">
        <v>2320</v>
      </c>
      <c r="I138" s="6" t="s">
        <v>2321</v>
      </c>
      <c r="J138" s="6" t="s">
        <v>55</v>
      </c>
      <c r="K138" s="6" t="s">
        <v>56</v>
      </c>
      <c r="L138" s="5">
        <v>164981850</v>
      </c>
      <c r="M138" s="6" t="s">
        <v>52</v>
      </c>
      <c r="N138" s="6" t="s">
        <v>173</v>
      </c>
      <c r="O138" s="6" t="s">
        <v>169</v>
      </c>
      <c r="P138" s="17">
        <v>43398</v>
      </c>
      <c r="Q138" s="5">
        <f>VLOOKUP(G138,'CBs RAW'!$E$2:$P$427,12)</f>
        <v>1.63</v>
      </c>
      <c r="R138" s="17">
        <v>45224</v>
      </c>
      <c r="S138" s="6" t="s">
        <v>225</v>
      </c>
      <c r="T138" s="6" t="s">
        <v>174</v>
      </c>
      <c r="U138" s="6" t="s">
        <v>115</v>
      </c>
      <c r="V138" s="6" t="s">
        <v>1806</v>
      </c>
      <c r="W138" s="6" t="s">
        <v>2322</v>
      </c>
      <c r="X138" s="18">
        <f>VLOOKUP(G138,'CBs RAW'!$E$2:$W$427,19)</f>
        <v>1.5880000000000001</v>
      </c>
      <c r="Y138" s="19">
        <f t="shared" si="0"/>
        <v>1.5880000000000001</v>
      </c>
      <c r="Z138" s="2" t="str">
        <f t="shared" si="1"/>
        <v>CPI Property Group SACALLABLEFIXEDCHFSr Unsecured</v>
      </c>
    </row>
    <row r="139" spans="1:26" x14ac:dyDescent="0.2">
      <c r="A139" s="6">
        <v>138</v>
      </c>
      <c r="B139" s="6" t="s">
        <v>1335</v>
      </c>
      <c r="C139" s="6" t="s">
        <v>1338</v>
      </c>
      <c r="D139" s="6" t="s">
        <v>71</v>
      </c>
      <c r="E139" s="6">
        <f>VLOOKUP(G139,'CBs RAW'!$E$2:$H$427,4)</f>
        <v>1.9950000000000001</v>
      </c>
      <c r="F139" s="6" t="s">
        <v>1339</v>
      </c>
      <c r="G139" s="6" t="s">
        <v>2323</v>
      </c>
      <c r="H139" s="6" t="s">
        <v>2324</v>
      </c>
      <c r="I139" s="6" t="s">
        <v>2325</v>
      </c>
      <c r="J139" s="6" t="s">
        <v>55</v>
      </c>
      <c r="K139" s="6" t="s">
        <v>56</v>
      </c>
      <c r="L139" s="5">
        <v>26519910</v>
      </c>
      <c r="M139" s="6" t="s">
        <v>52</v>
      </c>
      <c r="N139" s="6" t="s">
        <v>1775</v>
      </c>
      <c r="O139" s="6" t="s">
        <v>169</v>
      </c>
      <c r="P139" s="17">
        <v>43444</v>
      </c>
      <c r="Q139" s="5">
        <f>VLOOKUP(G139,'CBs RAW'!$E$2:$P$427,12)</f>
        <v>1.9950000000000001</v>
      </c>
      <c r="R139" s="17">
        <v>47095</v>
      </c>
      <c r="S139" s="6" t="s">
        <v>225</v>
      </c>
      <c r="T139" s="6" t="s">
        <v>174</v>
      </c>
      <c r="U139" s="6" t="s">
        <v>49</v>
      </c>
      <c r="V139" s="6" t="s">
        <v>975</v>
      </c>
      <c r="W139" s="6" t="s">
        <v>2326</v>
      </c>
      <c r="X139" s="18">
        <f>VLOOKUP(G139,'CBs RAW'!$E$2:$W$427,19)</f>
        <v>1.9590000000000001</v>
      </c>
      <c r="Y139" s="19">
        <f t="shared" si="0"/>
        <v>1.9590000000000001</v>
      </c>
      <c r="Z139" s="2" t="str">
        <f t="shared" si="1"/>
        <v>CPI Property Group SAAT MATURITYFIXEDJPYSr Unsecured</v>
      </c>
    </row>
    <row r="140" spans="1:26" x14ac:dyDescent="0.2">
      <c r="A140" s="6">
        <v>139</v>
      </c>
      <c r="B140" s="6" t="s">
        <v>1335</v>
      </c>
      <c r="C140" s="6" t="s">
        <v>1338</v>
      </c>
      <c r="D140" s="6" t="s">
        <v>57</v>
      </c>
      <c r="E140" s="6">
        <f>VLOOKUP(G140,'CBs RAW'!$E$2:$H$427,4)</f>
        <v>4.51</v>
      </c>
      <c r="F140" s="6" t="s">
        <v>1339</v>
      </c>
      <c r="G140" s="6" t="s">
        <v>2327</v>
      </c>
      <c r="H140" s="6" t="s">
        <v>2328</v>
      </c>
      <c r="I140" s="6" t="s">
        <v>2329</v>
      </c>
      <c r="J140" s="6" t="s">
        <v>55</v>
      </c>
      <c r="K140" s="6" t="s">
        <v>56</v>
      </c>
      <c r="L140" s="5">
        <v>57335400</v>
      </c>
      <c r="M140" s="6" t="s">
        <v>52</v>
      </c>
      <c r="N140" s="6" t="s">
        <v>173</v>
      </c>
      <c r="O140" s="6" t="s">
        <v>169</v>
      </c>
      <c r="P140" s="17">
        <v>43508</v>
      </c>
      <c r="Q140" s="5">
        <f>VLOOKUP(G140,'CBs RAW'!$E$2:$P$427,12)</f>
        <v>4.51</v>
      </c>
      <c r="R140" s="17">
        <v>45334</v>
      </c>
      <c r="S140" s="6" t="s">
        <v>225</v>
      </c>
      <c r="T140" s="6" t="s">
        <v>174</v>
      </c>
      <c r="U140" s="6" t="s">
        <v>49</v>
      </c>
      <c r="V140" s="6" t="s">
        <v>2330</v>
      </c>
      <c r="W140" s="6" t="s">
        <v>2331</v>
      </c>
      <c r="X140" s="18" t="str">
        <f>VLOOKUP(G140,'CBs RAW'!$E$2:$W$427,19)</f>
        <v>#N/A N/A</v>
      </c>
      <c r="Y140" s="2">
        <f t="shared" si="0"/>
        <v>4.51</v>
      </c>
      <c r="Z140" s="2" t="str">
        <f t="shared" si="1"/>
        <v>CPI Property Group SAAT MATURITYFIXEDHKDSr Unsecured</v>
      </c>
    </row>
    <row r="141" spans="1:26" x14ac:dyDescent="0.2">
      <c r="A141" s="6">
        <v>140</v>
      </c>
      <c r="B141" s="6" t="s">
        <v>1335</v>
      </c>
      <c r="C141" s="6" t="s">
        <v>1338</v>
      </c>
      <c r="D141" s="6" t="s">
        <v>57</v>
      </c>
      <c r="E141" s="6" t="str">
        <f>VLOOKUP(G141,'CBs RAW'!$E$2:$H$427,4)</f>
        <v>#N/A N/A</v>
      </c>
      <c r="F141" s="6" t="s">
        <v>1339</v>
      </c>
      <c r="G141" s="6" t="s">
        <v>2332</v>
      </c>
      <c r="H141" s="6" t="s">
        <v>173</v>
      </c>
      <c r="I141" s="6" t="s">
        <v>2333</v>
      </c>
      <c r="J141" s="6" t="s">
        <v>55</v>
      </c>
      <c r="K141" s="6" t="s">
        <v>56</v>
      </c>
      <c r="L141" s="5">
        <v>192999300</v>
      </c>
      <c r="M141" s="6" t="s">
        <v>52</v>
      </c>
      <c r="N141" s="6" t="s">
        <v>1775</v>
      </c>
      <c r="O141" s="6" t="s">
        <v>169</v>
      </c>
      <c r="P141" s="17">
        <v>43545</v>
      </c>
      <c r="Q141" s="5">
        <f>VLOOKUP(G141,'CBs RAW'!$E$2:$P$427,12)</f>
        <v>2.6960000000000002</v>
      </c>
      <c r="R141" s="17">
        <v>46467</v>
      </c>
      <c r="S141" s="6" t="s">
        <v>1035</v>
      </c>
      <c r="T141" s="6" t="s">
        <v>54</v>
      </c>
      <c r="U141" s="6" t="s">
        <v>49</v>
      </c>
      <c r="V141" s="6" t="s">
        <v>53</v>
      </c>
      <c r="W141" s="6" t="s">
        <v>2334</v>
      </c>
      <c r="X141" s="18" t="str">
        <f>VLOOKUP(G141,'CBs RAW'!$E$2:$W$427,19)</f>
        <v>#N/A N/A</v>
      </c>
      <c r="Y141" s="2" t="str">
        <f t="shared" si="0"/>
        <v>#N/A N/A</v>
      </c>
      <c r="Z141" s="2" t="str">
        <f t="shared" si="1"/>
        <v>CPI Property Group SAAT MATURITYFIXEDEURSr Unsecured</v>
      </c>
    </row>
    <row r="142" spans="1:26" x14ac:dyDescent="0.2">
      <c r="A142" s="6">
        <v>141</v>
      </c>
      <c r="B142" s="6" t="s">
        <v>1335</v>
      </c>
      <c r="C142" s="6" t="s">
        <v>1338</v>
      </c>
      <c r="D142" s="6" t="s">
        <v>57</v>
      </c>
      <c r="E142" s="6" t="str">
        <f>VLOOKUP(G142,'CBs RAW'!$E$2:$H$427,4)</f>
        <v>#N/A N/A</v>
      </c>
      <c r="F142" s="6" t="s">
        <v>1339</v>
      </c>
      <c r="G142" s="6" t="s">
        <v>2335</v>
      </c>
      <c r="H142" s="6" t="s">
        <v>2336</v>
      </c>
      <c r="I142" s="6" t="s">
        <v>2337</v>
      </c>
      <c r="J142" s="6" t="s">
        <v>55</v>
      </c>
      <c r="K142" s="6" t="s">
        <v>56</v>
      </c>
      <c r="L142" s="5">
        <v>1030021500</v>
      </c>
      <c r="M142" s="6" t="s">
        <v>52</v>
      </c>
      <c r="N142" s="6" t="s">
        <v>1770</v>
      </c>
      <c r="O142" s="6" t="s">
        <v>169</v>
      </c>
      <c r="P142" s="17">
        <v>44223</v>
      </c>
      <c r="Q142" s="5">
        <f>VLOOKUP(G142,'CBs RAW'!$E$2:$P$427,12)</f>
        <v>1.5</v>
      </c>
      <c r="R142" s="17">
        <v>47875</v>
      </c>
      <c r="S142" s="6" t="s">
        <v>225</v>
      </c>
      <c r="T142" s="6" t="s">
        <v>174</v>
      </c>
      <c r="U142" s="6" t="s">
        <v>115</v>
      </c>
      <c r="V142" s="6" t="s">
        <v>53</v>
      </c>
      <c r="W142" s="6" t="s">
        <v>2338</v>
      </c>
      <c r="X142" s="18">
        <f>VLOOKUP(G142,'CBs RAW'!$E$2:$W$427,19)</f>
        <v>1.5720000000000001</v>
      </c>
      <c r="Y142" s="19">
        <f t="shared" si="0"/>
        <v>1.5720000000000001</v>
      </c>
      <c r="Z142" s="2" t="str">
        <f t="shared" si="1"/>
        <v>CPI Property Group SACALLABLEFIXEDEURSr Unsecured</v>
      </c>
    </row>
    <row r="143" spans="1:26" x14ac:dyDescent="0.2">
      <c r="A143" s="6">
        <v>142</v>
      </c>
      <c r="B143" s="6" t="s">
        <v>1335</v>
      </c>
      <c r="C143" s="6" t="s">
        <v>1338</v>
      </c>
      <c r="D143" s="6" t="s">
        <v>71</v>
      </c>
      <c r="E143" s="6">
        <f>VLOOKUP(G143,'CBs RAW'!$E$2:$H$427,4)</f>
        <v>0.71</v>
      </c>
      <c r="F143" s="6" t="s">
        <v>1339</v>
      </c>
      <c r="G143" s="6" t="s">
        <v>2339</v>
      </c>
      <c r="H143" s="6" t="s">
        <v>2340</v>
      </c>
      <c r="I143" s="6" t="s">
        <v>2341</v>
      </c>
      <c r="J143" s="6" t="s">
        <v>55</v>
      </c>
      <c r="K143" s="6" t="s">
        <v>56</v>
      </c>
      <c r="L143" s="5">
        <v>28215780</v>
      </c>
      <c r="M143" s="6" t="s">
        <v>52</v>
      </c>
      <c r="N143" s="6" t="s">
        <v>1770</v>
      </c>
      <c r="O143" s="6" t="s">
        <v>169</v>
      </c>
      <c r="P143" s="17">
        <v>44252</v>
      </c>
      <c r="Q143" s="5">
        <f>VLOOKUP(G143,'CBs RAW'!$E$2:$P$427,12)</f>
        <v>0.71</v>
      </c>
      <c r="R143" s="17">
        <v>45713</v>
      </c>
      <c r="S143" s="6" t="s">
        <v>225</v>
      </c>
      <c r="T143" s="6" t="s">
        <v>54</v>
      </c>
      <c r="U143" s="6" t="s">
        <v>49</v>
      </c>
      <c r="V143" s="6" t="s">
        <v>975</v>
      </c>
      <c r="W143" s="6" t="s">
        <v>2342</v>
      </c>
      <c r="X143" s="18">
        <f>VLOOKUP(G143,'CBs RAW'!$E$2:$W$427,19)</f>
        <v>0.52500000000000002</v>
      </c>
      <c r="Y143" s="19">
        <f t="shared" si="0"/>
        <v>0.52500000000000002</v>
      </c>
      <c r="Z143" s="2" t="str">
        <f t="shared" si="1"/>
        <v>CPI Property Group SAAT MATURITYFIXEDJPYSr Unsecured</v>
      </c>
    </row>
    <row r="144" spans="1:26" x14ac:dyDescent="0.2">
      <c r="A144" s="6">
        <v>143</v>
      </c>
      <c r="B144" s="6" t="s">
        <v>1335</v>
      </c>
      <c r="C144" s="6" t="s">
        <v>1338</v>
      </c>
      <c r="D144" s="6" t="s">
        <v>71</v>
      </c>
      <c r="E144" s="6" t="str">
        <f>VLOOKUP(G144,'CBs RAW'!$E$2:$H$427,4)</f>
        <v>#N/A N/A</v>
      </c>
      <c r="F144" s="6" t="s">
        <v>1339</v>
      </c>
      <c r="G144" s="6" t="s">
        <v>2343</v>
      </c>
      <c r="H144" s="6" t="s">
        <v>2344</v>
      </c>
      <c r="I144" s="6" t="s">
        <v>2345</v>
      </c>
      <c r="J144" s="6" t="s">
        <v>55</v>
      </c>
      <c r="K144" s="6" t="s">
        <v>56</v>
      </c>
      <c r="L144" s="5">
        <v>23292282</v>
      </c>
      <c r="M144" s="6" t="s">
        <v>52</v>
      </c>
      <c r="N144" s="6" t="s">
        <v>1770</v>
      </c>
      <c r="O144" s="6" t="s">
        <v>169</v>
      </c>
      <c r="P144" s="17">
        <v>44476</v>
      </c>
      <c r="Q144" s="5">
        <f>VLOOKUP(G144,'CBs RAW'!$E$2:$P$427,12)</f>
        <v>0.35</v>
      </c>
      <c r="R144" s="17">
        <v>45754</v>
      </c>
      <c r="S144" s="6" t="s">
        <v>225</v>
      </c>
      <c r="T144" s="6" t="s">
        <v>54</v>
      </c>
      <c r="U144" s="6" t="s">
        <v>49</v>
      </c>
      <c r="V144" s="6" t="s">
        <v>975</v>
      </c>
      <c r="W144" s="6" t="s">
        <v>2346</v>
      </c>
      <c r="X144" s="18">
        <f>VLOOKUP(G144,'CBs RAW'!$E$2:$W$427,19)</f>
        <v>0.36199999999999999</v>
      </c>
      <c r="Y144" s="19">
        <f t="shared" si="0"/>
        <v>0.36199999999999999</v>
      </c>
      <c r="Z144" s="2" t="str">
        <f t="shared" si="1"/>
        <v>CPI Property Group SAAT MATURITYFIXEDJPYSr Unsecured</v>
      </c>
    </row>
    <row r="145" spans="1:26" x14ac:dyDescent="0.2">
      <c r="A145" s="6">
        <v>144</v>
      </c>
      <c r="B145" s="6" t="s">
        <v>1335</v>
      </c>
      <c r="C145" s="6" t="s">
        <v>1338</v>
      </c>
      <c r="D145" s="6" t="s">
        <v>71</v>
      </c>
      <c r="E145" s="6" t="str">
        <f>VLOOKUP(G145,'CBs RAW'!$E$2:$H$427,4)</f>
        <v>#N/A N/A</v>
      </c>
      <c r="F145" s="6" t="s">
        <v>1339</v>
      </c>
      <c r="G145" s="6" t="s">
        <v>2347</v>
      </c>
      <c r="H145" s="6" t="s">
        <v>173</v>
      </c>
      <c r="I145" s="6" t="s">
        <v>2348</v>
      </c>
      <c r="J145" s="6" t="s">
        <v>55</v>
      </c>
      <c r="K145" s="6" t="s">
        <v>70</v>
      </c>
      <c r="L145" s="5">
        <v>144731930</v>
      </c>
      <c r="M145" s="6" t="s">
        <v>52</v>
      </c>
      <c r="N145" s="6" t="s">
        <v>1770</v>
      </c>
      <c r="O145" s="6" t="s">
        <v>169</v>
      </c>
      <c r="P145" s="17">
        <v>44664</v>
      </c>
      <c r="Q145" s="5">
        <f>VLOOKUP(G145,'CBs RAW'!$E$2:$P$427,12)</f>
        <v>0</v>
      </c>
      <c r="R145" s="17">
        <v>46856</v>
      </c>
      <c r="S145" s="6" t="s">
        <v>157</v>
      </c>
      <c r="T145" s="6" t="s">
        <v>54</v>
      </c>
      <c r="U145" s="6" t="s">
        <v>49</v>
      </c>
      <c r="V145" s="6" t="s">
        <v>53</v>
      </c>
      <c r="W145" s="6" t="s">
        <v>2349</v>
      </c>
      <c r="X145" s="18" t="str">
        <f>VLOOKUP(G145,'CBs RAW'!$E$2:$W$427,19)</f>
        <v>#N/A N/A</v>
      </c>
      <c r="Y145" s="2" t="str">
        <f t="shared" si="0"/>
        <v>#N/A N/A</v>
      </c>
      <c r="Z145" s="2" t="str">
        <f t="shared" si="1"/>
        <v>CPI Property Group SAAT MATURITYFLOATINGEURSr Unsecured</v>
      </c>
    </row>
    <row r="146" spans="1:26" x14ac:dyDescent="0.2">
      <c r="A146" s="6">
        <v>145</v>
      </c>
      <c r="B146" s="6" t="s">
        <v>1335</v>
      </c>
      <c r="C146" s="6" t="s">
        <v>1338</v>
      </c>
      <c r="D146" s="6" t="s">
        <v>71</v>
      </c>
      <c r="E146" s="6" t="str">
        <f>VLOOKUP(G146,'CBs RAW'!$E$2:$H$427,4)</f>
        <v>#N/A N/A</v>
      </c>
      <c r="F146" s="6" t="s">
        <v>1339</v>
      </c>
      <c r="G146" s="6" t="s">
        <v>2350</v>
      </c>
      <c r="H146" s="6" t="s">
        <v>173</v>
      </c>
      <c r="I146" s="6" t="s">
        <v>2351</v>
      </c>
      <c r="J146" s="6" t="s">
        <v>55</v>
      </c>
      <c r="K146" s="6" t="s">
        <v>70</v>
      </c>
      <c r="L146" s="5">
        <v>144731930</v>
      </c>
      <c r="M146" s="6" t="s">
        <v>52</v>
      </c>
      <c r="N146" s="6" t="s">
        <v>1770</v>
      </c>
      <c r="O146" s="6" t="s">
        <v>169</v>
      </c>
      <c r="P146" s="17">
        <v>44664</v>
      </c>
      <c r="Q146" s="5">
        <f>VLOOKUP(G146,'CBs RAW'!$E$2:$P$427,12)</f>
        <v>0</v>
      </c>
      <c r="R146" s="17">
        <v>46125</v>
      </c>
      <c r="S146" s="6" t="s">
        <v>161</v>
      </c>
      <c r="T146" s="6" t="s">
        <v>54</v>
      </c>
      <c r="U146" s="6" t="s">
        <v>49</v>
      </c>
      <c r="V146" s="6" t="s">
        <v>53</v>
      </c>
      <c r="W146" s="6" t="s">
        <v>2352</v>
      </c>
      <c r="X146" s="18" t="str">
        <f>VLOOKUP(G146,'CBs RAW'!$E$2:$W$427,19)</f>
        <v>#N/A N/A</v>
      </c>
      <c r="Y146" s="2" t="str">
        <f t="shared" si="0"/>
        <v>#N/A N/A</v>
      </c>
      <c r="Z146" s="2" t="str">
        <f t="shared" si="1"/>
        <v>CPI Property Group SAAT MATURITYFLOATINGEURSr Unsecured</v>
      </c>
    </row>
    <row r="147" spans="1:26" x14ac:dyDescent="0.2">
      <c r="A147" s="6">
        <v>146</v>
      </c>
      <c r="B147" s="6" t="s">
        <v>1335</v>
      </c>
      <c r="C147" s="6" t="s">
        <v>1338</v>
      </c>
      <c r="D147" s="6" t="s">
        <v>57</v>
      </c>
      <c r="E147" s="6" t="str">
        <f>VLOOKUP(G147,'CBs RAW'!$E$2:$H$427,4)</f>
        <v>#N/A N/A</v>
      </c>
      <c r="F147" s="6" t="s">
        <v>1339</v>
      </c>
      <c r="G147" s="6" t="s">
        <v>2353</v>
      </c>
      <c r="H147" s="6" t="s">
        <v>2354</v>
      </c>
      <c r="I147" s="6" t="s">
        <v>2355</v>
      </c>
      <c r="J147" s="6" t="s">
        <v>55</v>
      </c>
      <c r="K147" s="6" t="s">
        <v>56</v>
      </c>
      <c r="L147" s="5">
        <v>32186500</v>
      </c>
      <c r="M147" s="6" t="s">
        <v>52</v>
      </c>
      <c r="N147" s="6" t="s">
        <v>173</v>
      </c>
      <c r="O147" s="6" t="s">
        <v>169</v>
      </c>
      <c r="P147" s="17">
        <v>43874</v>
      </c>
      <c r="Q147" s="5">
        <f>VLOOKUP(G147,'CBs RAW'!$E$2:$P$427,12)</f>
        <v>3.0139999999999998</v>
      </c>
      <c r="R147" s="17">
        <v>47527</v>
      </c>
      <c r="S147" s="6" t="s">
        <v>225</v>
      </c>
      <c r="T147" s="6" t="s">
        <v>174</v>
      </c>
      <c r="U147" s="6" t="s">
        <v>49</v>
      </c>
      <c r="V147" s="6" t="s">
        <v>2330</v>
      </c>
      <c r="W147" s="6" t="s">
        <v>2356</v>
      </c>
      <c r="X147" s="18" t="str">
        <f>VLOOKUP(G147,'CBs RAW'!$E$2:$W$427,19)</f>
        <v>#N/A N/A</v>
      </c>
      <c r="Y147" s="2" t="str">
        <f t="shared" si="0"/>
        <v>#N/A N/A</v>
      </c>
      <c r="Z147" s="2" t="str">
        <f t="shared" si="1"/>
        <v>CPI Property Group SAAT MATURITYFIXEDHKDSr Unsecured</v>
      </c>
    </row>
    <row r="148" spans="1:26" x14ac:dyDescent="0.2">
      <c r="A148" s="6">
        <v>147</v>
      </c>
      <c r="B148" s="6" t="s">
        <v>1335</v>
      </c>
      <c r="C148" s="6" t="s">
        <v>1338</v>
      </c>
      <c r="D148" s="6" t="s">
        <v>57</v>
      </c>
      <c r="E148" s="6" t="str">
        <f>VLOOKUP(G148,'CBs RAW'!$E$2:$H$427,4)</f>
        <v>#N/A N/A</v>
      </c>
      <c r="F148" s="6" t="s">
        <v>1339</v>
      </c>
      <c r="G148" s="6" t="s">
        <v>2357</v>
      </c>
      <c r="H148" s="6" t="s">
        <v>2358</v>
      </c>
      <c r="I148" s="6" t="s">
        <v>2359</v>
      </c>
      <c r="J148" s="6" t="s">
        <v>55</v>
      </c>
      <c r="K148" s="6" t="s">
        <v>56</v>
      </c>
      <c r="L148" s="5">
        <v>36096650</v>
      </c>
      <c r="M148" s="6" t="s">
        <v>52</v>
      </c>
      <c r="N148" s="6" t="s">
        <v>173</v>
      </c>
      <c r="O148" s="6" t="s">
        <v>169</v>
      </c>
      <c r="P148" s="17">
        <v>43622</v>
      </c>
      <c r="Q148" s="5">
        <f>VLOOKUP(G148,'CBs RAW'!$E$2:$P$427,12)</f>
        <v>4.45</v>
      </c>
      <c r="R148" s="17">
        <v>46179</v>
      </c>
      <c r="S148" s="6" t="s">
        <v>225</v>
      </c>
      <c r="T148" s="6" t="s">
        <v>174</v>
      </c>
      <c r="U148" s="6" t="s">
        <v>49</v>
      </c>
      <c r="V148" s="6" t="s">
        <v>2330</v>
      </c>
      <c r="W148" s="6" t="s">
        <v>2360</v>
      </c>
      <c r="X148" s="18" t="str">
        <f>VLOOKUP(G148,'CBs RAW'!$E$2:$W$427,19)</f>
        <v>#N/A N/A</v>
      </c>
      <c r="Y148" s="2" t="str">
        <f t="shared" si="0"/>
        <v>#N/A N/A</v>
      </c>
      <c r="Z148" s="2" t="str">
        <f t="shared" si="1"/>
        <v>CPI Property Group SAAT MATURITYFIXEDHKDSr Unsecured</v>
      </c>
    </row>
    <row r="149" spans="1:26" x14ac:dyDescent="0.2">
      <c r="A149" s="6">
        <v>148</v>
      </c>
      <c r="B149" s="6" t="s">
        <v>41</v>
      </c>
      <c r="C149" s="6" t="s">
        <v>44</v>
      </c>
      <c r="D149" s="6" t="s">
        <v>57</v>
      </c>
      <c r="E149" s="6" t="str">
        <f>VLOOKUP(G149,'CBs RAW'!$E$2:$H$427,4)</f>
        <v>#N/A N/A</v>
      </c>
      <c r="F149" s="6" t="s">
        <v>45</v>
      </c>
      <c r="G149" s="6" t="s">
        <v>2361</v>
      </c>
      <c r="H149" s="6" t="s">
        <v>2362</v>
      </c>
      <c r="I149" s="6" t="s">
        <v>2363</v>
      </c>
      <c r="J149" s="6" t="s">
        <v>55</v>
      </c>
      <c r="K149" s="6" t="s">
        <v>56</v>
      </c>
      <c r="L149" s="5">
        <v>176172000</v>
      </c>
      <c r="M149" s="6" t="s">
        <v>52</v>
      </c>
      <c r="N149" s="6" t="s">
        <v>1815</v>
      </c>
      <c r="O149" s="6" t="s">
        <v>45</v>
      </c>
      <c r="P149" s="17">
        <v>44105</v>
      </c>
      <c r="Q149" s="5">
        <f>VLOOKUP(G149,'CBs RAW'!$E$2:$P$427,12)</f>
        <v>0.75</v>
      </c>
      <c r="R149" s="17">
        <v>46037</v>
      </c>
      <c r="S149" s="6" t="s">
        <v>2364</v>
      </c>
      <c r="T149" s="6" t="s">
        <v>54</v>
      </c>
      <c r="U149" s="6" t="s">
        <v>188</v>
      </c>
      <c r="V149" s="6" t="s">
        <v>53</v>
      </c>
      <c r="W149" s="6" t="s">
        <v>2365</v>
      </c>
      <c r="X149" s="18">
        <f>VLOOKUP(G149,'CBs RAW'!$E$2:$W$427,19)</f>
        <v>3.9E-2</v>
      </c>
      <c r="Y149" s="19">
        <f t="shared" si="0"/>
        <v>3.9E-2</v>
      </c>
      <c r="Z149" s="2" t="str">
        <f t="shared" si="1"/>
        <v>Duerr AGCONVERTIBLEFIXEDEURSr Unsecured</v>
      </c>
    </row>
    <row r="150" spans="1:26" x14ac:dyDescent="0.2">
      <c r="A150" s="6">
        <v>149</v>
      </c>
      <c r="B150" s="6" t="s">
        <v>670</v>
      </c>
      <c r="C150" s="6" t="s">
        <v>673</v>
      </c>
      <c r="D150" s="6" t="s">
        <v>57</v>
      </c>
      <c r="E150" s="6" t="str">
        <f>VLOOKUP(G150,'CBs RAW'!$E$2:$H$427,4)</f>
        <v>#N/A N/A</v>
      </c>
      <c r="F150" s="6" t="s">
        <v>184</v>
      </c>
      <c r="G150" s="6" t="s">
        <v>2366</v>
      </c>
      <c r="H150" s="6" t="s">
        <v>2367</v>
      </c>
      <c r="I150" s="6" t="s">
        <v>2368</v>
      </c>
      <c r="J150" s="6" t="s">
        <v>420</v>
      </c>
      <c r="K150" s="6" t="s">
        <v>56</v>
      </c>
      <c r="L150" s="5">
        <v>535195000</v>
      </c>
      <c r="M150" s="6" t="s">
        <v>52</v>
      </c>
      <c r="N150" s="6" t="s">
        <v>1770</v>
      </c>
      <c r="O150" s="6" t="s">
        <v>184</v>
      </c>
      <c r="P150" s="17">
        <v>42824</v>
      </c>
      <c r="Q150" s="5">
        <f>VLOOKUP(G150,'CBs RAW'!$E$2:$P$427,12)</f>
        <v>1.875</v>
      </c>
      <c r="R150" s="17">
        <v>46476</v>
      </c>
      <c r="S150" s="6" t="s">
        <v>173</v>
      </c>
      <c r="T150" s="6" t="s">
        <v>189</v>
      </c>
      <c r="U150" s="6" t="s">
        <v>115</v>
      </c>
      <c r="V150" s="6" t="s">
        <v>53</v>
      </c>
      <c r="W150" s="6" t="s">
        <v>2369</v>
      </c>
      <c r="X150" s="18">
        <f>VLOOKUP(G150,'CBs RAW'!$E$2:$W$427,19)</f>
        <v>1.89</v>
      </c>
      <c r="Y150" s="19">
        <f t="shared" si="0"/>
        <v>1.89</v>
      </c>
      <c r="Z150" s="2" t="str">
        <f t="shared" si="1"/>
        <v>EdenredCALLABLEFIXEDEURSr Unsecured</v>
      </c>
    </row>
    <row r="151" spans="1:26" x14ac:dyDescent="0.2">
      <c r="A151" s="6">
        <v>150</v>
      </c>
      <c r="B151" s="6" t="s">
        <v>670</v>
      </c>
      <c r="C151" s="6" t="s">
        <v>673</v>
      </c>
      <c r="D151" s="6" t="s">
        <v>57</v>
      </c>
      <c r="E151" s="6" t="str">
        <f>VLOOKUP(G151,'CBs RAW'!$E$2:$H$427,4)</f>
        <v>#N/A N/A</v>
      </c>
      <c r="F151" s="6" t="s">
        <v>184</v>
      </c>
      <c r="G151" s="6" t="s">
        <v>2370</v>
      </c>
      <c r="H151" s="6" t="s">
        <v>2371</v>
      </c>
      <c r="I151" s="6" t="s">
        <v>2372</v>
      </c>
      <c r="J151" s="6" t="s">
        <v>420</v>
      </c>
      <c r="K151" s="6" t="s">
        <v>56</v>
      </c>
      <c r="L151" s="5">
        <v>569325000</v>
      </c>
      <c r="M151" s="6" t="s">
        <v>52</v>
      </c>
      <c r="N151" s="6" t="s">
        <v>1770</v>
      </c>
      <c r="O151" s="6" t="s">
        <v>184</v>
      </c>
      <c r="P151" s="17">
        <v>43440</v>
      </c>
      <c r="Q151" s="5">
        <f>VLOOKUP(G151,'CBs RAW'!$E$2:$P$427,12)</f>
        <v>1.875</v>
      </c>
      <c r="R151" s="17">
        <v>46087</v>
      </c>
      <c r="S151" s="6" t="s">
        <v>173</v>
      </c>
      <c r="T151" s="6" t="s">
        <v>189</v>
      </c>
      <c r="U151" s="6" t="s">
        <v>115</v>
      </c>
      <c r="V151" s="6" t="s">
        <v>53</v>
      </c>
      <c r="W151" s="6" t="s">
        <v>2373</v>
      </c>
      <c r="X151" s="18">
        <f>VLOOKUP(G151,'CBs RAW'!$E$2:$W$427,19)</f>
        <v>2.012</v>
      </c>
      <c r="Y151" s="19">
        <f t="shared" si="0"/>
        <v>2.012</v>
      </c>
      <c r="Z151" s="2" t="str">
        <f t="shared" si="1"/>
        <v>EdenredCALLABLEFIXEDEURSr Unsecured</v>
      </c>
    </row>
    <row r="152" spans="1:26" x14ac:dyDescent="0.2">
      <c r="A152" s="6">
        <v>151</v>
      </c>
      <c r="B152" s="6" t="s">
        <v>670</v>
      </c>
      <c r="C152" s="6" t="s">
        <v>673</v>
      </c>
      <c r="D152" s="6" t="s">
        <v>57</v>
      </c>
      <c r="E152" s="6">
        <f>VLOOKUP(G152,'CBs RAW'!$E$2:$H$427,4)</f>
        <v>1.3800000000000001</v>
      </c>
      <c r="F152" s="6" t="s">
        <v>184</v>
      </c>
      <c r="G152" s="6" t="s">
        <v>2374</v>
      </c>
      <c r="H152" s="6" t="s">
        <v>2375</v>
      </c>
      <c r="I152" s="6" t="s">
        <v>2376</v>
      </c>
      <c r="J152" s="6" t="s">
        <v>420</v>
      </c>
      <c r="K152" s="6" t="s">
        <v>56</v>
      </c>
      <c r="L152" s="5">
        <v>671616000</v>
      </c>
      <c r="M152" s="6" t="s">
        <v>52</v>
      </c>
      <c r="N152" s="6" t="s">
        <v>1770</v>
      </c>
      <c r="O152" s="6" t="s">
        <v>184</v>
      </c>
      <c r="P152" s="17">
        <v>44000</v>
      </c>
      <c r="Q152" s="5">
        <f>VLOOKUP(G152,'CBs RAW'!$E$2:$P$427,12)</f>
        <v>1.375</v>
      </c>
      <c r="R152" s="17">
        <v>47287</v>
      </c>
      <c r="S152" s="6" t="s">
        <v>173</v>
      </c>
      <c r="T152" s="6" t="s">
        <v>189</v>
      </c>
      <c r="U152" s="6" t="s">
        <v>115</v>
      </c>
      <c r="V152" s="6" t="s">
        <v>53</v>
      </c>
      <c r="W152" s="6" t="s">
        <v>2377</v>
      </c>
      <c r="X152" s="18">
        <f>VLOOKUP(G152,'CBs RAW'!$E$2:$W$427,19)</f>
        <v>1.306</v>
      </c>
      <c r="Y152" s="19">
        <f t="shared" si="0"/>
        <v>1.306</v>
      </c>
      <c r="Z152" s="2" t="str">
        <f t="shared" si="1"/>
        <v>EdenredCALLABLEFIXEDEURSr Unsecured</v>
      </c>
    </row>
    <row r="153" spans="1:26" x14ac:dyDescent="0.2">
      <c r="A153" s="6">
        <v>152</v>
      </c>
      <c r="B153" s="6" t="s">
        <v>670</v>
      </c>
      <c r="C153" s="6" t="s">
        <v>673</v>
      </c>
      <c r="D153" s="6" t="s">
        <v>57</v>
      </c>
      <c r="E153" s="6">
        <f>VLOOKUP(G153,'CBs RAW'!$E$2:$H$427,4)</f>
        <v>1.49</v>
      </c>
      <c r="F153" s="6" t="s">
        <v>184</v>
      </c>
      <c r="G153" s="6" t="s">
        <v>2378</v>
      </c>
      <c r="H153" s="6" t="s">
        <v>2379</v>
      </c>
      <c r="I153" s="6" t="s">
        <v>2380</v>
      </c>
      <c r="J153" s="6" t="s">
        <v>420</v>
      </c>
      <c r="K153" s="6" t="s">
        <v>56</v>
      </c>
      <c r="L153" s="5">
        <v>535955000</v>
      </c>
      <c r="M153" s="6" t="s">
        <v>52</v>
      </c>
      <c r="N153" s="6" t="s">
        <v>1775</v>
      </c>
      <c r="O153" s="6" t="s">
        <v>184</v>
      </c>
      <c r="P153" s="17">
        <v>42073</v>
      </c>
      <c r="Q153" s="5">
        <f>VLOOKUP(G153,'CBs RAW'!$E$2:$P$427,12)</f>
        <v>1.375</v>
      </c>
      <c r="R153" s="17">
        <v>45726</v>
      </c>
      <c r="S153" s="6" t="s">
        <v>173</v>
      </c>
      <c r="T153" s="6" t="s">
        <v>189</v>
      </c>
      <c r="U153" s="6" t="s">
        <v>115</v>
      </c>
      <c r="V153" s="6" t="s">
        <v>53</v>
      </c>
      <c r="W153" s="6" t="s">
        <v>2381</v>
      </c>
      <c r="X153" s="18">
        <f>VLOOKUP(G153,'CBs RAW'!$E$2:$W$427,19)</f>
        <v>1.3340000000000001</v>
      </c>
      <c r="Y153" s="19">
        <f t="shared" si="0"/>
        <v>1.3340000000000001</v>
      </c>
      <c r="Z153" s="2" t="str">
        <f t="shared" si="1"/>
        <v>EdenredCALLABLEFIXEDEURSr Unsecured</v>
      </c>
    </row>
    <row r="154" spans="1:26" x14ac:dyDescent="0.2">
      <c r="A154" s="6">
        <v>153</v>
      </c>
      <c r="B154" s="6" t="s">
        <v>670</v>
      </c>
      <c r="C154" s="6" t="s">
        <v>673</v>
      </c>
      <c r="D154" s="6" t="s">
        <v>173</v>
      </c>
      <c r="E154" s="6" t="str">
        <f>VLOOKUP(G154,'CBs RAW'!$E$2:$H$427,4)</f>
        <v>#N/A N/A</v>
      </c>
      <c r="F154" s="6" t="s">
        <v>184</v>
      </c>
      <c r="G154" s="6" t="s">
        <v>2382</v>
      </c>
      <c r="H154" s="6" t="s">
        <v>2383</v>
      </c>
      <c r="I154" s="6" t="s">
        <v>2384</v>
      </c>
      <c r="J154" s="6" t="s">
        <v>420</v>
      </c>
      <c r="K154" s="6" t="s">
        <v>675</v>
      </c>
      <c r="L154" s="5">
        <v>551770000</v>
      </c>
      <c r="M154" s="6" t="s">
        <v>52</v>
      </c>
      <c r="N154" s="6" t="s">
        <v>1770</v>
      </c>
      <c r="O154" s="6" t="s">
        <v>184</v>
      </c>
      <c r="P154" s="17">
        <v>43714</v>
      </c>
      <c r="Q154" s="5">
        <f>VLOOKUP(G154,'CBs RAW'!$E$2:$P$427,12)</f>
        <v>0</v>
      </c>
      <c r="R154" s="17">
        <v>45541</v>
      </c>
      <c r="S154" s="6" t="s">
        <v>674</v>
      </c>
      <c r="T154" s="6" t="s">
        <v>54</v>
      </c>
      <c r="U154" s="6" t="s">
        <v>188</v>
      </c>
      <c r="V154" s="6" t="s">
        <v>53</v>
      </c>
      <c r="W154" s="6" t="s">
        <v>2385</v>
      </c>
      <c r="X154" s="18">
        <f>VLOOKUP(G154,'CBs RAW'!$E$2:$W$427,19)</f>
        <v>-1.6040000000000001</v>
      </c>
      <c r="Y154" s="19">
        <f t="shared" si="0"/>
        <v>-1.6040000000000001</v>
      </c>
      <c r="Z154" s="2" t="str">
        <f t="shared" si="1"/>
        <v>EdenredCONVERTIBLEZERO COUPONEURSr Unsecured</v>
      </c>
    </row>
    <row r="155" spans="1:26" x14ac:dyDescent="0.2">
      <c r="A155" s="6">
        <v>154</v>
      </c>
      <c r="B155" s="6" t="s">
        <v>1249</v>
      </c>
      <c r="C155" s="6" t="s">
        <v>1252</v>
      </c>
      <c r="D155" s="6" t="s">
        <v>71</v>
      </c>
      <c r="E155" s="6" t="str">
        <f>VLOOKUP(G155,'CBs RAW'!$E$2:$H$427,4)</f>
        <v>#N/A N/A</v>
      </c>
      <c r="F155" s="6" t="s">
        <v>367</v>
      </c>
      <c r="G155" s="6" t="s">
        <v>2386</v>
      </c>
      <c r="H155" s="6" t="s">
        <v>173</v>
      </c>
      <c r="I155" s="6" t="s">
        <v>2387</v>
      </c>
      <c r="J155" s="6" t="s">
        <v>55</v>
      </c>
      <c r="K155" s="6" t="s">
        <v>56</v>
      </c>
      <c r="L155" s="6"/>
      <c r="M155" s="6" t="s">
        <v>118</v>
      </c>
      <c r="N155" s="6" t="s">
        <v>173</v>
      </c>
      <c r="O155" s="6" t="s">
        <v>367</v>
      </c>
      <c r="P155" s="17">
        <v>43589</v>
      </c>
      <c r="Q155" s="5">
        <f>VLOOKUP(G155,'CBs RAW'!$E$2:$P$427,12)</f>
        <v>5.21</v>
      </c>
      <c r="R155" s="17">
        <v>45050</v>
      </c>
      <c r="S155" s="6" t="s">
        <v>173</v>
      </c>
      <c r="T155" s="6" t="s">
        <v>54</v>
      </c>
      <c r="U155" s="6" t="s">
        <v>49</v>
      </c>
      <c r="V155" s="6" t="s">
        <v>262</v>
      </c>
      <c r="W155" s="6" t="s">
        <v>2388</v>
      </c>
      <c r="X155" s="18" t="str">
        <f>VLOOKUP(G155,'CBs RAW'!$E$2:$W$427,19)</f>
        <v>#N/A N/A</v>
      </c>
      <c r="Y155" s="2" t="str">
        <f t="shared" si="0"/>
        <v>#N/A N/A</v>
      </c>
      <c r="Z155" s="2" t="str">
        <f t="shared" si="1"/>
        <v>Elekta ABAT MATURITYFIXEDUSDUnsecured</v>
      </c>
    </row>
    <row r="156" spans="1:26" x14ac:dyDescent="0.2">
      <c r="A156" s="6">
        <v>155</v>
      </c>
      <c r="B156" s="6" t="s">
        <v>1249</v>
      </c>
      <c r="C156" s="6" t="s">
        <v>1252</v>
      </c>
      <c r="D156" s="6" t="s">
        <v>391</v>
      </c>
      <c r="E156" s="6" t="str">
        <f>VLOOKUP(G156,'CBs RAW'!$E$2:$H$427,4)</f>
        <v>#N/A N/A</v>
      </c>
      <c r="F156" s="6" t="s">
        <v>367</v>
      </c>
      <c r="G156" s="6" t="s">
        <v>2389</v>
      </c>
      <c r="H156" s="6" t="s">
        <v>2390</v>
      </c>
      <c r="I156" s="6" t="s">
        <v>2391</v>
      </c>
      <c r="J156" s="6" t="s">
        <v>55</v>
      </c>
      <c r="K156" s="6" t="s">
        <v>70</v>
      </c>
      <c r="L156" s="5">
        <v>51302500</v>
      </c>
      <c r="M156" s="6" t="s">
        <v>52</v>
      </c>
      <c r="N156" s="6" t="s">
        <v>173</v>
      </c>
      <c r="O156" s="6" t="s">
        <v>367</v>
      </c>
      <c r="P156" s="17">
        <v>43903</v>
      </c>
      <c r="Q156" s="5">
        <f>VLOOKUP(G156,'CBs RAW'!$E$2:$P$427,12)</f>
        <v>0.92100000000000004</v>
      </c>
      <c r="R156" s="17">
        <v>44998</v>
      </c>
      <c r="S156" s="6" t="s">
        <v>685</v>
      </c>
      <c r="T156" s="6" t="s">
        <v>189</v>
      </c>
      <c r="U156" s="6" t="s">
        <v>49</v>
      </c>
      <c r="V156" s="6" t="s">
        <v>686</v>
      </c>
      <c r="W156" s="6" t="s">
        <v>2392</v>
      </c>
      <c r="X156" s="18">
        <f>VLOOKUP(G156,'CBs RAW'!$E$2:$W$427,19)</f>
        <v>1.4390000000000001</v>
      </c>
      <c r="Y156" s="19">
        <f t="shared" si="0"/>
        <v>1.4390000000000001</v>
      </c>
      <c r="Z156" s="2" t="str">
        <f t="shared" si="1"/>
        <v>Elekta ABAT MATURITYFLOATINGSEKSr Unsecured</v>
      </c>
    </row>
    <row r="157" spans="1:26" x14ac:dyDescent="0.2">
      <c r="A157" s="6">
        <v>156</v>
      </c>
      <c r="B157" s="6" t="s">
        <v>1249</v>
      </c>
      <c r="C157" s="6" t="s">
        <v>1252</v>
      </c>
      <c r="D157" s="6" t="s">
        <v>391</v>
      </c>
      <c r="E157" s="6" t="str">
        <f>VLOOKUP(G157,'CBs RAW'!$E$2:$H$427,4)</f>
        <v>#N/A N/A</v>
      </c>
      <c r="F157" s="6" t="s">
        <v>367</v>
      </c>
      <c r="G157" s="6" t="s">
        <v>2393</v>
      </c>
      <c r="H157" s="6" t="s">
        <v>2394</v>
      </c>
      <c r="I157" s="6" t="s">
        <v>2395</v>
      </c>
      <c r="J157" s="6" t="s">
        <v>55</v>
      </c>
      <c r="K157" s="6" t="s">
        <v>70</v>
      </c>
      <c r="L157" s="5">
        <v>102605000</v>
      </c>
      <c r="M157" s="6" t="s">
        <v>52</v>
      </c>
      <c r="N157" s="6" t="s">
        <v>173</v>
      </c>
      <c r="O157" s="6" t="s">
        <v>367</v>
      </c>
      <c r="P157" s="17">
        <v>43903</v>
      </c>
      <c r="Q157" s="5">
        <f>VLOOKUP(G157,'CBs RAW'!$E$2:$P$427,12)</f>
        <v>1.371</v>
      </c>
      <c r="R157" s="17">
        <v>45729</v>
      </c>
      <c r="S157" s="6" t="s">
        <v>685</v>
      </c>
      <c r="T157" s="6" t="s">
        <v>189</v>
      </c>
      <c r="U157" s="6" t="s">
        <v>49</v>
      </c>
      <c r="V157" s="6" t="s">
        <v>686</v>
      </c>
      <c r="W157" s="6" t="s">
        <v>2396</v>
      </c>
      <c r="X157" s="18" t="str">
        <f>VLOOKUP(G157,'CBs RAW'!$E$2:$W$427,19)</f>
        <v>#N/A N/A</v>
      </c>
      <c r="Y157" s="2" t="str">
        <f t="shared" si="0"/>
        <v>#N/A N/A</v>
      </c>
      <c r="Z157" s="2" t="str">
        <f t="shared" si="1"/>
        <v>Elekta ABAT MATURITYFLOATINGSEKSr Unsecured</v>
      </c>
    </row>
    <row r="158" spans="1:26" x14ac:dyDescent="0.2">
      <c r="A158" s="6">
        <v>157</v>
      </c>
      <c r="B158" s="6" t="s">
        <v>641</v>
      </c>
      <c r="C158" s="6" t="s">
        <v>644</v>
      </c>
      <c r="D158" s="6" t="s">
        <v>57</v>
      </c>
      <c r="E158" s="6" t="str">
        <f>VLOOKUP(G158,'CBs RAW'!$E$2:$H$427,4)</f>
        <v>#N/A N/A</v>
      </c>
      <c r="F158" s="6" t="s">
        <v>199</v>
      </c>
      <c r="G158" s="6" t="s">
        <v>2397</v>
      </c>
      <c r="H158" s="6" t="s">
        <v>2398</v>
      </c>
      <c r="I158" s="6" t="s">
        <v>2399</v>
      </c>
      <c r="J158" s="6" t="s">
        <v>55</v>
      </c>
      <c r="K158" s="6" t="s">
        <v>56</v>
      </c>
      <c r="L158" s="5">
        <v>222563025</v>
      </c>
      <c r="M158" s="6" t="s">
        <v>52</v>
      </c>
      <c r="N158" s="6" t="s">
        <v>173</v>
      </c>
      <c r="O158" s="6" t="s">
        <v>366</v>
      </c>
      <c r="P158" s="17">
        <v>42797</v>
      </c>
      <c r="Q158" s="5">
        <f>VLOOKUP(G158,'CBs RAW'!$E$2:$P$427,12)</f>
        <v>0.55000000000000004</v>
      </c>
      <c r="R158" s="17">
        <v>45538</v>
      </c>
      <c r="S158" s="6" t="s">
        <v>225</v>
      </c>
      <c r="T158" s="6" t="s">
        <v>619</v>
      </c>
      <c r="U158" s="6" t="s">
        <v>49</v>
      </c>
      <c r="V158" s="6" t="s">
        <v>1806</v>
      </c>
      <c r="W158" s="6" t="s">
        <v>2400</v>
      </c>
      <c r="X158" s="18">
        <f>VLOOKUP(G158,'CBs RAW'!$E$2:$W$427,19)</f>
        <v>0.47699999999999998</v>
      </c>
      <c r="Y158" s="19">
        <f t="shared" si="0"/>
        <v>0.47699999999999998</v>
      </c>
      <c r="Z158" s="2" t="str">
        <f t="shared" si="1"/>
        <v>Enel Finance International NVAT MATURITYFIXEDCHFSr Unsecured</v>
      </c>
    </row>
    <row r="159" spans="1:26" x14ac:dyDescent="0.2">
      <c r="A159" s="6">
        <v>158</v>
      </c>
      <c r="B159" s="6" t="s">
        <v>641</v>
      </c>
      <c r="C159" s="6" t="s">
        <v>644</v>
      </c>
      <c r="D159" s="6" t="s">
        <v>71</v>
      </c>
      <c r="E159" s="6">
        <f>VLOOKUP(G159,'CBs RAW'!$E$2:$H$427,4)</f>
        <v>4.7600000000000007</v>
      </c>
      <c r="F159" s="6" t="s">
        <v>199</v>
      </c>
      <c r="G159" s="6" t="s">
        <v>2401</v>
      </c>
      <c r="H159" s="6" t="s">
        <v>2402</v>
      </c>
      <c r="I159" s="6" t="s">
        <v>2403</v>
      </c>
      <c r="J159" s="6" t="s">
        <v>55</v>
      </c>
      <c r="K159" s="6" t="s">
        <v>56</v>
      </c>
      <c r="L159" s="5">
        <v>1500000000</v>
      </c>
      <c r="M159" s="6" t="s">
        <v>52</v>
      </c>
      <c r="N159" s="6" t="s">
        <v>1775</v>
      </c>
      <c r="O159" s="6" t="s">
        <v>366</v>
      </c>
      <c r="P159" s="17">
        <v>42880</v>
      </c>
      <c r="Q159" s="5">
        <f>VLOOKUP(G159,'CBs RAW'!$E$2:$P$427,12)</f>
        <v>4.75</v>
      </c>
      <c r="R159" s="17">
        <v>53837</v>
      </c>
      <c r="S159" s="6" t="s">
        <v>270</v>
      </c>
      <c r="T159" s="6" t="s">
        <v>619</v>
      </c>
      <c r="U159" s="6" t="s">
        <v>49</v>
      </c>
      <c r="V159" s="6" t="s">
        <v>262</v>
      </c>
      <c r="W159" s="6" t="s">
        <v>2404</v>
      </c>
      <c r="X159" s="18">
        <f>VLOOKUP(G159,'CBs RAW'!$E$2:$W$427,19)</f>
        <v>4.72</v>
      </c>
      <c r="Y159" s="19">
        <f t="shared" si="0"/>
        <v>4.72</v>
      </c>
      <c r="Z159" s="2" t="str">
        <f t="shared" si="1"/>
        <v>Enel Finance International NVAT MATURITYFIXEDUSDSr Unsecured</v>
      </c>
    </row>
    <row r="160" spans="1:26" x14ac:dyDescent="0.2">
      <c r="A160" s="6">
        <v>159</v>
      </c>
      <c r="B160" s="6" t="s">
        <v>641</v>
      </c>
      <c r="C160" s="6" t="s">
        <v>644</v>
      </c>
      <c r="D160" s="6" t="s">
        <v>71</v>
      </c>
      <c r="E160" s="6">
        <f>VLOOKUP(G160,'CBs RAW'!$E$2:$H$427,4)</f>
        <v>4.7600000000000007</v>
      </c>
      <c r="F160" s="6" t="s">
        <v>199</v>
      </c>
      <c r="G160" s="6" t="s">
        <v>2405</v>
      </c>
      <c r="H160" s="6" t="s">
        <v>2406</v>
      </c>
      <c r="I160" s="6" t="s">
        <v>2407</v>
      </c>
      <c r="J160" s="6" t="s">
        <v>55</v>
      </c>
      <c r="K160" s="6" t="s">
        <v>56</v>
      </c>
      <c r="L160" s="5">
        <v>1500000000</v>
      </c>
      <c r="M160" s="6" t="s">
        <v>52</v>
      </c>
      <c r="N160" s="6" t="s">
        <v>1775</v>
      </c>
      <c r="O160" s="6" t="s">
        <v>366</v>
      </c>
      <c r="P160" s="17">
        <v>42880</v>
      </c>
      <c r="Q160" s="5">
        <f>VLOOKUP(G160,'CBs RAW'!$E$2:$P$427,12)</f>
        <v>4.75</v>
      </c>
      <c r="R160" s="17">
        <v>53837</v>
      </c>
      <c r="S160" s="6" t="s">
        <v>261</v>
      </c>
      <c r="T160" s="6" t="s">
        <v>619</v>
      </c>
      <c r="U160" s="6" t="s">
        <v>49</v>
      </c>
      <c r="V160" s="6" t="s">
        <v>262</v>
      </c>
      <c r="W160" s="6" t="s">
        <v>2408</v>
      </c>
      <c r="X160" s="18">
        <f>VLOOKUP(G160,'CBs RAW'!$E$2:$W$427,19)</f>
        <v>4.7149999999999999</v>
      </c>
      <c r="Y160" s="19">
        <f t="shared" si="0"/>
        <v>4.7149999999999999</v>
      </c>
      <c r="Z160" s="2" t="str">
        <f t="shared" si="1"/>
        <v>Enel Finance International NVAT MATURITYFIXEDUSDSr Unsecured</v>
      </c>
    </row>
    <row r="161" spans="1:26" x14ac:dyDescent="0.2">
      <c r="A161" s="6">
        <v>160</v>
      </c>
      <c r="B161" s="6" t="s">
        <v>641</v>
      </c>
      <c r="C161" s="6" t="s">
        <v>644</v>
      </c>
      <c r="D161" s="6" t="s">
        <v>71</v>
      </c>
      <c r="E161" s="6">
        <f>VLOOKUP(G161,'CBs RAW'!$E$2:$H$427,4)</f>
        <v>3.7470000000000003</v>
      </c>
      <c r="F161" s="6" t="s">
        <v>199</v>
      </c>
      <c r="G161" s="6" t="s">
        <v>2409</v>
      </c>
      <c r="H161" s="6" t="s">
        <v>2410</v>
      </c>
      <c r="I161" s="6" t="s">
        <v>2411</v>
      </c>
      <c r="J161" s="6" t="s">
        <v>55</v>
      </c>
      <c r="K161" s="6" t="s">
        <v>56</v>
      </c>
      <c r="L161" s="5">
        <v>2000000000</v>
      </c>
      <c r="M161" s="6" t="s">
        <v>52</v>
      </c>
      <c r="N161" s="6" t="s">
        <v>1775</v>
      </c>
      <c r="O161" s="6" t="s">
        <v>366</v>
      </c>
      <c r="P161" s="17">
        <v>42880</v>
      </c>
      <c r="Q161" s="5">
        <f>VLOOKUP(G161,'CBs RAW'!$E$2:$P$427,12)</f>
        <v>3.625</v>
      </c>
      <c r="R161" s="17">
        <v>46532</v>
      </c>
      <c r="S161" s="6" t="s">
        <v>261</v>
      </c>
      <c r="T161" s="6" t="s">
        <v>619</v>
      </c>
      <c r="U161" s="6" t="s">
        <v>49</v>
      </c>
      <c r="V161" s="6" t="s">
        <v>262</v>
      </c>
      <c r="W161" s="6" t="s">
        <v>2412</v>
      </c>
      <c r="X161" s="18">
        <f>VLOOKUP(G161,'CBs RAW'!$E$2:$W$427,19)</f>
        <v>3.742</v>
      </c>
      <c r="Y161" s="19">
        <f t="shared" si="0"/>
        <v>3.742</v>
      </c>
      <c r="Z161" s="2" t="str">
        <f t="shared" si="1"/>
        <v>Enel Finance International NVAT MATURITYFIXEDUSDSr Unsecured</v>
      </c>
    </row>
    <row r="162" spans="1:26" x14ac:dyDescent="0.2">
      <c r="A162" s="6">
        <v>161</v>
      </c>
      <c r="B162" s="6" t="s">
        <v>641</v>
      </c>
      <c r="C162" s="6" t="s">
        <v>644</v>
      </c>
      <c r="D162" s="6" t="s">
        <v>71</v>
      </c>
      <c r="E162" s="6">
        <f>VLOOKUP(G162,'CBs RAW'!$E$2:$H$427,4)</f>
        <v>3.7470000000000003</v>
      </c>
      <c r="F162" s="6" t="s">
        <v>199</v>
      </c>
      <c r="G162" s="6" t="s">
        <v>2413</v>
      </c>
      <c r="H162" s="6" t="s">
        <v>2414</v>
      </c>
      <c r="I162" s="6" t="s">
        <v>2415</v>
      </c>
      <c r="J162" s="6" t="s">
        <v>55</v>
      </c>
      <c r="K162" s="6" t="s">
        <v>56</v>
      </c>
      <c r="L162" s="5">
        <v>2000000000</v>
      </c>
      <c r="M162" s="6" t="s">
        <v>52</v>
      </c>
      <c r="N162" s="6" t="s">
        <v>1775</v>
      </c>
      <c r="O162" s="6" t="s">
        <v>366</v>
      </c>
      <c r="P162" s="17">
        <v>42880</v>
      </c>
      <c r="Q162" s="5">
        <f>VLOOKUP(G162,'CBs RAW'!$E$2:$P$427,12)</f>
        <v>3.625</v>
      </c>
      <c r="R162" s="17">
        <v>46532</v>
      </c>
      <c r="S162" s="6" t="s">
        <v>270</v>
      </c>
      <c r="T162" s="6" t="s">
        <v>619</v>
      </c>
      <c r="U162" s="6" t="s">
        <v>49</v>
      </c>
      <c r="V162" s="6" t="s">
        <v>262</v>
      </c>
      <c r="W162" s="6" t="s">
        <v>2416</v>
      </c>
      <c r="X162" s="18">
        <f>VLOOKUP(G162,'CBs RAW'!$E$2:$W$427,19)</f>
        <v>3.74</v>
      </c>
      <c r="Y162" s="19">
        <f t="shared" si="0"/>
        <v>3.74</v>
      </c>
      <c r="Z162" s="2" t="str">
        <f t="shared" si="1"/>
        <v>Enel Finance International NVAT MATURITYFIXEDUSDSr Unsecured</v>
      </c>
    </row>
    <row r="163" spans="1:26" x14ac:dyDescent="0.2">
      <c r="A163" s="6">
        <v>162</v>
      </c>
      <c r="B163" s="6" t="s">
        <v>641</v>
      </c>
      <c r="C163" s="6" t="s">
        <v>644</v>
      </c>
      <c r="D163" s="6" t="s">
        <v>71</v>
      </c>
      <c r="E163" s="6">
        <f>VLOOKUP(G163,'CBs RAW'!$E$2:$H$427,4)</f>
        <v>3.6430000000000002</v>
      </c>
      <c r="F163" s="6" t="s">
        <v>199</v>
      </c>
      <c r="G163" s="6" t="s">
        <v>2417</v>
      </c>
      <c r="H163" s="6" t="s">
        <v>2418</v>
      </c>
      <c r="I163" s="6" t="s">
        <v>2419</v>
      </c>
      <c r="J163" s="6" t="s">
        <v>55</v>
      </c>
      <c r="K163" s="6" t="s">
        <v>56</v>
      </c>
      <c r="L163" s="5">
        <v>1250000000</v>
      </c>
      <c r="M163" s="6" t="s">
        <v>52</v>
      </c>
      <c r="N163" s="6" t="s">
        <v>1775</v>
      </c>
      <c r="O163" s="6" t="s">
        <v>366</v>
      </c>
      <c r="P163" s="17">
        <v>43014</v>
      </c>
      <c r="Q163" s="5">
        <f>VLOOKUP(G163,'CBs RAW'!$E$2:$P$427,12)</f>
        <v>3.5</v>
      </c>
      <c r="R163" s="17">
        <v>46849</v>
      </c>
      <c r="S163" s="6" t="s">
        <v>261</v>
      </c>
      <c r="T163" s="6" t="s">
        <v>619</v>
      </c>
      <c r="U163" s="6" t="s">
        <v>49</v>
      </c>
      <c r="V163" s="6" t="s">
        <v>262</v>
      </c>
      <c r="W163" s="6" t="s">
        <v>2420</v>
      </c>
      <c r="X163" s="18">
        <f>VLOOKUP(G163,'CBs RAW'!$E$2:$W$427,19)</f>
        <v>3.621</v>
      </c>
      <c r="Y163" s="19">
        <f t="shared" si="0"/>
        <v>3.621</v>
      </c>
      <c r="Z163" s="2" t="str">
        <f t="shared" si="1"/>
        <v>Enel Finance International NVAT MATURITYFIXEDUSDSr Unsecured</v>
      </c>
    </row>
    <row r="164" spans="1:26" x14ac:dyDescent="0.2">
      <c r="A164" s="6">
        <v>163</v>
      </c>
      <c r="B164" s="6" t="s">
        <v>641</v>
      </c>
      <c r="C164" s="6" t="s">
        <v>644</v>
      </c>
      <c r="D164" s="6" t="s">
        <v>71</v>
      </c>
      <c r="E164" s="6">
        <f>VLOOKUP(G164,'CBs RAW'!$E$2:$H$427,4)</f>
        <v>3.6430000000000002</v>
      </c>
      <c r="F164" s="6" t="s">
        <v>199</v>
      </c>
      <c r="G164" s="6" t="s">
        <v>2421</v>
      </c>
      <c r="H164" s="6" t="s">
        <v>2422</v>
      </c>
      <c r="I164" s="6" t="s">
        <v>2423</v>
      </c>
      <c r="J164" s="6" t="s">
        <v>55</v>
      </c>
      <c r="K164" s="6" t="s">
        <v>56</v>
      </c>
      <c r="L164" s="5">
        <v>1250000000</v>
      </c>
      <c r="M164" s="6" t="s">
        <v>52</v>
      </c>
      <c r="N164" s="6" t="s">
        <v>1775</v>
      </c>
      <c r="O164" s="6" t="s">
        <v>366</v>
      </c>
      <c r="P164" s="17">
        <v>43014</v>
      </c>
      <c r="Q164" s="5">
        <f>VLOOKUP(G164,'CBs RAW'!$E$2:$P$427,12)</f>
        <v>3.5</v>
      </c>
      <c r="R164" s="17">
        <v>46849</v>
      </c>
      <c r="S164" s="6" t="s">
        <v>270</v>
      </c>
      <c r="T164" s="6" t="s">
        <v>619</v>
      </c>
      <c r="U164" s="6" t="s">
        <v>49</v>
      </c>
      <c r="V164" s="6" t="s">
        <v>262</v>
      </c>
      <c r="W164" s="6" t="s">
        <v>2424</v>
      </c>
      <c r="X164" s="18">
        <f>VLOOKUP(G164,'CBs RAW'!$E$2:$W$427,19)</f>
        <v>3.6230000000000002</v>
      </c>
      <c r="Y164" s="19">
        <f t="shared" si="0"/>
        <v>3.6230000000000002</v>
      </c>
      <c r="Z164" s="2" t="str">
        <f t="shared" si="1"/>
        <v>Enel Finance International NVAT MATURITYFIXEDUSDSr Unsecured</v>
      </c>
    </row>
    <row r="165" spans="1:26" x14ac:dyDescent="0.2">
      <c r="A165" s="6">
        <v>164</v>
      </c>
      <c r="B165" s="6" t="s">
        <v>641</v>
      </c>
      <c r="C165" s="6" t="s">
        <v>644</v>
      </c>
      <c r="D165" s="6" t="s">
        <v>71</v>
      </c>
      <c r="E165" s="6">
        <f>VLOOKUP(G165,'CBs RAW'!$E$2:$H$427,4)</f>
        <v>4.9740000000000002</v>
      </c>
      <c r="F165" s="6" t="s">
        <v>199</v>
      </c>
      <c r="G165" s="6" t="s">
        <v>2425</v>
      </c>
      <c r="H165" s="6" t="s">
        <v>2426</v>
      </c>
      <c r="I165" s="6" t="s">
        <v>2427</v>
      </c>
      <c r="J165" s="6" t="s">
        <v>55</v>
      </c>
      <c r="K165" s="6" t="s">
        <v>56</v>
      </c>
      <c r="L165" s="5">
        <v>1250000000</v>
      </c>
      <c r="M165" s="6" t="s">
        <v>52</v>
      </c>
      <c r="N165" s="6" t="s">
        <v>1775</v>
      </c>
      <c r="O165" s="6" t="s">
        <v>366</v>
      </c>
      <c r="P165" s="17">
        <v>43357</v>
      </c>
      <c r="Q165" s="5">
        <f>VLOOKUP(G165,'CBs RAW'!$E$2:$P$427,12)</f>
        <v>4.875</v>
      </c>
      <c r="R165" s="17">
        <v>47283</v>
      </c>
      <c r="S165" s="6" t="s">
        <v>261</v>
      </c>
      <c r="T165" s="6" t="s">
        <v>619</v>
      </c>
      <c r="U165" s="6" t="s">
        <v>49</v>
      </c>
      <c r="V165" s="6" t="s">
        <v>262</v>
      </c>
      <c r="W165" s="6" t="s">
        <v>2428</v>
      </c>
      <c r="X165" s="18" t="str">
        <f>VLOOKUP(G165,'CBs RAW'!$E$2:$W$427,19)</f>
        <v>#N/A N/A</v>
      </c>
      <c r="Y165" s="2">
        <f t="shared" si="0"/>
        <v>4.9740000000000002</v>
      </c>
      <c r="Z165" s="2" t="str">
        <f t="shared" si="1"/>
        <v>Enel Finance International NVAT MATURITYFIXEDUSDSr Unsecured</v>
      </c>
    </row>
    <row r="166" spans="1:26" x14ac:dyDescent="0.2">
      <c r="A166" s="6">
        <v>165</v>
      </c>
      <c r="B166" s="6" t="s">
        <v>641</v>
      </c>
      <c r="C166" s="6" t="s">
        <v>644</v>
      </c>
      <c r="D166" s="6" t="s">
        <v>71</v>
      </c>
      <c r="E166" s="6">
        <f>VLOOKUP(G166,'CBs RAW'!$E$2:$H$427,4)</f>
        <v>4.9740000000000002</v>
      </c>
      <c r="F166" s="6" t="s">
        <v>199</v>
      </c>
      <c r="G166" s="6" t="s">
        <v>2429</v>
      </c>
      <c r="H166" s="6" t="s">
        <v>2430</v>
      </c>
      <c r="I166" s="6" t="s">
        <v>2431</v>
      </c>
      <c r="J166" s="6" t="s">
        <v>55</v>
      </c>
      <c r="K166" s="6" t="s">
        <v>56</v>
      </c>
      <c r="L166" s="5">
        <v>1250000000</v>
      </c>
      <c r="M166" s="6" t="s">
        <v>52</v>
      </c>
      <c r="N166" s="6" t="s">
        <v>1775</v>
      </c>
      <c r="O166" s="6" t="s">
        <v>366</v>
      </c>
      <c r="P166" s="17">
        <v>43357</v>
      </c>
      <c r="Q166" s="5">
        <f>VLOOKUP(G166,'CBs RAW'!$E$2:$P$427,12)</f>
        <v>4.875</v>
      </c>
      <c r="R166" s="17">
        <v>47283</v>
      </c>
      <c r="S166" s="6" t="s">
        <v>270</v>
      </c>
      <c r="T166" s="6" t="s">
        <v>619</v>
      </c>
      <c r="U166" s="6" t="s">
        <v>49</v>
      </c>
      <c r="V166" s="6" t="s">
        <v>262</v>
      </c>
      <c r="W166" s="6" t="s">
        <v>2432</v>
      </c>
      <c r="X166" s="18" t="str">
        <f>VLOOKUP(G166,'CBs RAW'!$E$2:$W$427,19)</f>
        <v>#N/A N/A</v>
      </c>
      <c r="Y166" s="2">
        <f t="shared" si="0"/>
        <v>4.9740000000000002</v>
      </c>
      <c r="Z166" s="2" t="str">
        <f t="shared" si="1"/>
        <v>Enel Finance International NVAT MATURITYFIXEDUSDSr Unsecured</v>
      </c>
    </row>
    <row r="167" spans="1:26" x14ac:dyDescent="0.2">
      <c r="A167" s="6">
        <v>166</v>
      </c>
      <c r="B167" s="6" t="s">
        <v>641</v>
      </c>
      <c r="C167" s="6" t="s">
        <v>644</v>
      </c>
      <c r="D167" s="6" t="s">
        <v>57</v>
      </c>
      <c r="E167" s="6">
        <f>VLOOKUP(G167,'CBs RAW'!$E$2:$H$427,4)</f>
        <v>1.966</v>
      </c>
      <c r="F167" s="6" t="s">
        <v>199</v>
      </c>
      <c r="G167" s="6" t="s">
        <v>2433</v>
      </c>
      <c r="H167" s="6" t="s">
        <v>2434</v>
      </c>
      <c r="I167" s="6" t="s">
        <v>2435</v>
      </c>
      <c r="J167" s="6" t="s">
        <v>55</v>
      </c>
      <c r="K167" s="6" t="s">
        <v>56</v>
      </c>
      <c r="L167" s="5">
        <v>1660434682</v>
      </c>
      <c r="M167" s="6" t="s">
        <v>52</v>
      </c>
      <c r="N167" s="6" t="s">
        <v>1770</v>
      </c>
      <c r="O167" s="6" t="s">
        <v>366</v>
      </c>
      <c r="P167" s="17">
        <v>42031</v>
      </c>
      <c r="Q167" s="5">
        <f>VLOOKUP(G167,'CBs RAW'!$E$2:$P$427,12)</f>
        <v>1.966</v>
      </c>
      <c r="R167" s="17">
        <v>45684</v>
      </c>
      <c r="S167" s="6" t="s">
        <v>225</v>
      </c>
      <c r="T167" s="6" t="s">
        <v>619</v>
      </c>
      <c r="U167" s="6" t="s">
        <v>49</v>
      </c>
      <c r="V167" s="6" t="s">
        <v>53</v>
      </c>
      <c r="W167" s="6" t="s">
        <v>2436</v>
      </c>
      <c r="X167" s="18">
        <f>VLOOKUP(G167,'CBs RAW'!$E$2:$W$427,19)</f>
        <v>1.468</v>
      </c>
      <c r="Y167" s="19">
        <f t="shared" si="0"/>
        <v>1.468</v>
      </c>
      <c r="Z167" s="2" t="str">
        <f t="shared" si="1"/>
        <v>Enel Finance International NVAT MATURITYFIXEDEURSr Unsecured</v>
      </c>
    </row>
    <row r="168" spans="1:26" x14ac:dyDescent="0.2">
      <c r="A168" s="6">
        <v>167</v>
      </c>
      <c r="B168" s="6" t="s">
        <v>641</v>
      </c>
      <c r="C168" s="6" t="s">
        <v>644</v>
      </c>
      <c r="D168" s="6" t="s">
        <v>57</v>
      </c>
      <c r="E168" s="6" t="str">
        <f>VLOOKUP(G168,'CBs RAW'!$E$2:$H$427,4)</f>
        <v>#N/A N/A</v>
      </c>
      <c r="F168" s="6" t="s">
        <v>199</v>
      </c>
      <c r="G168" s="6" t="s">
        <v>2437</v>
      </c>
      <c r="H168" s="6" t="s">
        <v>2438</v>
      </c>
      <c r="I168" s="6" t="s">
        <v>2439</v>
      </c>
      <c r="J168" s="6" t="s">
        <v>55</v>
      </c>
      <c r="K168" s="6" t="s">
        <v>56</v>
      </c>
      <c r="L168" s="5">
        <v>1404981872</v>
      </c>
      <c r="M168" s="6" t="s">
        <v>52</v>
      </c>
      <c r="N168" s="6" t="s">
        <v>1770</v>
      </c>
      <c r="O168" s="6" t="s">
        <v>366</v>
      </c>
      <c r="P168" s="17">
        <v>42522</v>
      </c>
      <c r="Q168" s="5">
        <f>VLOOKUP(G168,'CBs RAW'!$E$2:$P$427,12)</f>
        <v>1.375</v>
      </c>
      <c r="R168" s="17">
        <v>46174</v>
      </c>
      <c r="S168" s="6" t="s">
        <v>173</v>
      </c>
      <c r="T168" s="6" t="s">
        <v>619</v>
      </c>
      <c r="U168" s="6" t="s">
        <v>49</v>
      </c>
      <c r="V168" s="6" t="s">
        <v>53</v>
      </c>
      <c r="W168" s="6" t="s">
        <v>2440</v>
      </c>
      <c r="X168" s="18">
        <f>VLOOKUP(G168,'CBs RAW'!$E$2:$W$427,19)</f>
        <v>1.2949999999999999</v>
      </c>
      <c r="Y168" s="19">
        <f t="shared" si="0"/>
        <v>1.2949999999999999</v>
      </c>
      <c r="Z168" s="2" t="str">
        <f t="shared" si="1"/>
        <v>Enel Finance International NVAT MATURITYFIXEDEURSr Unsecured</v>
      </c>
    </row>
    <row r="169" spans="1:26" x14ac:dyDescent="0.2">
      <c r="A169" s="6">
        <v>168</v>
      </c>
      <c r="B169" s="6" t="s">
        <v>613</v>
      </c>
      <c r="C169" s="6" t="s">
        <v>616</v>
      </c>
      <c r="D169" s="6" t="s">
        <v>57</v>
      </c>
      <c r="E169" s="6">
        <f>VLOOKUP(G169,'CBs RAW'!$E$2:$H$427,4)</f>
        <v>1.5840000000000001</v>
      </c>
      <c r="F169" s="6" t="s">
        <v>199</v>
      </c>
      <c r="G169" s="6" t="s">
        <v>2441</v>
      </c>
      <c r="H169" s="6" t="s">
        <v>2442</v>
      </c>
      <c r="I169" s="6" t="s">
        <v>2443</v>
      </c>
      <c r="J169" s="6" t="s">
        <v>117</v>
      </c>
      <c r="K169" s="6" t="s">
        <v>56</v>
      </c>
      <c r="L169" s="5">
        <v>802455000</v>
      </c>
      <c r="M169" s="6" t="s">
        <v>52</v>
      </c>
      <c r="N169" s="6" t="s">
        <v>1770</v>
      </c>
      <c r="O169" s="6" t="s">
        <v>199</v>
      </c>
      <c r="P169" s="17">
        <v>42752</v>
      </c>
      <c r="Q169" s="5">
        <f>VLOOKUP(G169,'CBs RAW'!$E$2:$P$427,12)</f>
        <v>1.5</v>
      </c>
      <c r="R169" s="17">
        <v>46404</v>
      </c>
      <c r="S169" s="6" t="s">
        <v>225</v>
      </c>
      <c r="T169" s="6" t="s">
        <v>619</v>
      </c>
      <c r="U169" s="6" t="s">
        <v>49</v>
      </c>
      <c r="V169" s="6" t="s">
        <v>53</v>
      </c>
      <c r="W169" s="6" t="s">
        <v>2444</v>
      </c>
      <c r="X169" s="18">
        <f>VLOOKUP(G169,'CBs RAW'!$E$2:$W$427,19)</f>
        <v>1.554</v>
      </c>
      <c r="Y169" s="19">
        <f t="shared" si="0"/>
        <v>1.554</v>
      </c>
      <c r="Z169" s="2" t="str">
        <f t="shared" si="1"/>
        <v>Eni SpAAT MATURITYFIXEDEURSr Unsecured</v>
      </c>
    </row>
    <row r="170" spans="1:26" x14ac:dyDescent="0.2">
      <c r="A170" s="6">
        <v>169</v>
      </c>
      <c r="B170" s="6" t="s">
        <v>613</v>
      </c>
      <c r="C170" s="6" t="s">
        <v>616</v>
      </c>
      <c r="D170" s="6" t="s">
        <v>57</v>
      </c>
      <c r="E170" s="6" t="str">
        <f>VLOOKUP(G170,'CBs RAW'!$E$2:$H$427,4)</f>
        <v>#N/A N/A</v>
      </c>
      <c r="F170" s="6" t="s">
        <v>199</v>
      </c>
      <c r="G170" s="6" t="s">
        <v>2445</v>
      </c>
      <c r="H170" s="6" t="s">
        <v>2446</v>
      </c>
      <c r="I170" s="6" t="s">
        <v>2447</v>
      </c>
      <c r="J170" s="6" t="s">
        <v>117</v>
      </c>
      <c r="K170" s="6" t="s">
        <v>56</v>
      </c>
      <c r="L170" s="5">
        <v>776444500</v>
      </c>
      <c r="M170" s="6" t="s">
        <v>52</v>
      </c>
      <c r="N170" s="6" t="s">
        <v>1770</v>
      </c>
      <c r="O170" s="6" t="s">
        <v>199</v>
      </c>
      <c r="P170" s="17">
        <v>42993</v>
      </c>
      <c r="Q170" s="5">
        <f>VLOOKUP(G170,'CBs RAW'!$E$2:$P$427,12)</f>
        <v>1</v>
      </c>
      <c r="R170" s="17">
        <v>45730</v>
      </c>
      <c r="S170" s="6" t="s">
        <v>225</v>
      </c>
      <c r="T170" s="6" t="s">
        <v>619</v>
      </c>
      <c r="U170" s="6" t="s">
        <v>49</v>
      </c>
      <c r="V170" s="6" t="s">
        <v>53</v>
      </c>
      <c r="W170" s="6" t="s">
        <v>2448</v>
      </c>
      <c r="X170" s="18">
        <f>VLOOKUP(G170,'CBs RAW'!$E$2:$W$427,19)</f>
        <v>1.111</v>
      </c>
      <c r="Y170" s="19">
        <f t="shared" si="0"/>
        <v>1.111</v>
      </c>
      <c r="Z170" s="2" t="str">
        <f t="shared" si="1"/>
        <v>Eni SpAAT MATURITYFIXEDEURSr Unsecured</v>
      </c>
    </row>
    <row r="171" spans="1:26" x14ac:dyDescent="0.2">
      <c r="A171" s="6">
        <v>170</v>
      </c>
      <c r="B171" s="6" t="s">
        <v>613</v>
      </c>
      <c r="C171" s="6" t="s">
        <v>616</v>
      </c>
      <c r="D171" s="6" t="s">
        <v>71</v>
      </c>
      <c r="E171" s="6">
        <f>VLOOKUP(G171,'CBs RAW'!$E$2:$H$427,4)</f>
        <v>4.12</v>
      </c>
      <c r="F171" s="6" t="s">
        <v>199</v>
      </c>
      <c r="G171" s="6" t="s">
        <v>2449</v>
      </c>
      <c r="H171" s="6" t="s">
        <v>2450</v>
      </c>
      <c r="I171" s="6" t="s">
        <v>2451</v>
      </c>
      <c r="J171" s="6" t="s">
        <v>117</v>
      </c>
      <c r="K171" s="6" t="s">
        <v>56</v>
      </c>
      <c r="L171" s="5">
        <v>1000000000</v>
      </c>
      <c r="M171" s="6" t="s">
        <v>52</v>
      </c>
      <c r="N171" s="6" t="s">
        <v>1775</v>
      </c>
      <c r="O171" s="6" t="s">
        <v>199</v>
      </c>
      <c r="P171" s="17">
        <v>43355</v>
      </c>
      <c r="Q171" s="5">
        <f>VLOOKUP(G171,'CBs RAW'!$E$2:$P$427,12)</f>
        <v>4</v>
      </c>
      <c r="R171" s="17">
        <v>45181</v>
      </c>
      <c r="S171" s="6" t="s">
        <v>2452</v>
      </c>
      <c r="T171" s="6" t="s">
        <v>619</v>
      </c>
      <c r="U171" s="6" t="s">
        <v>49</v>
      </c>
      <c r="V171" s="6" t="s">
        <v>262</v>
      </c>
      <c r="W171" s="6" t="s">
        <v>2453</v>
      </c>
      <c r="X171" s="18">
        <f>VLOOKUP(G171,'CBs RAW'!$E$2:$W$427,19)</f>
        <v>4.0060000000000002</v>
      </c>
      <c r="Y171" s="19">
        <f t="shared" si="0"/>
        <v>4.0060000000000002</v>
      </c>
      <c r="Z171" s="2" t="str">
        <f t="shared" si="1"/>
        <v>Eni SpAAT MATURITYFIXEDUSDSr Unsecured</v>
      </c>
    </row>
    <row r="172" spans="1:26" x14ac:dyDescent="0.2">
      <c r="A172" s="6">
        <v>171</v>
      </c>
      <c r="B172" s="6" t="s">
        <v>613</v>
      </c>
      <c r="C172" s="6" t="s">
        <v>616</v>
      </c>
      <c r="D172" s="6" t="s">
        <v>71</v>
      </c>
      <c r="E172" s="6">
        <f>VLOOKUP(G172,'CBs RAW'!$E$2:$H$427,4)</f>
        <v>4.12</v>
      </c>
      <c r="F172" s="6" t="s">
        <v>199</v>
      </c>
      <c r="G172" s="6" t="s">
        <v>2454</v>
      </c>
      <c r="H172" s="6" t="s">
        <v>2455</v>
      </c>
      <c r="I172" s="6" t="s">
        <v>2456</v>
      </c>
      <c r="J172" s="6" t="s">
        <v>117</v>
      </c>
      <c r="K172" s="6" t="s">
        <v>56</v>
      </c>
      <c r="L172" s="5">
        <v>1000000000</v>
      </c>
      <c r="M172" s="6" t="s">
        <v>52</v>
      </c>
      <c r="N172" s="6" t="s">
        <v>1775</v>
      </c>
      <c r="O172" s="6" t="s">
        <v>199</v>
      </c>
      <c r="P172" s="17">
        <v>43355</v>
      </c>
      <c r="Q172" s="5">
        <f>VLOOKUP(G172,'CBs RAW'!$E$2:$P$427,12)</f>
        <v>4</v>
      </c>
      <c r="R172" s="17">
        <v>45181</v>
      </c>
      <c r="S172" s="6" t="s">
        <v>270</v>
      </c>
      <c r="T172" s="6" t="s">
        <v>619</v>
      </c>
      <c r="U172" s="6" t="s">
        <v>49</v>
      </c>
      <c r="V172" s="6" t="s">
        <v>262</v>
      </c>
      <c r="W172" s="6" t="s">
        <v>2457</v>
      </c>
      <c r="X172" s="18">
        <f>VLOOKUP(G172,'CBs RAW'!$E$2:$W$427,19)</f>
        <v>4.0250000000000004</v>
      </c>
      <c r="Y172" s="19">
        <f t="shared" si="0"/>
        <v>4.0250000000000004</v>
      </c>
      <c r="Z172" s="2" t="str">
        <f t="shared" si="1"/>
        <v>Eni SpAAT MATURITYFIXEDUSDSr Unsecured</v>
      </c>
    </row>
    <row r="173" spans="1:26" x14ac:dyDescent="0.2">
      <c r="A173" s="6">
        <v>172</v>
      </c>
      <c r="B173" s="6" t="s">
        <v>613</v>
      </c>
      <c r="C173" s="6" t="s">
        <v>616</v>
      </c>
      <c r="D173" s="6" t="s">
        <v>71</v>
      </c>
      <c r="E173" s="6">
        <f>VLOOKUP(G173,'CBs RAW'!$E$2:$H$427,4)</f>
        <v>4.8520000000000003</v>
      </c>
      <c r="F173" s="6" t="s">
        <v>199</v>
      </c>
      <c r="G173" s="6" t="s">
        <v>2458</v>
      </c>
      <c r="H173" s="6" t="s">
        <v>2459</v>
      </c>
      <c r="I173" s="6" t="s">
        <v>2460</v>
      </c>
      <c r="J173" s="6" t="s">
        <v>117</v>
      </c>
      <c r="K173" s="6" t="s">
        <v>56</v>
      </c>
      <c r="L173" s="5">
        <v>1000000000</v>
      </c>
      <c r="M173" s="6" t="s">
        <v>52</v>
      </c>
      <c r="N173" s="6" t="s">
        <v>1775</v>
      </c>
      <c r="O173" s="6" t="s">
        <v>199</v>
      </c>
      <c r="P173" s="17">
        <v>43355</v>
      </c>
      <c r="Q173" s="5">
        <f>VLOOKUP(G173,'CBs RAW'!$E$2:$P$427,12)</f>
        <v>4.75</v>
      </c>
      <c r="R173" s="17">
        <v>47008</v>
      </c>
      <c r="S173" s="6" t="s">
        <v>2452</v>
      </c>
      <c r="T173" s="6" t="s">
        <v>619</v>
      </c>
      <c r="U173" s="6" t="s">
        <v>49</v>
      </c>
      <c r="V173" s="6" t="s">
        <v>262</v>
      </c>
      <c r="W173" s="6" t="s">
        <v>2461</v>
      </c>
      <c r="X173" s="18">
        <f>VLOOKUP(G173,'CBs RAW'!$E$2:$W$427,19)</f>
        <v>4.7480000000000002</v>
      </c>
      <c r="Y173" s="19">
        <f t="shared" si="0"/>
        <v>4.7480000000000002</v>
      </c>
      <c r="Z173" s="2" t="str">
        <f t="shared" si="1"/>
        <v>Eni SpAAT MATURITYFIXEDUSDSr Unsecured</v>
      </c>
    </row>
    <row r="174" spans="1:26" x14ac:dyDescent="0.2">
      <c r="A174" s="6">
        <v>173</v>
      </c>
      <c r="B174" s="6" t="s">
        <v>613</v>
      </c>
      <c r="C174" s="6" t="s">
        <v>616</v>
      </c>
      <c r="D174" s="6" t="s">
        <v>71</v>
      </c>
      <c r="E174" s="6">
        <f>VLOOKUP(G174,'CBs RAW'!$E$2:$H$427,4)</f>
        <v>4.8520000000000003</v>
      </c>
      <c r="F174" s="6" t="s">
        <v>199</v>
      </c>
      <c r="G174" s="6" t="s">
        <v>2462</v>
      </c>
      <c r="H174" s="6" t="s">
        <v>2463</v>
      </c>
      <c r="I174" s="6" t="s">
        <v>2464</v>
      </c>
      <c r="J174" s="6" t="s">
        <v>117</v>
      </c>
      <c r="K174" s="6" t="s">
        <v>56</v>
      </c>
      <c r="L174" s="5">
        <v>1000000000</v>
      </c>
      <c r="M174" s="6" t="s">
        <v>52</v>
      </c>
      <c r="N174" s="6" t="s">
        <v>1775</v>
      </c>
      <c r="O174" s="6" t="s">
        <v>199</v>
      </c>
      <c r="P174" s="17">
        <v>43355</v>
      </c>
      <c r="Q174" s="5">
        <f>VLOOKUP(G174,'CBs RAW'!$E$2:$P$427,12)</f>
        <v>4.75</v>
      </c>
      <c r="R174" s="17">
        <v>47008</v>
      </c>
      <c r="S174" s="6" t="s">
        <v>270</v>
      </c>
      <c r="T174" s="6" t="s">
        <v>619</v>
      </c>
      <c r="U174" s="6" t="s">
        <v>49</v>
      </c>
      <c r="V174" s="6" t="s">
        <v>262</v>
      </c>
      <c r="W174" s="6" t="s">
        <v>2465</v>
      </c>
      <c r="X174" s="18" t="str">
        <f>VLOOKUP(G174,'CBs RAW'!$E$2:$W$427,19)</f>
        <v>#N/A N/A</v>
      </c>
      <c r="Y174" s="2">
        <f t="shared" si="0"/>
        <v>4.8520000000000003</v>
      </c>
      <c r="Z174" s="2" t="str">
        <f t="shared" si="1"/>
        <v>Eni SpAAT MATURITYFIXEDUSDSr Unsecured</v>
      </c>
    </row>
    <row r="175" spans="1:26" x14ac:dyDescent="0.2">
      <c r="A175" s="6">
        <v>174</v>
      </c>
      <c r="B175" s="6" t="s">
        <v>613</v>
      </c>
      <c r="C175" s="6" t="s">
        <v>616</v>
      </c>
      <c r="D175" s="6" t="s">
        <v>71</v>
      </c>
      <c r="E175" s="6">
        <f>VLOOKUP(G175,'CBs RAW'!$E$2:$H$427,4)</f>
        <v>4.8520000000000003</v>
      </c>
      <c r="F175" s="6" t="s">
        <v>199</v>
      </c>
      <c r="G175" s="6" t="s">
        <v>2466</v>
      </c>
      <c r="H175" s="6" t="s">
        <v>2467</v>
      </c>
      <c r="I175" s="6" t="s">
        <v>2468</v>
      </c>
      <c r="J175" s="6" t="s">
        <v>117</v>
      </c>
      <c r="K175" s="6" t="s">
        <v>56</v>
      </c>
      <c r="L175" s="5">
        <v>1000000000</v>
      </c>
      <c r="M175" s="6" t="s">
        <v>52</v>
      </c>
      <c r="N175" s="6" t="s">
        <v>1775</v>
      </c>
      <c r="O175" s="6" t="s">
        <v>199</v>
      </c>
      <c r="P175" s="17">
        <v>43355</v>
      </c>
      <c r="Q175" s="5">
        <f>VLOOKUP(G175,'CBs RAW'!$E$2:$P$427,12)</f>
        <v>4.75</v>
      </c>
      <c r="R175" s="17">
        <v>47008</v>
      </c>
      <c r="S175" s="6" t="s">
        <v>2469</v>
      </c>
      <c r="T175" s="6" t="s">
        <v>619</v>
      </c>
      <c r="U175" s="6" t="s">
        <v>49</v>
      </c>
      <c r="V175" s="6" t="s">
        <v>262</v>
      </c>
      <c r="W175" s="6" t="s">
        <v>2470</v>
      </c>
      <c r="X175" s="18">
        <f>VLOOKUP(G175,'CBs RAW'!$E$2:$W$427,19)</f>
        <v>4.7939999999999996</v>
      </c>
      <c r="Y175" s="19">
        <f t="shared" si="0"/>
        <v>4.7939999999999996</v>
      </c>
      <c r="Z175" s="2" t="str">
        <f t="shared" si="1"/>
        <v>Eni SpAAT MATURITYFIXEDUSDSr Unsecured</v>
      </c>
    </row>
    <row r="176" spans="1:26" x14ac:dyDescent="0.2">
      <c r="A176" s="6">
        <v>175</v>
      </c>
      <c r="B176" s="6" t="s">
        <v>613</v>
      </c>
      <c r="C176" s="6" t="s">
        <v>616</v>
      </c>
      <c r="D176" s="6" t="s">
        <v>71</v>
      </c>
      <c r="E176" s="6">
        <f>VLOOKUP(G176,'CBs RAW'!$E$2:$H$427,4)</f>
        <v>4.8520000000000003</v>
      </c>
      <c r="F176" s="6" t="s">
        <v>199</v>
      </c>
      <c r="G176" s="6" t="s">
        <v>2471</v>
      </c>
      <c r="H176" s="6" t="s">
        <v>2472</v>
      </c>
      <c r="I176" s="6" t="s">
        <v>2473</v>
      </c>
      <c r="J176" s="6" t="s">
        <v>117</v>
      </c>
      <c r="K176" s="6" t="s">
        <v>56</v>
      </c>
      <c r="L176" s="5">
        <v>1000000000</v>
      </c>
      <c r="M176" s="6" t="s">
        <v>52</v>
      </c>
      <c r="N176" s="6" t="s">
        <v>1775</v>
      </c>
      <c r="O176" s="6" t="s">
        <v>199</v>
      </c>
      <c r="P176" s="17">
        <v>43355</v>
      </c>
      <c r="Q176" s="5">
        <f>VLOOKUP(G176,'CBs RAW'!$E$2:$P$427,12)</f>
        <v>4.75</v>
      </c>
      <c r="R176" s="17">
        <v>47008</v>
      </c>
      <c r="S176" s="6" t="s">
        <v>2474</v>
      </c>
      <c r="T176" s="6" t="s">
        <v>619</v>
      </c>
      <c r="U176" s="6" t="s">
        <v>49</v>
      </c>
      <c r="V176" s="6" t="s">
        <v>262</v>
      </c>
      <c r="W176" s="6" t="s">
        <v>2475</v>
      </c>
      <c r="X176" s="18" t="str">
        <f>VLOOKUP(G176,'CBs RAW'!$E$2:$W$427,19)</f>
        <v>#N/A N/A</v>
      </c>
      <c r="Y176" s="2">
        <f t="shared" si="0"/>
        <v>4.8520000000000003</v>
      </c>
      <c r="Z176" s="2" t="str">
        <f t="shared" si="1"/>
        <v>Eni SpAAT MATURITYFIXEDUSDSr Unsecured</v>
      </c>
    </row>
    <row r="177" spans="1:26" x14ac:dyDescent="0.2">
      <c r="A177" s="6">
        <v>176</v>
      </c>
      <c r="B177" s="6" t="s">
        <v>613</v>
      </c>
      <c r="C177" s="6" t="s">
        <v>616</v>
      </c>
      <c r="D177" s="6" t="s">
        <v>71</v>
      </c>
      <c r="E177" s="6">
        <f>VLOOKUP(G177,'CBs RAW'!$E$2:$H$427,4)</f>
        <v>4.12</v>
      </c>
      <c r="F177" s="6" t="s">
        <v>199</v>
      </c>
      <c r="G177" s="6" t="s">
        <v>2476</v>
      </c>
      <c r="H177" s="6" t="s">
        <v>2477</v>
      </c>
      <c r="I177" s="6" t="s">
        <v>2478</v>
      </c>
      <c r="J177" s="6" t="s">
        <v>117</v>
      </c>
      <c r="K177" s="6" t="s">
        <v>56</v>
      </c>
      <c r="L177" s="5">
        <v>1000000000</v>
      </c>
      <c r="M177" s="6" t="s">
        <v>52</v>
      </c>
      <c r="N177" s="6" t="s">
        <v>1775</v>
      </c>
      <c r="O177" s="6" t="s">
        <v>199</v>
      </c>
      <c r="P177" s="17">
        <v>43355</v>
      </c>
      <c r="Q177" s="5">
        <f>VLOOKUP(G177,'CBs RAW'!$E$2:$P$427,12)</f>
        <v>4</v>
      </c>
      <c r="R177" s="17">
        <v>45181</v>
      </c>
      <c r="S177" s="6" t="s">
        <v>2469</v>
      </c>
      <c r="T177" s="6" t="s">
        <v>619</v>
      </c>
      <c r="U177" s="6" t="s">
        <v>49</v>
      </c>
      <c r="V177" s="6" t="s">
        <v>262</v>
      </c>
      <c r="W177" s="6" t="s">
        <v>2479</v>
      </c>
      <c r="X177" s="18">
        <f>VLOOKUP(G177,'CBs RAW'!$E$2:$W$427,19)</f>
        <v>4.0579999999999998</v>
      </c>
      <c r="Y177" s="19">
        <f t="shared" si="0"/>
        <v>4.0579999999999998</v>
      </c>
      <c r="Z177" s="2" t="str">
        <f t="shared" si="1"/>
        <v>Eni SpAAT MATURITYFIXEDUSDSr Unsecured</v>
      </c>
    </row>
    <row r="178" spans="1:26" x14ac:dyDescent="0.2">
      <c r="A178" s="6">
        <v>177</v>
      </c>
      <c r="B178" s="6" t="s">
        <v>613</v>
      </c>
      <c r="C178" s="6" t="s">
        <v>616</v>
      </c>
      <c r="D178" s="6" t="s">
        <v>71</v>
      </c>
      <c r="E178" s="6">
        <f>VLOOKUP(G178,'CBs RAW'!$E$2:$H$427,4)</f>
        <v>4.12</v>
      </c>
      <c r="F178" s="6" t="s">
        <v>199</v>
      </c>
      <c r="G178" s="6" t="s">
        <v>2480</v>
      </c>
      <c r="H178" s="6" t="s">
        <v>2481</v>
      </c>
      <c r="I178" s="6" t="s">
        <v>2482</v>
      </c>
      <c r="J178" s="6" t="s">
        <v>117</v>
      </c>
      <c r="K178" s="6" t="s">
        <v>56</v>
      </c>
      <c r="L178" s="5">
        <v>1000000000</v>
      </c>
      <c r="M178" s="6" t="s">
        <v>52</v>
      </c>
      <c r="N178" s="6" t="s">
        <v>1775</v>
      </c>
      <c r="O178" s="6" t="s">
        <v>199</v>
      </c>
      <c r="P178" s="17">
        <v>43355</v>
      </c>
      <c r="Q178" s="5">
        <f>VLOOKUP(G178,'CBs RAW'!$E$2:$P$427,12)</f>
        <v>4</v>
      </c>
      <c r="R178" s="17">
        <v>45181</v>
      </c>
      <c r="S178" s="6" t="s">
        <v>2474</v>
      </c>
      <c r="T178" s="6" t="s">
        <v>619</v>
      </c>
      <c r="U178" s="6" t="s">
        <v>49</v>
      </c>
      <c r="V178" s="6" t="s">
        <v>262</v>
      </c>
      <c r="W178" s="6" t="s">
        <v>2483</v>
      </c>
      <c r="X178" s="18" t="str">
        <f>VLOOKUP(G178,'CBs RAW'!$E$2:$W$427,19)</f>
        <v>#N/A N/A</v>
      </c>
      <c r="Y178" s="2">
        <f t="shared" si="0"/>
        <v>4.12</v>
      </c>
      <c r="Z178" s="2" t="str">
        <f t="shared" si="1"/>
        <v>Eni SpAAT MATURITYFIXEDUSDSr Unsecured</v>
      </c>
    </row>
    <row r="179" spans="1:26" x14ac:dyDescent="0.2">
      <c r="A179" s="6">
        <v>178</v>
      </c>
      <c r="B179" s="6" t="s">
        <v>613</v>
      </c>
      <c r="C179" s="6" t="s">
        <v>616</v>
      </c>
      <c r="D179" s="6" t="s">
        <v>71</v>
      </c>
      <c r="E179" s="6">
        <f>VLOOKUP(G179,'CBs RAW'!$E$2:$H$427,4)</f>
        <v>4.8520000000000003</v>
      </c>
      <c r="F179" s="6" t="s">
        <v>199</v>
      </c>
      <c r="G179" s="6" t="s">
        <v>2484</v>
      </c>
      <c r="H179" s="6" t="s">
        <v>2485</v>
      </c>
      <c r="I179" s="6" t="s">
        <v>2486</v>
      </c>
      <c r="J179" s="6" t="s">
        <v>117</v>
      </c>
      <c r="K179" s="6" t="s">
        <v>56</v>
      </c>
      <c r="L179" s="5">
        <v>1000000000</v>
      </c>
      <c r="M179" s="6" t="s">
        <v>52</v>
      </c>
      <c r="N179" s="6" t="s">
        <v>1775</v>
      </c>
      <c r="O179" s="6" t="s">
        <v>199</v>
      </c>
      <c r="P179" s="17">
        <v>43355</v>
      </c>
      <c r="Q179" s="5">
        <f>VLOOKUP(G179,'CBs RAW'!$E$2:$P$427,12)</f>
        <v>4.75</v>
      </c>
      <c r="R179" s="17">
        <v>47008</v>
      </c>
      <c r="S179" s="6" t="s">
        <v>50</v>
      </c>
      <c r="T179" s="6" t="s">
        <v>189</v>
      </c>
      <c r="U179" s="6" t="s">
        <v>49</v>
      </c>
      <c r="V179" s="6" t="s">
        <v>262</v>
      </c>
      <c r="W179" s="6" t="s">
        <v>2487</v>
      </c>
      <c r="X179" s="18">
        <f>VLOOKUP(G179,'CBs RAW'!$E$2:$W$427,19)</f>
        <v>4.798</v>
      </c>
      <c r="Y179" s="19">
        <f t="shared" si="0"/>
        <v>4.798</v>
      </c>
      <c r="Z179" s="2" t="str">
        <f t="shared" si="1"/>
        <v>Eni SpAAT MATURITYFIXEDUSDSr Unsecured</v>
      </c>
    </row>
    <row r="180" spans="1:26" x14ac:dyDescent="0.2">
      <c r="A180" s="6">
        <v>179</v>
      </c>
      <c r="B180" s="6" t="s">
        <v>613</v>
      </c>
      <c r="C180" s="6" t="s">
        <v>616</v>
      </c>
      <c r="D180" s="6" t="s">
        <v>71</v>
      </c>
      <c r="E180" s="6">
        <f>VLOOKUP(G180,'CBs RAW'!$E$2:$H$427,4)</f>
        <v>4.12</v>
      </c>
      <c r="F180" s="6" t="s">
        <v>199</v>
      </c>
      <c r="G180" s="6" t="s">
        <v>2488</v>
      </c>
      <c r="H180" s="6" t="s">
        <v>2489</v>
      </c>
      <c r="I180" s="6" t="s">
        <v>2490</v>
      </c>
      <c r="J180" s="6" t="s">
        <v>117</v>
      </c>
      <c r="K180" s="6" t="s">
        <v>56</v>
      </c>
      <c r="L180" s="5">
        <v>1000000000</v>
      </c>
      <c r="M180" s="6" t="s">
        <v>52</v>
      </c>
      <c r="N180" s="6" t="s">
        <v>1775</v>
      </c>
      <c r="O180" s="6" t="s">
        <v>199</v>
      </c>
      <c r="P180" s="17">
        <v>43355</v>
      </c>
      <c r="Q180" s="5">
        <f>VLOOKUP(G180,'CBs RAW'!$E$2:$P$427,12)</f>
        <v>4</v>
      </c>
      <c r="R180" s="17">
        <v>45181</v>
      </c>
      <c r="S180" s="6" t="s">
        <v>50</v>
      </c>
      <c r="T180" s="6" t="s">
        <v>189</v>
      </c>
      <c r="U180" s="6" t="s">
        <v>49</v>
      </c>
      <c r="V180" s="6" t="s">
        <v>262</v>
      </c>
      <c r="W180" s="6" t="s">
        <v>2491</v>
      </c>
      <c r="X180" s="18">
        <f>VLOOKUP(G180,'CBs RAW'!$E$2:$W$427,19)</f>
        <v>4.1050000000000004</v>
      </c>
      <c r="Y180" s="19">
        <f t="shared" si="0"/>
        <v>4.1050000000000004</v>
      </c>
      <c r="Z180" s="2" t="str">
        <f t="shared" si="1"/>
        <v>Eni SpAAT MATURITYFIXEDUSDSr Unsecured</v>
      </c>
    </row>
    <row r="181" spans="1:26" x14ac:dyDescent="0.2">
      <c r="A181" s="6">
        <v>180</v>
      </c>
      <c r="B181" s="6" t="s">
        <v>613</v>
      </c>
      <c r="C181" s="6" t="s">
        <v>616</v>
      </c>
      <c r="D181" s="6" t="s">
        <v>57</v>
      </c>
      <c r="E181" s="6" t="str">
        <f>VLOOKUP(G181,'CBs RAW'!$E$2:$H$427,4)</f>
        <v>#N/A N/A</v>
      </c>
      <c r="F181" s="6" t="s">
        <v>199</v>
      </c>
      <c r="G181" s="6" t="s">
        <v>2492</v>
      </c>
      <c r="H181" s="6" t="s">
        <v>2493</v>
      </c>
      <c r="I181" s="6" t="s">
        <v>2494</v>
      </c>
      <c r="J181" s="6" t="s">
        <v>117</v>
      </c>
      <c r="K181" s="6" t="s">
        <v>56</v>
      </c>
      <c r="L181" s="5">
        <v>1090930000</v>
      </c>
      <c r="M181" s="6" t="s">
        <v>52</v>
      </c>
      <c r="N181" s="6" t="s">
        <v>1770</v>
      </c>
      <c r="O181" s="6" t="s">
        <v>199</v>
      </c>
      <c r="P181" s="17">
        <v>43969</v>
      </c>
      <c r="Q181" s="5">
        <f>VLOOKUP(G181,'CBs RAW'!$E$2:$P$427,12)</f>
        <v>1.25</v>
      </c>
      <c r="R181" s="17">
        <v>46160</v>
      </c>
      <c r="S181" s="6" t="s">
        <v>225</v>
      </c>
      <c r="T181" s="6" t="s">
        <v>619</v>
      </c>
      <c r="U181" s="6" t="s">
        <v>49</v>
      </c>
      <c r="V181" s="6" t="s">
        <v>53</v>
      </c>
      <c r="W181" s="6" t="s">
        <v>2495</v>
      </c>
      <c r="X181" s="18">
        <f>VLOOKUP(G181,'CBs RAW'!$E$2:$W$427,19)</f>
        <v>1.3819999999999999</v>
      </c>
      <c r="Y181" s="19">
        <f t="shared" si="0"/>
        <v>1.3819999999999999</v>
      </c>
      <c r="Z181" s="2" t="str">
        <f t="shared" si="1"/>
        <v>Eni SpAAT MATURITYFIXEDEURSr Unsecured</v>
      </c>
    </row>
    <row r="182" spans="1:26" x14ac:dyDescent="0.2">
      <c r="A182" s="6">
        <v>181</v>
      </c>
      <c r="B182" s="6" t="s">
        <v>613</v>
      </c>
      <c r="C182" s="6" t="s">
        <v>616</v>
      </c>
      <c r="D182" s="6" t="s">
        <v>57</v>
      </c>
      <c r="E182" s="6" t="str">
        <f>VLOOKUP(G182,'CBs RAW'!$E$2:$H$427,4)</f>
        <v>#N/A N/A</v>
      </c>
      <c r="F182" s="6" t="s">
        <v>199</v>
      </c>
      <c r="G182" s="6" t="s">
        <v>2496</v>
      </c>
      <c r="H182" s="6" t="s">
        <v>2497</v>
      </c>
      <c r="I182" s="6" t="s">
        <v>2498</v>
      </c>
      <c r="J182" s="6" t="s">
        <v>117</v>
      </c>
      <c r="K182" s="6" t="s">
        <v>56</v>
      </c>
      <c r="L182" s="5">
        <v>1090930000</v>
      </c>
      <c r="M182" s="6" t="s">
        <v>52</v>
      </c>
      <c r="N182" s="6" t="s">
        <v>1770</v>
      </c>
      <c r="O182" s="6" t="s">
        <v>199</v>
      </c>
      <c r="P182" s="17">
        <v>43969</v>
      </c>
      <c r="Q182" s="5">
        <f>VLOOKUP(G182,'CBs RAW'!$E$2:$P$427,12)</f>
        <v>2</v>
      </c>
      <c r="R182" s="17">
        <v>47986</v>
      </c>
      <c r="S182" s="6" t="s">
        <v>225</v>
      </c>
      <c r="T182" s="6" t="s">
        <v>619</v>
      </c>
      <c r="U182" s="6" t="s">
        <v>49</v>
      </c>
      <c r="V182" s="6" t="s">
        <v>53</v>
      </c>
      <c r="W182" s="6" t="s">
        <v>2499</v>
      </c>
      <c r="X182" s="18">
        <f>VLOOKUP(G182,'CBs RAW'!$E$2:$W$427,19)</f>
        <v>1.9770000000000001</v>
      </c>
      <c r="Y182" s="19">
        <f t="shared" si="0"/>
        <v>1.9770000000000001</v>
      </c>
      <c r="Z182" s="2" t="str">
        <f t="shared" si="1"/>
        <v>Eni SpAAT MATURITYFIXEDEURSr Unsecured</v>
      </c>
    </row>
    <row r="183" spans="1:26" x14ac:dyDescent="0.2">
      <c r="A183" s="6">
        <v>182</v>
      </c>
      <c r="B183" s="6" t="s">
        <v>613</v>
      </c>
      <c r="C183" s="6" t="s">
        <v>616</v>
      </c>
      <c r="D183" s="6" t="s">
        <v>57</v>
      </c>
      <c r="E183" s="6" t="str">
        <f>VLOOKUP(G183,'CBs RAW'!$E$2:$H$427,4)</f>
        <v>#N/A N/A</v>
      </c>
      <c r="F183" s="6" t="s">
        <v>199</v>
      </c>
      <c r="G183" s="6" t="s">
        <v>2500</v>
      </c>
      <c r="H183" s="6" t="s">
        <v>2501</v>
      </c>
      <c r="I183" s="6" t="s">
        <v>2502</v>
      </c>
      <c r="J183" s="6" t="s">
        <v>117</v>
      </c>
      <c r="K183" s="6" t="s">
        <v>56</v>
      </c>
      <c r="L183" s="5">
        <v>1279170000</v>
      </c>
      <c r="M183" s="6" t="s">
        <v>52</v>
      </c>
      <c r="N183" s="6" t="s">
        <v>1770</v>
      </c>
      <c r="O183" s="6" t="s">
        <v>199</v>
      </c>
      <c r="P183" s="17">
        <v>41464</v>
      </c>
      <c r="Q183" s="5">
        <f>VLOOKUP(G183,'CBs RAW'!$E$2:$P$427,12)</f>
        <v>3.25</v>
      </c>
      <c r="R183" s="17">
        <v>45117</v>
      </c>
      <c r="S183" s="6" t="s">
        <v>225</v>
      </c>
      <c r="T183" s="6" t="s">
        <v>619</v>
      </c>
      <c r="U183" s="6" t="s">
        <v>49</v>
      </c>
      <c r="V183" s="6" t="s">
        <v>53</v>
      </c>
      <c r="W183" s="6" t="s">
        <v>2503</v>
      </c>
      <c r="X183" s="18">
        <f>VLOOKUP(G183,'CBs RAW'!$E$2:$W$427,19)</f>
        <v>3.117</v>
      </c>
      <c r="Y183" s="19">
        <f t="shared" si="0"/>
        <v>3.117</v>
      </c>
      <c r="Z183" s="2" t="str">
        <f t="shared" si="1"/>
        <v>Eni SpAAT MATURITYFIXEDEURSr Unsecured</v>
      </c>
    </row>
    <row r="184" spans="1:26" x14ac:dyDescent="0.2">
      <c r="A184" s="6">
        <v>183</v>
      </c>
      <c r="B184" s="6" t="s">
        <v>613</v>
      </c>
      <c r="C184" s="6" t="s">
        <v>616</v>
      </c>
      <c r="D184" s="6" t="s">
        <v>57</v>
      </c>
      <c r="E184" s="6" t="str">
        <f>VLOOKUP(G184,'CBs RAW'!$E$2:$H$427,4)</f>
        <v>#N/A N/A</v>
      </c>
      <c r="F184" s="6" t="s">
        <v>199</v>
      </c>
      <c r="G184" s="6" t="s">
        <v>2504</v>
      </c>
      <c r="H184" s="6" t="s">
        <v>2505</v>
      </c>
      <c r="I184" s="6" t="s">
        <v>2506</v>
      </c>
      <c r="J184" s="6" t="s">
        <v>117</v>
      </c>
      <c r="K184" s="6" t="s">
        <v>56</v>
      </c>
      <c r="L184" s="5">
        <v>1597272000</v>
      </c>
      <c r="M184" s="6" t="s">
        <v>52</v>
      </c>
      <c r="N184" s="6" t="s">
        <v>1770</v>
      </c>
      <c r="O184" s="6" t="s">
        <v>199</v>
      </c>
      <c r="P184" s="17">
        <v>41529</v>
      </c>
      <c r="Q184" s="5">
        <f>VLOOKUP(G184,'CBs RAW'!$E$2:$P$427,12)</f>
        <v>3.75</v>
      </c>
      <c r="R184" s="17">
        <v>45912</v>
      </c>
      <c r="S184" s="6" t="s">
        <v>225</v>
      </c>
      <c r="T184" s="6" t="s">
        <v>619</v>
      </c>
      <c r="U184" s="6" t="s">
        <v>49</v>
      </c>
      <c r="V184" s="6" t="s">
        <v>53</v>
      </c>
      <c r="W184" s="6" t="s">
        <v>2507</v>
      </c>
      <c r="X184" s="18">
        <f>VLOOKUP(G184,'CBs RAW'!$E$2:$W$427,19)</f>
        <v>3.7719999999999998</v>
      </c>
      <c r="Y184" s="19">
        <f t="shared" si="0"/>
        <v>3.7719999999999998</v>
      </c>
      <c r="Z184" s="2" t="str">
        <f t="shared" si="1"/>
        <v>Eni SpAAT MATURITYFIXEDEURSr Unsecured</v>
      </c>
    </row>
    <row r="185" spans="1:26" x14ac:dyDescent="0.2">
      <c r="A185" s="6">
        <v>184</v>
      </c>
      <c r="B185" s="6" t="s">
        <v>613</v>
      </c>
      <c r="C185" s="6" t="s">
        <v>616</v>
      </c>
      <c r="D185" s="6" t="s">
        <v>57</v>
      </c>
      <c r="E185" s="6">
        <f>VLOOKUP(G185,'CBs RAW'!$E$2:$H$427,4)</f>
        <v>3.6799999999999997</v>
      </c>
      <c r="F185" s="6" t="s">
        <v>199</v>
      </c>
      <c r="G185" s="6" t="s">
        <v>2508</v>
      </c>
      <c r="H185" s="6" t="s">
        <v>2509</v>
      </c>
      <c r="I185" s="6" t="s">
        <v>2510</v>
      </c>
      <c r="J185" s="6" t="s">
        <v>117</v>
      </c>
      <c r="K185" s="6" t="s">
        <v>56</v>
      </c>
      <c r="L185" s="5">
        <v>1366320000</v>
      </c>
      <c r="M185" s="6" t="s">
        <v>52</v>
      </c>
      <c r="N185" s="6" t="s">
        <v>1770</v>
      </c>
      <c r="O185" s="6" t="s">
        <v>199</v>
      </c>
      <c r="P185" s="17">
        <v>41667</v>
      </c>
      <c r="Q185" s="5">
        <f>VLOOKUP(G185,'CBs RAW'!$E$2:$P$427,12)</f>
        <v>3.625</v>
      </c>
      <c r="R185" s="17">
        <v>47147</v>
      </c>
      <c r="S185" s="6" t="s">
        <v>225</v>
      </c>
      <c r="T185" s="6" t="s">
        <v>619</v>
      </c>
      <c r="U185" s="6" t="s">
        <v>49</v>
      </c>
      <c r="V185" s="6" t="s">
        <v>53</v>
      </c>
      <c r="W185" s="6" t="s">
        <v>2511</v>
      </c>
      <c r="X185" s="18">
        <f>VLOOKUP(G185,'CBs RAW'!$E$2:$W$427,19)</f>
        <v>3.6230000000000002</v>
      </c>
      <c r="Y185" s="19">
        <f t="shared" si="0"/>
        <v>3.6230000000000002</v>
      </c>
      <c r="Z185" s="2" t="str">
        <f t="shared" si="1"/>
        <v>Eni SpAAT MATURITYFIXEDEURSr Unsecured</v>
      </c>
    </row>
    <row r="186" spans="1:26" x14ac:dyDescent="0.2">
      <c r="A186" s="6">
        <v>185</v>
      </c>
      <c r="B186" s="6" t="s">
        <v>613</v>
      </c>
      <c r="C186" s="6" t="s">
        <v>616</v>
      </c>
      <c r="D186" s="6" t="s">
        <v>57</v>
      </c>
      <c r="E186" s="6">
        <f>VLOOKUP(G186,'CBs RAW'!$E$2:$H$427,4)</f>
        <v>1.573</v>
      </c>
      <c r="F186" s="6" t="s">
        <v>199</v>
      </c>
      <c r="G186" s="6" t="s">
        <v>2512</v>
      </c>
      <c r="H186" s="6" t="s">
        <v>2513</v>
      </c>
      <c r="I186" s="6" t="s">
        <v>2514</v>
      </c>
      <c r="J186" s="6" t="s">
        <v>117</v>
      </c>
      <c r="K186" s="6" t="s">
        <v>56</v>
      </c>
      <c r="L186" s="5">
        <v>1133260000</v>
      </c>
      <c r="M186" s="6" t="s">
        <v>52</v>
      </c>
      <c r="N186" s="6" t="s">
        <v>1770</v>
      </c>
      <c r="O186" s="6" t="s">
        <v>199</v>
      </c>
      <c r="P186" s="17">
        <v>42037</v>
      </c>
      <c r="Q186" s="5">
        <f>VLOOKUP(G186,'CBs RAW'!$E$2:$P$427,12)</f>
        <v>1.5</v>
      </c>
      <c r="R186" s="17">
        <v>46055</v>
      </c>
      <c r="S186" s="6" t="s">
        <v>225</v>
      </c>
      <c r="T186" s="6" t="s">
        <v>619</v>
      </c>
      <c r="U186" s="6" t="s">
        <v>49</v>
      </c>
      <c r="V186" s="6" t="s">
        <v>53</v>
      </c>
      <c r="W186" s="6" t="s">
        <v>2515</v>
      </c>
      <c r="X186" s="18">
        <f>VLOOKUP(G186,'CBs RAW'!$E$2:$W$427,19)</f>
        <v>1.377</v>
      </c>
      <c r="Y186" s="19">
        <f t="shared" si="0"/>
        <v>1.377</v>
      </c>
      <c r="Z186" s="2" t="str">
        <f t="shared" si="1"/>
        <v>Eni SpAAT MATURITYFIXEDEURSr Unsecured</v>
      </c>
    </row>
    <row r="187" spans="1:26" x14ac:dyDescent="0.2">
      <c r="A187" s="6">
        <v>186</v>
      </c>
      <c r="B187" s="6" t="s">
        <v>613</v>
      </c>
      <c r="C187" s="6" t="s">
        <v>616</v>
      </c>
      <c r="D187" s="6" t="s">
        <v>57</v>
      </c>
      <c r="E187" s="6" t="str">
        <f>VLOOKUP(G187,'CBs RAW'!$E$2:$H$427,4)</f>
        <v>#N/A N/A</v>
      </c>
      <c r="F187" s="6" t="s">
        <v>199</v>
      </c>
      <c r="G187" s="6" t="s">
        <v>2516</v>
      </c>
      <c r="H187" s="6" t="s">
        <v>2517</v>
      </c>
      <c r="I187" s="6" t="s">
        <v>2518</v>
      </c>
      <c r="J187" s="6" t="s">
        <v>117</v>
      </c>
      <c r="K187" s="6" t="s">
        <v>56</v>
      </c>
      <c r="L187" s="5">
        <v>793219000</v>
      </c>
      <c r="M187" s="6" t="s">
        <v>52</v>
      </c>
      <c r="N187" s="6" t="s">
        <v>1770</v>
      </c>
      <c r="O187" s="6" t="s">
        <v>199</v>
      </c>
      <c r="P187" s="17">
        <v>42507</v>
      </c>
      <c r="Q187" s="5">
        <f>VLOOKUP(G187,'CBs RAW'!$E$2:$P$427,12)</f>
        <v>0.75</v>
      </c>
      <c r="R187" s="17">
        <v>44698</v>
      </c>
      <c r="S187" s="6" t="s">
        <v>225</v>
      </c>
      <c r="T187" s="6" t="s">
        <v>619</v>
      </c>
      <c r="U187" s="6" t="s">
        <v>49</v>
      </c>
      <c r="V187" s="6" t="s">
        <v>53</v>
      </c>
      <c r="W187" s="6" t="s">
        <v>2519</v>
      </c>
      <c r="X187" s="18">
        <f>VLOOKUP(G187,'CBs RAW'!$E$2:$W$427,19)</f>
        <v>0.73899999999999999</v>
      </c>
      <c r="Y187" s="19">
        <f t="shared" si="0"/>
        <v>0.73899999999999999</v>
      </c>
      <c r="Z187" s="2" t="str">
        <f t="shared" si="1"/>
        <v>Eni SpAAT MATURITYFIXEDEURSr Unsecured</v>
      </c>
    </row>
    <row r="188" spans="1:26" x14ac:dyDescent="0.2">
      <c r="A188" s="6">
        <v>187</v>
      </c>
      <c r="B188" s="6" t="s">
        <v>613</v>
      </c>
      <c r="C188" s="6" t="s">
        <v>616</v>
      </c>
      <c r="D188" s="6" t="s">
        <v>57</v>
      </c>
      <c r="E188" s="6">
        <f>VLOOKUP(G188,'CBs RAW'!$E$2:$H$427,4)</f>
        <v>1.7429999999999999</v>
      </c>
      <c r="F188" s="6" t="s">
        <v>199</v>
      </c>
      <c r="G188" s="6" t="s">
        <v>2520</v>
      </c>
      <c r="H188" s="6" t="s">
        <v>2521</v>
      </c>
      <c r="I188" s="6" t="s">
        <v>2522</v>
      </c>
      <c r="J188" s="6" t="s">
        <v>117</v>
      </c>
      <c r="K188" s="6" t="s">
        <v>56</v>
      </c>
      <c r="L188" s="5">
        <v>906536000</v>
      </c>
      <c r="M188" s="6" t="s">
        <v>52</v>
      </c>
      <c r="N188" s="6" t="s">
        <v>1770</v>
      </c>
      <c r="O188" s="6" t="s">
        <v>199</v>
      </c>
      <c r="P188" s="17">
        <v>42507</v>
      </c>
      <c r="Q188" s="5">
        <f>VLOOKUP(G188,'CBs RAW'!$E$2:$P$427,12)</f>
        <v>1.625</v>
      </c>
      <c r="R188" s="17">
        <v>46890</v>
      </c>
      <c r="S188" s="6" t="s">
        <v>225</v>
      </c>
      <c r="T188" s="6" t="s">
        <v>619</v>
      </c>
      <c r="U188" s="6" t="s">
        <v>49</v>
      </c>
      <c r="V188" s="6" t="s">
        <v>53</v>
      </c>
      <c r="W188" s="6" t="s">
        <v>2523</v>
      </c>
      <c r="X188" s="18">
        <f>VLOOKUP(G188,'CBs RAW'!$E$2:$W$427,19)</f>
        <v>1.708</v>
      </c>
      <c r="Y188" s="19">
        <f t="shared" si="0"/>
        <v>1.708</v>
      </c>
      <c r="Z188" s="2" t="str">
        <f t="shared" si="1"/>
        <v>Eni SpAAT MATURITYFIXEDEURSr Unsecured</v>
      </c>
    </row>
    <row r="189" spans="1:26" x14ac:dyDescent="0.2">
      <c r="A189" s="6">
        <v>188</v>
      </c>
      <c r="B189" s="6" t="s">
        <v>613</v>
      </c>
      <c r="C189" s="6" t="s">
        <v>616</v>
      </c>
      <c r="D189" s="6" t="s">
        <v>57</v>
      </c>
      <c r="E189" s="6" t="str">
        <f>VLOOKUP(G189,'CBs RAW'!$E$2:$H$427,4)</f>
        <v>#N/A N/A</v>
      </c>
      <c r="F189" s="6" t="s">
        <v>199</v>
      </c>
      <c r="G189" s="6" t="s">
        <v>2524</v>
      </c>
      <c r="H189" s="6" t="s">
        <v>2525</v>
      </c>
      <c r="I189" s="6" t="s">
        <v>2526</v>
      </c>
      <c r="J189" s="6" t="s">
        <v>117</v>
      </c>
      <c r="K189" s="6" t="s">
        <v>56</v>
      </c>
      <c r="L189" s="5">
        <v>1005921000</v>
      </c>
      <c r="M189" s="6" t="s">
        <v>52</v>
      </c>
      <c r="N189" s="6" t="s">
        <v>1770</v>
      </c>
      <c r="O189" s="6" t="s">
        <v>199</v>
      </c>
      <c r="P189" s="17">
        <v>42632</v>
      </c>
      <c r="Q189" s="5">
        <f>VLOOKUP(G189,'CBs RAW'!$E$2:$P$427,12)</f>
        <v>0.625</v>
      </c>
      <c r="R189" s="17">
        <v>45554</v>
      </c>
      <c r="S189" s="6" t="s">
        <v>225</v>
      </c>
      <c r="T189" s="6" t="s">
        <v>619</v>
      </c>
      <c r="U189" s="6" t="s">
        <v>49</v>
      </c>
      <c r="V189" s="6" t="s">
        <v>53</v>
      </c>
      <c r="W189" s="6" t="s">
        <v>2527</v>
      </c>
      <c r="X189" s="18">
        <f>VLOOKUP(G189,'CBs RAW'!$E$2:$W$427,19)</f>
        <v>0.71699999999999997</v>
      </c>
      <c r="Y189" s="19">
        <f t="shared" si="0"/>
        <v>0.71699999999999997</v>
      </c>
      <c r="Z189" s="2" t="str">
        <f t="shared" si="1"/>
        <v>Eni SpAAT MATURITYFIXEDEURSr Unsecured</v>
      </c>
    </row>
    <row r="190" spans="1:26" x14ac:dyDescent="0.2">
      <c r="A190" s="6">
        <v>189</v>
      </c>
      <c r="B190" s="6" t="s">
        <v>613</v>
      </c>
      <c r="C190" s="6" t="s">
        <v>616</v>
      </c>
      <c r="D190" s="6" t="s">
        <v>57</v>
      </c>
      <c r="E190" s="6" t="str">
        <f>VLOOKUP(G190,'CBs RAW'!$E$2:$H$427,4)</f>
        <v>#N/A N/A</v>
      </c>
      <c r="F190" s="6" t="s">
        <v>199</v>
      </c>
      <c r="G190" s="6" t="s">
        <v>2528</v>
      </c>
      <c r="H190" s="6" t="s">
        <v>2529</v>
      </c>
      <c r="I190" s="6" t="s">
        <v>2530</v>
      </c>
      <c r="J190" s="6" t="s">
        <v>117</v>
      </c>
      <c r="K190" s="6" t="s">
        <v>56</v>
      </c>
      <c r="L190" s="5">
        <v>670614000</v>
      </c>
      <c r="M190" s="6" t="s">
        <v>52</v>
      </c>
      <c r="N190" s="6" t="s">
        <v>1770</v>
      </c>
      <c r="O190" s="6" t="s">
        <v>199</v>
      </c>
      <c r="P190" s="17">
        <v>42632</v>
      </c>
      <c r="Q190" s="5">
        <f>VLOOKUP(G190,'CBs RAW'!$E$2:$P$427,12)</f>
        <v>1.125</v>
      </c>
      <c r="R190" s="17">
        <v>47015</v>
      </c>
      <c r="S190" s="6" t="s">
        <v>225</v>
      </c>
      <c r="T190" s="6" t="s">
        <v>619</v>
      </c>
      <c r="U190" s="6" t="s">
        <v>49</v>
      </c>
      <c r="V190" s="6" t="s">
        <v>53</v>
      </c>
      <c r="W190" s="6" t="s">
        <v>2531</v>
      </c>
      <c r="X190" s="18">
        <f>VLOOKUP(G190,'CBs RAW'!$E$2:$W$427,19)</f>
        <v>1.244</v>
      </c>
      <c r="Y190" s="19">
        <f t="shared" si="0"/>
        <v>1.244</v>
      </c>
      <c r="Z190" s="2" t="str">
        <f t="shared" si="1"/>
        <v>Eni SpAAT MATURITYFIXEDEURSr Unsecured</v>
      </c>
    </row>
    <row r="191" spans="1:26" x14ac:dyDescent="0.2">
      <c r="A191" s="6">
        <v>190</v>
      </c>
      <c r="B191" s="6" t="s">
        <v>613</v>
      </c>
      <c r="C191" s="6" t="s">
        <v>616</v>
      </c>
      <c r="D191" s="6" t="s">
        <v>57</v>
      </c>
      <c r="E191" s="6" t="str">
        <f>VLOOKUP(G191,'CBs RAW'!$E$2:$H$427,4)</f>
        <v>#N/A N/A</v>
      </c>
      <c r="F191" s="6" t="s">
        <v>199</v>
      </c>
      <c r="G191" s="6" t="s">
        <v>2532</v>
      </c>
      <c r="H191" s="6" t="s">
        <v>2533</v>
      </c>
      <c r="I191" s="6" t="s">
        <v>2534</v>
      </c>
      <c r="J191" s="6" t="s">
        <v>117</v>
      </c>
      <c r="K191" s="6" t="s">
        <v>56</v>
      </c>
      <c r="L191" s="5">
        <v>852510000</v>
      </c>
      <c r="M191" s="6" t="s">
        <v>52</v>
      </c>
      <c r="N191" s="6" t="s">
        <v>1770</v>
      </c>
      <c r="O191" s="6" t="s">
        <v>199</v>
      </c>
      <c r="P191" s="17">
        <v>42265</v>
      </c>
      <c r="Q191" s="5">
        <f>VLOOKUP(G191,'CBs RAW'!$E$2:$P$427,12)</f>
        <v>1.75</v>
      </c>
      <c r="R191" s="17">
        <v>45309</v>
      </c>
      <c r="S191" s="6" t="s">
        <v>225</v>
      </c>
      <c r="T191" s="6" t="s">
        <v>619</v>
      </c>
      <c r="U191" s="6" t="s">
        <v>49</v>
      </c>
      <c r="V191" s="6" t="s">
        <v>53</v>
      </c>
      <c r="W191" s="6" t="s">
        <v>2535</v>
      </c>
      <c r="X191" s="18">
        <f>VLOOKUP(G191,'CBs RAW'!$E$2:$W$427,19)</f>
        <v>1.764</v>
      </c>
      <c r="Y191" s="19">
        <f t="shared" si="0"/>
        <v>1.764</v>
      </c>
      <c r="Z191" s="2" t="str">
        <f t="shared" si="1"/>
        <v>Eni SpAAT MATURITYFIXEDEURSr Unsecured</v>
      </c>
    </row>
    <row r="192" spans="1:26" x14ac:dyDescent="0.2">
      <c r="A192" s="6">
        <v>191</v>
      </c>
      <c r="B192" s="6" t="s">
        <v>613</v>
      </c>
      <c r="C192" s="6" t="s">
        <v>616</v>
      </c>
      <c r="D192" s="6" t="s">
        <v>57</v>
      </c>
      <c r="E192" s="6" t="str">
        <f>VLOOKUP(G192,'CBs RAW'!$E$2:$H$427,4)</f>
        <v>#N/A N/A</v>
      </c>
      <c r="F192" s="6" t="s">
        <v>199</v>
      </c>
      <c r="G192" s="6" t="s">
        <v>2536</v>
      </c>
      <c r="H192" s="6" t="s">
        <v>2537</v>
      </c>
      <c r="I192" s="6" t="s">
        <v>2538</v>
      </c>
      <c r="J192" s="6" t="s">
        <v>117</v>
      </c>
      <c r="K192" s="6" t="s">
        <v>56</v>
      </c>
      <c r="L192" s="5">
        <v>1105100000</v>
      </c>
      <c r="M192" s="6" t="s">
        <v>52</v>
      </c>
      <c r="N192" s="6" t="s">
        <v>1770</v>
      </c>
      <c r="O192" s="6" t="s">
        <v>199</v>
      </c>
      <c r="P192" s="17">
        <v>43853</v>
      </c>
      <c r="Q192" s="5">
        <f>VLOOKUP(G192,'CBs RAW'!$E$2:$P$427,12)</f>
        <v>0.625</v>
      </c>
      <c r="R192" s="17">
        <v>47506</v>
      </c>
      <c r="S192" s="6" t="s">
        <v>225</v>
      </c>
      <c r="T192" s="6" t="s">
        <v>619</v>
      </c>
      <c r="U192" s="6" t="s">
        <v>49</v>
      </c>
      <c r="V192" s="6" t="s">
        <v>53</v>
      </c>
      <c r="W192" s="6" t="s">
        <v>2539</v>
      </c>
      <c r="X192" s="18">
        <f>VLOOKUP(G192,'CBs RAW'!$E$2:$W$427,19)</f>
        <v>0.54200000000000004</v>
      </c>
      <c r="Y192" s="19">
        <f t="shared" si="0"/>
        <v>0.54200000000000004</v>
      </c>
      <c r="Z192" s="2" t="str">
        <f t="shared" si="1"/>
        <v>Eni SpAAT MATURITYFIXEDEURSr Unsecured</v>
      </c>
    </row>
    <row r="193" spans="1:26" x14ac:dyDescent="0.2">
      <c r="A193" s="6">
        <v>192</v>
      </c>
      <c r="B193" s="6" t="s">
        <v>613</v>
      </c>
      <c r="C193" s="6" t="s">
        <v>616</v>
      </c>
      <c r="D193" s="6" t="s">
        <v>57</v>
      </c>
      <c r="E193" s="6" t="str">
        <f>VLOOKUP(G193,'CBs RAW'!$E$2:$H$427,4)</f>
        <v>#N/A N/A</v>
      </c>
      <c r="F193" s="6" t="s">
        <v>199</v>
      </c>
      <c r="G193" s="6" t="s">
        <v>2540</v>
      </c>
      <c r="H193" s="6" t="s">
        <v>2541</v>
      </c>
      <c r="I193" s="6" t="s">
        <v>2542</v>
      </c>
      <c r="J193" s="6" t="s">
        <v>117</v>
      </c>
      <c r="K193" s="6" t="s">
        <v>56</v>
      </c>
      <c r="L193" s="5">
        <v>828795000</v>
      </c>
      <c r="M193" s="6" t="s">
        <v>52</v>
      </c>
      <c r="N193" s="6" t="s">
        <v>1770</v>
      </c>
      <c r="O193" s="6" t="s">
        <v>199</v>
      </c>
      <c r="P193" s="17">
        <v>43749</v>
      </c>
      <c r="Q193" s="5">
        <f>VLOOKUP(G193,'CBs RAW'!$E$2:$P$427,12)</f>
        <v>1</v>
      </c>
      <c r="R193" s="17">
        <v>49228</v>
      </c>
      <c r="S193" s="6" t="s">
        <v>225</v>
      </c>
      <c r="T193" s="6" t="s">
        <v>619</v>
      </c>
      <c r="U193" s="6" t="s">
        <v>49</v>
      </c>
      <c r="V193" s="6" t="s">
        <v>53</v>
      </c>
      <c r="W193" s="6" t="s">
        <v>2543</v>
      </c>
      <c r="X193" s="18">
        <f>VLOOKUP(G193,'CBs RAW'!$E$2:$W$427,19)</f>
        <v>1.054</v>
      </c>
      <c r="Y193" s="19">
        <f t="shared" si="0"/>
        <v>1.054</v>
      </c>
      <c r="Z193" s="2" t="str">
        <f t="shared" si="1"/>
        <v>Eni SpAAT MATURITYFIXEDEURSr Unsecured</v>
      </c>
    </row>
    <row r="194" spans="1:26" x14ac:dyDescent="0.2">
      <c r="A194" s="6">
        <v>193</v>
      </c>
      <c r="B194" s="6" t="s">
        <v>613</v>
      </c>
      <c r="C194" s="6" t="s">
        <v>616</v>
      </c>
      <c r="D194" s="6" t="s">
        <v>71</v>
      </c>
      <c r="E194" s="6">
        <f>VLOOKUP(G194,'CBs RAW'!$E$2:$H$427,4)</f>
        <v>4.282</v>
      </c>
      <c r="F194" s="6" t="s">
        <v>199</v>
      </c>
      <c r="G194" s="6" t="s">
        <v>2544</v>
      </c>
      <c r="H194" s="6" t="s">
        <v>2545</v>
      </c>
      <c r="I194" s="6" t="s">
        <v>2546</v>
      </c>
      <c r="J194" s="6" t="s">
        <v>117</v>
      </c>
      <c r="K194" s="6" t="s">
        <v>56</v>
      </c>
      <c r="L194" s="5">
        <v>1000000000</v>
      </c>
      <c r="M194" s="6" t="s">
        <v>52</v>
      </c>
      <c r="N194" s="6" t="s">
        <v>1775</v>
      </c>
      <c r="O194" s="6" t="s">
        <v>199</v>
      </c>
      <c r="P194" s="17">
        <v>43594</v>
      </c>
      <c r="Q194" s="5">
        <f>VLOOKUP(G194,'CBs RAW'!$E$2:$P$427,12)</f>
        <v>4.25</v>
      </c>
      <c r="R194" s="17">
        <v>47247</v>
      </c>
      <c r="S194" s="6" t="s">
        <v>261</v>
      </c>
      <c r="T194" s="6" t="s">
        <v>619</v>
      </c>
      <c r="U194" s="6" t="s">
        <v>115</v>
      </c>
      <c r="V194" s="6" t="s">
        <v>262</v>
      </c>
      <c r="W194" s="6" t="s">
        <v>2547</v>
      </c>
      <c r="X194" s="18" t="str">
        <f>VLOOKUP(G194,'CBs RAW'!$E$2:$W$427,19)</f>
        <v>#N/A N/A</v>
      </c>
      <c r="Y194" s="2">
        <f t="shared" si="0"/>
        <v>4.282</v>
      </c>
      <c r="Z194" s="2" t="str">
        <f t="shared" si="1"/>
        <v>Eni SpACALLABLEFIXEDUSDSr Unsecured</v>
      </c>
    </row>
    <row r="195" spans="1:26" x14ac:dyDescent="0.2">
      <c r="A195" s="6">
        <v>194</v>
      </c>
      <c r="B195" s="6" t="s">
        <v>613</v>
      </c>
      <c r="C195" s="6" t="s">
        <v>616</v>
      </c>
      <c r="D195" s="6" t="s">
        <v>71</v>
      </c>
      <c r="E195" s="6">
        <f>VLOOKUP(G195,'CBs RAW'!$E$2:$H$427,4)</f>
        <v>4.282</v>
      </c>
      <c r="F195" s="6" t="s">
        <v>199</v>
      </c>
      <c r="G195" s="6" t="s">
        <v>2548</v>
      </c>
      <c r="H195" s="6" t="s">
        <v>2549</v>
      </c>
      <c r="I195" s="6" t="s">
        <v>2550</v>
      </c>
      <c r="J195" s="6" t="s">
        <v>117</v>
      </c>
      <c r="K195" s="6" t="s">
        <v>56</v>
      </c>
      <c r="L195" s="5">
        <v>1000000000</v>
      </c>
      <c r="M195" s="6" t="s">
        <v>52</v>
      </c>
      <c r="N195" s="6" t="s">
        <v>1775</v>
      </c>
      <c r="O195" s="6" t="s">
        <v>199</v>
      </c>
      <c r="P195" s="17">
        <v>43594</v>
      </c>
      <c r="Q195" s="5">
        <f>VLOOKUP(G195,'CBs RAW'!$E$2:$P$427,12)</f>
        <v>4.25</v>
      </c>
      <c r="R195" s="17">
        <v>47247</v>
      </c>
      <c r="S195" s="6" t="s">
        <v>270</v>
      </c>
      <c r="T195" s="6" t="s">
        <v>619</v>
      </c>
      <c r="U195" s="6" t="s">
        <v>115</v>
      </c>
      <c r="V195" s="6" t="s">
        <v>262</v>
      </c>
      <c r="W195" s="6" t="s">
        <v>2551</v>
      </c>
      <c r="X195" s="18" t="str">
        <f>VLOOKUP(G195,'CBs RAW'!$E$2:$W$427,19)</f>
        <v>#N/A N/A</v>
      </c>
      <c r="Y195" s="2">
        <f t="shared" si="0"/>
        <v>4.282</v>
      </c>
      <c r="Z195" s="2" t="str">
        <f t="shared" si="1"/>
        <v>Eni SpACALLABLEFIXEDUSDSr Unsecured</v>
      </c>
    </row>
    <row r="196" spans="1:26" x14ac:dyDescent="0.2">
      <c r="A196" s="6">
        <v>195</v>
      </c>
      <c r="B196" s="6" t="s">
        <v>613</v>
      </c>
      <c r="C196" s="6" t="s">
        <v>616</v>
      </c>
      <c r="D196" s="6" t="s">
        <v>71</v>
      </c>
      <c r="E196" s="6">
        <f>VLOOKUP(G196,'CBs RAW'!$E$2:$H$427,4)</f>
        <v>4.282</v>
      </c>
      <c r="F196" s="6" t="s">
        <v>199</v>
      </c>
      <c r="G196" s="6" t="s">
        <v>2552</v>
      </c>
      <c r="H196" s="6" t="s">
        <v>2553</v>
      </c>
      <c r="I196" s="6" t="s">
        <v>2554</v>
      </c>
      <c r="J196" s="6" t="s">
        <v>117</v>
      </c>
      <c r="K196" s="6" t="s">
        <v>56</v>
      </c>
      <c r="L196" s="5">
        <v>1000000000</v>
      </c>
      <c r="M196" s="6" t="s">
        <v>52</v>
      </c>
      <c r="N196" s="6" t="s">
        <v>1775</v>
      </c>
      <c r="O196" s="6" t="s">
        <v>199</v>
      </c>
      <c r="P196" s="17">
        <v>43594</v>
      </c>
      <c r="Q196" s="5">
        <f>VLOOKUP(G196,'CBs RAW'!$E$2:$P$427,12)</f>
        <v>4.25</v>
      </c>
      <c r="R196" s="17">
        <v>47247</v>
      </c>
      <c r="S196" s="6" t="s">
        <v>1333</v>
      </c>
      <c r="T196" s="6" t="s">
        <v>619</v>
      </c>
      <c r="U196" s="6" t="s">
        <v>115</v>
      </c>
      <c r="V196" s="6" t="s">
        <v>262</v>
      </c>
      <c r="W196" s="6" t="s">
        <v>2555</v>
      </c>
      <c r="X196" s="18" t="str">
        <f>VLOOKUP(G196,'CBs RAW'!$E$2:$W$427,19)</f>
        <v>#N/A N/A</v>
      </c>
      <c r="Y196" s="2">
        <f t="shared" si="0"/>
        <v>4.282</v>
      </c>
      <c r="Z196" s="2" t="str">
        <f t="shared" si="1"/>
        <v>Eni SpACALLABLEFIXEDUSDSr Unsecured</v>
      </c>
    </row>
    <row r="197" spans="1:26" x14ac:dyDescent="0.2">
      <c r="A197" s="6">
        <v>196</v>
      </c>
      <c r="B197" s="6" t="s">
        <v>1075</v>
      </c>
      <c r="C197" s="6" t="s">
        <v>1078</v>
      </c>
      <c r="D197" s="6" t="s">
        <v>71</v>
      </c>
      <c r="E197" s="6">
        <f>VLOOKUP(G197,'CBs RAW'!$E$2:$H$427,4)</f>
        <v>2.625</v>
      </c>
      <c r="F197" s="6" t="s">
        <v>184</v>
      </c>
      <c r="G197" s="6" t="s">
        <v>2556</v>
      </c>
      <c r="H197" s="6" t="s">
        <v>2557</v>
      </c>
      <c r="I197" s="6" t="s">
        <v>2558</v>
      </c>
      <c r="J197" s="6" t="s">
        <v>884</v>
      </c>
      <c r="K197" s="6" t="s">
        <v>56</v>
      </c>
      <c r="L197" s="5">
        <v>1231880000</v>
      </c>
      <c r="M197" s="6" t="s">
        <v>52</v>
      </c>
      <c r="N197" s="6" t="s">
        <v>1839</v>
      </c>
      <c r="O197" s="6" t="s">
        <v>184</v>
      </c>
      <c r="P197" s="17">
        <v>43167</v>
      </c>
      <c r="Q197" s="5">
        <f>VLOOKUP(G197,'CBs RAW'!$E$2:$P$427,12)</f>
        <v>2.625</v>
      </c>
      <c r="R197" s="17">
        <v>45823</v>
      </c>
      <c r="S197" s="6" t="s">
        <v>173</v>
      </c>
      <c r="T197" s="6" t="s">
        <v>884</v>
      </c>
      <c r="U197" s="6" t="s">
        <v>115</v>
      </c>
      <c r="V197" s="6" t="s">
        <v>53</v>
      </c>
      <c r="W197" s="6" t="s">
        <v>2559</v>
      </c>
      <c r="X197" s="18">
        <f>VLOOKUP(G197,'CBs RAW'!$E$2:$W$427,19)</f>
        <v>2.4670000000000001</v>
      </c>
      <c r="Y197" s="19">
        <f t="shared" si="0"/>
        <v>2.4670000000000001</v>
      </c>
      <c r="Z197" s="2" t="str">
        <f t="shared" si="1"/>
        <v>Faurecia SECALLABLEFIXEDEURSr Unsecured</v>
      </c>
    </row>
    <row r="198" spans="1:26" x14ac:dyDescent="0.2">
      <c r="A198" s="6">
        <v>197</v>
      </c>
      <c r="B198" s="6" t="s">
        <v>1075</v>
      </c>
      <c r="C198" s="6" t="s">
        <v>1078</v>
      </c>
      <c r="D198" s="6" t="s">
        <v>71</v>
      </c>
      <c r="E198" s="6" t="str">
        <f>VLOOKUP(G198,'CBs RAW'!$E$2:$H$427,4)</f>
        <v>#N/A N/A</v>
      </c>
      <c r="F198" s="6" t="s">
        <v>184</v>
      </c>
      <c r="G198" s="6" t="s">
        <v>2560</v>
      </c>
      <c r="H198" s="6" t="s">
        <v>173</v>
      </c>
      <c r="I198" s="6" t="s">
        <v>2561</v>
      </c>
      <c r="J198" s="6" t="s">
        <v>884</v>
      </c>
      <c r="K198" s="6" t="s">
        <v>70</v>
      </c>
      <c r="L198" s="5">
        <v>570065350</v>
      </c>
      <c r="M198" s="6" t="s">
        <v>52</v>
      </c>
      <c r="N198" s="6" t="s">
        <v>2562</v>
      </c>
      <c r="O198" s="6" t="s">
        <v>184</v>
      </c>
      <c r="P198" s="17">
        <v>43454</v>
      </c>
      <c r="Q198" s="5">
        <f>VLOOKUP(G198,'CBs RAW'!$E$2:$P$427,12)</f>
        <v>0</v>
      </c>
      <c r="R198" s="17">
        <v>44915</v>
      </c>
      <c r="S198" s="6" t="s">
        <v>161</v>
      </c>
      <c r="T198" s="6" t="s">
        <v>54</v>
      </c>
      <c r="U198" s="6" t="s">
        <v>49</v>
      </c>
      <c r="V198" s="6" t="s">
        <v>53</v>
      </c>
      <c r="W198" s="6" t="s">
        <v>2563</v>
      </c>
      <c r="X198" s="18" t="str">
        <f>VLOOKUP(G198,'CBs RAW'!$E$2:$W$427,19)</f>
        <v>#N/A N/A</v>
      </c>
      <c r="Y198" s="2" t="str">
        <f t="shared" si="0"/>
        <v>#N/A N/A</v>
      </c>
      <c r="Z198" s="2" t="str">
        <f t="shared" si="1"/>
        <v>Faurecia SEAT MATURITYFLOATINGEURSr Unsecured</v>
      </c>
    </row>
    <row r="199" spans="1:26" x14ac:dyDescent="0.2">
      <c r="A199" s="6">
        <v>198</v>
      </c>
      <c r="B199" s="6" t="s">
        <v>1075</v>
      </c>
      <c r="C199" s="6" t="s">
        <v>1078</v>
      </c>
      <c r="D199" s="6" t="s">
        <v>71</v>
      </c>
      <c r="E199" s="6" t="str">
        <f>VLOOKUP(G199,'CBs RAW'!$E$2:$H$427,4)</f>
        <v>#N/A N/A</v>
      </c>
      <c r="F199" s="6" t="s">
        <v>184</v>
      </c>
      <c r="G199" s="6" t="s">
        <v>2564</v>
      </c>
      <c r="H199" s="6" t="s">
        <v>173</v>
      </c>
      <c r="I199" s="6" t="s">
        <v>2565</v>
      </c>
      <c r="J199" s="6" t="s">
        <v>884</v>
      </c>
      <c r="K199" s="6" t="s">
        <v>70</v>
      </c>
      <c r="L199" s="5">
        <v>803820790</v>
      </c>
      <c r="M199" s="6" t="s">
        <v>52</v>
      </c>
      <c r="N199" s="6" t="s">
        <v>2562</v>
      </c>
      <c r="O199" s="6" t="s">
        <v>184</v>
      </c>
      <c r="P199" s="17">
        <v>43454</v>
      </c>
      <c r="Q199" s="5">
        <f>VLOOKUP(G199,'CBs RAW'!$E$2:$P$427,12)</f>
        <v>0</v>
      </c>
      <c r="R199" s="17">
        <v>45646</v>
      </c>
      <c r="S199" s="6" t="s">
        <v>157</v>
      </c>
      <c r="T199" s="6" t="s">
        <v>54</v>
      </c>
      <c r="U199" s="6" t="s">
        <v>49</v>
      </c>
      <c r="V199" s="6" t="s">
        <v>53</v>
      </c>
      <c r="W199" s="6" t="s">
        <v>2566</v>
      </c>
      <c r="X199" s="18" t="str">
        <f>VLOOKUP(G199,'CBs RAW'!$E$2:$W$427,19)</f>
        <v>#N/A N/A</v>
      </c>
      <c r="Y199" s="2" t="str">
        <f t="shared" si="0"/>
        <v>#N/A N/A</v>
      </c>
      <c r="Z199" s="2" t="str">
        <f t="shared" si="1"/>
        <v>Faurecia SEAT MATURITYFLOATINGEURSr Unsecured</v>
      </c>
    </row>
    <row r="200" spans="1:26" x14ac:dyDescent="0.2">
      <c r="A200" s="6">
        <v>199</v>
      </c>
      <c r="B200" s="6" t="s">
        <v>1075</v>
      </c>
      <c r="C200" s="6" t="s">
        <v>1078</v>
      </c>
      <c r="D200" s="6" t="s">
        <v>391</v>
      </c>
      <c r="E200" s="6" t="str">
        <f>VLOOKUP(G200,'CBs RAW'!$E$2:$H$427,4)</f>
        <v>#N/A N/A</v>
      </c>
      <c r="F200" s="6" t="s">
        <v>184</v>
      </c>
      <c r="G200" s="6" t="s">
        <v>2567</v>
      </c>
      <c r="H200" s="6" t="s">
        <v>173</v>
      </c>
      <c r="I200" s="6" t="s">
        <v>2568</v>
      </c>
      <c r="J200" s="6" t="s">
        <v>884</v>
      </c>
      <c r="K200" s="6" t="s">
        <v>70</v>
      </c>
      <c r="L200" s="5">
        <v>230500000</v>
      </c>
      <c r="M200" s="6" t="s">
        <v>52</v>
      </c>
      <c r="N200" s="6" t="s">
        <v>2562</v>
      </c>
      <c r="O200" s="6" t="s">
        <v>184</v>
      </c>
      <c r="P200" s="17">
        <v>43454</v>
      </c>
      <c r="Q200" s="5">
        <f>VLOOKUP(G200,'CBs RAW'!$E$2:$P$427,12)</f>
        <v>0</v>
      </c>
      <c r="R200" s="17">
        <v>45280</v>
      </c>
      <c r="S200" s="6" t="s">
        <v>76</v>
      </c>
      <c r="T200" s="6" t="s">
        <v>54</v>
      </c>
      <c r="U200" s="6" t="s">
        <v>49</v>
      </c>
      <c r="V200" s="6" t="s">
        <v>262</v>
      </c>
      <c r="W200" s="6" t="s">
        <v>2569</v>
      </c>
      <c r="X200" s="18" t="str">
        <f>VLOOKUP(G200,'CBs RAW'!$E$2:$W$427,19)</f>
        <v>#N/A N/A</v>
      </c>
      <c r="Y200" s="2" t="str">
        <f t="shared" si="0"/>
        <v>#N/A N/A</v>
      </c>
      <c r="Z200" s="2" t="str">
        <f t="shared" si="1"/>
        <v>Faurecia SEAT MATURITYFLOATINGUSDSr Unsecured</v>
      </c>
    </row>
    <row r="201" spans="1:26" x14ac:dyDescent="0.2">
      <c r="A201" s="6">
        <v>200</v>
      </c>
      <c r="B201" s="6" t="s">
        <v>1075</v>
      </c>
      <c r="C201" s="6" t="s">
        <v>1078</v>
      </c>
      <c r="D201" s="6" t="s">
        <v>71</v>
      </c>
      <c r="E201" s="6" t="str">
        <f>VLOOKUP(G201,'CBs RAW'!$E$2:$H$427,4)</f>
        <v>#N/A N/A</v>
      </c>
      <c r="F201" s="6" t="s">
        <v>184</v>
      </c>
      <c r="G201" s="6" t="s">
        <v>2570</v>
      </c>
      <c r="H201" s="6" t="s">
        <v>2571</v>
      </c>
      <c r="I201" s="6" t="s">
        <v>2572</v>
      </c>
      <c r="J201" s="6" t="s">
        <v>884</v>
      </c>
      <c r="K201" s="6" t="s">
        <v>56</v>
      </c>
      <c r="L201" s="5">
        <v>844050000</v>
      </c>
      <c r="M201" s="6" t="s">
        <v>52</v>
      </c>
      <c r="N201" s="6" t="s">
        <v>1839</v>
      </c>
      <c r="O201" s="6" t="s">
        <v>184</v>
      </c>
      <c r="P201" s="17">
        <v>43551</v>
      </c>
      <c r="Q201" s="5">
        <f>VLOOKUP(G201,'CBs RAW'!$E$2:$P$427,12)</f>
        <v>3.125</v>
      </c>
      <c r="R201" s="17">
        <v>46188</v>
      </c>
      <c r="S201" s="6" t="s">
        <v>173</v>
      </c>
      <c r="T201" s="6" t="s">
        <v>884</v>
      </c>
      <c r="U201" s="6" t="s">
        <v>115</v>
      </c>
      <c r="V201" s="6" t="s">
        <v>53</v>
      </c>
      <c r="W201" s="6" t="s">
        <v>2573</v>
      </c>
      <c r="X201" s="18">
        <f>VLOOKUP(G201,'CBs RAW'!$E$2:$W$427,19)</f>
        <v>2.9540000000000002</v>
      </c>
      <c r="Y201" s="19">
        <f t="shared" si="0"/>
        <v>2.9540000000000002</v>
      </c>
      <c r="Z201" s="2" t="str">
        <f t="shared" si="1"/>
        <v>Faurecia SECALLABLEFIXEDEURSr Unsecured</v>
      </c>
    </row>
    <row r="202" spans="1:26" x14ac:dyDescent="0.2">
      <c r="A202" s="6">
        <v>201</v>
      </c>
      <c r="B202" s="6" t="s">
        <v>1075</v>
      </c>
      <c r="C202" s="6" t="s">
        <v>1078</v>
      </c>
      <c r="D202" s="6" t="s">
        <v>71</v>
      </c>
      <c r="E202" s="6">
        <f>VLOOKUP(G202,'CBs RAW'!$E$2:$H$427,4)</f>
        <v>3.75</v>
      </c>
      <c r="F202" s="6" t="s">
        <v>184</v>
      </c>
      <c r="G202" s="6" t="s">
        <v>2574</v>
      </c>
      <c r="H202" s="6" t="s">
        <v>2575</v>
      </c>
      <c r="I202" s="6" t="s">
        <v>2576</v>
      </c>
      <c r="J202" s="6" t="s">
        <v>884</v>
      </c>
      <c r="K202" s="6" t="s">
        <v>56</v>
      </c>
      <c r="L202" s="5">
        <v>825398000</v>
      </c>
      <c r="M202" s="6" t="s">
        <v>52</v>
      </c>
      <c r="N202" s="6" t="s">
        <v>1775</v>
      </c>
      <c r="O202" s="6" t="s">
        <v>184</v>
      </c>
      <c r="P202" s="17">
        <v>44043</v>
      </c>
      <c r="Q202" s="5">
        <f>VLOOKUP(G202,'CBs RAW'!$E$2:$P$427,12)</f>
        <v>3.75</v>
      </c>
      <c r="R202" s="17">
        <v>46919</v>
      </c>
      <c r="S202" s="6" t="s">
        <v>173</v>
      </c>
      <c r="T202" s="6" t="s">
        <v>884</v>
      </c>
      <c r="U202" s="6" t="s">
        <v>115</v>
      </c>
      <c r="V202" s="6" t="s">
        <v>53</v>
      </c>
      <c r="W202" s="6" t="s">
        <v>2577</v>
      </c>
      <c r="X202" s="18">
        <f>VLOOKUP(G202,'CBs RAW'!$E$2:$W$427,19)</f>
        <v>3.6909999999999998</v>
      </c>
      <c r="Y202" s="19">
        <f t="shared" si="0"/>
        <v>3.6909999999999998</v>
      </c>
      <c r="Z202" s="2" t="str">
        <f t="shared" si="1"/>
        <v>Faurecia SECALLABLEFIXEDEURSr Unsecured</v>
      </c>
    </row>
    <row r="203" spans="1:26" x14ac:dyDescent="0.2">
      <c r="A203" s="6">
        <v>202</v>
      </c>
      <c r="B203" s="6" t="s">
        <v>1075</v>
      </c>
      <c r="C203" s="6" t="s">
        <v>1078</v>
      </c>
      <c r="D203" s="6" t="s">
        <v>71</v>
      </c>
      <c r="E203" s="6" t="str">
        <f>VLOOKUP(G203,'CBs RAW'!$E$2:$H$427,4)</f>
        <v>#N/A N/A</v>
      </c>
      <c r="F203" s="6" t="s">
        <v>184</v>
      </c>
      <c r="G203" s="6" t="s">
        <v>2578</v>
      </c>
      <c r="H203" s="6" t="s">
        <v>2579</v>
      </c>
      <c r="I203" s="6" t="s">
        <v>2580</v>
      </c>
      <c r="J203" s="6" t="s">
        <v>884</v>
      </c>
      <c r="K203" s="6" t="s">
        <v>56</v>
      </c>
      <c r="L203" s="5">
        <v>979017800</v>
      </c>
      <c r="M203" s="6" t="s">
        <v>52</v>
      </c>
      <c r="N203" s="6" t="s">
        <v>1839</v>
      </c>
      <c r="O203" s="6" t="s">
        <v>184</v>
      </c>
      <c r="P203" s="17">
        <v>43796</v>
      </c>
      <c r="Q203" s="5">
        <f>VLOOKUP(G203,'CBs RAW'!$E$2:$P$427,12)</f>
        <v>2.375</v>
      </c>
      <c r="R203" s="17">
        <v>46553</v>
      </c>
      <c r="S203" s="6" t="s">
        <v>173</v>
      </c>
      <c r="T203" s="6" t="s">
        <v>884</v>
      </c>
      <c r="U203" s="6" t="s">
        <v>115</v>
      </c>
      <c r="V203" s="6" t="s">
        <v>53</v>
      </c>
      <c r="W203" s="6" t="s">
        <v>2581</v>
      </c>
      <c r="X203" s="18">
        <f>VLOOKUP(G203,'CBs RAW'!$E$2:$W$427,19)</f>
        <v>2.1680000000000001</v>
      </c>
      <c r="Y203" s="19">
        <f t="shared" si="0"/>
        <v>2.1680000000000001</v>
      </c>
      <c r="Z203" s="2" t="str">
        <f t="shared" si="1"/>
        <v>Faurecia SECALLABLEFIXEDEURSr Unsecured</v>
      </c>
    </row>
    <row r="204" spans="1:26" x14ac:dyDescent="0.2">
      <c r="A204" s="6">
        <v>203</v>
      </c>
      <c r="B204" s="6" t="s">
        <v>1421</v>
      </c>
      <c r="C204" s="6" t="s">
        <v>1424</v>
      </c>
      <c r="D204" s="6" t="s">
        <v>57</v>
      </c>
      <c r="E204" s="6" t="str">
        <f>VLOOKUP(G204,'CBs RAW'!$E$2:$H$427,4)</f>
        <v>#N/A N/A</v>
      </c>
      <c r="F204" s="6" t="s">
        <v>199</v>
      </c>
      <c r="G204" s="6" t="s">
        <v>2582</v>
      </c>
      <c r="H204" s="6" t="s">
        <v>2583</v>
      </c>
      <c r="I204" s="6" t="s">
        <v>2584</v>
      </c>
      <c r="J204" s="6" t="s">
        <v>55</v>
      </c>
      <c r="K204" s="6" t="s">
        <v>56</v>
      </c>
      <c r="L204" s="5">
        <v>58619500</v>
      </c>
      <c r="M204" s="6" t="s">
        <v>52</v>
      </c>
      <c r="N204" s="6" t="s">
        <v>173</v>
      </c>
      <c r="O204" s="6" t="s">
        <v>199</v>
      </c>
      <c r="P204" s="17">
        <v>43014</v>
      </c>
      <c r="Q204" s="5">
        <f>VLOOKUP(G204,'CBs RAW'!$E$2:$P$427,12)</f>
        <v>2.7469999999999999</v>
      </c>
      <c r="R204" s="17">
        <v>45571</v>
      </c>
      <c r="S204" s="6" t="s">
        <v>173</v>
      </c>
      <c r="T204" s="6" t="s">
        <v>54</v>
      </c>
      <c r="U204" s="6" t="s">
        <v>49</v>
      </c>
      <c r="V204" s="6" t="s">
        <v>53</v>
      </c>
      <c r="W204" s="6" t="s">
        <v>2585</v>
      </c>
      <c r="X204" s="18" t="str">
        <f>VLOOKUP(G204,'CBs RAW'!$E$2:$W$427,19)</f>
        <v>#N/A N/A</v>
      </c>
      <c r="Y204" s="2" t="str">
        <f t="shared" si="0"/>
        <v>#N/A N/A</v>
      </c>
      <c r="Z204" s="2" t="str">
        <f t="shared" si="1"/>
        <v>FIS Fabbrica Italiana Sintetici SpAAT MATURITYFIXEDEURSr Unsecured</v>
      </c>
    </row>
    <row r="205" spans="1:26" x14ac:dyDescent="0.2">
      <c r="A205" s="6">
        <v>204</v>
      </c>
      <c r="B205" s="6" t="s">
        <v>624</v>
      </c>
      <c r="C205" s="6" t="s">
        <v>627</v>
      </c>
      <c r="D205" s="6" t="s">
        <v>71</v>
      </c>
      <c r="E205" s="6" t="str">
        <f>VLOOKUP(G205,'CBs RAW'!$E$2:$H$427,4)</f>
        <v>#N/A N/A</v>
      </c>
      <c r="F205" s="6" t="s">
        <v>45</v>
      </c>
      <c r="G205" s="6" t="s">
        <v>2586</v>
      </c>
      <c r="H205" s="6" t="s">
        <v>173</v>
      </c>
      <c r="I205" s="6" t="s">
        <v>2587</v>
      </c>
      <c r="J205" s="6" t="s">
        <v>55</v>
      </c>
      <c r="K205" s="6" t="s">
        <v>56</v>
      </c>
      <c r="L205" s="6"/>
      <c r="M205" s="6" t="s">
        <v>118</v>
      </c>
      <c r="N205" s="6" t="s">
        <v>173</v>
      </c>
      <c r="O205" s="6" t="s">
        <v>45</v>
      </c>
      <c r="P205" s="17">
        <v>43557</v>
      </c>
      <c r="Q205" s="5">
        <f>VLOOKUP(G205,'CBs RAW'!$E$2:$P$427,12)</f>
        <v>5</v>
      </c>
      <c r="R205" s="17">
        <v>45384</v>
      </c>
      <c r="S205" s="6" t="s">
        <v>173</v>
      </c>
      <c r="T205" s="6" t="s">
        <v>54</v>
      </c>
      <c r="U205" s="6" t="s">
        <v>49</v>
      </c>
      <c r="V205" s="6" t="s">
        <v>262</v>
      </c>
      <c r="W205" s="6" t="s">
        <v>2588</v>
      </c>
      <c r="X205" s="18" t="str">
        <f>VLOOKUP(G205,'CBs RAW'!$E$2:$W$427,19)</f>
        <v>#N/A N/A</v>
      </c>
      <c r="Y205" s="2" t="str">
        <f t="shared" si="0"/>
        <v>#N/A N/A</v>
      </c>
      <c r="Z205" s="2" t="str">
        <f t="shared" si="1"/>
        <v>Fritz Draexlmaier GmbH &amp; Co KGAT MATURITYFIXEDUSDUnsecured</v>
      </c>
    </row>
    <row r="206" spans="1:26" x14ac:dyDescent="0.2">
      <c r="A206" s="6">
        <v>205</v>
      </c>
      <c r="B206" s="6" t="s">
        <v>1261</v>
      </c>
      <c r="C206" s="6" t="s">
        <v>1264</v>
      </c>
      <c r="D206" s="6" t="s">
        <v>71</v>
      </c>
      <c r="E206" s="6" t="str">
        <f>VLOOKUP(G206,'CBs RAW'!$E$2:$H$427,4)</f>
        <v>#N/A N/A</v>
      </c>
      <c r="F206" s="6" t="s">
        <v>407</v>
      </c>
      <c r="G206" s="6" t="s">
        <v>2589</v>
      </c>
      <c r="H206" s="6" t="s">
        <v>2590</v>
      </c>
      <c r="I206" s="6" t="s">
        <v>2591</v>
      </c>
      <c r="J206" s="6" t="s">
        <v>55</v>
      </c>
      <c r="K206" s="6" t="s">
        <v>56</v>
      </c>
      <c r="L206" s="5">
        <v>147529200</v>
      </c>
      <c r="M206" s="6" t="s">
        <v>52</v>
      </c>
      <c r="N206" s="6" t="s">
        <v>173</v>
      </c>
      <c r="O206" s="6" t="s">
        <v>407</v>
      </c>
      <c r="P206" s="17">
        <v>43194</v>
      </c>
      <c r="Q206" s="5">
        <f>VLOOKUP(G206,'CBs RAW'!$E$2:$P$427,12)</f>
        <v>3.95</v>
      </c>
      <c r="R206" s="17">
        <v>45751</v>
      </c>
      <c r="S206" s="6" t="s">
        <v>173</v>
      </c>
      <c r="T206" s="6" t="s">
        <v>54</v>
      </c>
      <c r="U206" s="6" t="s">
        <v>49</v>
      </c>
      <c r="V206" s="6" t="s">
        <v>53</v>
      </c>
      <c r="W206" s="6" t="s">
        <v>2592</v>
      </c>
      <c r="X206" s="18" t="str">
        <f>VLOOKUP(G206,'CBs RAW'!$E$2:$W$427,19)</f>
        <v>#N/A N/A</v>
      </c>
      <c r="Y206" s="2" t="str">
        <f t="shared" si="0"/>
        <v>#N/A N/A</v>
      </c>
      <c r="Z206" s="2" t="str">
        <f t="shared" si="1"/>
        <v>GEK Terna Holding Real Estate Construction SAAT MATURITYFIXEDEURSr Unsecured</v>
      </c>
    </row>
    <row r="207" spans="1:26" x14ac:dyDescent="0.2">
      <c r="A207" s="6">
        <v>206</v>
      </c>
      <c r="B207" s="6" t="s">
        <v>1261</v>
      </c>
      <c r="C207" s="6" t="s">
        <v>1264</v>
      </c>
      <c r="D207" s="6" t="s">
        <v>71</v>
      </c>
      <c r="E207" s="6" t="str">
        <f>VLOOKUP(G207,'CBs RAW'!$E$2:$H$427,4)</f>
        <v>#N/A N/A</v>
      </c>
      <c r="F207" s="6" t="s">
        <v>407</v>
      </c>
      <c r="G207" s="6" t="s">
        <v>2593</v>
      </c>
      <c r="H207" s="6" t="s">
        <v>2594</v>
      </c>
      <c r="I207" s="6" t="s">
        <v>2595</v>
      </c>
      <c r="J207" s="6" t="s">
        <v>55</v>
      </c>
      <c r="K207" s="6" t="s">
        <v>56</v>
      </c>
      <c r="L207" s="5">
        <v>562090000</v>
      </c>
      <c r="M207" s="6" t="s">
        <v>118</v>
      </c>
      <c r="N207" s="6" t="s">
        <v>173</v>
      </c>
      <c r="O207" s="6" t="s">
        <v>407</v>
      </c>
      <c r="P207" s="17">
        <v>44015</v>
      </c>
      <c r="Q207" s="5">
        <f>VLOOKUP(G207,'CBs RAW'!$E$2:$P$427,12)</f>
        <v>2.75</v>
      </c>
      <c r="R207" s="17">
        <v>46571</v>
      </c>
      <c r="S207" s="6" t="s">
        <v>173</v>
      </c>
      <c r="T207" s="6" t="s">
        <v>54</v>
      </c>
      <c r="U207" s="6" t="s">
        <v>49</v>
      </c>
      <c r="V207" s="6" t="s">
        <v>53</v>
      </c>
      <c r="W207" s="6" t="s">
        <v>2596</v>
      </c>
      <c r="X207" s="18">
        <f>VLOOKUP(G207,'CBs RAW'!$E$2:$W$427,19)</f>
        <v>2.7450000000000001</v>
      </c>
      <c r="Y207" s="19">
        <f t="shared" si="0"/>
        <v>2.7450000000000001</v>
      </c>
      <c r="Z207" s="2" t="str">
        <f t="shared" si="1"/>
        <v>GEK Terna Holding Real Estate Construction SAAT MATURITYFIXEDEURUnsecured</v>
      </c>
    </row>
    <row r="208" spans="1:26" x14ac:dyDescent="0.2">
      <c r="A208" s="6">
        <v>207</v>
      </c>
      <c r="B208" s="6" t="s">
        <v>893</v>
      </c>
      <c r="C208" s="6" t="s">
        <v>896</v>
      </c>
      <c r="D208" s="6" t="s">
        <v>391</v>
      </c>
      <c r="E208" s="6" t="str">
        <f>VLOOKUP(G208,'CBs RAW'!$E$2:$H$427,4)</f>
        <v>#N/A N/A</v>
      </c>
      <c r="F208" s="6" t="s">
        <v>367</v>
      </c>
      <c r="G208" s="6" t="s">
        <v>2597</v>
      </c>
      <c r="H208" s="6" t="s">
        <v>2598</v>
      </c>
      <c r="I208" s="6" t="s">
        <v>2599</v>
      </c>
      <c r="J208" s="6" t="s">
        <v>55</v>
      </c>
      <c r="K208" s="6" t="s">
        <v>70</v>
      </c>
      <c r="L208" s="5">
        <v>34148100</v>
      </c>
      <c r="M208" s="6" t="s">
        <v>52</v>
      </c>
      <c r="N208" s="6" t="s">
        <v>173</v>
      </c>
      <c r="O208" s="6" t="s">
        <v>367</v>
      </c>
      <c r="P208" s="17">
        <v>43363</v>
      </c>
      <c r="Q208" s="5">
        <f>VLOOKUP(G208,'CBs RAW'!$E$2:$P$427,12)</f>
        <v>1.661</v>
      </c>
      <c r="R208" s="17">
        <v>45189</v>
      </c>
      <c r="S208" s="6" t="s">
        <v>685</v>
      </c>
      <c r="T208" s="6" t="s">
        <v>54</v>
      </c>
      <c r="U208" s="6" t="s">
        <v>49</v>
      </c>
      <c r="V208" s="6" t="s">
        <v>686</v>
      </c>
      <c r="W208" s="6" t="s">
        <v>2600</v>
      </c>
      <c r="X208" s="18">
        <f>VLOOKUP(G208,'CBs RAW'!$E$2:$W$427,19)</f>
        <v>1.0840000000000001</v>
      </c>
      <c r="Y208" s="19">
        <f t="shared" si="0"/>
        <v>1.0840000000000001</v>
      </c>
      <c r="Z208" s="2" t="str">
        <f t="shared" si="1"/>
        <v>Granges ABAT MATURITYFLOATINGSEKSr Unsecured</v>
      </c>
    </row>
    <row r="209" spans="1:26" x14ac:dyDescent="0.2">
      <c r="A209" s="6">
        <v>208</v>
      </c>
      <c r="B209" s="6" t="s">
        <v>1132</v>
      </c>
      <c r="C209" s="6" t="s">
        <v>1135</v>
      </c>
      <c r="D209" s="6" t="s">
        <v>57</v>
      </c>
      <c r="E209" s="6" t="str">
        <f>VLOOKUP(G209,'CBs RAW'!$E$2:$H$427,4)</f>
        <v>#N/A N/A</v>
      </c>
      <c r="F209" s="6" t="s">
        <v>45</v>
      </c>
      <c r="G209" s="6" t="s">
        <v>2601</v>
      </c>
      <c r="H209" s="6" t="s">
        <v>2602</v>
      </c>
      <c r="I209" s="6" t="s">
        <v>2603</v>
      </c>
      <c r="J209" s="6" t="s">
        <v>420</v>
      </c>
      <c r="K209" s="6" t="s">
        <v>56</v>
      </c>
      <c r="L209" s="5">
        <v>338533800</v>
      </c>
      <c r="M209" s="6" t="s">
        <v>52</v>
      </c>
      <c r="N209" s="6" t="s">
        <v>173</v>
      </c>
      <c r="O209" s="6" t="s">
        <v>45</v>
      </c>
      <c r="P209" s="17">
        <v>43949</v>
      </c>
      <c r="Q209" s="5">
        <f>VLOOKUP(G209,'CBs RAW'!$E$2:$P$427,12)</f>
        <v>0.27250000000000002</v>
      </c>
      <c r="R209" s="17">
        <v>45044</v>
      </c>
      <c r="S209" s="6" t="s">
        <v>225</v>
      </c>
      <c r="T209" s="6" t="s">
        <v>117</v>
      </c>
      <c r="U209" s="6" t="s">
        <v>49</v>
      </c>
      <c r="V209" s="6" t="s">
        <v>1806</v>
      </c>
      <c r="W209" s="6" t="s">
        <v>2604</v>
      </c>
      <c r="X209" s="18">
        <f>VLOOKUP(G209,'CBs RAW'!$E$2:$W$427,19)</f>
        <v>-5.6000000000000001E-2</v>
      </c>
      <c r="Y209" s="19">
        <f t="shared" si="0"/>
        <v>-5.6000000000000001E-2</v>
      </c>
      <c r="Z209" s="2" t="str">
        <f t="shared" si="1"/>
        <v>Henkel AG &amp; Co KGaAAT MATURITYFIXEDCHFSr Unsecured</v>
      </c>
    </row>
    <row r="210" spans="1:26" x14ac:dyDescent="0.2">
      <c r="A210" s="6">
        <v>209</v>
      </c>
      <c r="B210" s="6" t="s">
        <v>1132</v>
      </c>
      <c r="C210" s="6" t="s">
        <v>1135</v>
      </c>
      <c r="D210" s="6" t="s">
        <v>57</v>
      </c>
      <c r="E210" s="6">
        <f>VLOOKUP(G210,'CBs RAW'!$E$2:$H$427,4)</f>
        <v>0.94599999999999995</v>
      </c>
      <c r="F210" s="6" t="s">
        <v>45</v>
      </c>
      <c r="G210" s="6" t="s">
        <v>2605</v>
      </c>
      <c r="H210" s="6" t="s">
        <v>2606</v>
      </c>
      <c r="I210" s="6" t="s">
        <v>2607</v>
      </c>
      <c r="J210" s="6" t="s">
        <v>420</v>
      </c>
      <c r="K210" s="6" t="s">
        <v>56</v>
      </c>
      <c r="L210" s="5">
        <v>395970000</v>
      </c>
      <c r="M210" s="6" t="s">
        <v>52</v>
      </c>
      <c r="N210" s="6" t="s">
        <v>2608</v>
      </c>
      <c r="O210" s="6" t="s">
        <v>45</v>
      </c>
      <c r="P210" s="17">
        <v>42626</v>
      </c>
      <c r="Q210" s="5">
        <f>VLOOKUP(G210,'CBs RAW'!$E$2:$P$427,12)</f>
        <v>0.875</v>
      </c>
      <c r="R210" s="17">
        <v>44817</v>
      </c>
      <c r="S210" s="6" t="s">
        <v>225</v>
      </c>
      <c r="T210" s="6" t="s">
        <v>117</v>
      </c>
      <c r="U210" s="6" t="s">
        <v>115</v>
      </c>
      <c r="V210" s="6" t="s">
        <v>1547</v>
      </c>
      <c r="W210" s="6" t="s">
        <v>2609</v>
      </c>
      <c r="X210" s="18">
        <f>VLOOKUP(G210,'CBs RAW'!$E$2:$W$427,19)</f>
        <v>1.01</v>
      </c>
      <c r="Y210" s="19">
        <f t="shared" si="0"/>
        <v>1.01</v>
      </c>
      <c r="Z210" s="2" t="str">
        <f t="shared" si="1"/>
        <v>Henkel AG &amp; Co KGaACALLABLEFIXEDGBPSr Unsecured</v>
      </c>
    </row>
    <row r="211" spans="1:26" x14ac:dyDescent="0.2">
      <c r="A211" s="6">
        <v>210</v>
      </c>
      <c r="B211" s="6" t="s">
        <v>1132</v>
      </c>
      <c r="C211" s="6" t="s">
        <v>1135</v>
      </c>
      <c r="D211" s="6" t="s">
        <v>57</v>
      </c>
      <c r="E211" s="6" t="str">
        <f>VLOOKUP(G211,'CBs RAW'!$E$2:$H$427,4)</f>
        <v>#N/A N/A</v>
      </c>
      <c r="F211" s="6" t="s">
        <v>45</v>
      </c>
      <c r="G211" s="6" t="s">
        <v>2610</v>
      </c>
      <c r="H211" s="6" t="s">
        <v>2611</v>
      </c>
      <c r="I211" s="6" t="s">
        <v>2612</v>
      </c>
      <c r="J211" s="6" t="s">
        <v>420</v>
      </c>
      <c r="K211" s="6" t="s">
        <v>56</v>
      </c>
      <c r="L211" s="5">
        <v>614495000</v>
      </c>
      <c r="M211" s="6" t="s">
        <v>52</v>
      </c>
      <c r="N211" s="6" t="s">
        <v>1770</v>
      </c>
      <c r="O211" s="6" t="s">
        <v>45</v>
      </c>
      <c r="P211" s="17">
        <v>43738</v>
      </c>
      <c r="Q211" s="5">
        <f>VLOOKUP(G211,'CBs RAW'!$E$2:$P$427,12)</f>
        <v>1</v>
      </c>
      <c r="R211" s="17">
        <v>44834</v>
      </c>
      <c r="S211" s="6" t="s">
        <v>173</v>
      </c>
      <c r="T211" s="6" t="s">
        <v>117</v>
      </c>
      <c r="U211" s="6" t="s">
        <v>115</v>
      </c>
      <c r="V211" s="6" t="s">
        <v>1547</v>
      </c>
      <c r="W211" s="6" t="s">
        <v>2613</v>
      </c>
      <c r="X211" s="18">
        <f>VLOOKUP(G211,'CBs RAW'!$E$2:$W$427,19)</f>
        <v>0.86799999999999999</v>
      </c>
      <c r="Y211" s="19">
        <f t="shared" si="0"/>
        <v>0.86799999999999999</v>
      </c>
      <c r="Z211" s="2" t="str">
        <f t="shared" si="1"/>
        <v>Henkel AG &amp; Co KGaACALLABLEFIXEDGBPSr Unsecured</v>
      </c>
    </row>
    <row r="212" spans="1:26" x14ac:dyDescent="0.2">
      <c r="A212" s="6">
        <v>211</v>
      </c>
      <c r="B212" s="6" t="s">
        <v>1132</v>
      </c>
      <c r="C212" s="6" t="s">
        <v>1135</v>
      </c>
      <c r="D212" s="6" t="s">
        <v>57</v>
      </c>
      <c r="E212" s="6" t="str">
        <f>VLOOKUP(G212,'CBs RAW'!$E$2:$H$427,4)</f>
        <v>#N/A N/A</v>
      </c>
      <c r="F212" s="6" t="s">
        <v>45</v>
      </c>
      <c r="G212" s="6" t="s">
        <v>2614</v>
      </c>
      <c r="H212" s="6" t="s">
        <v>2615</v>
      </c>
      <c r="I212" s="6" t="s">
        <v>2616</v>
      </c>
      <c r="J212" s="6" t="s">
        <v>420</v>
      </c>
      <c r="K212" s="6" t="s">
        <v>56</v>
      </c>
      <c r="L212" s="5">
        <v>430146500</v>
      </c>
      <c r="M212" s="6" t="s">
        <v>52</v>
      </c>
      <c r="N212" s="6" t="s">
        <v>1770</v>
      </c>
      <c r="O212" s="6" t="s">
        <v>45</v>
      </c>
      <c r="P212" s="17">
        <v>43738</v>
      </c>
      <c r="Q212" s="5">
        <f>VLOOKUP(G212,'CBs RAW'!$E$2:$P$427,12)</f>
        <v>1.25</v>
      </c>
      <c r="R212" s="17">
        <v>46295</v>
      </c>
      <c r="S212" s="6" t="s">
        <v>173</v>
      </c>
      <c r="T212" s="6" t="s">
        <v>117</v>
      </c>
      <c r="U212" s="6" t="s">
        <v>115</v>
      </c>
      <c r="V212" s="6" t="s">
        <v>1547</v>
      </c>
      <c r="W212" s="6" t="s">
        <v>2617</v>
      </c>
      <c r="X212" s="18">
        <f>VLOOKUP(G212,'CBs RAW'!$E$2:$W$427,19)</f>
        <v>1.147</v>
      </c>
      <c r="Y212" s="19">
        <f t="shared" si="0"/>
        <v>1.147</v>
      </c>
      <c r="Z212" s="2" t="str">
        <f t="shared" si="1"/>
        <v>Henkel AG &amp; Co KGaACALLABLEFIXEDGBPSr Unsecured</v>
      </c>
    </row>
    <row r="213" spans="1:26" x14ac:dyDescent="0.2">
      <c r="A213" s="6">
        <v>212</v>
      </c>
      <c r="B213" s="6" t="s">
        <v>979</v>
      </c>
      <c r="C213" s="6" t="s">
        <v>982</v>
      </c>
      <c r="D213" s="6" t="s">
        <v>57</v>
      </c>
      <c r="E213" s="6" t="str">
        <f>VLOOKUP(G213,'CBs RAW'!$E$2:$H$427,4)</f>
        <v>#N/A N/A</v>
      </c>
      <c r="F213" s="6" t="s">
        <v>199</v>
      </c>
      <c r="G213" s="6" t="s">
        <v>2618</v>
      </c>
      <c r="H213" s="6" t="s">
        <v>2619</v>
      </c>
      <c r="I213" s="6" t="s">
        <v>2620</v>
      </c>
      <c r="J213" s="6" t="s">
        <v>55</v>
      </c>
      <c r="K213" s="6" t="s">
        <v>56</v>
      </c>
      <c r="L213" s="5">
        <v>607315000</v>
      </c>
      <c r="M213" s="6" t="s">
        <v>52</v>
      </c>
      <c r="N213" s="6" t="s">
        <v>1770</v>
      </c>
      <c r="O213" s="6" t="s">
        <v>199</v>
      </c>
      <c r="P213" s="17">
        <v>44168</v>
      </c>
      <c r="Q213" s="5">
        <f>VLOOKUP(G213,'CBs RAW'!$E$2:$P$427,12)</f>
        <v>0.25</v>
      </c>
      <c r="R213" s="17">
        <v>47820</v>
      </c>
      <c r="S213" s="6" t="s">
        <v>225</v>
      </c>
      <c r="T213" s="6" t="s">
        <v>174</v>
      </c>
      <c r="U213" s="6" t="s">
        <v>115</v>
      </c>
      <c r="V213" s="6" t="s">
        <v>53</v>
      </c>
      <c r="W213" s="6" t="s">
        <v>2621</v>
      </c>
      <c r="X213" s="18">
        <f>VLOOKUP(G213,'CBs RAW'!$E$2:$W$427,19)</f>
        <v>0.27200000000000002</v>
      </c>
      <c r="Y213" s="19">
        <f t="shared" si="0"/>
        <v>0.27200000000000002</v>
      </c>
      <c r="Z213" s="2" t="str">
        <f t="shared" si="1"/>
        <v>Hera SpACALLABLEFIXEDEURSr Unsecured</v>
      </c>
    </row>
    <row r="214" spans="1:26" x14ac:dyDescent="0.2">
      <c r="A214" s="6">
        <v>213</v>
      </c>
      <c r="B214" s="6" t="s">
        <v>979</v>
      </c>
      <c r="C214" s="6" t="s">
        <v>982</v>
      </c>
      <c r="D214" s="6" t="s">
        <v>57</v>
      </c>
      <c r="E214" s="6" t="str">
        <f>VLOOKUP(G214,'CBs RAW'!$E$2:$H$427,4)</f>
        <v>#N/A N/A</v>
      </c>
      <c r="F214" s="6" t="s">
        <v>199</v>
      </c>
      <c r="G214" s="6" t="s">
        <v>2622</v>
      </c>
      <c r="H214" s="6" t="s">
        <v>2623</v>
      </c>
      <c r="I214" s="6" t="s">
        <v>2624</v>
      </c>
      <c r="J214" s="6" t="s">
        <v>55</v>
      </c>
      <c r="K214" s="6" t="s">
        <v>56</v>
      </c>
      <c r="L214" s="5">
        <v>87494920</v>
      </c>
      <c r="M214" s="6" t="s">
        <v>52</v>
      </c>
      <c r="N214" s="6" t="s">
        <v>1775</v>
      </c>
      <c r="O214" s="6" t="s">
        <v>199</v>
      </c>
      <c r="P214" s="17">
        <v>41416</v>
      </c>
      <c r="Q214" s="5">
        <f>VLOOKUP(G214,'CBs RAW'!$E$2:$P$427,12)</f>
        <v>3.375</v>
      </c>
      <c r="R214" s="17">
        <v>45068</v>
      </c>
      <c r="S214" s="6" t="s">
        <v>225</v>
      </c>
      <c r="T214" s="6" t="s">
        <v>174</v>
      </c>
      <c r="U214" s="6" t="s">
        <v>49</v>
      </c>
      <c r="V214" s="6" t="s">
        <v>53</v>
      </c>
      <c r="W214" s="6" t="s">
        <v>2625</v>
      </c>
      <c r="X214" s="18">
        <f>VLOOKUP(G214,'CBs RAW'!$E$2:$W$427,19)</f>
        <v>3.1190000000000002</v>
      </c>
      <c r="Y214" s="19">
        <f t="shared" si="0"/>
        <v>3.1190000000000002</v>
      </c>
      <c r="Z214" s="2" t="str">
        <f t="shared" si="1"/>
        <v>Hera SpAAT MATURITYFIXEDEURSr Unsecured</v>
      </c>
    </row>
    <row r="215" spans="1:26" x14ac:dyDescent="0.2">
      <c r="A215" s="6">
        <v>214</v>
      </c>
      <c r="B215" s="6" t="s">
        <v>979</v>
      </c>
      <c r="C215" s="6" t="s">
        <v>982</v>
      </c>
      <c r="D215" s="6" t="s">
        <v>57</v>
      </c>
      <c r="E215" s="6" t="str">
        <f>VLOOKUP(G215,'CBs RAW'!$E$2:$H$427,4)</f>
        <v>#N/A N/A</v>
      </c>
      <c r="F215" s="6" t="s">
        <v>199</v>
      </c>
      <c r="G215" s="6" t="s">
        <v>2626</v>
      </c>
      <c r="H215" s="6" t="s">
        <v>2627</v>
      </c>
      <c r="I215" s="6" t="s">
        <v>2628</v>
      </c>
      <c r="J215" s="6" t="s">
        <v>55</v>
      </c>
      <c r="K215" s="6" t="s">
        <v>56</v>
      </c>
      <c r="L215" s="5">
        <v>41174080</v>
      </c>
      <c r="M215" s="6" t="s">
        <v>52</v>
      </c>
      <c r="N215" s="6" t="s">
        <v>1775</v>
      </c>
      <c r="O215" s="6" t="s">
        <v>199</v>
      </c>
      <c r="P215" s="17">
        <v>41416</v>
      </c>
      <c r="Q215" s="5">
        <f>VLOOKUP(G215,'CBs RAW'!$E$2:$P$427,12)</f>
        <v>3.5</v>
      </c>
      <c r="R215" s="17">
        <v>45799</v>
      </c>
      <c r="S215" s="6" t="s">
        <v>225</v>
      </c>
      <c r="T215" s="6" t="s">
        <v>174</v>
      </c>
      <c r="U215" s="6" t="s">
        <v>49</v>
      </c>
      <c r="V215" s="6" t="s">
        <v>53</v>
      </c>
      <c r="W215" s="6" t="s">
        <v>2629</v>
      </c>
      <c r="X215" s="18" t="str">
        <f>VLOOKUP(G215,'CBs RAW'!$E$2:$W$427,19)</f>
        <v>#N/A N/A</v>
      </c>
      <c r="Y215" s="2" t="str">
        <f t="shared" si="0"/>
        <v>#N/A N/A</v>
      </c>
      <c r="Z215" s="2" t="str">
        <f t="shared" si="1"/>
        <v>Hera SpAAT MATURITYFIXEDEURSr Unsecured</v>
      </c>
    </row>
    <row r="216" spans="1:26" x14ac:dyDescent="0.2">
      <c r="A216" s="6">
        <v>215</v>
      </c>
      <c r="B216" s="6" t="s">
        <v>979</v>
      </c>
      <c r="C216" s="6" t="s">
        <v>982</v>
      </c>
      <c r="D216" s="6" t="s">
        <v>57</v>
      </c>
      <c r="E216" s="6" t="str">
        <f>VLOOKUP(G216,'CBs RAW'!$E$2:$H$427,4)</f>
        <v>#N/A N/A</v>
      </c>
      <c r="F216" s="6" t="s">
        <v>199</v>
      </c>
      <c r="G216" s="6" t="s">
        <v>2630</v>
      </c>
      <c r="H216" s="6" t="s">
        <v>2631</v>
      </c>
      <c r="I216" s="6" t="s">
        <v>2632</v>
      </c>
      <c r="J216" s="6" t="s">
        <v>55</v>
      </c>
      <c r="K216" s="6" t="s">
        <v>56</v>
      </c>
      <c r="L216" s="5">
        <v>439808000</v>
      </c>
      <c r="M216" s="6" t="s">
        <v>52</v>
      </c>
      <c r="N216" s="6" t="s">
        <v>1775</v>
      </c>
      <c r="O216" s="6" t="s">
        <v>199</v>
      </c>
      <c r="P216" s="17">
        <v>42657</v>
      </c>
      <c r="Q216" s="5">
        <f>VLOOKUP(G216,'CBs RAW'!$E$2:$P$427,12)</f>
        <v>0.875</v>
      </c>
      <c r="R216" s="17">
        <v>46309</v>
      </c>
      <c r="S216" s="6" t="s">
        <v>225</v>
      </c>
      <c r="T216" s="6" t="s">
        <v>174</v>
      </c>
      <c r="U216" s="6" t="s">
        <v>49</v>
      </c>
      <c r="V216" s="6" t="s">
        <v>53</v>
      </c>
      <c r="W216" s="6" t="s">
        <v>2633</v>
      </c>
      <c r="X216" s="18">
        <f>VLOOKUP(G216,'CBs RAW'!$E$2:$W$427,19)</f>
        <v>0.998</v>
      </c>
      <c r="Y216" s="19">
        <f t="shared" si="0"/>
        <v>0.998</v>
      </c>
      <c r="Z216" s="2" t="str">
        <f t="shared" si="1"/>
        <v>Hera SpAAT MATURITYFIXEDEURSr Unsecured</v>
      </c>
    </row>
    <row r="217" spans="1:26" x14ac:dyDescent="0.2">
      <c r="A217" s="6">
        <v>216</v>
      </c>
      <c r="B217" s="6" t="s">
        <v>165</v>
      </c>
      <c r="C217" s="6" t="s">
        <v>168</v>
      </c>
      <c r="D217" s="6" t="s">
        <v>57</v>
      </c>
      <c r="E217" s="6" t="str">
        <f>VLOOKUP(G217,'CBs RAW'!$E$2:$H$427,4)</f>
        <v>#N/A N/A</v>
      </c>
      <c r="F217" s="6" t="s">
        <v>170</v>
      </c>
      <c r="G217" s="6" t="s">
        <v>2634</v>
      </c>
      <c r="H217" s="6" t="s">
        <v>2635</v>
      </c>
      <c r="I217" s="6" t="s">
        <v>2636</v>
      </c>
      <c r="J217" s="6" t="s">
        <v>55</v>
      </c>
      <c r="K217" s="6" t="s">
        <v>56</v>
      </c>
      <c r="L217" s="5">
        <v>901207500</v>
      </c>
      <c r="M217" s="6" t="s">
        <v>52</v>
      </c>
      <c r="N217" s="6" t="s">
        <v>1770</v>
      </c>
      <c r="O217" s="6" t="s">
        <v>169</v>
      </c>
      <c r="P217" s="17">
        <v>42976</v>
      </c>
      <c r="Q217" s="5">
        <f>VLOOKUP(G217,'CBs RAW'!$E$2:$P$427,12)</f>
        <v>1.75</v>
      </c>
      <c r="R217" s="17">
        <v>47359</v>
      </c>
      <c r="S217" s="6" t="s">
        <v>225</v>
      </c>
      <c r="T217" s="6" t="s">
        <v>174</v>
      </c>
      <c r="U217" s="6" t="s">
        <v>115</v>
      </c>
      <c r="V217" s="6" t="s">
        <v>53</v>
      </c>
      <c r="W217" s="6" t="s">
        <v>2637</v>
      </c>
      <c r="X217" s="18">
        <f>VLOOKUP(G217,'CBs RAW'!$E$2:$W$427,19)</f>
        <v>1.7869999999999999</v>
      </c>
      <c r="Y217" s="19">
        <f t="shared" si="0"/>
        <v>1.7869999999999999</v>
      </c>
      <c r="Z217" s="2" t="str">
        <f t="shared" si="1"/>
        <v>Holcim Finance Luxembourg SACALLABLEFIXEDEURSr Unsecured</v>
      </c>
    </row>
    <row r="218" spans="1:26" x14ac:dyDescent="0.2">
      <c r="A218" s="6">
        <v>217</v>
      </c>
      <c r="B218" s="6" t="s">
        <v>165</v>
      </c>
      <c r="C218" s="6" t="s">
        <v>168</v>
      </c>
      <c r="D218" s="6" t="s">
        <v>57</v>
      </c>
      <c r="E218" s="6" t="str">
        <f>VLOOKUP(G218,'CBs RAW'!$E$2:$H$427,4)</f>
        <v>#N/A N/A</v>
      </c>
      <c r="F218" s="6" t="s">
        <v>170</v>
      </c>
      <c r="G218" s="6" t="s">
        <v>2638</v>
      </c>
      <c r="H218" s="6" t="s">
        <v>2639</v>
      </c>
      <c r="I218" s="6" t="s">
        <v>2640</v>
      </c>
      <c r="J218" s="6" t="s">
        <v>55</v>
      </c>
      <c r="K218" s="6" t="s">
        <v>56</v>
      </c>
      <c r="L218" s="5">
        <v>546800000</v>
      </c>
      <c r="M218" s="6" t="s">
        <v>52</v>
      </c>
      <c r="N218" s="6" t="s">
        <v>1770</v>
      </c>
      <c r="O218" s="6" t="s">
        <v>169</v>
      </c>
      <c r="P218" s="17">
        <v>43930</v>
      </c>
      <c r="Q218" s="5">
        <f>VLOOKUP(G218,'CBs RAW'!$E$2:$P$427,12)</f>
        <v>2.375</v>
      </c>
      <c r="R218" s="17">
        <v>45756</v>
      </c>
      <c r="S218" s="6" t="s">
        <v>225</v>
      </c>
      <c r="T218" s="6" t="s">
        <v>174</v>
      </c>
      <c r="U218" s="6" t="s">
        <v>115</v>
      </c>
      <c r="V218" s="6" t="s">
        <v>53</v>
      </c>
      <c r="W218" s="6" t="s">
        <v>2641</v>
      </c>
      <c r="X218" s="18">
        <f>VLOOKUP(G218,'CBs RAW'!$E$2:$W$427,19)</f>
        <v>2.0419999999999998</v>
      </c>
      <c r="Y218" s="19">
        <f t="shared" si="0"/>
        <v>2.0419999999999998</v>
      </c>
      <c r="Z218" s="2" t="str">
        <f t="shared" si="1"/>
        <v>Holcim Finance Luxembourg SACALLABLEFIXEDEURSr Unsecured</v>
      </c>
    </row>
    <row r="219" spans="1:26" x14ac:dyDescent="0.2">
      <c r="A219" s="6">
        <v>218</v>
      </c>
      <c r="B219" s="6" t="s">
        <v>165</v>
      </c>
      <c r="C219" s="6" t="s">
        <v>168</v>
      </c>
      <c r="D219" s="6" t="s">
        <v>57</v>
      </c>
      <c r="E219" s="6" t="str">
        <f>VLOOKUP(G219,'CBs RAW'!$E$2:$H$427,4)</f>
        <v>#N/A N/A</v>
      </c>
      <c r="F219" s="6" t="s">
        <v>170</v>
      </c>
      <c r="G219" s="6" t="s">
        <v>2642</v>
      </c>
      <c r="H219" s="6" t="s">
        <v>2643</v>
      </c>
      <c r="I219" s="6" t="s">
        <v>2644</v>
      </c>
      <c r="J219" s="6" t="s">
        <v>55</v>
      </c>
      <c r="K219" s="6" t="s">
        <v>56</v>
      </c>
      <c r="L219" s="5">
        <v>606065000</v>
      </c>
      <c r="M219" s="6" t="s">
        <v>52</v>
      </c>
      <c r="N219" s="6" t="s">
        <v>1770</v>
      </c>
      <c r="O219" s="6" t="s">
        <v>169</v>
      </c>
      <c r="P219" s="17">
        <v>44215</v>
      </c>
      <c r="Q219" s="5">
        <f>VLOOKUP(G219,'CBs RAW'!$E$2:$P$427,12)</f>
        <v>0.125</v>
      </c>
      <c r="R219" s="17">
        <v>46587</v>
      </c>
      <c r="S219" s="6" t="s">
        <v>225</v>
      </c>
      <c r="T219" s="6" t="s">
        <v>174</v>
      </c>
      <c r="U219" s="6" t="s">
        <v>115</v>
      </c>
      <c r="V219" s="6" t="s">
        <v>53</v>
      </c>
      <c r="W219" s="6" t="s">
        <v>2645</v>
      </c>
      <c r="X219" s="18">
        <f>VLOOKUP(G219,'CBs RAW'!$E$2:$W$427,19)</f>
        <v>0.14499999999999999</v>
      </c>
      <c r="Y219" s="19">
        <f t="shared" si="0"/>
        <v>0.14499999999999999</v>
      </c>
      <c r="Z219" s="2" t="str">
        <f t="shared" si="1"/>
        <v>Holcim Finance Luxembourg SACALLABLEFIXEDEURSr Unsecured</v>
      </c>
    </row>
    <row r="220" spans="1:26" x14ac:dyDescent="0.2">
      <c r="A220" s="6">
        <v>219</v>
      </c>
      <c r="B220" s="6" t="s">
        <v>165</v>
      </c>
      <c r="C220" s="6" t="s">
        <v>168</v>
      </c>
      <c r="D220" s="6" t="s">
        <v>57</v>
      </c>
      <c r="E220" s="6" t="str">
        <f>VLOOKUP(G220,'CBs RAW'!$E$2:$H$427,4)</f>
        <v>#N/A N/A</v>
      </c>
      <c r="F220" s="6" t="s">
        <v>170</v>
      </c>
      <c r="G220" s="6" t="s">
        <v>2646</v>
      </c>
      <c r="H220" s="6" t="s">
        <v>2647</v>
      </c>
      <c r="I220" s="6" t="s">
        <v>2648</v>
      </c>
      <c r="J220" s="6" t="s">
        <v>55</v>
      </c>
      <c r="K220" s="6" t="s">
        <v>56</v>
      </c>
      <c r="L220" s="5">
        <v>787884500</v>
      </c>
      <c r="M220" s="6" t="s">
        <v>52</v>
      </c>
      <c r="N220" s="6" t="s">
        <v>1770</v>
      </c>
      <c r="O220" s="6" t="s">
        <v>169</v>
      </c>
      <c r="P220" s="17">
        <v>44215</v>
      </c>
      <c r="Q220" s="5">
        <f>VLOOKUP(G220,'CBs RAW'!$E$2:$P$427,12)</f>
        <v>0.625</v>
      </c>
      <c r="R220" s="17">
        <v>48598</v>
      </c>
      <c r="S220" s="6" t="s">
        <v>225</v>
      </c>
      <c r="T220" s="6" t="s">
        <v>174</v>
      </c>
      <c r="U220" s="6" t="s">
        <v>115</v>
      </c>
      <c r="V220" s="6" t="s">
        <v>53</v>
      </c>
      <c r="W220" s="6" t="s">
        <v>2649</v>
      </c>
      <c r="X220" s="18">
        <f>VLOOKUP(G220,'CBs RAW'!$E$2:$W$427,19)</f>
        <v>0.58099999999999996</v>
      </c>
      <c r="Y220" s="19">
        <f t="shared" si="0"/>
        <v>0.58099999999999996</v>
      </c>
      <c r="Z220" s="2" t="str">
        <f t="shared" si="1"/>
        <v>Holcim Finance Luxembourg SACALLABLEFIXEDEURSr Unsecured</v>
      </c>
    </row>
    <row r="221" spans="1:26" x14ac:dyDescent="0.2">
      <c r="A221" s="6">
        <v>220</v>
      </c>
      <c r="B221" s="6" t="s">
        <v>165</v>
      </c>
      <c r="C221" s="6" t="s">
        <v>168</v>
      </c>
      <c r="D221" s="6" t="s">
        <v>57</v>
      </c>
      <c r="E221" s="6" t="str">
        <f>VLOOKUP(G221,'CBs RAW'!$E$2:$H$427,4)</f>
        <v>#N/A N/A</v>
      </c>
      <c r="F221" s="6" t="s">
        <v>170</v>
      </c>
      <c r="G221" s="6" t="s">
        <v>2650</v>
      </c>
      <c r="H221" s="6" t="s">
        <v>2651</v>
      </c>
      <c r="I221" s="6" t="s">
        <v>2652</v>
      </c>
      <c r="J221" s="6" t="s">
        <v>55</v>
      </c>
      <c r="K221" s="6" t="s">
        <v>56</v>
      </c>
      <c r="L221" s="5">
        <v>592785000</v>
      </c>
      <c r="M221" s="6" t="s">
        <v>52</v>
      </c>
      <c r="N221" s="6" t="s">
        <v>1770</v>
      </c>
      <c r="O221" s="6" t="s">
        <v>169</v>
      </c>
      <c r="P221" s="17">
        <v>44292</v>
      </c>
      <c r="Q221" s="5">
        <f>VLOOKUP(G221,'CBs RAW'!$E$2:$P$427,12)</f>
        <v>0.625</v>
      </c>
      <c r="R221" s="17">
        <v>47579</v>
      </c>
      <c r="S221" s="6" t="s">
        <v>225</v>
      </c>
      <c r="T221" s="6" t="s">
        <v>174</v>
      </c>
      <c r="U221" s="6" t="s">
        <v>115</v>
      </c>
      <c r="V221" s="6" t="s">
        <v>53</v>
      </c>
      <c r="W221" s="6" t="s">
        <v>2653</v>
      </c>
      <c r="X221" s="18">
        <f>VLOOKUP(G221,'CBs RAW'!$E$2:$W$427,19)</f>
        <v>0.61299999999999999</v>
      </c>
      <c r="Y221" s="19">
        <f t="shared" si="0"/>
        <v>0.61299999999999999</v>
      </c>
      <c r="Z221" s="2" t="str">
        <f t="shared" si="1"/>
        <v>Holcim Finance Luxembourg SACALLABLEFIXEDEURSr Unsecured</v>
      </c>
    </row>
    <row r="222" spans="1:26" x14ac:dyDescent="0.2">
      <c r="A222" s="6">
        <v>221</v>
      </c>
      <c r="B222" s="6" t="s">
        <v>165</v>
      </c>
      <c r="C222" s="6" t="s">
        <v>168</v>
      </c>
      <c r="D222" s="6" t="s">
        <v>57</v>
      </c>
      <c r="E222" s="6">
        <f>VLOOKUP(G222,'CBs RAW'!$E$2:$H$427,4)</f>
        <v>0.60399999999999998</v>
      </c>
      <c r="F222" s="6" t="s">
        <v>170</v>
      </c>
      <c r="G222" s="6" t="s">
        <v>2654</v>
      </c>
      <c r="H222" s="6" t="s">
        <v>2655</v>
      </c>
      <c r="I222" s="6" t="s">
        <v>2656</v>
      </c>
      <c r="J222" s="6" t="s">
        <v>55</v>
      </c>
      <c r="K222" s="6" t="s">
        <v>56</v>
      </c>
      <c r="L222" s="5">
        <v>1188960000</v>
      </c>
      <c r="M222" s="6" t="s">
        <v>52</v>
      </c>
      <c r="N222" s="6" t="s">
        <v>1770</v>
      </c>
      <c r="O222" s="6" t="s">
        <v>169</v>
      </c>
      <c r="P222" s="17">
        <v>44442</v>
      </c>
      <c r="Q222" s="5">
        <f>VLOOKUP(G222,'CBs RAW'!$E$2:$P$427,12)</f>
        <v>0.5</v>
      </c>
      <c r="R222" s="17">
        <v>47729</v>
      </c>
      <c r="S222" s="6" t="s">
        <v>225</v>
      </c>
      <c r="T222" s="6" t="s">
        <v>174</v>
      </c>
      <c r="U222" s="6" t="s">
        <v>115</v>
      </c>
      <c r="V222" s="6" t="s">
        <v>53</v>
      </c>
      <c r="W222" s="6" t="s">
        <v>2657</v>
      </c>
      <c r="X222" s="18">
        <f>VLOOKUP(G222,'CBs RAW'!$E$2:$W$427,19)</f>
        <v>0.60099999999999998</v>
      </c>
      <c r="Y222" s="19">
        <f t="shared" si="0"/>
        <v>0.60099999999999998</v>
      </c>
      <c r="Z222" s="2" t="str">
        <f t="shared" si="1"/>
        <v>Holcim Finance Luxembourg SACALLABLEFIXEDEURSr Unsecured</v>
      </c>
    </row>
    <row r="223" spans="1:26" x14ac:dyDescent="0.2">
      <c r="A223" s="6">
        <v>222</v>
      </c>
      <c r="B223" s="6" t="s">
        <v>165</v>
      </c>
      <c r="C223" s="6" t="s">
        <v>168</v>
      </c>
      <c r="D223" s="6" t="s">
        <v>57</v>
      </c>
      <c r="E223" s="6" t="str">
        <f>VLOOKUP(G223,'CBs RAW'!$E$2:$H$427,4)</f>
        <v>#N/A N/A</v>
      </c>
      <c r="F223" s="6" t="s">
        <v>170</v>
      </c>
      <c r="G223" s="6" t="s">
        <v>2658</v>
      </c>
      <c r="H223" s="6" t="s">
        <v>2659</v>
      </c>
      <c r="I223" s="6" t="s">
        <v>2660</v>
      </c>
      <c r="J223" s="6" t="s">
        <v>55</v>
      </c>
      <c r="K223" s="6" t="s">
        <v>56</v>
      </c>
      <c r="L223" s="5">
        <v>347044643</v>
      </c>
      <c r="M223" s="6" t="s">
        <v>52</v>
      </c>
      <c r="N223" s="6" t="s">
        <v>1770</v>
      </c>
      <c r="O223" s="6" t="s">
        <v>169</v>
      </c>
      <c r="P223" s="17">
        <v>44477</v>
      </c>
      <c r="Q223" s="5">
        <f>VLOOKUP(G223,'CBs RAW'!$E$2:$P$427,12)</f>
        <v>1.375</v>
      </c>
      <c r="R223" s="17">
        <v>49956</v>
      </c>
      <c r="S223" s="6" t="s">
        <v>225</v>
      </c>
      <c r="T223" s="6" t="s">
        <v>174</v>
      </c>
      <c r="U223" s="6" t="s">
        <v>49</v>
      </c>
      <c r="V223" s="6" t="s">
        <v>53</v>
      </c>
      <c r="W223" s="6" t="s">
        <v>2661</v>
      </c>
      <c r="X223" s="18">
        <f>VLOOKUP(G223,'CBs RAW'!$E$2:$W$427,19)</f>
        <v>1.1859999999999999</v>
      </c>
      <c r="Y223" s="19">
        <f t="shared" si="0"/>
        <v>1.1859999999999999</v>
      </c>
      <c r="Z223" s="2" t="str">
        <f t="shared" si="1"/>
        <v>Holcim Finance Luxembourg SAAT MATURITYFIXEDEURSr Unsecured</v>
      </c>
    </row>
    <row r="224" spans="1:26" x14ac:dyDescent="0.2">
      <c r="A224" s="6">
        <v>223</v>
      </c>
      <c r="B224" s="6" t="s">
        <v>165</v>
      </c>
      <c r="C224" s="6" t="s">
        <v>168</v>
      </c>
      <c r="D224" s="6" t="s">
        <v>57</v>
      </c>
      <c r="E224" s="6" t="str">
        <f>VLOOKUP(G224,'CBs RAW'!$E$2:$H$427,4)</f>
        <v>#N/A N/A</v>
      </c>
      <c r="F224" s="6" t="s">
        <v>170</v>
      </c>
      <c r="G224" s="6" t="s">
        <v>2662</v>
      </c>
      <c r="H224" s="6" t="s">
        <v>2663</v>
      </c>
      <c r="I224" s="6" t="s">
        <v>2664</v>
      </c>
      <c r="J224" s="6" t="s">
        <v>55</v>
      </c>
      <c r="K224" s="6" t="s">
        <v>56</v>
      </c>
      <c r="L224" s="5">
        <v>545410000</v>
      </c>
      <c r="M224" s="6" t="s">
        <v>52</v>
      </c>
      <c r="N224" s="6" t="s">
        <v>1770</v>
      </c>
      <c r="O224" s="6" t="s">
        <v>169</v>
      </c>
      <c r="P224" s="17">
        <v>44657</v>
      </c>
      <c r="Q224" s="5">
        <f>VLOOKUP(G224,'CBs RAW'!$E$2:$P$427,12)</f>
        <v>1.5</v>
      </c>
      <c r="R224" s="17">
        <v>45753</v>
      </c>
      <c r="S224" s="6" t="s">
        <v>173</v>
      </c>
      <c r="T224" s="6" t="s">
        <v>174</v>
      </c>
      <c r="U224" s="6" t="s">
        <v>49</v>
      </c>
      <c r="V224" s="6" t="s">
        <v>53</v>
      </c>
      <c r="W224" s="6" t="s">
        <v>2665</v>
      </c>
      <c r="X224" s="18" t="str">
        <f>VLOOKUP(G224,'CBs RAW'!$E$2:$W$427,19)</f>
        <v>#N/A N/A</v>
      </c>
      <c r="Y224" s="2" t="str">
        <f t="shared" si="0"/>
        <v>#N/A N/A</v>
      </c>
      <c r="Z224" s="2" t="str">
        <f t="shared" si="1"/>
        <v>Holcim Finance Luxembourg SAAT MATURITYFIXEDEURSr Unsecured</v>
      </c>
    </row>
    <row r="225" spans="1:26" x14ac:dyDescent="0.2">
      <c r="A225" s="6">
        <v>224</v>
      </c>
      <c r="B225" s="6" t="s">
        <v>165</v>
      </c>
      <c r="C225" s="6" t="s">
        <v>168</v>
      </c>
      <c r="D225" s="6" t="s">
        <v>57</v>
      </c>
      <c r="E225" s="6">
        <f>VLOOKUP(G225,'CBs RAW'!$E$2:$H$427,4)</f>
        <v>3.0680000000000001</v>
      </c>
      <c r="F225" s="6" t="s">
        <v>170</v>
      </c>
      <c r="G225" s="6" t="s">
        <v>2666</v>
      </c>
      <c r="H225" s="6" t="s">
        <v>2667</v>
      </c>
      <c r="I225" s="6" t="s">
        <v>2668</v>
      </c>
      <c r="J225" s="6" t="s">
        <v>55</v>
      </c>
      <c r="K225" s="6" t="s">
        <v>56</v>
      </c>
      <c r="L225" s="5">
        <v>677550000</v>
      </c>
      <c r="M225" s="6" t="s">
        <v>52</v>
      </c>
      <c r="N225" s="6" t="s">
        <v>1770</v>
      </c>
      <c r="O225" s="6" t="s">
        <v>169</v>
      </c>
      <c r="P225" s="17">
        <v>41661</v>
      </c>
      <c r="Q225" s="5">
        <f>VLOOKUP(G225,'CBs RAW'!$E$2:$P$427,12)</f>
        <v>3</v>
      </c>
      <c r="R225" s="17">
        <v>45313</v>
      </c>
      <c r="S225" s="6" t="s">
        <v>2134</v>
      </c>
      <c r="T225" s="6" t="s">
        <v>174</v>
      </c>
      <c r="U225" s="6" t="s">
        <v>49</v>
      </c>
      <c r="V225" s="6" t="s">
        <v>53</v>
      </c>
      <c r="W225" s="6" t="s">
        <v>2669</v>
      </c>
      <c r="X225" s="18">
        <f>VLOOKUP(G225,'CBs RAW'!$E$2:$W$427,19)</f>
        <v>2.9119999999999999</v>
      </c>
      <c r="Y225" s="19">
        <f t="shared" si="0"/>
        <v>2.9119999999999999</v>
      </c>
      <c r="Z225" s="2" t="str">
        <f t="shared" si="1"/>
        <v>Holcim Finance Luxembourg SAAT MATURITYFIXEDEURSr Unsecured</v>
      </c>
    </row>
    <row r="226" spans="1:26" x14ac:dyDescent="0.2">
      <c r="A226" s="6">
        <v>225</v>
      </c>
      <c r="B226" s="6" t="s">
        <v>165</v>
      </c>
      <c r="C226" s="6" t="s">
        <v>168</v>
      </c>
      <c r="D226" s="6" t="s">
        <v>57</v>
      </c>
      <c r="E226" s="6" t="str">
        <f>VLOOKUP(G226,'CBs RAW'!$E$2:$H$427,4)</f>
        <v>#N/A N/A</v>
      </c>
      <c r="F226" s="6" t="s">
        <v>170</v>
      </c>
      <c r="G226" s="6" t="s">
        <v>2670</v>
      </c>
      <c r="H226" s="6" t="s">
        <v>2671</v>
      </c>
      <c r="I226" s="6" t="s">
        <v>2672</v>
      </c>
      <c r="J226" s="6" t="s">
        <v>55</v>
      </c>
      <c r="K226" s="6" t="s">
        <v>56</v>
      </c>
      <c r="L226" s="5">
        <v>1285205500</v>
      </c>
      <c r="M226" s="6" t="s">
        <v>52</v>
      </c>
      <c r="N226" s="6" t="s">
        <v>1770</v>
      </c>
      <c r="O226" s="6" t="s">
        <v>169</v>
      </c>
      <c r="P226" s="17">
        <v>42516</v>
      </c>
      <c r="Q226" s="5">
        <f>VLOOKUP(G226,'CBs RAW'!$E$2:$P$427,12)</f>
        <v>1.375</v>
      </c>
      <c r="R226" s="17">
        <v>45072</v>
      </c>
      <c r="S226" s="6" t="s">
        <v>225</v>
      </c>
      <c r="T226" s="6" t="s">
        <v>174</v>
      </c>
      <c r="U226" s="6" t="s">
        <v>115</v>
      </c>
      <c r="V226" s="6" t="s">
        <v>53</v>
      </c>
      <c r="W226" s="6" t="s">
        <v>2673</v>
      </c>
      <c r="X226" s="18">
        <f>VLOOKUP(G226,'CBs RAW'!$E$2:$W$427,19)</f>
        <v>1.244</v>
      </c>
      <c r="Y226" s="19">
        <f t="shared" si="0"/>
        <v>1.244</v>
      </c>
      <c r="Z226" s="2" t="str">
        <f t="shared" si="1"/>
        <v>Holcim Finance Luxembourg SACALLABLEFIXEDEURSr Unsecured</v>
      </c>
    </row>
    <row r="227" spans="1:26" x14ac:dyDescent="0.2">
      <c r="A227" s="6">
        <v>226</v>
      </c>
      <c r="B227" s="6" t="s">
        <v>165</v>
      </c>
      <c r="C227" s="6" t="s">
        <v>168</v>
      </c>
      <c r="D227" s="6" t="s">
        <v>57</v>
      </c>
      <c r="E227" s="6" t="str">
        <f>VLOOKUP(G227,'CBs RAW'!$E$2:$H$427,4)</f>
        <v>#N/A N/A</v>
      </c>
      <c r="F227" s="6" t="s">
        <v>170</v>
      </c>
      <c r="G227" s="6" t="s">
        <v>2674</v>
      </c>
      <c r="H227" s="6" t="s">
        <v>2675</v>
      </c>
      <c r="I227" s="6" t="s">
        <v>2676</v>
      </c>
      <c r="J227" s="6" t="s">
        <v>55</v>
      </c>
      <c r="K227" s="6" t="s">
        <v>56</v>
      </c>
      <c r="L227" s="5">
        <v>1285205500</v>
      </c>
      <c r="M227" s="6" t="s">
        <v>52</v>
      </c>
      <c r="N227" s="6" t="s">
        <v>1770</v>
      </c>
      <c r="O227" s="6" t="s">
        <v>169</v>
      </c>
      <c r="P227" s="17">
        <v>42516</v>
      </c>
      <c r="Q227" s="5">
        <f>VLOOKUP(G227,'CBs RAW'!$E$2:$P$427,12)</f>
        <v>2.25</v>
      </c>
      <c r="R227" s="17">
        <v>46899</v>
      </c>
      <c r="S227" s="6" t="s">
        <v>225</v>
      </c>
      <c r="T227" s="6" t="s">
        <v>174</v>
      </c>
      <c r="U227" s="6" t="s">
        <v>115</v>
      </c>
      <c r="V227" s="6" t="s">
        <v>53</v>
      </c>
      <c r="W227" s="6" t="s">
        <v>2677</v>
      </c>
      <c r="X227" s="18">
        <f>VLOOKUP(G227,'CBs RAW'!$E$2:$W$427,19)</f>
        <v>2.0659999999999998</v>
      </c>
      <c r="Y227" s="19">
        <f t="shared" si="0"/>
        <v>2.0659999999999998</v>
      </c>
      <c r="Z227" s="2" t="str">
        <f t="shared" si="1"/>
        <v>Holcim Finance Luxembourg SACALLABLEFIXEDEURSr Unsecured</v>
      </c>
    </row>
    <row r="228" spans="1:26" x14ac:dyDescent="0.2">
      <c r="A228" s="6">
        <v>227</v>
      </c>
      <c r="B228" s="6" t="s">
        <v>165</v>
      </c>
      <c r="C228" s="6" t="s">
        <v>168</v>
      </c>
      <c r="D228" s="6" t="s">
        <v>57</v>
      </c>
      <c r="E228" s="6" t="str">
        <f>VLOOKUP(G228,'CBs RAW'!$E$2:$H$427,4)</f>
        <v>#N/A N/A</v>
      </c>
      <c r="F228" s="6" t="s">
        <v>170</v>
      </c>
      <c r="G228" s="6" t="s">
        <v>2678</v>
      </c>
      <c r="H228" s="6" t="s">
        <v>2679</v>
      </c>
      <c r="I228" s="6" t="s">
        <v>2680</v>
      </c>
      <c r="J228" s="6" t="s">
        <v>55</v>
      </c>
      <c r="K228" s="6" t="s">
        <v>56</v>
      </c>
      <c r="L228" s="5">
        <v>550810000</v>
      </c>
      <c r="M228" s="6" t="s">
        <v>52</v>
      </c>
      <c r="N228" s="6" t="s">
        <v>1770</v>
      </c>
      <c r="O228" s="6" t="s">
        <v>169</v>
      </c>
      <c r="P228" s="17">
        <v>43798</v>
      </c>
      <c r="Q228" s="5">
        <f>VLOOKUP(G228,'CBs RAW'!$E$2:$P$427,12)</f>
        <v>0.5</v>
      </c>
      <c r="R228" s="17">
        <v>46355</v>
      </c>
      <c r="S228" s="6" t="s">
        <v>225</v>
      </c>
      <c r="T228" s="6" t="s">
        <v>174</v>
      </c>
      <c r="U228" s="6" t="s">
        <v>115</v>
      </c>
      <c r="V228" s="6" t="s">
        <v>53</v>
      </c>
      <c r="W228" s="6" t="s">
        <v>2681</v>
      </c>
      <c r="X228" s="18">
        <f>VLOOKUP(G228,'CBs RAW'!$E$2:$W$427,19)</f>
        <v>0.59699999999999998</v>
      </c>
      <c r="Y228" s="19">
        <f t="shared" si="0"/>
        <v>0.59699999999999998</v>
      </c>
      <c r="Z228" s="2" t="str">
        <f t="shared" si="1"/>
        <v>Holcim Finance Luxembourg SACALLABLEFIXEDEURSr Unsecured</v>
      </c>
    </row>
    <row r="229" spans="1:26" x14ac:dyDescent="0.2">
      <c r="A229" s="6">
        <v>228</v>
      </c>
      <c r="B229" s="6" t="s">
        <v>832</v>
      </c>
      <c r="C229" s="6" t="s">
        <v>168</v>
      </c>
      <c r="D229" s="6" t="s">
        <v>57</v>
      </c>
      <c r="E229" s="6" t="str">
        <f>VLOOKUP(G229,'CBs RAW'!$E$2:$H$427,4)</f>
        <v>#N/A N/A</v>
      </c>
      <c r="F229" s="6" t="s">
        <v>170</v>
      </c>
      <c r="G229" s="6" t="s">
        <v>2682</v>
      </c>
      <c r="H229" s="6" t="s">
        <v>2683</v>
      </c>
      <c r="I229" s="6" t="s">
        <v>2684</v>
      </c>
      <c r="J229" s="6" t="s">
        <v>55</v>
      </c>
      <c r="K229" s="6" t="s">
        <v>56</v>
      </c>
      <c r="L229" s="5">
        <v>50000000</v>
      </c>
      <c r="M229" s="6" t="s">
        <v>52</v>
      </c>
      <c r="N229" s="6" t="s">
        <v>1770</v>
      </c>
      <c r="O229" s="6" t="s">
        <v>169</v>
      </c>
      <c r="P229" s="17">
        <v>41428</v>
      </c>
      <c r="Q229" s="5">
        <f>VLOOKUP(G229,'CBs RAW'!$E$2:$P$427,12)</f>
        <v>4.2</v>
      </c>
      <c r="R229" s="17">
        <v>48733</v>
      </c>
      <c r="S229" s="6" t="s">
        <v>225</v>
      </c>
      <c r="T229" s="6" t="s">
        <v>174</v>
      </c>
      <c r="U229" s="6" t="s">
        <v>49</v>
      </c>
      <c r="V229" s="6" t="s">
        <v>262</v>
      </c>
      <c r="W229" s="6" t="s">
        <v>2685</v>
      </c>
      <c r="X229" s="18">
        <f>VLOOKUP(G229,'CBs RAW'!$E$2:$W$427,19)</f>
        <v>5.9210000000000003</v>
      </c>
      <c r="Y229" s="19">
        <f t="shared" si="0"/>
        <v>5.9210000000000003</v>
      </c>
      <c r="Z229" s="2" t="str">
        <f t="shared" si="1"/>
        <v>Holcim US Finance Sarl &amp; Cie SCSAT MATURITYFIXEDUSDSr Unsecured</v>
      </c>
    </row>
    <row r="230" spans="1:26" x14ac:dyDescent="0.2">
      <c r="A230" s="6">
        <v>229</v>
      </c>
      <c r="B230" s="6" t="s">
        <v>566</v>
      </c>
      <c r="C230" s="6" t="s">
        <v>569</v>
      </c>
      <c r="D230" s="6" t="s">
        <v>57</v>
      </c>
      <c r="E230" s="6" t="str">
        <f>VLOOKUP(G230,'CBs RAW'!$E$2:$H$427,4)</f>
        <v>#N/A N/A</v>
      </c>
      <c r="F230" s="6" t="s">
        <v>184</v>
      </c>
      <c r="G230" s="6" t="s">
        <v>2686</v>
      </c>
      <c r="H230" s="6" t="s">
        <v>2687</v>
      </c>
      <c r="I230" s="6" t="s">
        <v>2688</v>
      </c>
      <c r="J230" s="6" t="s">
        <v>55</v>
      </c>
      <c r="K230" s="6" t="s">
        <v>56</v>
      </c>
      <c r="L230" s="5">
        <v>641964000</v>
      </c>
      <c r="M230" s="6" t="s">
        <v>52</v>
      </c>
      <c r="N230" s="6" t="s">
        <v>173</v>
      </c>
      <c r="O230" s="6" t="s">
        <v>184</v>
      </c>
      <c r="P230" s="17">
        <v>42752</v>
      </c>
      <c r="Q230" s="5">
        <f>VLOOKUP(G230,'CBs RAW'!$E$2:$P$427,12)</f>
        <v>1.5</v>
      </c>
      <c r="R230" s="17">
        <v>46402</v>
      </c>
      <c r="S230" s="6" t="s">
        <v>225</v>
      </c>
      <c r="T230" s="6" t="s">
        <v>496</v>
      </c>
      <c r="U230" s="6" t="s">
        <v>115</v>
      </c>
      <c r="V230" s="6" t="s">
        <v>53</v>
      </c>
      <c r="W230" s="6" t="s">
        <v>2689</v>
      </c>
      <c r="X230" s="18">
        <f>VLOOKUP(G230,'CBs RAW'!$E$2:$W$427,19)</f>
        <v>1.6080000000000001</v>
      </c>
      <c r="Y230" s="19">
        <f t="shared" si="0"/>
        <v>1.6080000000000001</v>
      </c>
      <c r="Z230" s="2" t="str">
        <f t="shared" si="1"/>
        <v>Imerys SACALLABLEFIXEDEURSr Unsecured</v>
      </c>
    </row>
    <row r="231" spans="1:26" x14ac:dyDescent="0.2">
      <c r="A231" s="6">
        <v>230</v>
      </c>
      <c r="B231" s="6" t="s">
        <v>566</v>
      </c>
      <c r="C231" s="6" t="s">
        <v>569</v>
      </c>
      <c r="D231" s="6" t="s">
        <v>57</v>
      </c>
      <c r="E231" s="6">
        <f>VLOOKUP(G231,'CBs RAW'!$E$2:$H$427,4)</f>
        <v>2.1270000000000002</v>
      </c>
      <c r="F231" s="6" t="s">
        <v>184</v>
      </c>
      <c r="G231" s="6" t="s">
        <v>2690</v>
      </c>
      <c r="H231" s="6" t="s">
        <v>2691</v>
      </c>
      <c r="I231" s="6" t="s">
        <v>2692</v>
      </c>
      <c r="J231" s="6" t="s">
        <v>55</v>
      </c>
      <c r="K231" s="6" t="s">
        <v>56</v>
      </c>
      <c r="L231" s="5">
        <v>621400000</v>
      </c>
      <c r="M231" s="6" t="s">
        <v>52</v>
      </c>
      <c r="N231" s="6" t="s">
        <v>1770</v>
      </c>
      <c r="O231" s="6" t="s">
        <v>184</v>
      </c>
      <c r="P231" s="17">
        <v>41983</v>
      </c>
      <c r="Q231" s="5">
        <f>VLOOKUP(G231,'CBs RAW'!$E$2:$P$427,12)</f>
        <v>2</v>
      </c>
      <c r="R231" s="17">
        <v>45636</v>
      </c>
      <c r="S231" s="6" t="s">
        <v>225</v>
      </c>
      <c r="T231" s="6" t="s">
        <v>496</v>
      </c>
      <c r="U231" s="6" t="s">
        <v>115</v>
      </c>
      <c r="V231" s="6" t="s">
        <v>53</v>
      </c>
      <c r="W231" s="6" t="s">
        <v>2693</v>
      </c>
      <c r="X231" s="18">
        <f>VLOOKUP(G231,'CBs RAW'!$E$2:$W$427,19)</f>
        <v>1.855</v>
      </c>
      <c r="Y231" s="19">
        <f t="shared" si="0"/>
        <v>1.855</v>
      </c>
      <c r="Z231" s="2" t="str">
        <f t="shared" si="1"/>
        <v>Imerys SACALLABLEFIXEDEURSr Unsecured</v>
      </c>
    </row>
    <row r="232" spans="1:26" x14ac:dyDescent="0.2">
      <c r="A232" s="6">
        <v>231</v>
      </c>
      <c r="B232" s="6" t="s">
        <v>566</v>
      </c>
      <c r="C232" s="6" t="s">
        <v>569</v>
      </c>
      <c r="D232" s="6" t="s">
        <v>57</v>
      </c>
      <c r="E232" s="6" t="str">
        <f>VLOOKUP(G232,'CBs RAW'!$E$2:$H$427,4)</f>
        <v>#N/A N/A</v>
      </c>
      <c r="F232" s="6" t="s">
        <v>184</v>
      </c>
      <c r="G232" s="6" t="s">
        <v>2694</v>
      </c>
      <c r="H232" s="6" t="s">
        <v>2695</v>
      </c>
      <c r="I232" s="6" t="s">
        <v>2696</v>
      </c>
      <c r="J232" s="6" t="s">
        <v>55</v>
      </c>
      <c r="K232" s="6" t="s">
        <v>56</v>
      </c>
      <c r="L232" s="5">
        <v>341754000</v>
      </c>
      <c r="M232" s="6" t="s">
        <v>52</v>
      </c>
      <c r="N232" s="6" t="s">
        <v>173</v>
      </c>
      <c r="O232" s="6" t="s">
        <v>184</v>
      </c>
      <c r="P232" s="17">
        <v>42461</v>
      </c>
      <c r="Q232" s="5">
        <f>VLOOKUP(G232,'CBs RAW'!$E$2:$P$427,12)</f>
        <v>1.875</v>
      </c>
      <c r="R232" s="17">
        <v>46843</v>
      </c>
      <c r="S232" s="6" t="s">
        <v>225</v>
      </c>
      <c r="T232" s="6" t="s">
        <v>496</v>
      </c>
      <c r="U232" s="6" t="s">
        <v>115</v>
      </c>
      <c r="V232" s="6" t="s">
        <v>53</v>
      </c>
      <c r="W232" s="6" t="s">
        <v>2697</v>
      </c>
      <c r="X232" s="18">
        <f>VLOOKUP(G232,'CBs RAW'!$E$2:$W$427,19)</f>
        <v>1.7070000000000001</v>
      </c>
      <c r="Y232" s="19">
        <f t="shared" si="0"/>
        <v>1.7070000000000001</v>
      </c>
      <c r="Z232" s="2" t="str">
        <f t="shared" si="1"/>
        <v>Imerys SACALLABLEFIXEDEURSr Unsecured</v>
      </c>
    </row>
    <row r="233" spans="1:26" x14ac:dyDescent="0.2">
      <c r="A233" s="6">
        <v>232</v>
      </c>
      <c r="B233" s="6" t="s">
        <v>1625</v>
      </c>
      <c r="C233" s="6" t="s">
        <v>1628</v>
      </c>
      <c r="D233" s="6" t="s">
        <v>71</v>
      </c>
      <c r="E233" s="6" t="str">
        <f>VLOOKUP(G233,'CBs RAW'!$E$2:$H$427,4)</f>
        <v>#N/A N/A</v>
      </c>
      <c r="F233" s="6" t="s">
        <v>45</v>
      </c>
      <c r="G233" s="6" t="s">
        <v>2698</v>
      </c>
      <c r="H233" s="6" t="s">
        <v>173</v>
      </c>
      <c r="I233" s="6" t="s">
        <v>2699</v>
      </c>
      <c r="J233" s="6" t="s">
        <v>55</v>
      </c>
      <c r="K233" s="6" t="s">
        <v>70</v>
      </c>
      <c r="L233" s="5">
        <v>71193600</v>
      </c>
      <c r="M233" s="6" t="s">
        <v>52</v>
      </c>
      <c r="N233" s="6" t="s">
        <v>173</v>
      </c>
      <c r="O233" s="6" t="s">
        <v>45</v>
      </c>
      <c r="P233" s="17">
        <v>43235</v>
      </c>
      <c r="Q233" s="5">
        <f>VLOOKUP(G233,'CBs RAW'!$E$2:$P$427,12)</f>
        <v>0</v>
      </c>
      <c r="R233" s="17">
        <v>45061</v>
      </c>
      <c r="S233" s="6" t="s">
        <v>76</v>
      </c>
      <c r="T233" s="6" t="s">
        <v>54</v>
      </c>
      <c r="U233" s="6" t="s">
        <v>49</v>
      </c>
      <c r="V233" s="6" t="s">
        <v>53</v>
      </c>
      <c r="W233" s="6" t="s">
        <v>2700</v>
      </c>
      <c r="X233" s="18" t="str">
        <f>VLOOKUP(G233,'CBs RAW'!$E$2:$W$427,19)</f>
        <v>#N/A N/A</v>
      </c>
      <c r="Y233" s="2" t="str">
        <f t="shared" si="0"/>
        <v>#N/A N/A</v>
      </c>
      <c r="Z233" s="2" t="str">
        <f t="shared" si="1"/>
        <v>Indus Holding AGAT MATURITYFLOATINGEURSr Unsecured</v>
      </c>
    </row>
    <row r="234" spans="1:26" x14ac:dyDescent="0.2">
      <c r="A234" s="6">
        <v>233</v>
      </c>
      <c r="B234" s="6" t="s">
        <v>1625</v>
      </c>
      <c r="C234" s="6" t="s">
        <v>1628</v>
      </c>
      <c r="D234" s="6" t="s">
        <v>71</v>
      </c>
      <c r="E234" s="6" t="str">
        <f>VLOOKUP(G234,'CBs RAW'!$E$2:$H$427,4)</f>
        <v>#N/A N/A</v>
      </c>
      <c r="F234" s="6" t="s">
        <v>45</v>
      </c>
      <c r="G234" s="6" t="s">
        <v>2701</v>
      </c>
      <c r="H234" s="6" t="s">
        <v>173</v>
      </c>
      <c r="I234" s="6" t="s">
        <v>2702</v>
      </c>
      <c r="J234" s="6" t="s">
        <v>55</v>
      </c>
      <c r="K234" s="6" t="s">
        <v>70</v>
      </c>
      <c r="L234" s="5">
        <v>71193600</v>
      </c>
      <c r="M234" s="6" t="s">
        <v>52</v>
      </c>
      <c r="N234" s="6" t="s">
        <v>173</v>
      </c>
      <c r="O234" s="6" t="s">
        <v>45</v>
      </c>
      <c r="P234" s="17">
        <v>43235</v>
      </c>
      <c r="Q234" s="5">
        <f>VLOOKUP(G234,'CBs RAW'!$E$2:$P$427,12)</f>
        <v>0</v>
      </c>
      <c r="R234" s="17">
        <v>45792</v>
      </c>
      <c r="S234" s="6" t="s">
        <v>69</v>
      </c>
      <c r="T234" s="6" t="s">
        <v>54</v>
      </c>
      <c r="U234" s="6" t="s">
        <v>49</v>
      </c>
      <c r="V234" s="6" t="s">
        <v>53</v>
      </c>
      <c r="W234" s="6" t="s">
        <v>2703</v>
      </c>
      <c r="X234" s="18" t="str">
        <f>VLOOKUP(G234,'CBs RAW'!$E$2:$W$427,19)</f>
        <v>#N/A N/A</v>
      </c>
      <c r="Y234" s="2" t="str">
        <f t="shared" si="0"/>
        <v>#N/A N/A</v>
      </c>
      <c r="Z234" s="2" t="str">
        <f t="shared" si="1"/>
        <v>Indus Holding AGAT MATURITYFLOATINGEURSr Unsecured</v>
      </c>
    </row>
    <row r="235" spans="1:26" x14ac:dyDescent="0.2">
      <c r="A235" s="6">
        <v>234</v>
      </c>
      <c r="B235" s="6" t="s">
        <v>1625</v>
      </c>
      <c r="C235" s="6" t="s">
        <v>1628</v>
      </c>
      <c r="D235" s="6" t="s">
        <v>57</v>
      </c>
      <c r="E235" s="6" t="str">
        <f>VLOOKUP(G235,'CBs RAW'!$E$2:$H$427,4)</f>
        <v>#N/A N/A</v>
      </c>
      <c r="F235" s="6" t="s">
        <v>45</v>
      </c>
      <c r="G235" s="6" t="s">
        <v>2704</v>
      </c>
      <c r="H235" s="6" t="s">
        <v>173</v>
      </c>
      <c r="I235" s="6" t="s">
        <v>2705</v>
      </c>
      <c r="J235" s="6" t="s">
        <v>55</v>
      </c>
      <c r="K235" s="6" t="s">
        <v>56</v>
      </c>
      <c r="L235" s="5">
        <v>23437000</v>
      </c>
      <c r="M235" s="6" t="s">
        <v>52</v>
      </c>
      <c r="N235" s="6" t="s">
        <v>173</v>
      </c>
      <c r="O235" s="6" t="s">
        <v>45</v>
      </c>
      <c r="P235" s="17">
        <v>44285</v>
      </c>
      <c r="Q235" s="5">
        <f>VLOOKUP(G235,'CBs RAW'!$E$2:$P$427,12)</f>
        <v>0</v>
      </c>
      <c r="R235" s="17">
        <v>46842</v>
      </c>
      <c r="S235" s="6" t="s">
        <v>69</v>
      </c>
      <c r="T235" s="6" t="s">
        <v>54</v>
      </c>
      <c r="U235" s="6" t="s">
        <v>49</v>
      </c>
      <c r="V235" s="6" t="s">
        <v>53</v>
      </c>
      <c r="W235" s="6" t="s">
        <v>2706</v>
      </c>
      <c r="X235" s="18" t="str">
        <f>VLOOKUP(G235,'CBs RAW'!$E$2:$W$427,19)</f>
        <v>#N/A N/A</v>
      </c>
      <c r="Y235" s="2" t="str">
        <f t="shared" si="0"/>
        <v>#N/A N/A</v>
      </c>
      <c r="Z235" s="2" t="str">
        <f t="shared" si="1"/>
        <v>Indus Holding AGAT MATURITYFIXEDEURSr Unsecured</v>
      </c>
    </row>
    <row r="236" spans="1:26" x14ac:dyDescent="0.2">
      <c r="A236" s="6">
        <v>235</v>
      </c>
      <c r="B236" s="6" t="s">
        <v>1625</v>
      </c>
      <c r="C236" s="6" t="s">
        <v>1628</v>
      </c>
      <c r="D236" s="6" t="s">
        <v>71</v>
      </c>
      <c r="E236" s="6" t="str">
        <f>VLOOKUP(G236,'CBs RAW'!$E$2:$H$427,4)</f>
        <v>#N/A N/A</v>
      </c>
      <c r="F236" s="6" t="s">
        <v>45</v>
      </c>
      <c r="G236" s="6" t="s">
        <v>2707</v>
      </c>
      <c r="H236" s="6" t="s">
        <v>173</v>
      </c>
      <c r="I236" s="6" t="s">
        <v>2708</v>
      </c>
      <c r="J236" s="6" t="s">
        <v>55</v>
      </c>
      <c r="K236" s="6" t="s">
        <v>70</v>
      </c>
      <c r="L236" s="5">
        <v>64086400</v>
      </c>
      <c r="M236" s="6" t="s">
        <v>52</v>
      </c>
      <c r="N236" s="6" t="s">
        <v>173</v>
      </c>
      <c r="O236" s="6" t="s">
        <v>45</v>
      </c>
      <c r="P236" s="17">
        <v>44573</v>
      </c>
      <c r="Q236" s="5">
        <f>VLOOKUP(G236,'CBs RAW'!$E$2:$P$427,12)</f>
        <v>0</v>
      </c>
      <c r="R236" s="17">
        <v>48225</v>
      </c>
      <c r="S236" s="6" t="s">
        <v>51</v>
      </c>
      <c r="T236" s="6" t="s">
        <v>54</v>
      </c>
      <c r="U236" s="6" t="s">
        <v>49</v>
      </c>
      <c r="V236" s="6" t="s">
        <v>53</v>
      </c>
      <c r="W236" s="6" t="s">
        <v>2709</v>
      </c>
      <c r="X236" s="18" t="str">
        <f>VLOOKUP(G236,'CBs RAW'!$E$2:$W$427,19)</f>
        <v>#N/A N/A</v>
      </c>
      <c r="Y236" s="2" t="str">
        <f t="shared" si="0"/>
        <v>#N/A N/A</v>
      </c>
      <c r="Z236" s="2" t="str">
        <f t="shared" si="1"/>
        <v>Indus Holding AGAT MATURITYFLOATINGEURSr Unsecured</v>
      </c>
    </row>
    <row r="237" spans="1:26" x14ac:dyDescent="0.2">
      <c r="A237" s="6">
        <v>236</v>
      </c>
      <c r="B237" s="6" t="s">
        <v>1625</v>
      </c>
      <c r="C237" s="6" t="s">
        <v>1628</v>
      </c>
      <c r="D237" s="6" t="s">
        <v>71</v>
      </c>
      <c r="E237" s="6" t="str">
        <f>VLOOKUP(G237,'CBs RAW'!$E$2:$H$427,4)</f>
        <v>#N/A N/A</v>
      </c>
      <c r="F237" s="6" t="s">
        <v>45</v>
      </c>
      <c r="G237" s="6" t="s">
        <v>2710</v>
      </c>
      <c r="H237" s="6" t="s">
        <v>173</v>
      </c>
      <c r="I237" s="6" t="s">
        <v>2711</v>
      </c>
      <c r="J237" s="6" t="s">
        <v>55</v>
      </c>
      <c r="K237" s="6" t="s">
        <v>70</v>
      </c>
      <c r="L237" s="5">
        <v>64086400</v>
      </c>
      <c r="M237" s="6" t="s">
        <v>52</v>
      </c>
      <c r="N237" s="6" t="s">
        <v>173</v>
      </c>
      <c r="O237" s="6" t="s">
        <v>45</v>
      </c>
      <c r="P237" s="17">
        <v>44573</v>
      </c>
      <c r="Q237" s="5">
        <f>VLOOKUP(G237,'CBs RAW'!$E$2:$P$427,12)</f>
        <v>0</v>
      </c>
      <c r="R237" s="17">
        <v>47130</v>
      </c>
      <c r="S237" s="6" t="s">
        <v>69</v>
      </c>
      <c r="T237" s="6" t="s">
        <v>54</v>
      </c>
      <c r="U237" s="6" t="s">
        <v>49</v>
      </c>
      <c r="V237" s="6" t="s">
        <v>53</v>
      </c>
      <c r="W237" s="6" t="s">
        <v>2712</v>
      </c>
      <c r="X237" s="18" t="str">
        <f>VLOOKUP(G237,'CBs RAW'!$E$2:$W$427,19)</f>
        <v>#N/A N/A</v>
      </c>
      <c r="Y237" s="2" t="str">
        <f t="shared" si="0"/>
        <v>#N/A N/A</v>
      </c>
      <c r="Z237" s="2" t="str">
        <f t="shared" si="1"/>
        <v>Indus Holding AGAT MATURITYFLOATINGEURSr Unsecured</v>
      </c>
    </row>
    <row r="238" spans="1:26" x14ac:dyDescent="0.2">
      <c r="A238" s="6">
        <v>237</v>
      </c>
      <c r="B238" s="6" t="s">
        <v>1625</v>
      </c>
      <c r="C238" s="6" t="s">
        <v>1628</v>
      </c>
      <c r="D238" s="6" t="s">
        <v>71</v>
      </c>
      <c r="E238" s="6" t="str">
        <f>VLOOKUP(G238,'CBs RAW'!$E$2:$H$427,4)</f>
        <v>#N/A N/A</v>
      </c>
      <c r="F238" s="6" t="s">
        <v>45</v>
      </c>
      <c r="G238" s="6" t="s">
        <v>2713</v>
      </c>
      <c r="H238" s="6" t="s">
        <v>173</v>
      </c>
      <c r="I238" s="6" t="s">
        <v>2714</v>
      </c>
      <c r="J238" s="6" t="s">
        <v>55</v>
      </c>
      <c r="K238" s="6" t="s">
        <v>70</v>
      </c>
      <c r="L238" s="5">
        <v>64086400</v>
      </c>
      <c r="M238" s="6" t="s">
        <v>52</v>
      </c>
      <c r="N238" s="6" t="s">
        <v>173</v>
      </c>
      <c r="O238" s="6" t="s">
        <v>45</v>
      </c>
      <c r="P238" s="17">
        <v>44573</v>
      </c>
      <c r="Q238" s="5">
        <f>VLOOKUP(G238,'CBs RAW'!$E$2:$P$427,12)</f>
        <v>0</v>
      </c>
      <c r="R238" s="17">
        <v>46399</v>
      </c>
      <c r="S238" s="6" t="s">
        <v>76</v>
      </c>
      <c r="T238" s="6" t="s">
        <v>54</v>
      </c>
      <c r="U238" s="6" t="s">
        <v>49</v>
      </c>
      <c r="V238" s="6" t="s">
        <v>53</v>
      </c>
      <c r="W238" s="6" t="s">
        <v>2715</v>
      </c>
      <c r="X238" s="18" t="str">
        <f>VLOOKUP(G238,'CBs RAW'!$E$2:$W$427,19)</f>
        <v>#N/A N/A</v>
      </c>
      <c r="Y238" s="2" t="str">
        <f t="shared" si="0"/>
        <v>#N/A N/A</v>
      </c>
      <c r="Z238" s="2" t="str">
        <f t="shared" si="1"/>
        <v>Indus Holding AGAT MATURITYFLOATINGEURSr Unsecured</v>
      </c>
    </row>
    <row r="239" spans="1:26" x14ac:dyDescent="0.2">
      <c r="A239" s="6">
        <v>238</v>
      </c>
      <c r="B239" s="6" t="s">
        <v>1625</v>
      </c>
      <c r="C239" s="6" t="s">
        <v>1628</v>
      </c>
      <c r="D239" s="6" t="s">
        <v>57</v>
      </c>
      <c r="E239" s="6" t="str">
        <f>VLOOKUP(G239,'CBs RAW'!$E$2:$H$427,4)</f>
        <v>#N/A N/A</v>
      </c>
      <c r="F239" s="6" t="s">
        <v>45</v>
      </c>
      <c r="G239" s="6" t="s">
        <v>2716</v>
      </c>
      <c r="H239" s="6" t="s">
        <v>173</v>
      </c>
      <c r="I239" s="6" t="s">
        <v>2717</v>
      </c>
      <c r="J239" s="6" t="s">
        <v>55</v>
      </c>
      <c r="K239" s="6" t="s">
        <v>56</v>
      </c>
      <c r="L239" s="5">
        <v>65749800</v>
      </c>
      <c r="M239" s="6" t="s">
        <v>52</v>
      </c>
      <c r="N239" s="6" t="s">
        <v>173</v>
      </c>
      <c r="O239" s="6" t="s">
        <v>45</v>
      </c>
      <c r="P239" s="17">
        <v>43740</v>
      </c>
      <c r="Q239" s="5">
        <f>VLOOKUP(G239,'CBs RAW'!$E$2:$P$427,12)</f>
        <v>0</v>
      </c>
      <c r="R239" s="17">
        <v>46306</v>
      </c>
      <c r="S239" s="6" t="s">
        <v>69</v>
      </c>
      <c r="T239" s="6" t="s">
        <v>54</v>
      </c>
      <c r="U239" s="6" t="s">
        <v>49</v>
      </c>
      <c r="V239" s="6" t="s">
        <v>53</v>
      </c>
      <c r="W239" s="6" t="s">
        <v>2718</v>
      </c>
      <c r="X239" s="18" t="str">
        <f>VLOOKUP(G239,'CBs RAW'!$E$2:$W$427,19)</f>
        <v>#N/A N/A</v>
      </c>
      <c r="Y239" s="2" t="str">
        <f t="shared" si="0"/>
        <v>#N/A N/A</v>
      </c>
      <c r="Z239" s="2" t="str">
        <f t="shared" si="1"/>
        <v>Indus Holding AGAT MATURITYFIXEDEURSr Unsecured</v>
      </c>
    </row>
    <row r="240" spans="1:26" x14ac:dyDescent="0.2">
      <c r="A240" s="6">
        <v>239</v>
      </c>
      <c r="B240" s="6" t="s">
        <v>1625</v>
      </c>
      <c r="C240" s="6" t="s">
        <v>1628</v>
      </c>
      <c r="D240" s="6" t="s">
        <v>57</v>
      </c>
      <c r="E240" s="6" t="str">
        <f>VLOOKUP(G240,'CBs RAW'!$E$2:$H$427,4)</f>
        <v>#N/A N/A</v>
      </c>
      <c r="F240" s="6" t="s">
        <v>45</v>
      </c>
      <c r="G240" s="6" t="s">
        <v>2719</v>
      </c>
      <c r="H240" s="6" t="s">
        <v>173</v>
      </c>
      <c r="I240" s="6" t="s">
        <v>2720</v>
      </c>
      <c r="J240" s="6" t="s">
        <v>55</v>
      </c>
      <c r="K240" s="6" t="s">
        <v>56</v>
      </c>
      <c r="L240" s="5">
        <v>65749800</v>
      </c>
      <c r="M240" s="6" t="s">
        <v>52</v>
      </c>
      <c r="N240" s="6" t="s">
        <v>173</v>
      </c>
      <c r="O240" s="6" t="s">
        <v>45</v>
      </c>
      <c r="P240" s="17">
        <v>43740</v>
      </c>
      <c r="Q240" s="5">
        <f>VLOOKUP(G240,'CBs RAW'!$E$2:$P$427,12)</f>
        <v>0</v>
      </c>
      <c r="R240" s="17">
        <v>46297</v>
      </c>
      <c r="S240" s="6" t="s">
        <v>69</v>
      </c>
      <c r="T240" s="6" t="s">
        <v>54</v>
      </c>
      <c r="U240" s="6" t="s">
        <v>49</v>
      </c>
      <c r="V240" s="6" t="s">
        <v>53</v>
      </c>
      <c r="W240" s="6" t="s">
        <v>2721</v>
      </c>
      <c r="X240" s="18" t="str">
        <f>VLOOKUP(G240,'CBs RAW'!$E$2:$W$427,19)</f>
        <v>#N/A N/A</v>
      </c>
      <c r="Y240" s="2" t="str">
        <f t="shared" si="0"/>
        <v>#N/A N/A</v>
      </c>
      <c r="Z240" s="2" t="str">
        <f t="shared" si="1"/>
        <v>Indus Holding AGAT MATURITYFIXEDEURSr Unsecured</v>
      </c>
    </row>
    <row r="241" spans="1:26" x14ac:dyDescent="0.2">
      <c r="A241" s="6">
        <v>240</v>
      </c>
      <c r="B241" s="6" t="s">
        <v>1559</v>
      </c>
      <c r="C241" s="6" t="s">
        <v>1562</v>
      </c>
      <c r="D241" s="6" t="s">
        <v>57</v>
      </c>
      <c r="E241" s="6" t="str">
        <f>VLOOKUP(G241,'CBs RAW'!$E$2:$H$427,4)</f>
        <v>#N/A N/A</v>
      </c>
      <c r="F241" s="6" t="s">
        <v>257</v>
      </c>
      <c r="G241" s="6" t="s">
        <v>2722</v>
      </c>
      <c r="H241" s="6" t="s">
        <v>2723</v>
      </c>
      <c r="I241" s="6" t="s">
        <v>2724</v>
      </c>
      <c r="J241" s="6" t="s">
        <v>55</v>
      </c>
      <c r="K241" s="6" t="s">
        <v>56</v>
      </c>
      <c r="L241" s="5">
        <v>834412500</v>
      </c>
      <c r="M241" s="6" t="s">
        <v>52</v>
      </c>
      <c r="N241" s="6" t="s">
        <v>1770</v>
      </c>
      <c r="O241" s="6" t="s">
        <v>366</v>
      </c>
      <c r="P241" s="17">
        <v>42873</v>
      </c>
      <c r="Q241" s="5">
        <f>VLOOKUP(G241,'CBs RAW'!$E$2:$P$427,12)</f>
        <v>1.25</v>
      </c>
      <c r="R241" s="17">
        <v>45434</v>
      </c>
      <c r="S241" s="6" t="s">
        <v>173</v>
      </c>
      <c r="T241" s="6" t="s">
        <v>174</v>
      </c>
      <c r="U241" s="6" t="s">
        <v>49</v>
      </c>
      <c r="V241" s="6" t="s">
        <v>53</v>
      </c>
      <c r="W241" s="6" t="s">
        <v>2725</v>
      </c>
      <c r="X241" s="18">
        <f>VLOOKUP(G241,'CBs RAW'!$E$2:$W$427,19)</f>
        <v>1.222</v>
      </c>
      <c r="Y241" s="19">
        <f t="shared" si="0"/>
        <v>1.222</v>
      </c>
      <c r="Z241" s="2" t="str">
        <f t="shared" si="1"/>
        <v>JAB Holdings BVAT MATURITYFIXEDEURSr Unsecured</v>
      </c>
    </row>
    <row r="242" spans="1:26" x14ac:dyDescent="0.2">
      <c r="A242" s="6">
        <v>241</v>
      </c>
      <c r="B242" s="6" t="s">
        <v>1559</v>
      </c>
      <c r="C242" s="6" t="s">
        <v>1562</v>
      </c>
      <c r="D242" s="6" t="s">
        <v>57</v>
      </c>
      <c r="E242" s="6" t="str">
        <f>VLOOKUP(G242,'CBs RAW'!$E$2:$H$427,4)</f>
        <v>#N/A N/A</v>
      </c>
      <c r="F242" s="6" t="s">
        <v>257</v>
      </c>
      <c r="G242" s="6" t="s">
        <v>2726</v>
      </c>
      <c r="H242" s="6" t="s">
        <v>2727</v>
      </c>
      <c r="I242" s="6" t="s">
        <v>2728</v>
      </c>
      <c r="J242" s="6" t="s">
        <v>55</v>
      </c>
      <c r="K242" s="6" t="s">
        <v>56</v>
      </c>
      <c r="L242" s="5">
        <v>834412500</v>
      </c>
      <c r="M242" s="6" t="s">
        <v>52</v>
      </c>
      <c r="N242" s="6" t="s">
        <v>173</v>
      </c>
      <c r="O242" s="6" t="s">
        <v>366</v>
      </c>
      <c r="P242" s="17">
        <v>42873</v>
      </c>
      <c r="Q242" s="5">
        <f>VLOOKUP(G242,'CBs RAW'!$E$2:$P$427,12)</f>
        <v>2</v>
      </c>
      <c r="R242" s="17">
        <v>46891</v>
      </c>
      <c r="S242" s="6" t="s">
        <v>173</v>
      </c>
      <c r="T242" s="6" t="s">
        <v>174</v>
      </c>
      <c r="U242" s="6" t="s">
        <v>49</v>
      </c>
      <c r="V242" s="6" t="s">
        <v>53</v>
      </c>
      <c r="W242" s="6" t="s">
        <v>2729</v>
      </c>
      <c r="X242" s="18">
        <f>VLOOKUP(G242,'CBs RAW'!$E$2:$W$427,19)</f>
        <v>1.919</v>
      </c>
      <c r="Y242" s="19">
        <f t="shared" si="0"/>
        <v>1.919</v>
      </c>
      <c r="Z242" s="2" t="str">
        <f t="shared" si="1"/>
        <v>JAB Holdings BVAT MATURITYFIXEDEURSr Unsecured</v>
      </c>
    </row>
    <row r="243" spans="1:26" x14ac:dyDescent="0.2">
      <c r="A243" s="6">
        <v>242</v>
      </c>
      <c r="B243" s="6" t="s">
        <v>1559</v>
      </c>
      <c r="C243" s="6" t="s">
        <v>1562</v>
      </c>
      <c r="D243" s="6" t="s">
        <v>57</v>
      </c>
      <c r="E243" s="6">
        <f>VLOOKUP(G243,'CBs RAW'!$E$2:$H$427,4)</f>
        <v>1.855</v>
      </c>
      <c r="F243" s="6" t="s">
        <v>257</v>
      </c>
      <c r="G243" s="6" t="s">
        <v>2730</v>
      </c>
      <c r="H243" s="6" t="s">
        <v>2731</v>
      </c>
      <c r="I243" s="6" t="s">
        <v>2732</v>
      </c>
      <c r="J243" s="6" t="s">
        <v>55</v>
      </c>
      <c r="K243" s="6" t="s">
        <v>56</v>
      </c>
      <c r="L243" s="5">
        <v>876900000</v>
      </c>
      <c r="M243" s="6" t="s">
        <v>52</v>
      </c>
      <c r="N243" s="6" t="s">
        <v>1770</v>
      </c>
      <c r="O243" s="6" t="s">
        <v>366</v>
      </c>
      <c r="P243" s="17">
        <v>43276</v>
      </c>
      <c r="Q243" s="5">
        <f>VLOOKUP(G243,'CBs RAW'!$E$2:$P$427,12)</f>
        <v>1.75</v>
      </c>
      <c r="R243" s="17">
        <v>46198</v>
      </c>
      <c r="S243" s="6" t="s">
        <v>173</v>
      </c>
      <c r="T243" s="6" t="s">
        <v>174</v>
      </c>
      <c r="U243" s="6" t="s">
        <v>49</v>
      </c>
      <c r="V243" s="6" t="s">
        <v>53</v>
      </c>
      <c r="W243" s="6" t="s">
        <v>2733</v>
      </c>
      <c r="X243" s="18">
        <f>VLOOKUP(G243,'CBs RAW'!$E$2:$W$427,19)</f>
        <v>1.746</v>
      </c>
      <c r="Y243" s="19">
        <f t="shared" si="0"/>
        <v>1.746</v>
      </c>
      <c r="Z243" s="2" t="str">
        <f t="shared" si="1"/>
        <v>JAB Holdings BVAT MATURITYFIXEDEURSr Unsecured</v>
      </c>
    </row>
    <row r="244" spans="1:26" x14ac:dyDescent="0.2">
      <c r="A244" s="6">
        <v>243</v>
      </c>
      <c r="B244" s="6" t="s">
        <v>1559</v>
      </c>
      <c r="C244" s="6" t="s">
        <v>1562</v>
      </c>
      <c r="D244" s="6" t="s">
        <v>57</v>
      </c>
      <c r="E244" s="6">
        <f>VLOOKUP(G244,'CBs RAW'!$E$2:$H$427,4)</f>
        <v>2.5140000000000002</v>
      </c>
      <c r="F244" s="6" t="s">
        <v>257</v>
      </c>
      <c r="G244" s="6" t="s">
        <v>2734</v>
      </c>
      <c r="H244" s="6" t="s">
        <v>2735</v>
      </c>
      <c r="I244" s="6" t="s">
        <v>2736</v>
      </c>
      <c r="J244" s="6" t="s">
        <v>55</v>
      </c>
      <c r="K244" s="6" t="s">
        <v>56</v>
      </c>
      <c r="L244" s="5">
        <v>876900000</v>
      </c>
      <c r="M244" s="6" t="s">
        <v>52</v>
      </c>
      <c r="N244" s="6" t="s">
        <v>1770</v>
      </c>
      <c r="O244" s="6" t="s">
        <v>366</v>
      </c>
      <c r="P244" s="17">
        <v>43276</v>
      </c>
      <c r="Q244" s="5">
        <f>VLOOKUP(G244,'CBs RAW'!$E$2:$P$427,12)</f>
        <v>2.5</v>
      </c>
      <c r="R244" s="17">
        <v>47294</v>
      </c>
      <c r="S244" s="6" t="s">
        <v>2737</v>
      </c>
      <c r="T244" s="6" t="s">
        <v>174</v>
      </c>
      <c r="U244" s="6" t="s">
        <v>49</v>
      </c>
      <c r="V244" s="6" t="s">
        <v>53</v>
      </c>
      <c r="W244" s="6" t="s">
        <v>2738</v>
      </c>
      <c r="X244" s="18">
        <f>VLOOKUP(G244,'CBs RAW'!$E$2:$W$427,19)</f>
        <v>2.4119999999999999</v>
      </c>
      <c r="Y244" s="19">
        <f t="shared" si="0"/>
        <v>2.4119999999999999</v>
      </c>
      <c r="Z244" s="2" t="str">
        <f t="shared" si="1"/>
        <v>JAB Holdings BVAT MATURITYFIXEDEURSr Unsecured</v>
      </c>
    </row>
    <row r="245" spans="1:26" x14ac:dyDescent="0.2">
      <c r="A245" s="6">
        <v>244</v>
      </c>
      <c r="B245" s="6" t="s">
        <v>1559</v>
      </c>
      <c r="C245" s="6" t="s">
        <v>1562</v>
      </c>
      <c r="D245" s="6" t="s">
        <v>57</v>
      </c>
      <c r="E245" s="6" t="str">
        <f>VLOOKUP(G245,'CBs RAW'!$E$2:$H$427,4)</f>
        <v>#N/A N/A</v>
      </c>
      <c r="F245" s="6" t="s">
        <v>257</v>
      </c>
      <c r="G245" s="6" t="s">
        <v>2739</v>
      </c>
      <c r="H245" s="6" t="s">
        <v>2740</v>
      </c>
      <c r="I245" s="6" t="s">
        <v>2741</v>
      </c>
      <c r="J245" s="6" t="s">
        <v>55</v>
      </c>
      <c r="K245" s="6" t="s">
        <v>56</v>
      </c>
      <c r="L245" s="5">
        <v>543360000</v>
      </c>
      <c r="M245" s="6" t="s">
        <v>52</v>
      </c>
      <c r="N245" s="6" t="s">
        <v>1770</v>
      </c>
      <c r="O245" s="6" t="s">
        <v>366</v>
      </c>
      <c r="P245" s="17">
        <v>43938</v>
      </c>
      <c r="Q245" s="5">
        <f>VLOOKUP(G245,'CBs RAW'!$E$2:$P$427,12)</f>
        <v>2.5</v>
      </c>
      <c r="R245" s="17">
        <v>46494</v>
      </c>
      <c r="S245" s="6" t="s">
        <v>173</v>
      </c>
      <c r="T245" s="6" t="s">
        <v>174</v>
      </c>
      <c r="U245" s="6" t="s">
        <v>49</v>
      </c>
      <c r="V245" s="6" t="s">
        <v>53</v>
      </c>
      <c r="W245" s="6" t="s">
        <v>2742</v>
      </c>
      <c r="X245" s="18">
        <f>VLOOKUP(G245,'CBs RAW'!$E$2:$W$427,19)</f>
        <v>2.2370000000000001</v>
      </c>
      <c r="Y245" s="19">
        <f t="shared" si="0"/>
        <v>2.2370000000000001</v>
      </c>
      <c r="Z245" s="2" t="str">
        <f t="shared" si="1"/>
        <v>JAB Holdings BVAT MATURITYFIXEDEURSr Unsecured</v>
      </c>
    </row>
    <row r="246" spans="1:26" x14ac:dyDescent="0.2">
      <c r="A246" s="6">
        <v>245</v>
      </c>
      <c r="B246" s="6" t="s">
        <v>1559</v>
      </c>
      <c r="C246" s="6" t="s">
        <v>1562</v>
      </c>
      <c r="D246" s="6" t="s">
        <v>57</v>
      </c>
      <c r="E246" s="6" t="str">
        <f>VLOOKUP(G246,'CBs RAW'!$E$2:$H$427,4)</f>
        <v>#N/A N/A</v>
      </c>
      <c r="F246" s="6" t="s">
        <v>257</v>
      </c>
      <c r="G246" s="6" t="s">
        <v>2743</v>
      </c>
      <c r="H246" s="6" t="s">
        <v>2744</v>
      </c>
      <c r="I246" s="6" t="s">
        <v>2745</v>
      </c>
      <c r="J246" s="6" t="s">
        <v>55</v>
      </c>
      <c r="K246" s="6" t="s">
        <v>56</v>
      </c>
      <c r="L246" s="5">
        <v>543360000</v>
      </c>
      <c r="M246" s="6" t="s">
        <v>52</v>
      </c>
      <c r="N246" s="6" t="s">
        <v>1770</v>
      </c>
      <c r="O246" s="6" t="s">
        <v>366</v>
      </c>
      <c r="P246" s="17">
        <v>43938</v>
      </c>
      <c r="Q246" s="5">
        <f>VLOOKUP(G246,'CBs RAW'!$E$2:$P$427,12)</f>
        <v>3.375</v>
      </c>
      <c r="R246" s="17">
        <v>49416</v>
      </c>
      <c r="S246" s="6" t="s">
        <v>173</v>
      </c>
      <c r="T246" s="6" t="s">
        <v>174</v>
      </c>
      <c r="U246" s="6" t="s">
        <v>49</v>
      </c>
      <c r="V246" s="6" t="s">
        <v>53</v>
      </c>
      <c r="W246" s="6" t="s">
        <v>2746</v>
      </c>
      <c r="X246" s="18">
        <f>VLOOKUP(G246,'CBs RAW'!$E$2:$W$427,19)</f>
        <v>2.8319999999999999</v>
      </c>
      <c r="Y246" s="19">
        <f t="shared" si="0"/>
        <v>2.8319999999999999</v>
      </c>
      <c r="Z246" s="2" t="str">
        <f t="shared" si="1"/>
        <v>JAB Holdings BVAT MATURITYFIXEDEURSr Unsecured</v>
      </c>
    </row>
    <row r="247" spans="1:26" x14ac:dyDescent="0.2">
      <c r="A247" s="6">
        <v>246</v>
      </c>
      <c r="B247" s="6" t="s">
        <v>1559</v>
      </c>
      <c r="C247" s="6" t="s">
        <v>1562</v>
      </c>
      <c r="D247" s="6" t="s">
        <v>71</v>
      </c>
      <c r="E247" s="6">
        <f>VLOOKUP(G247,'CBs RAW'!$E$2:$H$427,4)</f>
        <v>2.2349999999999999</v>
      </c>
      <c r="F247" s="6" t="s">
        <v>257</v>
      </c>
      <c r="G247" s="6" t="s">
        <v>2747</v>
      </c>
      <c r="H247" s="6" t="s">
        <v>2748</v>
      </c>
      <c r="I247" s="6" t="s">
        <v>2749</v>
      </c>
      <c r="J247" s="6" t="s">
        <v>55</v>
      </c>
      <c r="K247" s="6" t="s">
        <v>56</v>
      </c>
      <c r="L247" s="5">
        <v>500000000</v>
      </c>
      <c r="M247" s="6" t="s">
        <v>52</v>
      </c>
      <c r="N247" s="6" t="s">
        <v>1775</v>
      </c>
      <c r="O247" s="6" t="s">
        <v>366</v>
      </c>
      <c r="P247" s="17">
        <v>44158</v>
      </c>
      <c r="Q247" s="5">
        <f>VLOOKUP(G247,'CBs RAW'!$E$2:$P$427,12)</f>
        <v>2.2000000000000002</v>
      </c>
      <c r="R247" s="17">
        <v>47810</v>
      </c>
      <c r="S247" s="6" t="s">
        <v>261</v>
      </c>
      <c r="T247" s="6" t="s">
        <v>174</v>
      </c>
      <c r="U247" s="6" t="s">
        <v>115</v>
      </c>
      <c r="V247" s="6" t="s">
        <v>262</v>
      </c>
      <c r="W247" s="6" t="s">
        <v>2750</v>
      </c>
      <c r="X247" s="18" t="str">
        <f>VLOOKUP(G247,'CBs RAW'!$E$2:$W$427,19)</f>
        <v>#N/A N/A</v>
      </c>
      <c r="Y247" s="2">
        <f t="shared" si="0"/>
        <v>2.2349999999999999</v>
      </c>
      <c r="Z247" s="2" t="str">
        <f t="shared" si="1"/>
        <v>JAB Holdings BVCALLABLEFIXEDUSDSr Unsecured</v>
      </c>
    </row>
    <row r="248" spans="1:26" x14ac:dyDescent="0.2">
      <c r="A248" s="6">
        <v>247</v>
      </c>
      <c r="B248" s="6" t="s">
        <v>1559</v>
      </c>
      <c r="C248" s="6" t="s">
        <v>1562</v>
      </c>
      <c r="D248" s="6" t="s">
        <v>71</v>
      </c>
      <c r="E248" s="6">
        <f>VLOOKUP(G248,'CBs RAW'!$E$2:$H$427,4)</f>
        <v>2.2349999999999999</v>
      </c>
      <c r="F248" s="6" t="s">
        <v>257</v>
      </c>
      <c r="G248" s="6" t="s">
        <v>2751</v>
      </c>
      <c r="H248" s="6" t="s">
        <v>2752</v>
      </c>
      <c r="I248" s="6" t="s">
        <v>2753</v>
      </c>
      <c r="J248" s="6" t="s">
        <v>55</v>
      </c>
      <c r="K248" s="6" t="s">
        <v>56</v>
      </c>
      <c r="L248" s="5">
        <v>500000000</v>
      </c>
      <c r="M248" s="6" t="s">
        <v>52</v>
      </c>
      <c r="N248" s="6" t="s">
        <v>1775</v>
      </c>
      <c r="O248" s="6" t="s">
        <v>366</v>
      </c>
      <c r="P248" s="17">
        <v>44158</v>
      </c>
      <c r="Q248" s="5">
        <f>VLOOKUP(G248,'CBs RAW'!$E$2:$P$427,12)</f>
        <v>2.2000000000000002</v>
      </c>
      <c r="R248" s="17">
        <v>47810</v>
      </c>
      <c r="S248" s="6" t="s">
        <v>270</v>
      </c>
      <c r="T248" s="6" t="s">
        <v>174</v>
      </c>
      <c r="U248" s="6" t="s">
        <v>115</v>
      </c>
      <c r="V248" s="6" t="s">
        <v>262</v>
      </c>
      <c r="W248" s="6" t="s">
        <v>2754</v>
      </c>
      <c r="X248" s="18" t="str">
        <f>VLOOKUP(G248,'CBs RAW'!$E$2:$W$427,19)</f>
        <v>#N/A N/A</v>
      </c>
      <c r="Y248" s="2">
        <f t="shared" si="0"/>
        <v>2.2349999999999999</v>
      </c>
      <c r="Z248" s="2" t="str">
        <f t="shared" si="1"/>
        <v>JAB Holdings BVCALLABLEFIXEDUSDSr Unsecured</v>
      </c>
    </row>
    <row r="249" spans="1:26" x14ac:dyDescent="0.2">
      <c r="A249" s="6">
        <v>248</v>
      </c>
      <c r="B249" s="6" t="s">
        <v>1559</v>
      </c>
      <c r="C249" s="6" t="s">
        <v>1562</v>
      </c>
      <c r="D249" s="6" t="s">
        <v>71</v>
      </c>
      <c r="E249" s="6">
        <f>VLOOKUP(G249,'CBs RAW'!$E$2:$H$427,4)</f>
        <v>3.7810000000000001</v>
      </c>
      <c r="F249" s="6" t="s">
        <v>257</v>
      </c>
      <c r="G249" s="6" t="s">
        <v>2755</v>
      </c>
      <c r="H249" s="6" t="s">
        <v>2756</v>
      </c>
      <c r="I249" s="6" t="s">
        <v>2757</v>
      </c>
      <c r="J249" s="6" t="s">
        <v>55</v>
      </c>
      <c r="K249" s="6" t="s">
        <v>56</v>
      </c>
      <c r="L249" s="5">
        <v>500000000</v>
      </c>
      <c r="M249" s="6" t="s">
        <v>52</v>
      </c>
      <c r="N249" s="6" t="s">
        <v>1775</v>
      </c>
      <c r="O249" s="6" t="s">
        <v>366</v>
      </c>
      <c r="P249" s="17">
        <v>44344</v>
      </c>
      <c r="Q249" s="5">
        <f>VLOOKUP(G249,'CBs RAW'!$E$2:$P$427,12)</f>
        <v>3.75</v>
      </c>
      <c r="R249" s="17">
        <v>55301</v>
      </c>
      <c r="S249" s="6" t="s">
        <v>261</v>
      </c>
      <c r="T249" s="6" t="s">
        <v>174</v>
      </c>
      <c r="U249" s="6" t="s">
        <v>115</v>
      </c>
      <c r="V249" s="6" t="s">
        <v>262</v>
      </c>
      <c r="W249" s="6" t="s">
        <v>2758</v>
      </c>
      <c r="X249" s="18" t="str">
        <f>VLOOKUP(G249,'CBs RAW'!$E$2:$W$427,19)</f>
        <v>#N/A N/A</v>
      </c>
      <c r="Y249" s="2">
        <f t="shared" si="0"/>
        <v>3.7810000000000001</v>
      </c>
      <c r="Z249" s="2" t="str">
        <f t="shared" si="1"/>
        <v>JAB Holdings BVCALLABLEFIXEDUSDSr Unsecured</v>
      </c>
    </row>
    <row r="250" spans="1:26" x14ac:dyDescent="0.2">
      <c r="A250" s="6">
        <v>249</v>
      </c>
      <c r="B250" s="6" t="s">
        <v>1559</v>
      </c>
      <c r="C250" s="6" t="s">
        <v>1562</v>
      </c>
      <c r="D250" s="6" t="s">
        <v>71</v>
      </c>
      <c r="E250" s="6">
        <f>VLOOKUP(G250,'CBs RAW'!$E$2:$H$427,4)</f>
        <v>3.7810000000000001</v>
      </c>
      <c r="F250" s="6" t="s">
        <v>257</v>
      </c>
      <c r="G250" s="6" t="s">
        <v>2759</v>
      </c>
      <c r="H250" s="6" t="s">
        <v>2760</v>
      </c>
      <c r="I250" s="6" t="s">
        <v>2761</v>
      </c>
      <c r="J250" s="6" t="s">
        <v>55</v>
      </c>
      <c r="K250" s="6" t="s">
        <v>56</v>
      </c>
      <c r="L250" s="5">
        <v>500000000</v>
      </c>
      <c r="M250" s="6" t="s">
        <v>52</v>
      </c>
      <c r="N250" s="6" t="s">
        <v>1775</v>
      </c>
      <c r="O250" s="6" t="s">
        <v>366</v>
      </c>
      <c r="P250" s="17">
        <v>44344</v>
      </c>
      <c r="Q250" s="5">
        <f>VLOOKUP(G250,'CBs RAW'!$E$2:$P$427,12)</f>
        <v>3.75</v>
      </c>
      <c r="R250" s="17">
        <v>55301</v>
      </c>
      <c r="S250" s="6" t="s">
        <v>270</v>
      </c>
      <c r="T250" s="6" t="s">
        <v>174</v>
      </c>
      <c r="U250" s="6" t="s">
        <v>115</v>
      </c>
      <c r="V250" s="6" t="s">
        <v>262</v>
      </c>
      <c r="W250" s="6" t="s">
        <v>2762</v>
      </c>
      <c r="X250" s="18" t="str">
        <f>VLOOKUP(G250,'CBs RAW'!$E$2:$W$427,19)</f>
        <v>#N/A N/A</v>
      </c>
      <c r="Y250" s="2">
        <f t="shared" si="0"/>
        <v>3.7810000000000001</v>
      </c>
      <c r="Z250" s="2" t="str">
        <f t="shared" si="1"/>
        <v>JAB Holdings BVCALLABLEFIXEDUSDSr Unsecured</v>
      </c>
    </row>
    <row r="251" spans="1:26" x14ac:dyDescent="0.2">
      <c r="A251" s="6">
        <v>250</v>
      </c>
      <c r="B251" s="6" t="s">
        <v>1559</v>
      </c>
      <c r="C251" s="6" t="s">
        <v>1562</v>
      </c>
      <c r="D251" s="6" t="s">
        <v>57</v>
      </c>
      <c r="E251" s="6">
        <f>VLOOKUP(G251,'CBs RAW'!$E$2:$H$427,4)</f>
        <v>1.032</v>
      </c>
      <c r="F251" s="6" t="s">
        <v>257</v>
      </c>
      <c r="G251" s="6" t="s">
        <v>2763</v>
      </c>
      <c r="H251" s="6" t="s">
        <v>2764</v>
      </c>
      <c r="I251" s="6" t="s">
        <v>2765</v>
      </c>
      <c r="J251" s="6" t="s">
        <v>55</v>
      </c>
      <c r="K251" s="6" t="s">
        <v>56</v>
      </c>
      <c r="L251" s="5">
        <v>591625000</v>
      </c>
      <c r="M251" s="6" t="s">
        <v>52</v>
      </c>
      <c r="N251" s="6" t="s">
        <v>1775</v>
      </c>
      <c r="O251" s="6" t="s">
        <v>366</v>
      </c>
      <c r="P251" s="17">
        <v>44391</v>
      </c>
      <c r="Q251" s="5">
        <f>VLOOKUP(G251,'CBs RAW'!$E$2:$P$427,12)</f>
        <v>1</v>
      </c>
      <c r="R251" s="17">
        <v>48043</v>
      </c>
      <c r="S251" s="6" t="s">
        <v>173</v>
      </c>
      <c r="T251" s="6" t="s">
        <v>174</v>
      </c>
      <c r="U251" s="6" t="s">
        <v>49</v>
      </c>
      <c r="V251" s="6" t="s">
        <v>53</v>
      </c>
      <c r="W251" s="6" t="s">
        <v>2766</v>
      </c>
      <c r="X251" s="18">
        <f>VLOOKUP(G251,'CBs RAW'!$E$2:$W$427,19)</f>
        <v>0.96399999999999997</v>
      </c>
      <c r="Y251" s="19">
        <f t="shared" si="0"/>
        <v>0.96399999999999997</v>
      </c>
      <c r="Z251" s="2" t="str">
        <f t="shared" si="1"/>
        <v>JAB Holdings BVAT MATURITYFIXEDEURSr Unsecured</v>
      </c>
    </row>
    <row r="252" spans="1:26" x14ac:dyDescent="0.2">
      <c r="A252" s="6">
        <v>251</v>
      </c>
      <c r="B252" s="6" t="s">
        <v>1559</v>
      </c>
      <c r="C252" s="6" t="s">
        <v>1562</v>
      </c>
      <c r="D252" s="6" t="s">
        <v>57</v>
      </c>
      <c r="E252" s="6">
        <f>VLOOKUP(G252,'CBs RAW'!$E$2:$H$427,4)</f>
        <v>1.7630000000000001</v>
      </c>
      <c r="F252" s="6" t="s">
        <v>257</v>
      </c>
      <c r="G252" s="6" t="s">
        <v>2767</v>
      </c>
      <c r="H252" s="6" t="s">
        <v>2768</v>
      </c>
      <c r="I252" s="6" t="s">
        <v>2769</v>
      </c>
      <c r="J252" s="6" t="s">
        <v>55</v>
      </c>
      <c r="K252" s="6" t="s">
        <v>56</v>
      </c>
      <c r="L252" s="5">
        <v>672858000</v>
      </c>
      <c r="M252" s="6" t="s">
        <v>52</v>
      </c>
      <c r="N252" s="6" t="s">
        <v>1775</v>
      </c>
      <c r="O252" s="6" t="s">
        <v>366</v>
      </c>
      <c r="P252" s="17">
        <v>42124</v>
      </c>
      <c r="Q252" s="5">
        <f>VLOOKUP(G252,'CBs RAW'!$E$2:$P$427,12)</f>
        <v>1.625</v>
      </c>
      <c r="R252" s="17">
        <v>45777</v>
      </c>
      <c r="S252" s="6" t="s">
        <v>173</v>
      </c>
      <c r="T252" s="6" t="s">
        <v>174</v>
      </c>
      <c r="U252" s="6" t="s">
        <v>49</v>
      </c>
      <c r="V252" s="6" t="s">
        <v>53</v>
      </c>
      <c r="W252" s="6" t="s">
        <v>2770</v>
      </c>
      <c r="X252" s="18">
        <f>VLOOKUP(G252,'CBs RAW'!$E$2:$W$427,19)</f>
        <v>1.83</v>
      </c>
      <c r="Y252" s="19">
        <f t="shared" si="0"/>
        <v>1.83</v>
      </c>
      <c r="Z252" s="2" t="str">
        <f t="shared" si="1"/>
        <v>JAB Holdings BVAT MATURITYFIXEDEURSr Unsecured</v>
      </c>
    </row>
    <row r="253" spans="1:26" x14ac:dyDescent="0.2">
      <c r="A253" s="6">
        <v>252</v>
      </c>
      <c r="B253" s="6" t="s">
        <v>1559</v>
      </c>
      <c r="C253" s="6" t="s">
        <v>1562</v>
      </c>
      <c r="D253" s="6" t="s">
        <v>57</v>
      </c>
      <c r="E253" s="6" t="str">
        <f>VLOOKUP(G253,'CBs RAW'!$E$2:$H$427,4)</f>
        <v>#N/A N/A</v>
      </c>
      <c r="F253" s="6" t="s">
        <v>257</v>
      </c>
      <c r="G253" s="6" t="s">
        <v>2771</v>
      </c>
      <c r="H253" s="6" t="s">
        <v>2772</v>
      </c>
      <c r="I253" s="6" t="s">
        <v>2773</v>
      </c>
      <c r="J253" s="6" t="s">
        <v>55</v>
      </c>
      <c r="K253" s="6" t="s">
        <v>56</v>
      </c>
      <c r="L253" s="5">
        <v>1004310000</v>
      </c>
      <c r="M253" s="6" t="s">
        <v>52</v>
      </c>
      <c r="N253" s="6" t="s">
        <v>1775</v>
      </c>
      <c r="O253" s="6" t="s">
        <v>366</v>
      </c>
      <c r="P253" s="17">
        <v>42515</v>
      </c>
      <c r="Q253" s="5">
        <f>VLOOKUP(G253,'CBs RAW'!$E$2:$P$427,12)</f>
        <v>1.75</v>
      </c>
      <c r="R253" s="17">
        <v>45071</v>
      </c>
      <c r="S253" s="6" t="s">
        <v>173</v>
      </c>
      <c r="T253" s="6" t="s">
        <v>174</v>
      </c>
      <c r="U253" s="6" t="s">
        <v>49</v>
      </c>
      <c r="V253" s="6" t="s">
        <v>53</v>
      </c>
      <c r="W253" s="6" t="s">
        <v>2774</v>
      </c>
      <c r="X253" s="18">
        <f>VLOOKUP(G253,'CBs RAW'!$E$2:$W$427,19)</f>
        <v>1.5880000000000001</v>
      </c>
      <c r="Y253" s="19">
        <f t="shared" si="0"/>
        <v>1.5880000000000001</v>
      </c>
      <c r="Z253" s="2" t="str">
        <f t="shared" si="1"/>
        <v>JAB Holdings BVAT MATURITYFIXEDEURSr Unsecured</v>
      </c>
    </row>
    <row r="254" spans="1:26" x14ac:dyDescent="0.2">
      <c r="A254" s="6">
        <v>253</v>
      </c>
      <c r="B254" s="6" t="s">
        <v>1559</v>
      </c>
      <c r="C254" s="6" t="s">
        <v>1562</v>
      </c>
      <c r="D254" s="6" t="s">
        <v>57</v>
      </c>
      <c r="E254" s="6" t="str">
        <f>VLOOKUP(G254,'CBs RAW'!$E$2:$H$427,4)</f>
        <v>#N/A N/A</v>
      </c>
      <c r="F254" s="6" t="s">
        <v>257</v>
      </c>
      <c r="G254" s="6" t="s">
        <v>2775</v>
      </c>
      <c r="H254" s="6" t="s">
        <v>2776</v>
      </c>
      <c r="I254" s="6" t="s">
        <v>2777</v>
      </c>
      <c r="J254" s="6" t="s">
        <v>55</v>
      </c>
      <c r="K254" s="6" t="s">
        <v>56</v>
      </c>
      <c r="L254" s="5">
        <v>848182500</v>
      </c>
      <c r="M254" s="6" t="s">
        <v>52</v>
      </c>
      <c r="N254" s="6" t="s">
        <v>1770</v>
      </c>
      <c r="O254" s="6" t="s">
        <v>366</v>
      </c>
      <c r="P254" s="17">
        <v>42263</v>
      </c>
      <c r="Q254" s="5">
        <f>VLOOKUP(G254,'CBs RAW'!$E$2:$P$427,12)</f>
        <v>2.125</v>
      </c>
      <c r="R254" s="17">
        <v>44820</v>
      </c>
      <c r="S254" s="6" t="s">
        <v>173</v>
      </c>
      <c r="T254" s="6" t="s">
        <v>174</v>
      </c>
      <c r="U254" s="6" t="s">
        <v>49</v>
      </c>
      <c r="V254" s="6" t="s">
        <v>53</v>
      </c>
      <c r="W254" s="6" t="s">
        <v>2778</v>
      </c>
      <c r="X254" s="18">
        <f>VLOOKUP(G254,'CBs RAW'!$E$2:$W$427,19)</f>
        <v>2.2509999999999999</v>
      </c>
      <c r="Y254" s="19">
        <f t="shared" si="0"/>
        <v>2.2509999999999999</v>
      </c>
      <c r="Z254" s="2" t="str">
        <f t="shared" si="1"/>
        <v>JAB Holdings BVAT MATURITYFIXEDEURSr Unsecured</v>
      </c>
    </row>
    <row r="255" spans="1:26" x14ac:dyDescent="0.2">
      <c r="A255" s="6">
        <v>254</v>
      </c>
      <c r="B255" s="6" t="s">
        <v>1559</v>
      </c>
      <c r="C255" s="6" t="s">
        <v>1562</v>
      </c>
      <c r="D255" s="6" t="s">
        <v>57</v>
      </c>
      <c r="E255" s="6" t="str">
        <f>VLOOKUP(G255,'CBs RAW'!$E$2:$H$427,4)</f>
        <v>#N/A N/A</v>
      </c>
      <c r="F255" s="6" t="s">
        <v>257</v>
      </c>
      <c r="G255" s="6" t="s">
        <v>2779</v>
      </c>
      <c r="H255" s="6" t="s">
        <v>2780</v>
      </c>
      <c r="I255" s="6" t="s">
        <v>2781</v>
      </c>
      <c r="J255" s="6" t="s">
        <v>55</v>
      </c>
      <c r="K255" s="6" t="s">
        <v>56</v>
      </c>
      <c r="L255" s="5">
        <v>193950750</v>
      </c>
      <c r="M255" s="6" t="s">
        <v>52</v>
      </c>
      <c r="N255" s="6" t="s">
        <v>173</v>
      </c>
      <c r="O255" s="6" t="s">
        <v>366</v>
      </c>
      <c r="P255" s="17">
        <v>43861</v>
      </c>
      <c r="Q255" s="5">
        <f>VLOOKUP(G255,'CBs RAW'!$E$2:$P$427,12)</f>
        <v>2</v>
      </c>
      <c r="R255" s="17">
        <v>51123</v>
      </c>
      <c r="S255" s="6" t="s">
        <v>173</v>
      </c>
      <c r="T255" s="6" t="s">
        <v>54</v>
      </c>
      <c r="U255" s="6" t="s">
        <v>49</v>
      </c>
      <c r="V255" s="6" t="s">
        <v>53</v>
      </c>
      <c r="W255" s="6" t="s">
        <v>2782</v>
      </c>
      <c r="X255" s="18">
        <f>VLOOKUP(G255,'CBs RAW'!$E$2:$W$427,19)</f>
        <v>1.7490000000000001</v>
      </c>
      <c r="Y255" s="19">
        <f t="shared" si="0"/>
        <v>1.7490000000000001</v>
      </c>
      <c r="Z255" s="2" t="str">
        <f t="shared" si="1"/>
        <v>JAB Holdings BVAT MATURITYFIXEDEURSr Unsecured</v>
      </c>
    </row>
    <row r="256" spans="1:26" x14ac:dyDescent="0.2">
      <c r="A256" s="6">
        <v>255</v>
      </c>
      <c r="B256" s="6" t="s">
        <v>1559</v>
      </c>
      <c r="C256" s="6" t="s">
        <v>1562</v>
      </c>
      <c r="D256" s="6" t="s">
        <v>57</v>
      </c>
      <c r="E256" s="6" t="str">
        <f>VLOOKUP(G256,'CBs RAW'!$E$2:$H$427,4)</f>
        <v>#N/A N/A</v>
      </c>
      <c r="F256" s="6" t="s">
        <v>257</v>
      </c>
      <c r="G256" s="6" t="s">
        <v>2783</v>
      </c>
      <c r="H256" s="6" t="s">
        <v>2784</v>
      </c>
      <c r="I256" s="6" t="s">
        <v>2785</v>
      </c>
      <c r="J256" s="6" t="s">
        <v>55</v>
      </c>
      <c r="K256" s="6" t="s">
        <v>56</v>
      </c>
      <c r="L256" s="5">
        <v>833872500</v>
      </c>
      <c r="M256" s="6" t="s">
        <v>52</v>
      </c>
      <c r="N256" s="6" t="s">
        <v>1775</v>
      </c>
      <c r="O256" s="6" t="s">
        <v>366</v>
      </c>
      <c r="P256" s="17">
        <v>43817</v>
      </c>
      <c r="Q256" s="5">
        <f>VLOOKUP(G256,'CBs RAW'!$E$2:$P$427,12)</f>
        <v>1</v>
      </c>
      <c r="R256" s="17">
        <v>46741</v>
      </c>
      <c r="S256" s="6" t="s">
        <v>173</v>
      </c>
      <c r="T256" s="6" t="s">
        <v>174</v>
      </c>
      <c r="U256" s="6" t="s">
        <v>49</v>
      </c>
      <c r="V256" s="6" t="s">
        <v>53</v>
      </c>
      <c r="W256" s="6" t="s">
        <v>2786</v>
      </c>
      <c r="X256" s="18">
        <f>VLOOKUP(G256,'CBs RAW'!$E$2:$W$427,19)</f>
        <v>0.9</v>
      </c>
      <c r="Y256" s="19">
        <f t="shared" si="0"/>
        <v>0.9</v>
      </c>
      <c r="Z256" s="2" t="str">
        <f t="shared" si="1"/>
        <v>JAB Holdings BVAT MATURITYFIXEDEURSr Unsecured</v>
      </c>
    </row>
    <row r="257" spans="1:26" x14ac:dyDescent="0.2">
      <c r="A257" s="6">
        <v>256</v>
      </c>
      <c r="B257" s="6" t="s">
        <v>1559</v>
      </c>
      <c r="C257" s="6" t="s">
        <v>1562</v>
      </c>
      <c r="D257" s="6" t="s">
        <v>57</v>
      </c>
      <c r="E257" s="6" t="str">
        <f>VLOOKUP(G257,'CBs RAW'!$E$2:$H$427,4)</f>
        <v>#N/A N/A</v>
      </c>
      <c r="F257" s="6" t="s">
        <v>257</v>
      </c>
      <c r="G257" s="6" t="s">
        <v>2787</v>
      </c>
      <c r="H257" s="6" t="s">
        <v>2788</v>
      </c>
      <c r="I257" s="6" t="s">
        <v>2789</v>
      </c>
      <c r="J257" s="6" t="s">
        <v>55</v>
      </c>
      <c r="K257" s="6" t="s">
        <v>56</v>
      </c>
      <c r="L257" s="5">
        <v>833872500</v>
      </c>
      <c r="M257" s="6" t="s">
        <v>52</v>
      </c>
      <c r="N257" s="6" t="s">
        <v>1770</v>
      </c>
      <c r="O257" s="6" t="s">
        <v>366</v>
      </c>
      <c r="P257" s="17">
        <v>43817</v>
      </c>
      <c r="Q257" s="5">
        <f>VLOOKUP(G257,'CBs RAW'!$E$2:$P$427,12)</f>
        <v>2.25</v>
      </c>
      <c r="R257" s="17">
        <v>51123</v>
      </c>
      <c r="S257" s="6" t="s">
        <v>173</v>
      </c>
      <c r="T257" s="6" t="s">
        <v>174</v>
      </c>
      <c r="U257" s="6" t="s">
        <v>49</v>
      </c>
      <c r="V257" s="6" t="s">
        <v>53</v>
      </c>
      <c r="W257" s="6" t="s">
        <v>2790</v>
      </c>
      <c r="X257" s="18">
        <f>VLOOKUP(G257,'CBs RAW'!$E$2:$W$427,19)</f>
        <v>2.181</v>
      </c>
      <c r="Y257" s="19">
        <f t="shared" si="0"/>
        <v>2.181</v>
      </c>
      <c r="Z257" s="2" t="str">
        <f t="shared" si="1"/>
        <v>JAB Holdings BVAT MATURITYFIXEDEURSr Unsecured</v>
      </c>
    </row>
    <row r="258" spans="1:26" x14ac:dyDescent="0.2">
      <c r="A258" s="6">
        <v>257</v>
      </c>
      <c r="B258" s="6" t="s">
        <v>657</v>
      </c>
      <c r="C258" s="6" t="s">
        <v>660</v>
      </c>
      <c r="D258" s="6" t="s">
        <v>71</v>
      </c>
      <c r="E258" s="6">
        <f>VLOOKUP(G258,'CBs RAW'!$E$2:$H$427,4)</f>
        <v>2.7199999999999998</v>
      </c>
      <c r="F258" s="6" t="s">
        <v>185</v>
      </c>
      <c r="G258" s="6" t="s">
        <v>2791</v>
      </c>
      <c r="H258" s="6" t="s">
        <v>2792</v>
      </c>
      <c r="I258" s="6" t="s">
        <v>2793</v>
      </c>
      <c r="J258" s="6" t="s">
        <v>55</v>
      </c>
      <c r="K258" s="6" t="s">
        <v>56</v>
      </c>
      <c r="L258" s="5">
        <v>1000000000</v>
      </c>
      <c r="M258" s="6" t="s">
        <v>52</v>
      </c>
      <c r="N258" s="6" t="s">
        <v>1775</v>
      </c>
      <c r="O258" s="6" t="s">
        <v>169</v>
      </c>
      <c r="P258" s="17">
        <v>44523</v>
      </c>
      <c r="Q258" s="5">
        <f>VLOOKUP(G258,'CBs RAW'!$E$2:$P$427,12)</f>
        <v>2.5</v>
      </c>
      <c r="R258" s="17">
        <v>46402</v>
      </c>
      <c r="S258" s="6" t="s">
        <v>261</v>
      </c>
      <c r="T258" s="6" t="s">
        <v>263</v>
      </c>
      <c r="U258" s="6" t="s">
        <v>115</v>
      </c>
      <c r="V258" s="6" t="s">
        <v>262</v>
      </c>
      <c r="W258" s="6" t="s">
        <v>2794</v>
      </c>
      <c r="X258" s="18">
        <f>VLOOKUP(G258,'CBs RAW'!$E$2:$W$427,19)</f>
        <v>2.6749999999999998</v>
      </c>
      <c r="Y258" s="19">
        <f t="shared" si="0"/>
        <v>2.6749999999999998</v>
      </c>
      <c r="Z258" s="2" t="str">
        <f t="shared" si="1"/>
        <v>JBS Finance Luxembourg SarlCALLABLEFIXEDUSDSr Unsecured</v>
      </c>
    </row>
    <row r="259" spans="1:26" x14ac:dyDescent="0.2">
      <c r="A259" s="6">
        <v>258</v>
      </c>
      <c r="B259" s="6" t="s">
        <v>657</v>
      </c>
      <c r="C259" s="6" t="s">
        <v>660</v>
      </c>
      <c r="D259" s="6" t="s">
        <v>71</v>
      </c>
      <c r="E259" s="6">
        <f>VLOOKUP(G259,'CBs RAW'!$E$2:$H$427,4)</f>
        <v>2.72</v>
      </c>
      <c r="F259" s="6" t="s">
        <v>185</v>
      </c>
      <c r="G259" s="6" t="s">
        <v>2795</v>
      </c>
      <c r="H259" s="6" t="s">
        <v>2796</v>
      </c>
      <c r="I259" s="6" t="s">
        <v>2797</v>
      </c>
      <c r="J259" s="6" t="s">
        <v>55</v>
      </c>
      <c r="K259" s="6" t="s">
        <v>56</v>
      </c>
      <c r="L259" s="5">
        <v>1000000000</v>
      </c>
      <c r="M259" s="6" t="s">
        <v>52</v>
      </c>
      <c r="N259" s="6" t="s">
        <v>1775</v>
      </c>
      <c r="O259" s="6" t="s">
        <v>169</v>
      </c>
      <c r="P259" s="17">
        <v>44523</v>
      </c>
      <c r="Q259" s="5">
        <f>VLOOKUP(G259,'CBs RAW'!$E$2:$P$427,12)</f>
        <v>2.5</v>
      </c>
      <c r="R259" s="17">
        <v>46402</v>
      </c>
      <c r="S259" s="6" t="s">
        <v>270</v>
      </c>
      <c r="T259" s="6" t="s">
        <v>263</v>
      </c>
      <c r="U259" s="6" t="s">
        <v>115</v>
      </c>
      <c r="V259" s="6" t="s">
        <v>262</v>
      </c>
      <c r="W259" s="6" t="s">
        <v>2798</v>
      </c>
      <c r="X259" s="18">
        <f>VLOOKUP(G259,'CBs RAW'!$E$2:$W$427,19)</f>
        <v>2.7069999999999999</v>
      </c>
      <c r="Y259" s="19">
        <f t="shared" si="0"/>
        <v>2.7069999999999999</v>
      </c>
      <c r="Z259" s="2" t="str">
        <f t="shared" si="1"/>
        <v>JBS Finance Luxembourg SarlCALLABLEFIXEDUSDSr Unsecured</v>
      </c>
    </row>
    <row r="260" spans="1:26" x14ac:dyDescent="0.2">
      <c r="A260" s="6">
        <v>259</v>
      </c>
      <c r="B260" s="6" t="s">
        <v>871</v>
      </c>
      <c r="C260" s="6" t="s">
        <v>874</v>
      </c>
      <c r="D260" s="6" t="s">
        <v>57</v>
      </c>
      <c r="E260" s="6" t="str">
        <f>VLOOKUP(G260,'CBs RAW'!$E$2:$H$427,4)</f>
        <v>#N/A N/A</v>
      </c>
      <c r="F260" s="6" t="s">
        <v>185</v>
      </c>
      <c r="G260" s="6" t="s">
        <v>2799</v>
      </c>
      <c r="H260" s="6" t="s">
        <v>2800</v>
      </c>
      <c r="I260" s="6" t="s">
        <v>2801</v>
      </c>
      <c r="J260" s="6" t="s">
        <v>55</v>
      </c>
      <c r="K260" s="6" t="s">
        <v>56</v>
      </c>
      <c r="L260" s="5">
        <v>592640000</v>
      </c>
      <c r="M260" s="6" t="s">
        <v>52</v>
      </c>
      <c r="N260" s="6" t="s">
        <v>1775</v>
      </c>
      <c r="O260" s="6" t="s">
        <v>594</v>
      </c>
      <c r="P260" s="17">
        <v>44089</v>
      </c>
      <c r="Q260" s="5">
        <f>VLOOKUP(G260,'CBs RAW'!$E$2:$P$427,12)</f>
        <v>0.375</v>
      </c>
      <c r="R260" s="17">
        <v>46645</v>
      </c>
      <c r="S260" s="6" t="s">
        <v>173</v>
      </c>
      <c r="T260" s="6" t="s">
        <v>174</v>
      </c>
      <c r="U260" s="6" t="s">
        <v>115</v>
      </c>
      <c r="V260" s="6" t="s">
        <v>53</v>
      </c>
      <c r="W260" s="6" t="s">
        <v>2802</v>
      </c>
      <c r="X260" s="18">
        <f>VLOOKUP(G260,'CBs RAW'!$E$2:$W$427,19)</f>
        <v>0.35699999999999998</v>
      </c>
      <c r="Y260" s="19">
        <f t="shared" si="0"/>
        <v>0.35699999999999998</v>
      </c>
      <c r="Z260" s="2" t="str">
        <f t="shared" si="1"/>
        <v>Johnson Controls International plc / Tyco Fire &amp; Security Finance SCACALLABLEFIXEDEURSr Unsecured</v>
      </c>
    </row>
    <row r="261" spans="1:26" x14ac:dyDescent="0.2">
      <c r="A261" s="6">
        <v>260</v>
      </c>
      <c r="B261" s="6" t="s">
        <v>871</v>
      </c>
      <c r="C261" s="6" t="s">
        <v>874</v>
      </c>
      <c r="D261" s="6" t="s">
        <v>57</v>
      </c>
      <c r="E261" s="6" t="str">
        <f>VLOOKUP(G261,'CBs RAW'!$E$2:$H$427,4)</f>
        <v>#N/A N/A</v>
      </c>
      <c r="F261" s="6" t="s">
        <v>185</v>
      </c>
      <c r="G261" s="6" t="s">
        <v>2803</v>
      </c>
      <c r="H261" s="6" t="s">
        <v>2804</v>
      </c>
      <c r="I261" s="6" t="s">
        <v>2805</v>
      </c>
      <c r="J261" s="6" t="s">
        <v>55</v>
      </c>
      <c r="K261" s="6" t="s">
        <v>56</v>
      </c>
      <c r="L261" s="5">
        <v>592640000</v>
      </c>
      <c r="M261" s="6" t="s">
        <v>52</v>
      </c>
      <c r="N261" s="6" t="s">
        <v>1775</v>
      </c>
      <c r="O261" s="6" t="s">
        <v>594</v>
      </c>
      <c r="P261" s="17">
        <v>44089</v>
      </c>
      <c r="Q261" s="5">
        <f>VLOOKUP(G261,'CBs RAW'!$E$2:$P$427,12)</f>
        <v>1</v>
      </c>
      <c r="R261" s="17">
        <v>48472</v>
      </c>
      <c r="S261" s="6" t="s">
        <v>173</v>
      </c>
      <c r="T261" s="6" t="s">
        <v>174</v>
      </c>
      <c r="U261" s="6" t="s">
        <v>115</v>
      </c>
      <c r="V261" s="6" t="s">
        <v>53</v>
      </c>
      <c r="W261" s="6" t="s">
        <v>2806</v>
      </c>
      <c r="X261" s="18">
        <f>VLOOKUP(G261,'CBs RAW'!$E$2:$W$427,19)</f>
        <v>0.92</v>
      </c>
      <c r="Y261" s="19">
        <f t="shared" si="0"/>
        <v>0.92</v>
      </c>
      <c r="Z261" s="2" t="str">
        <f t="shared" si="1"/>
        <v>Johnson Controls International plc / Tyco Fire &amp; Security Finance SCACALLABLEFIXEDEURSr Unsecured</v>
      </c>
    </row>
    <row r="262" spans="1:26" x14ac:dyDescent="0.2">
      <c r="A262" s="6">
        <v>261</v>
      </c>
      <c r="B262" s="6" t="s">
        <v>468</v>
      </c>
      <c r="C262" s="6" t="s">
        <v>471</v>
      </c>
      <c r="D262" s="6" t="s">
        <v>57</v>
      </c>
      <c r="E262" s="6">
        <f>VLOOKUP(G262,'CBs RAW'!$E$2:$H$427,4)</f>
        <v>3.01</v>
      </c>
      <c r="F262" s="6" t="s">
        <v>257</v>
      </c>
      <c r="G262" s="6" t="s">
        <v>2807</v>
      </c>
      <c r="H262" s="6" t="s">
        <v>2808</v>
      </c>
      <c r="I262" s="6" t="s">
        <v>2809</v>
      </c>
      <c r="J262" s="6" t="s">
        <v>55</v>
      </c>
      <c r="K262" s="6" t="s">
        <v>56</v>
      </c>
      <c r="L262" s="5">
        <v>204573000</v>
      </c>
      <c r="M262" s="6" t="s">
        <v>52</v>
      </c>
      <c r="N262" s="6" t="s">
        <v>173</v>
      </c>
      <c r="O262" s="6" t="s">
        <v>257</v>
      </c>
      <c r="P262" s="17">
        <v>41815</v>
      </c>
      <c r="Q262" s="5">
        <f>VLOOKUP(G262,'CBs RAW'!$E$2:$P$427,12)</f>
        <v>3</v>
      </c>
      <c r="R262" s="17">
        <v>46198</v>
      </c>
      <c r="S262" s="6" t="s">
        <v>225</v>
      </c>
      <c r="T262" s="6" t="s">
        <v>189</v>
      </c>
      <c r="U262" s="6" t="s">
        <v>49</v>
      </c>
      <c r="V262" s="6" t="s">
        <v>53</v>
      </c>
      <c r="W262" s="6" t="s">
        <v>2810</v>
      </c>
      <c r="X262" s="18" t="str">
        <f>VLOOKUP(G262,'CBs RAW'!$E$2:$W$427,19)</f>
        <v>#N/A N/A</v>
      </c>
      <c r="Y262" s="2">
        <f t="shared" si="0"/>
        <v>3.01</v>
      </c>
      <c r="Z262" s="2" t="str">
        <f t="shared" si="1"/>
        <v>Kelag-Kaerntner Elektrizitaets AGAT MATURITYFIXEDEURSr Unsecured</v>
      </c>
    </row>
    <row r="263" spans="1:26" x14ac:dyDescent="0.2">
      <c r="A263" s="6">
        <v>262</v>
      </c>
      <c r="B263" s="6" t="s">
        <v>1224</v>
      </c>
      <c r="C263" s="6" t="s">
        <v>1227</v>
      </c>
      <c r="D263" s="6" t="s">
        <v>71</v>
      </c>
      <c r="E263" s="6" t="str">
        <f>VLOOKUP(G263,'CBs RAW'!$E$2:$H$427,4)</f>
        <v>#N/A N/A</v>
      </c>
      <c r="F263" s="6" t="s">
        <v>594</v>
      </c>
      <c r="G263" s="6" t="s">
        <v>2811</v>
      </c>
      <c r="H263" s="6" t="s">
        <v>173</v>
      </c>
      <c r="I263" s="6" t="s">
        <v>2812</v>
      </c>
      <c r="J263" s="6" t="s">
        <v>55</v>
      </c>
      <c r="K263" s="6" t="s">
        <v>56</v>
      </c>
      <c r="L263" s="6"/>
      <c r="M263" s="6" t="s">
        <v>118</v>
      </c>
      <c r="N263" s="6" t="s">
        <v>173</v>
      </c>
      <c r="O263" s="6" t="s">
        <v>594</v>
      </c>
      <c r="P263" s="17">
        <v>43485</v>
      </c>
      <c r="Q263" s="5">
        <f>VLOOKUP(G263,'CBs RAW'!$E$2:$P$427,12)</f>
        <v>5.08</v>
      </c>
      <c r="R263" s="17">
        <v>45677</v>
      </c>
      <c r="S263" s="6" t="s">
        <v>173</v>
      </c>
      <c r="T263" s="6" t="s">
        <v>54</v>
      </c>
      <c r="U263" s="6" t="s">
        <v>49</v>
      </c>
      <c r="V263" s="6" t="s">
        <v>262</v>
      </c>
      <c r="W263" s="6" t="s">
        <v>2813</v>
      </c>
      <c r="X263" s="18" t="str">
        <f>VLOOKUP(G263,'CBs RAW'!$E$2:$W$427,19)</f>
        <v>#N/A N/A</v>
      </c>
      <c r="Y263" s="2" t="str">
        <f t="shared" si="0"/>
        <v>#N/A N/A</v>
      </c>
      <c r="Z263" s="2" t="str">
        <f t="shared" si="1"/>
        <v>Kerry Group Financial Services Unltd CoAT MATURITYFIXEDUSDUnsecured</v>
      </c>
    </row>
    <row r="264" spans="1:26" x14ac:dyDescent="0.2">
      <c r="A264" s="6">
        <v>263</v>
      </c>
      <c r="B264" s="6" t="s">
        <v>1224</v>
      </c>
      <c r="C264" s="6" t="s">
        <v>1227</v>
      </c>
      <c r="D264" s="6" t="s">
        <v>57</v>
      </c>
      <c r="E264" s="6" t="str">
        <f>VLOOKUP(G264,'CBs RAW'!$E$2:$H$427,4)</f>
        <v>#N/A N/A</v>
      </c>
      <c r="F264" s="6" t="s">
        <v>594</v>
      </c>
      <c r="G264" s="6" t="s">
        <v>2814</v>
      </c>
      <c r="H264" s="6" t="s">
        <v>2815</v>
      </c>
      <c r="I264" s="6" t="s">
        <v>2816</v>
      </c>
      <c r="J264" s="6" t="s">
        <v>55</v>
      </c>
      <c r="K264" s="6" t="s">
        <v>56</v>
      </c>
      <c r="L264" s="5">
        <v>1070023000</v>
      </c>
      <c r="M264" s="6" t="s">
        <v>52</v>
      </c>
      <c r="N264" s="6" t="s">
        <v>173</v>
      </c>
      <c r="O264" s="6" t="s">
        <v>594</v>
      </c>
      <c r="P264" s="17">
        <v>42257</v>
      </c>
      <c r="Q264" s="5">
        <f>VLOOKUP(G264,'CBs RAW'!$E$2:$P$427,12)</f>
        <v>2.375</v>
      </c>
      <c r="R264" s="17">
        <v>45910</v>
      </c>
      <c r="S264" s="6" t="s">
        <v>173</v>
      </c>
      <c r="T264" s="6" t="s">
        <v>174</v>
      </c>
      <c r="U264" s="6" t="s">
        <v>115</v>
      </c>
      <c r="V264" s="6" t="s">
        <v>53</v>
      </c>
      <c r="W264" s="6" t="s">
        <v>2817</v>
      </c>
      <c r="X264" s="18" t="str">
        <f>VLOOKUP(G264,'CBs RAW'!$E$2:$W$427,19)</f>
        <v>#N/A N/A</v>
      </c>
      <c r="Y264" s="2" t="str">
        <f t="shared" si="0"/>
        <v>#N/A N/A</v>
      </c>
      <c r="Z264" s="2" t="str">
        <f t="shared" si="1"/>
        <v>Kerry Group Financial Services Unltd CoCALLABLEFIXEDEURSr Unsecured</v>
      </c>
    </row>
    <row r="265" spans="1:26" x14ac:dyDescent="0.2">
      <c r="A265" s="6">
        <v>264</v>
      </c>
      <c r="B265" s="6" t="s">
        <v>1224</v>
      </c>
      <c r="C265" s="6" t="s">
        <v>1227</v>
      </c>
      <c r="D265" s="6" t="s">
        <v>57</v>
      </c>
      <c r="E265" s="6" t="str">
        <f>VLOOKUP(G265,'CBs RAW'!$E$2:$H$427,4)</f>
        <v>#N/A N/A</v>
      </c>
      <c r="F265" s="6" t="s">
        <v>594</v>
      </c>
      <c r="G265" s="6" t="s">
        <v>2818</v>
      </c>
      <c r="H265" s="6" t="s">
        <v>2819</v>
      </c>
      <c r="I265" s="6" t="s">
        <v>2820</v>
      </c>
      <c r="J265" s="6" t="s">
        <v>55</v>
      </c>
      <c r="K265" s="6" t="s">
        <v>56</v>
      </c>
      <c r="L265" s="5">
        <v>825547500</v>
      </c>
      <c r="M265" s="6" t="s">
        <v>52</v>
      </c>
      <c r="N265" s="6" t="s">
        <v>173</v>
      </c>
      <c r="O265" s="6" t="s">
        <v>594</v>
      </c>
      <c r="P265" s="17">
        <v>43728</v>
      </c>
      <c r="Q265" s="5">
        <f>VLOOKUP(G265,'CBs RAW'!$E$2:$P$427,12)</f>
        <v>0.625</v>
      </c>
      <c r="R265" s="17">
        <v>47381</v>
      </c>
      <c r="S265" s="6" t="s">
        <v>173</v>
      </c>
      <c r="T265" s="6" t="s">
        <v>174</v>
      </c>
      <c r="U265" s="6" t="s">
        <v>115</v>
      </c>
      <c r="V265" s="6" t="s">
        <v>53</v>
      </c>
      <c r="W265" s="6" t="s">
        <v>2821</v>
      </c>
      <c r="X265" s="18">
        <f>VLOOKUP(G265,'CBs RAW'!$E$2:$W$427,19)</f>
        <v>0.68799999999999994</v>
      </c>
      <c r="Y265" s="19">
        <f t="shared" si="0"/>
        <v>0.68799999999999994</v>
      </c>
      <c r="Z265" s="2" t="str">
        <f t="shared" si="1"/>
        <v>Kerry Group Financial Services Unltd CoCALLABLEFIXEDEURSr Unsecured</v>
      </c>
    </row>
    <row r="266" spans="1:26" x14ac:dyDescent="0.2">
      <c r="A266" s="6">
        <v>265</v>
      </c>
      <c r="B266" s="6" t="s">
        <v>1145</v>
      </c>
      <c r="C266" s="6" t="s">
        <v>1148</v>
      </c>
      <c r="D266" s="6" t="s">
        <v>391</v>
      </c>
      <c r="E266" s="6" t="str">
        <f>VLOOKUP(G266,'CBs RAW'!$E$2:$H$427,4)</f>
        <v>#N/A N/A</v>
      </c>
      <c r="F266" s="6" t="s">
        <v>367</v>
      </c>
      <c r="G266" s="6" t="s">
        <v>2822</v>
      </c>
      <c r="H266" s="6" t="s">
        <v>2823</v>
      </c>
      <c r="I266" s="6" t="s">
        <v>2824</v>
      </c>
      <c r="J266" s="6" t="s">
        <v>420</v>
      </c>
      <c r="K266" s="6" t="s">
        <v>70</v>
      </c>
      <c r="L266" s="5">
        <v>127452500</v>
      </c>
      <c r="M266" s="6" t="s">
        <v>52</v>
      </c>
      <c r="N266" s="6" t="s">
        <v>1775</v>
      </c>
      <c r="O266" s="6" t="s">
        <v>367</v>
      </c>
      <c r="P266" s="17">
        <v>43880</v>
      </c>
      <c r="Q266" s="5">
        <f>VLOOKUP(G266,'CBs RAW'!$E$2:$P$427,12)</f>
        <v>0.75600000000000001</v>
      </c>
      <c r="R266" s="17">
        <v>45707</v>
      </c>
      <c r="S266" s="6" t="s">
        <v>685</v>
      </c>
      <c r="T266" s="6" t="s">
        <v>54</v>
      </c>
      <c r="U266" s="6" t="s">
        <v>49</v>
      </c>
      <c r="V266" s="6" t="s">
        <v>686</v>
      </c>
      <c r="W266" s="6" t="s">
        <v>2825</v>
      </c>
      <c r="X266" s="18">
        <f>VLOOKUP(G266,'CBs RAW'!$E$2:$W$427,19)</f>
        <v>0.88700000000000001</v>
      </c>
      <c r="Y266" s="19">
        <f t="shared" si="0"/>
        <v>0.88700000000000001</v>
      </c>
      <c r="Z266" s="2" t="str">
        <f t="shared" si="1"/>
        <v>Kinnevik ABAT MATURITYFLOATINGSEKSr Unsecured</v>
      </c>
    </row>
    <row r="267" spans="1:26" x14ac:dyDescent="0.2">
      <c r="A267" s="6">
        <v>266</v>
      </c>
      <c r="B267" s="6" t="s">
        <v>1145</v>
      </c>
      <c r="C267" s="6" t="s">
        <v>1148</v>
      </c>
      <c r="D267" s="6" t="s">
        <v>57</v>
      </c>
      <c r="E267" s="6" t="str">
        <f>VLOOKUP(G267,'CBs RAW'!$E$2:$H$427,4)</f>
        <v>#N/A N/A</v>
      </c>
      <c r="F267" s="6" t="s">
        <v>367</v>
      </c>
      <c r="G267" s="6" t="s">
        <v>2826</v>
      </c>
      <c r="H267" s="6" t="s">
        <v>2827</v>
      </c>
      <c r="I267" s="6" t="s">
        <v>2828</v>
      </c>
      <c r="J267" s="6" t="s">
        <v>420</v>
      </c>
      <c r="K267" s="6" t="s">
        <v>56</v>
      </c>
      <c r="L267" s="5">
        <v>25490500</v>
      </c>
      <c r="M267" s="6" t="s">
        <v>52</v>
      </c>
      <c r="N267" s="6" t="s">
        <v>1775</v>
      </c>
      <c r="O267" s="6" t="s">
        <v>367</v>
      </c>
      <c r="P267" s="17">
        <v>43880</v>
      </c>
      <c r="Q267" s="5">
        <f>VLOOKUP(G267,'CBs RAW'!$E$2:$P$427,12)</f>
        <v>1.0580000000000001</v>
      </c>
      <c r="R267" s="17">
        <v>45707</v>
      </c>
      <c r="S267" s="6" t="s">
        <v>685</v>
      </c>
      <c r="T267" s="6" t="s">
        <v>54</v>
      </c>
      <c r="U267" s="6" t="s">
        <v>49</v>
      </c>
      <c r="V267" s="6" t="s">
        <v>686</v>
      </c>
      <c r="W267" s="6" t="s">
        <v>2829</v>
      </c>
      <c r="X267" s="18">
        <f>VLOOKUP(G267,'CBs RAW'!$E$2:$W$427,19)</f>
        <v>0.94599999999999995</v>
      </c>
      <c r="Y267" s="19">
        <f t="shared" si="0"/>
        <v>0.94599999999999995</v>
      </c>
      <c r="Z267" s="2" t="str">
        <f t="shared" si="1"/>
        <v>Kinnevik ABAT MATURITYFIXEDSEKSr Unsecured</v>
      </c>
    </row>
    <row r="268" spans="1:26" x14ac:dyDescent="0.2">
      <c r="A268" s="6">
        <v>267</v>
      </c>
      <c r="B268" s="6" t="s">
        <v>253</v>
      </c>
      <c r="C268" s="6" t="s">
        <v>256</v>
      </c>
      <c r="D268" s="6" t="s">
        <v>71</v>
      </c>
      <c r="E268" s="6">
        <f>VLOOKUP(G268,'CBs RAW'!$E$2:$H$427,4)</f>
        <v>5.8000000000000007</v>
      </c>
      <c r="F268" s="6" t="s">
        <v>258</v>
      </c>
      <c r="G268" s="6" t="s">
        <v>2830</v>
      </c>
      <c r="H268" s="6" t="s">
        <v>2831</v>
      </c>
      <c r="I268" s="6" t="s">
        <v>2832</v>
      </c>
      <c r="J268" s="6" t="s">
        <v>55</v>
      </c>
      <c r="K268" s="6" t="s">
        <v>56</v>
      </c>
      <c r="L268" s="5">
        <v>750000000</v>
      </c>
      <c r="M268" s="6" t="s">
        <v>52</v>
      </c>
      <c r="N268" s="6" t="s">
        <v>1839</v>
      </c>
      <c r="O268" s="6" t="s">
        <v>257</v>
      </c>
      <c r="P268" s="17">
        <v>43558</v>
      </c>
      <c r="Q268" s="5">
        <f>VLOOKUP(G268,'CBs RAW'!$E$2:$P$427,12)</f>
        <v>5.75</v>
      </c>
      <c r="R268" s="17">
        <v>47211</v>
      </c>
      <c r="S268" s="6" t="s">
        <v>261</v>
      </c>
      <c r="T268" s="6" t="s">
        <v>263</v>
      </c>
      <c r="U268" s="6" t="s">
        <v>115</v>
      </c>
      <c r="V268" s="6" t="s">
        <v>262</v>
      </c>
      <c r="W268" s="6" t="s">
        <v>2833</v>
      </c>
      <c r="X268" s="18">
        <f>VLOOKUP(G268,'CBs RAW'!$E$2:$W$427,19)</f>
        <v>5.7039999999999997</v>
      </c>
      <c r="Y268" s="19">
        <f t="shared" si="0"/>
        <v>5.7039999999999997</v>
      </c>
      <c r="Z268" s="2" t="str">
        <f t="shared" si="1"/>
        <v>Klabin Austria GmbHCALLABLEFIXEDUSDSr Unsecured</v>
      </c>
    </row>
    <row r="269" spans="1:26" x14ac:dyDescent="0.2">
      <c r="A269" s="6">
        <v>268</v>
      </c>
      <c r="B269" s="6" t="s">
        <v>253</v>
      </c>
      <c r="C269" s="6" t="s">
        <v>256</v>
      </c>
      <c r="D269" s="6" t="s">
        <v>71</v>
      </c>
      <c r="E269" s="6">
        <f>VLOOKUP(G269,'CBs RAW'!$E$2:$H$427,4)</f>
        <v>5.8000000000000007</v>
      </c>
      <c r="F269" s="6" t="s">
        <v>258</v>
      </c>
      <c r="G269" s="6" t="s">
        <v>2834</v>
      </c>
      <c r="H269" s="6" t="s">
        <v>2835</v>
      </c>
      <c r="I269" s="6" t="s">
        <v>2836</v>
      </c>
      <c r="J269" s="6" t="s">
        <v>55</v>
      </c>
      <c r="K269" s="6" t="s">
        <v>56</v>
      </c>
      <c r="L269" s="5">
        <v>750000000</v>
      </c>
      <c r="M269" s="6" t="s">
        <v>52</v>
      </c>
      <c r="N269" s="6" t="s">
        <v>1839</v>
      </c>
      <c r="O269" s="6" t="s">
        <v>257</v>
      </c>
      <c r="P269" s="17">
        <v>43558</v>
      </c>
      <c r="Q269" s="5">
        <f>VLOOKUP(G269,'CBs RAW'!$E$2:$P$427,12)</f>
        <v>5.75</v>
      </c>
      <c r="R269" s="17">
        <v>47211</v>
      </c>
      <c r="S269" s="6" t="s">
        <v>270</v>
      </c>
      <c r="T269" s="6" t="s">
        <v>263</v>
      </c>
      <c r="U269" s="6" t="s">
        <v>115</v>
      </c>
      <c r="V269" s="6" t="s">
        <v>262</v>
      </c>
      <c r="W269" s="6" t="s">
        <v>2837</v>
      </c>
      <c r="X269" s="18">
        <f>VLOOKUP(G269,'CBs RAW'!$E$2:$W$427,19)</f>
        <v>5.63</v>
      </c>
      <c r="Y269" s="19">
        <f t="shared" si="0"/>
        <v>5.63</v>
      </c>
      <c r="Z269" s="2" t="str">
        <f t="shared" si="1"/>
        <v>Klabin Austria GmbHCALLABLEFIXEDUSDSr Unsecured</v>
      </c>
    </row>
    <row r="270" spans="1:26" x14ac:dyDescent="0.2">
      <c r="A270" s="6">
        <v>269</v>
      </c>
      <c r="B270" s="6" t="s">
        <v>253</v>
      </c>
      <c r="C270" s="6" t="s">
        <v>256</v>
      </c>
      <c r="D270" s="6" t="s">
        <v>71</v>
      </c>
      <c r="E270" s="6">
        <f>VLOOKUP(G270,'CBs RAW'!$E$2:$H$427,4)</f>
        <v>5.25</v>
      </c>
      <c r="F270" s="6" t="s">
        <v>258</v>
      </c>
      <c r="G270" s="6" t="s">
        <v>2838</v>
      </c>
      <c r="H270" s="6" t="s">
        <v>2839</v>
      </c>
      <c r="I270" s="6" t="s">
        <v>2840</v>
      </c>
      <c r="J270" s="6" t="s">
        <v>55</v>
      </c>
      <c r="K270" s="6" t="s">
        <v>56</v>
      </c>
      <c r="L270" s="5">
        <v>500000000</v>
      </c>
      <c r="M270" s="6" t="s">
        <v>52</v>
      </c>
      <c r="N270" s="6" t="s">
        <v>1770</v>
      </c>
      <c r="O270" s="6" t="s">
        <v>257</v>
      </c>
      <c r="P270" s="17">
        <v>41836</v>
      </c>
      <c r="Q270" s="5">
        <f>VLOOKUP(G270,'CBs RAW'!$E$2:$P$427,12)</f>
        <v>5.25</v>
      </c>
      <c r="R270" s="17">
        <v>45489</v>
      </c>
      <c r="S270" s="6" t="s">
        <v>261</v>
      </c>
      <c r="T270" s="6" t="s">
        <v>263</v>
      </c>
      <c r="U270" s="6" t="s">
        <v>49</v>
      </c>
      <c r="V270" s="6" t="s">
        <v>262</v>
      </c>
      <c r="W270" s="6" t="s">
        <v>2841</v>
      </c>
      <c r="X270" s="18" t="str">
        <f>VLOOKUP(G270,'CBs RAW'!$E$2:$W$427,19)</f>
        <v>#N/A N/A</v>
      </c>
      <c r="Y270" s="2">
        <f t="shared" si="0"/>
        <v>5.25</v>
      </c>
      <c r="Z270" s="2" t="str">
        <f t="shared" si="1"/>
        <v>Klabin Austria GmbHAT MATURITYFIXEDUSDSr Unsecured</v>
      </c>
    </row>
    <row r="271" spans="1:26" x14ac:dyDescent="0.2">
      <c r="A271" s="6">
        <v>270</v>
      </c>
      <c r="B271" s="6" t="s">
        <v>253</v>
      </c>
      <c r="C271" s="6" t="s">
        <v>256</v>
      </c>
      <c r="D271" s="6" t="s">
        <v>71</v>
      </c>
      <c r="E271" s="6">
        <f>VLOOKUP(G271,'CBs RAW'!$E$2:$H$427,4)</f>
        <v>5.25</v>
      </c>
      <c r="F271" s="6" t="s">
        <v>258</v>
      </c>
      <c r="G271" s="6" t="s">
        <v>2842</v>
      </c>
      <c r="H271" s="6" t="s">
        <v>2843</v>
      </c>
      <c r="I271" s="6" t="s">
        <v>2844</v>
      </c>
      <c r="J271" s="6" t="s">
        <v>55</v>
      </c>
      <c r="K271" s="6" t="s">
        <v>56</v>
      </c>
      <c r="L271" s="5">
        <v>500000000</v>
      </c>
      <c r="M271" s="6" t="s">
        <v>52</v>
      </c>
      <c r="N271" s="6" t="s">
        <v>1770</v>
      </c>
      <c r="O271" s="6" t="s">
        <v>257</v>
      </c>
      <c r="P271" s="17">
        <v>41836</v>
      </c>
      <c r="Q271" s="5">
        <f>VLOOKUP(G271,'CBs RAW'!$E$2:$P$427,12)</f>
        <v>5.25</v>
      </c>
      <c r="R271" s="17">
        <v>45489</v>
      </c>
      <c r="S271" s="6" t="s">
        <v>270</v>
      </c>
      <c r="T271" s="6" t="s">
        <v>263</v>
      </c>
      <c r="U271" s="6" t="s">
        <v>49</v>
      </c>
      <c r="V271" s="6" t="s">
        <v>262</v>
      </c>
      <c r="W271" s="6" t="s">
        <v>2845</v>
      </c>
      <c r="X271" s="18" t="str">
        <f>VLOOKUP(G271,'CBs RAW'!$E$2:$W$427,19)</f>
        <v>#N/A N/A</v>
      </c>
      <c r="Y271" s="2">
        <f t="shared" si="0"/>
        <v>5.25</v>
      </c>
      <c r="Z271" s="2" t="str">
        <f t="shared" si="1"/>
        <v>Klabin Austria GmbHAT MATURITYFIXEDUSDSr Unsecured</v>
      </c>
    </row>
    <row r="272" spans="1:26" x14ac:dyDescent="0.2">
      <c r="A272" s="6">
        <v>271</v>
      </c>
      <c r="B272" s="6" t="s">
        <v>415</v>
      </c>
      <c r="C272" s="6" t="s">
        <v>418</v>
      </c>
      <c r="D272" s="6" t="s">
        <v>57</v>
      </c>
      <c r="E272" s="6" t="str">
        <f>VLOOKUP(G272,'CBs RAW'!$E$2:$H$427,4)</f>
        <v>#N/A N/A</v>
      </c>
      <c r="F272" s="6" t="s">
        <v>366</v>
      </c>
      <c r="G272" s="6" t="s">
        <v>2846</v>
      </c>
      <c r="H272" s="6" t="s">
        <v>2847</v>
      </c>
      <c r="I272" s="6" t="s">
        <v>2848</v>
      </c>
      <c r="J272" s="6" t="s">
        <v>420</v>
      </c>
      <c r="K272" s="6" t="s">
        <v>56</v>
      </c>
      <c r="L272" s="5">
        <v>898057500</v>
      </c>
      <c r="M272" s="6" t="s">
        <v>52</v>
      </c>
      <c r="N272" s="6" t="s">
        <v>1775</v>
      </c>
      <c r="O272" s="6" t="s">
        <v>366</v>
      </c>
      <c r="P272" s="17">
        <v>42997</v>
      </c>
      <c r="Q272" s="5">
        <f>VLOOKUP(G272,'CBs RAW'!$E$2:$P$427,12)</f>
        <v>0.875</v>
      </c>
      <c r="R272" s="17">
        <v>45554</v>
      </c>
      <c r="S272" s="6" t="s">
        <v>173</v>
      </c>
      <c r="T272" s="6" t="s">
        <v>174</v>
      </c>
      <c r="U272" s="6" t="s">
        <v>115</v>
      </c>
      <c r="V272" s="6" t="s">
        <v>53</v>
      </c>
      <c r="W272" s="6" t="s">
        <v>2849</v>
      </c>
      <c r="X272" s="18">
        <f>VLOOKUP(G272,'CBs RAW'!$E$2:$W$427,19)</f>
        <v>0.91200000000000003</v>
      </c>
      <c r="Y272" s="19">
        <f t="shared" si="0"/>
        <v>0.91200000000000003</v>
      </c>
      <c r="Z272" s="2" t="str">
        <f t="shared" si="1"/>
        <v>Koninklijke Ahold Delhaize NVCALLABLEFIXEDEURSr Unsecured</v>
      </c>
    </row>
    <row r="273" spans="1:28" x14ac:dyDescent="0.2">
      <c r="A273" s="6">
        <v>272</v>
      </c>
      <c r="B273" s="6" t="s">
        <v>415</v>
      </c>
      <c r="C273" s="6" t="s">
        <v>418</v>
      </c>
      <c r="D273" s="6" t="s">
        <v>57</v>
      </c>
      <c r="E273" s="6" t="str">
        <f>VLOOKUP(G273,'CBs RAW'!$E$2:$H$427,4)</f>
        <v>#N/A N/A</v>
      </c>
      <c r="F273" s="6" t="s">
        <v>366</v>
      </c>
      <c r="G273" s="6" t="s">
        <v>2850</v>
      </c>
      <c r="H273" s="6" t="s">
        <v>2851</v>
      </c>
      <c r="I273" s="6" t="s">
        <v>2852</v>
      </c>
      <c r="J273" s="6" t="s">
        <v>420</v>
      </c>
      <c r="K273" s="6" t="s">
        <v>56</v>
      </c>
      <c r="L273" s="5">
        <v>617410000</v>
      </c>
      <c r="M273" s="6" t="s">
        <v>52</v>
      </c>
      <c r="N273" s="6" t="s">
        <v>1775</v>
      </c>
      <c r="O273" s="6" t="s">
        <v>366</v>
      </c>
      <c r="P273" s="17">
        <v>43178</v>
      </c>
      <c r="Q273" s="5">
        <f>VLOOKUP(G273,'CBs RAW'!$E$2:$P$427,12)</f>
        <v>1.125</v>
      </c>
      <c r="R273" s="17">
        <v>46100</v>
      </c>
      <c r="S273" s="6" t="s">
        <v>173</v>
      </c>
      <c r="T273" s="6" t="s">
        <v>174</v>
      </c>
      <c r="U273" s="6" t="s">
        <v>115</v>
      </c>
      <c r="V273" s="6" t="s">
        <v>53</v>
      </c>
      <c r="W273" s="6" t="s">
        <v>2853</v>
      </c>
      <c r="X273" s="18">
        <f>VLOOKUP(G273,'CBs RAW'!$E$2:$W$427,19)</f>
        <v>1.2549999999999999</v>
      </c>
      <c r="Y273" s="19">
        <f t="shared" si="0"/>
        <v>1.2549999999999999</v>
      </c>
      <c r="Z273" s="2" t="str">
        <f t="shared" si="1"/>
        <v>Koninklijke Ahold Delhaize NVCALLABLEFIXEDEURSr Unsecured</v>
      </c>
    </row>
    <row r="274" spans="1:28" x14ac:dyDescent="0.2">
      <c r="A274" s="6">
        <v>273</v>
      </c>
      <c r="B274" s="6" t="s">
        <v>415</v>
      </c>
      <c r="C274" s="6" t="s">
        <v>418</v>
      </c>
      <c r="D274" s="6" t="s">
        <v>57</v>
      </c>
      <c r="E274" s="6" t="str">
        <f>VLOOKUP(G274,'CBs RAW'!$E$2:$H$427,4)</f>
        <v>#N/A N/A</v>
      </c>
      <c r="F274" s="6" t="s">
        <v>366</v>
      </c>
      <c r="G274" s="6" t="s">
        <v>2854</v>
      </c>
      <c r="H274" s="6" t="s">
        <v>2855</v>
      </c>
      <c r="I274" s="6" t="s">
        <v>2856</v>
      </c>
      <c r="J274" s="6" t="s">
        <v>420</v>
      </c>
      <c r="K274" s="6" t="s">
        <v>56</v>
      </c>
      <c r="L274" s="5">
        <v>542090000</v>
      </c>
      <c r="M274" s="6" t="s">
        <v>52</v>
      </c>
      <c r="N274" s="6" t="s">
        <v>1775</v>
      </c>
      <c r="O274" s="6" t="s">
        <v>366</v>
      </c>
      <c r="P274" s="17">
        <v>43923</v>
      </c>
      <c r="Q274" s="5">
        <f>VLOOKUP(G274,'CBs RAW'!$E$2:$P$427,12)</f>
        <v>1.75</v>
      </c>
      <c r="R274" s="17">
        <v>46479</v>
      </c>
      <c r="S274" s="6" t="s">
        <v>173</v>
      </c>
      <c r="T274" s="6" t="s">
        <v>174</v>
      </c>
      <c r="U274" s="6" t="s">
        <v>115</v>
      </c>
      <c r="V274" s="6" t="s">
        <v>53</v>
      </c>
      <c r="W274" s="6" t="s">
        <v>2857</v>
      </c>
      <c r="X274" s="18">
        <f>VLOOKUP(G274,'CBs RAW'!$E$2:$W$427,19)</f>
        <v>1.506</v>
      </c>
      <c r="Y274" s="19">
        <f t="shared" si="0"/>
        <v>1.506</v>
      </c>
      <c r="Z274" s="2" t="str">
        <f t="shared" si="1"/>
        <v>Koninklijke Ahold Delhaize NVCALLABLEFIXEDEURSr Unsecured</v>
      </c>
      <c r="AB274" s="8"/>
    </row>
    <row r="275" spans="1:28" x14ac:dyDescent="0.2">
      <c r="A275" s="6">
        <v>274</v>
      </c>
      <c r="B275" s="6" t="s">
        <v>1121</v>
      </c>
      <c r="C275" s="6" t="s">
        <v>1124</v>
      </c>
      <c r="D275" s="6" t="s">
        <v>57</v>
      </c>
      <c r="E275" s="6" t="str">
        <f>VLOOKUP(G275,'CBs RAW'!$E$2:$H$427,4)</f>
        <v>#N/A N/A</v>
      </c>
      <c r="F275" s="6" t="s">
        <v>366</v>
      </c>
      <c r="G275" s="6" t="s">
        <v>2858</v>
      </c>
      <c r="H275" s="6" t="s">
        <v>2859</v>
      </c>
      <c r="I275" s="6" t="s">
        <v>2860</v>
      </c>
      <c r="J275" s="6" t="s">
        <v>133</v>
      </c>
      <c r="K275" s="6" t="s">
        <v>56</v>
      </c>
      <c r="L275" s="5">
        <v>700931250</v>
      </c>
      <c r="M275" s="6" t="s">
        <v>52</v>
      </c>
      <c r="N275" s="6" t="s">
        <v>1770</v>
      </c>
      <c r="O275" s="6" t="s">
        <v>366</v>
      </c>
      <c r="P275" s="17">
        <v>42622</v>
      </c>
      <c r="Q275" s="5">
        <f>VLOOKUP(G275,'CBs RAW'!$E$2:$P$427,12)</f>
        <v>0.625</v>
      </c>
      <c r="R275" s="17">
        <v>45756</v>
      </c>
      <c r="S275" s="6" t="s">
        <v>1127</v>
      </c>
      <c r="T275" s="6" t="s">
        <v>496</v>
      </c>
      <c r="U275" s="6" t="s">
        <v>115</v>
      </c>
      <c r="V275" s="6" t="s">
        <v>53</v>
      </c>
      <c r="W275" s="6" t="s">
        <v>2861</v>
      </c>
      <c r="X275" s="18">
        <f>VLOOKUP(G275,'CBs RAW'!$E$2:$W$427,19)</f>
        <v>0.79</v>
      </c>
      <c r="Y275" s="19">
        <f t="shared" si="0"/>
        <v>0.79</v>
      </c>
      <c r="Z275" s="2" t="str">
        <f t="shared" si="1"/>
        <v>Koninklijke KPN NVCALLABLEFIXEDEURSr Unsecured</v>
      </c>
      <c r="AB275" s="8"/>
    </row>
    <row r="276" spans="1:28" x14ac:dyDescent="0.2">
      <c r="A276" s="6">
        <v>275</v>
      </c>
      <c r="B276" s="6" t="s">
        <v>1121</v>
      </c>
      <c r="C276" s="6" t="s">
        <v>1124</v>
      </c>
      <c r="D276" s="6" t="s">
        <v>57</v>
      </c>
      <c r="E276" s="6" t="str">
        <f>VLOOKUP(G276,'CBs RAW'!$E$2:$H$427,4)</f>
        <v>#N/A N/A</v>
      </c>
      <c r="F276" s="6" t="s">
        <v>366</v>
      </c>
      <c r="G276" s="6" t="s">
        <v>2862</v>
      </c>
      <c r="H276" s="6" t="s">
        <v>2863</v>
      </c>
      <c r="I276" s="6" t="s">
        <v>2864</v>
      </c>
      <c r="J276" s="6" t="s">
        <v>133</v>
      </c>
      <c r="K276" s="6" t="s">
        <v>56</v>
      </c>
      <c r="L276" s="5">
        <v>700931250</v>
      </c>
      <c r="M276" s="6" t="s">
        <v>52</v>
      </c>
      <c r="N276" s="6" t="s">
        <v>1770</v>
      </c>
      <c r="O276" s="6" t="s">
        <v>366</v>
      </c>
      <c r="P276" s="17">
        <v>42622</v>
      </c>
      <c r="Q276" s="5">
        <f>VLOOKUP(G276,'CBs RAW'!$E$2:$P$427,12)</f>
        <v>1.125</v>
      </c>
      <c r="R276" s="17">
        <v>47007</v>
      </c>
      <c r="S276" s="6" t="s">
        <v>1127</v>
      </c>
      <c r="T276" s="6" t="s">
        <v>496</v>
      </c>
      <c r="U276" s="6" t="s">
        <v>115</v>
      </c>
      <c r="V276" s="6" t="s">
        <v>53</v>
      </c>
      <c r="W276" s="6" t="s">
        <v>2865</v>
      </c>
      <c r="X276" s="18">
        <f>VLOOKUP(G276,'CBs RAW'!$E$2:$W$427,19)</f>
        <v>1.276</v>
      </c>
      <c r="Y276" s="19">
        <f t="shared" si="0"/>
        <v>1.276</v>
      </c>
      <c r="Z276" s="2" t="str">
        <f t="shared" si="1"/>
        <v>Koninklijke KPN NVCALLABLEFIXEDEURSr Unsecured</v>
      </c>
      <c r="AB276" s="8"/>
    </row>
    <row r="277" spans="1:28" x14ac:dyDescent="0.2">
      <c r="A277" s="6">
        <v>276</v>
      </c>
      <c r="B277" s="6" t="s">
        <v>1121</v>
      </c>
      <c r="C277" s="6" t="s">
        <v>1124</v>
      </c>
      <c r="D277" s="6" t="s">
        <v>57</v>
      </c>
      <c r="E277" s="6" t="str">
        <f>VLOOKUP(G277,'CBs RAW'!$E$2:$H$427,4)</f>
        <v>#N/A N/A</v>
      </c>
      <c r="F277" s="6" t="s">
        <v>366</v>
      </c>
      <c r="G277" s="6" t="s">
        <v>2866</v>
      </c>
      <c r="H277" s="6" t="s">
        <v>2867</v>
      </c>
      <c r="I277" s="6" t="s">
        <v>2868</v>
      </c>
      <c r="J277" s="6" t="s">
        <v>133</v>
      </c>
      <c r="K277" s="6" t="s">
        <v>56</v>
      </c>
      <c r="L277" s="5">
        <v>712014000</v>
      </c>
      <c r="M277" s="6" t="s">
        <v>52</v>
      </c>
      <c r="N277" s="6" t="s">
        <v>1770</v>
      </c>
      <c r="O277" s="6" t="s">
        <v>366</v>
      </c>
      <c r="P277" s="17">
        <v>44088</v>
      </c>
      <c r="Q277" s="5">
        <f>VLOOKUP(G277,'CBs RAW'!$E$2:$P$427,12)</f>
        <v>0.875</v>
      </c>
      <c r="R277" s="17">
        <v>48562</v>
      </c>
      <c r="S277" s="6" t="s">
        <v>225</v>
      </c>
      <c r="T277" s="6" t="s">
        <v>496</v>
      </c>
      <c r="U277" s="6" t="s">
        <v>115</v>
      </c>
      <c r="V277" s="6" t="s">
        <v>53</v>
      </c>
      <c r="W277" s="6" t="s">
        <v>2869</v>
      </c>
      <c r="X277" s="18">
        <f>VLOOKUP(G277,'CBs RAW'!$E$2:$W$427,19)</f>
        <v>0.90800000000000003</v>
      </c>
      <c r="Y277" s="19">
        <f t="shared" si="0"/>
        <v>0.90800000000000003</v>
      </c>
      <c r="Z277" s="2" t="str">
        <f t="shared" si="1"/>
        <v>Koninklijke KPN NVCALLABLEFIXEDEURSr Unsecured</v>
      </c>
      <c r="AB277" s="8"/>
    </row>
    <row r="278" spans="1:28" x14ac:dyDescent="0.2">
      <c r="A278" s="6">
        <v>277</v>
      </c>
      <c r="B278" s="6" t="s">
        <v>1473</v>
      </c>
      <c r="C278" s="6" t="s">
        <v>1476</v>
      </c>
      <c r="D278" s="6" t="s">
        <v>57</v>
      </c>
      <c r="E278" s="6">
        <f>VLOOKUP(G278,'CBs RAW'!$E$2:$H$427,4)</f>
        <v>0.45400000000000001</v>
      </c>
      <c r="F278" s="6" t="s">
        <v>184</v>
      </c>
      <c r="G278" s="6" t="s">
        <v>2870</v>
      </c>
      <c r="H278" s="6" t="s">
        <v>2871</v>
      </c>
      <c r="I278" s="6" t="s">
        <v>2872</v>
      </c>
      <c r="J278" s="6" t="s">
        <v>133</v>
      </c>
      <c r="K278" s="6" t="s">
        <v>56</v>
      </c>
      <c r="L278" s="5">
        <v>1108030000</v>
      </c>
      <c r="M278" s="6" t="s">
        <v>52</v>
      </c>
      <c r="N278" s="6" t="s">
        <v>2873</v>
      </c>
      <c r="O278" s="6" t="s">
        <v>184</v>
      </c>
      <c r="P278" s="17">
        <v>44649</v>
      </c>
      <c r="Q278" s="5">
        <f>VLOOKUP(G278,'CBs RAW'!$E$2:$P$427,12)</f>
        <v>0.375</v>
      </c>
      <c r="R278" s="17">
        <v>45380</v>
      </c>
      <c r="S278" s="6" t="s">
        <v>173</v>
      </c>
      <c r="T278" s="6" t="s">
        <v>420</v>
      </c>
      <c r="U278" s="6" t="s">
        <v>115</v>
      </c>
      <c r="V278" s="6" t="s">
        <v>53</v>
      </c>
      <c r="W278" s="6" t="s">
        <v>2874</v>
      </c>
      <c r="X278" s="18">
        <f>VLOOKUP(G278,'CBs RAW'!$E$2:$W$427,19)</f>
        <v>0.35499999999999998</v>
      </c>
      <c r="Y278" s="19">
        <f t="shared" si="0"/>
        <v>0.35499999999999998</v>
      </c>
      <c r="Z278" s="2" t="str">
        <f t="shared" si="1"/>
        <v>L'Oreal SACALLABLEFIXEDEURSr Unsecured</v>
      </c>
      <c r="AB278" s="8"/>
    </row>
    <row r="279" spans="1:28" x14ac:dyDescent="0.2">
      <c r="A279" s="6">
        <v>278</v>
      </c>
      <c r="B279" s="6" t="s">
        <v>1473</v>
      </c>
      <c r="C279" s="6" t="s">
        <v>1476</v>
      </c>
      <c r="D279" s="6" t="s">
        <v>391</v>
      </c>
      <c r="E279" s="6" t="str">
        <f>VLOOKUP(G279,'CBs RAW'!$E$2:$H$427,4)</f>
        <v>#N/A N/A</v>
      </c>
      <c r="F279" s="6" t="s">
        <v>184</v>
      </c>
      <c r="G279" s="6" t="s">
        <v>2875</v>
      </c>
      <c r="H279" s="6" t="s">
        <v>2876</v>
      </c>
      <c r="I279" s="6" t="s">
        <v>2877</v>
      </c>
      <c r="J279" s="6" t="s">
        <v>133</v>
      </c>
      <c r="K279" s="6" t="s">
        <v>70</v>
      </c>
      <c r="L279" s="5">
        <v>831022500</v>
      </c>
      <c r="M279" s="6" t="s">
        <v>52</v>
      </c>
      <c r="N279" s="6" t="s">
        <v>1770</v>
      </c>
      <c r="O279" s="6" t="s">
        <v>184</v>
      </c>
      <c r="P279" s="17">
        <v>44649</v>
      </c>
      <c r="Q279" s="5">
        <f>VLOOKUP(G279,'CBs RAW'!$E$2:$P$427,12)</f>
        <v>0.223</v>
      </c>
      <c r="R279" s="17">
        <v>45380</v>
      </c>
      <c r="S279" s="6" t="s">
        <v>173</v>
      </c>
      <c r="T279" s="6" t="s">
        <v>420</v>
      </c>
      <c r="U279" s="6" t="s">
        <v>115</v>
      </c>
      <c r="V279" s="6" t="s">
        <v>53</v>
      </c>
      <c r="W279" s="6" t="s">
        <v>2878</v>
      </c>
      <c r="X279" s="18">
        <f>VLOOKUP(G279,'CBs RAW'!$E$2:$W$427,19)</f>
        <v>-0.48899999999999999</v>
      </c>
      <c r="Y279" s="19">
        <f t="shared" si="0"/>
        <v>-0.48899999999999999</v>
      </c>
      <c r="Z279" s="2" t="str">
        <f t="shared" si="1"/>
        <v>L'Oreal SACALLABLEFLOATINGEURSr Unsecured</v>
      </c>
      <c r="AB279" s="8"/>
    </row>
    <row r="280" spans="1:28" x14ac:dyDescent="0.2">
      <c r="A280" s="6">
        <v>279</v>
      </c>
      <c r="B280" s="6" t="s">
        <v>1216</v>
      </c>
      <c r="C280" s="6" t="s">
        <v>1219</v>
      </c>
      <c r="D280" s="6" t="s">
        <v>57</v>
      </c>
      <c r="E280" s="6" t="str">
        <f>VLOOKUP(G280,'CBs RAW'!$E$2:$H$427,4)</f>
        <v>#N/A N/A</v>
      </c>
      <c r="F280" s="6" t="s">
        <v>45</v>
      </c>
      <c r="G280" s="6" t="s">
        <v>2879</v>
      </c>
      <c r="H280" s="6" t="s">
        <v>2880</v>
      </c>
      <c r="I280" s="6" t="s">
        <v>2881</v>
      </c>
      <c r="J280" s="6" t="s">
        <v>420</v>
      </c>
      <c r="K280" s="6" t="s">
        <v>56</v>
      </c>
      <c r="L280" s="5">
        <v>590635000</v>
      </c>
      <c r="M280" s="6" t="s">
        <v>52</v>
      </c>
      <c r="N280" s="6" t="s">
        <v>1775</v>
      </c>
      <c r="O280" s="6" t="s">
        <v>45</v>
      </c>
      <c r="P280" s="17">
        <v>43236</v>
      </c>
      <c r="Q280" s="5">
        <f>VLOOKUP(G280,'CBs RAW'!$E$2:$P$427,12)</f>
        <v>1.125</v>
      </c>
      <c r="R280" s="17">
        <v>45793</v>
      </c>
      <c r="S280" s="6" t="s">
        <v>225</v>
      </c>
      <c r="T280" s="6" t="s">
        <v>174</v>
      </c>
      <c r="U280" s="6" t="s">
        <v>115</v>
      </c>
      <c r="V280" s="6" t="s">
        <v>53</v>
      </c>
      <c r="W280" s="6" t="s">
        <v>2882</v>
      </c>
      <c r="X280" s="18">
        <f>VLOOKUP(G280,'CBs RAW'!$E$2:$W$427,19)</f>
        <v>1.403</v>
      </c>
      <c r="Y280" s="19">
        <f t="shared" si="0"/>
        <v>1.403</v>
      </c>
      <c r="Z280" s="2" t="str">
        <f t="shared" si="1"/>
        <v>LANXESS AGCALLABLEFIXEDEURSr Unsecured</v>
      </c>
      <c r="AB280" s="8"/>
    </row>
    <row r="281" spans="1:28" x14ac:dyDescent="0.2">
      <c r="A281" s="6">
        <v>280</v>
      </c>
      <c r="B281" s="6" t="s">
        <v>1216</v>
      </c>
      <c r="C281" s="6" t="s">
        <v>1219</v>
      </c>
      <c r="D281" s="6" t="s">
        <v>57</v>
      </c>
      <c r="E281" s="6" t="str">
        <f>VLOOKUP(G281,'CBs RAW'!$E$2:$H$427,4)</f>
        <v>#N/A N/A</v>
      </c>
      <c r="F281" s="6" t="s">
        <v>45</v>
      </c>
      <c r="G281" s="6" t="s">
        <v>2883</v>
      </c>
      <c r="H281" s="6" t="s">
        <v>2884</v>
      </c>
      <c r="I281" s="6" t="s">
        <v>2885</v>
      </c>
      <c r="J281" s="6" t="s">
        <v>420</v>
      </c>
      <c r="K281" s="6" t="s">
        <v>56</v>
      </c>
      <c r="L281" s="5">
        <v>590940000</v>
      </c>
      <c r="M281" s="6" t="s">
        <v>52</v>
      </c>
      <c r="N281" s="6" t="s">
        <v>1770</v>
      </c>
      <c r="O281" s="6" t="s">
        <v>45</v>
      </c>
      <c r="P281" s="17">
        <v>44447</v>
      </c>
      <c r="Q281" s="5">
        <f>VLOOKUP(G281,'CBs RAW'!$E$2:$P$427,12)</f>
        <v>0</v>
      </c>
      <c r="R281" s="17">
        <v>46638</v>
      </c>
      <c r="S281" s="6" t="s">
        <v>225</v>
      </c>
      <c r="T281" s="6" t="s">
        <v>174</v>
      </c>
      <c r="U281" s="6" t="s">
        <v>115</v>
      </c>
      <c r="V281" s="6" t="s">
        <v>53</v>
      </c>
      <c r="W281" s="6" t="s">
        <v>2886</v>
      </c>
      <c r="X281" s="18">
        <f>VLOOKUP(G281,'CBs RAW'!$E$2:$W$427,19)</f>
        <v>0.128</v>
      </c>
      <c r="Y281" s="19">
        <f t="shared" si="0"/>
        <v>0.128</v>
      </c>
      <c r="Z281" s="2" t="str">
        <f t="shared" si="1"/>
        <v>LANXESS AGCALLABLEFIXEDEURSr Unsecured</v>
      </c>
      <c r="AB281" s="8"/>
    </row>
    <row r="282" spans="1:28" x14ac:dyDescent="0.2">
      <c r="A282" s="6">
        <v>281</v>
      </c>
      <c r="B282" s="6" t="s">
        <v>1216</v>
      </c>
      <c r="C282" s="6" t="s">
        <v>1219</v>
      </c>
      <c r="D282" s="6" t="s">
        <v>57</v>
      </c>
      <c r="E282" s="6" t="str">
        <f>VLOOKUP(G282,'CBs RAW'!$E$2:$H$427,4)</f>
        <v>#N/A N/A</v>
      </c>
      <c r="F282" s="6" t="s">
        <v>45</v>
      </c>
      <c r="G282" s="6" t="s">
        <v>2887</v>
      </c>
      <c r="H282" s="6" t="s">
        <v>2888</v>
      </c>
      <c r="I282" s="6" t="s">
        <v>2889</v>
      </c>
      <c r="J282" s="6" t="s">
        <v>420</v>
      </c>
      <c r="K282" s="6" t="s">
        <v>56</v>
      </c>
      <c r="L282" s="5">
        <v>558380000</v>
      </c>
      <c r="M282" s="6" t="s">
        <v>52</v>
      </c>
      <c r="N282" s="6" t="s">
        <v>1770</v>
      </c>
      <c r="O282" s="6" t="s">
        <v>45</v>
      </c>
      <c r="P282" s="17">
        <v>42650</v>
      </c>
      <c r="Q282" s="5">
        <f>VLOOKUP(G282,'CBs RAW'!$E$2:$P$427,12)</f>
        <v>1</v>
      </c>
      <c r="R282" s="17">
        <v>46302</v>
      </c>
      <c r="S282" s="6" t="s">
        <v>225</v>
      </c>
      <c r="T282" s="6" t="s">
        <v>174</v>
      </c>
      <c r="U282" s="6" t="s">
        <v>115</v>
      </c>
      <c r="V282" s="6" t="s">
        <v>53</v>
      </c>
      <c r="W282" s="6" t="s">
        <v>2890</v>
      </c>
      <c r="X282" s="18">
        <f>VLOOKUP(G282,'CBs RAW'!$E$2:$W$427,19)</f>
        <v>1.2430000000000001</v>
      </c>
      <c r="Y282" s="19">
        <f t="shared" si="0"/>
        <v>1.2430000000000001</v>
      </c>
      <c r="Z282" s="2" t="str">
        <f t="shared" si="1"/>
        <v>LANXESS AGCALLABLEFIXEDEURSr Unsecured</v>
      </c>
      <c r="AB282" s="8"/>
    </row>
    <row r="283" spans="1:28" x14ac:dyDescent="0.2">
      <c r="A283" s="6">
        <v>282</v>
      </c>
      <c r="B283" s="6" t="s">
        <v>916</v>
      </c>
      <c r="C283" s="6" t="s">
        <v>919</v>
      </c>
      <c r="D283" s="6" t="s">
        <v>57</v>
      </c>
      <c r="E283" s="6" t="str">
        <f>VLOOKUP(G283,'CBs RAW'!$E$2:$H$427,4)</f>
        <v>#N/A N/A</v>
      </c>
      <c r="F283" s="6" t="s">
        <v>184</v>
      </c>
      <c r="G283" s="6" t="s">
        <v>2891</v>
      </c>
      <c r="H283" s="6" t="s">
        <v>2892</v>
      </c>
      <c r="I283" s="6" t="s">
        <v>2893</v>
      </c>
      <c r="J283" s="6" t="s">
        <v>420</v>
      </c>
      <c r="K283" s="6" t="s">
        <v>56</v>
      </c>
      <c r="L283" s="5">
        <v>570980000</v>
      </c>
      <c r="M283" s="6" t="s">
        <v>52</v>
      </c>
      <c r="N283" s="6" t="s">
        <v>2894</v>
      </c>
      <c r="O283" s="6" t="s">
        <v>184</v>
      </c>
      <c r="P283" s="17">
        <v>42922</v>
      </c>
      <c r="Q283" s="5">
        <f>VLOOKUP(G283,'CBs RAW'!$E$2:$P$427,12)</f>
        <v>1.875</v>
      </c>
      <c r="R283" s="17">
        <v>48401</v>
      </c>
      <c r="S283" s="6" t="s">
        <v>173</v>
      </c>
      <c r="T283" s="6" t="s">
        <v>189</v>
      </c>
      <c r="U283" s="6" t="s">
        <v>115</v>
      </c>
      <c r="V283" s="6" t="s">
        <v>53</v>
      </c>
      <c r="W283" s="6" t="s">
        <v>2895</v>
      </c>
      <c r="X283" s="18">
        <f>VLOOKUP(G283,'CBs RAW'!$E$2:$W$427,19)</f>
        <v>1.879</v>
      </c>
      <c r="Y283" s="19">
        <f t="shared" si="0"/>
        <v>1.879</v>
      </c>
      <c r="Z283" s="2" t="str">
        <f t="shared" si="1"/>
        <v>Legrand SACALLABLEFIXEDEURSr Unsecured</v>
      </c>
      <c r="AB283" s="8"/>
    </row>
    <row r="284" spans="1:28" x14ac:dyDescent="0.2">
      <c r="A284" s="6">
        <v>283</v>
      </c>
      <c r="B284" s="6" t="s">
        <v>916</v>
      </c>
      <c r="C284" s="6" t="s">
        <v>919</v>
      </c>
      <c r="D284" s="6" t="s">
        <v>57</v>
      </c>
      <c r="E284" s="6" t="str">
        <f>VLOOKUP(G284,'CBs RAW'!$E$2:$H$427,4)</f>
        <v>#N/A N/A</v>
      </c>
      <c r="F284" s="6" t="s">
        <v>184</v>
      </c>
      <c r="G284" s="6" t="s">
        <v>2896</v>
      </c>
      <c r="H284" s="6" t="s">
        <v>2897</v>
      </c>
      <c r="I284" s="6" t="s">
        <v>2898</v>
      </c>
      <c r="J284" s="6" t="s">
        <v>420</v>
      </c>
      <c r="K284" s="6" t="s">
        <v>56</v>
      </c>
      <c r="L284" s="5">
        <v>570980000</v>
      </c>
      <c r="M284" s="6" t="s">
        <v>52</v>
      </c>
      <c r="N284" s="6" t="s">
        <v>2894</v>
      </c>
      <c r="O284" s="6" t="s">
        <v>184</v>
      </c>
      <c r="P284" s="17">
        <v>42922</v>
      </c>
      <c r="Q284" s="5">
        <f>VLOOKUP(G284,'CBs RAW'!$E$2:$P$427,12)</f>
        <v>0.75</v>
      </c>
      <c r="R284" s="17">
        <v>45479</v>
      </c>
      <c r="S284" s="6" t="s">
        <v>173</v>
      </c>
      <c r="T284" s="6" t="s">
        <v>189</v>
      </c>
      <c r="U284" s="6" t="s">
        <v>115</v>
      </c>
      <c r="V284" s="6" t="s">
        <v>53</v>
      </c>
      <c r="W284" s="6" t="s">
        <v>2899</v>
      </c>
      <c r="X284" s="18">
        <f>VLOOKUP(G284,'CBs RAW'!$E$2:$W$427,19)</f>
        <v>0.84699999999999998</v>
      </c>
      <c r="Y284" s="19">
        <f t="shared" si="0"/>
        <v>0.84699999999999998</v>
      </c>
      <c r="Z284" s="2" t="str">
        <f t="shared" si="1"/>
        <v>Legrand SACALLABLEFIXEDEURSr Unsecured</v>
      </c>
      <c r="AB284" s="8"/>
    </row>
    <row r="285" spans="1:28" x14ac:dyDescent="0.2">
      <c r="A285" s="6">
        <v>284</v>
      </c>
      <c r="B285" s="6" t="s">
        <v>916</v>
      </c>
      <c r="C285" s="6" t="s">
        <v>919</v>
      </c>
      <c r="D285" s="6" t="s">
        <v>57</v>
      </c>
      <c r="E285" s="6" t="str">
        <f>VLOOKUP(G285,'CBs RAW'!$E$2:$H$427,4)</f>
        <v>#N/A N/A</v>
      </c>
      <c r="F285" s="6" t="s">
        <v>184</v>
      </c>
      <c r="G285" s="6" t="s">
        <v>2900</v>
      </c>
      <c r="H285" s="6" t="s">
        <v>2901</v>
      </c>
      <c r="I285" s="6" t="s">
        <v>2902</v>
      </c>
      <c r="J285" s="6" t="s">
        <v>420</v>
      </c>
      <c r="K285" s="6" t="s">
        <v>56</v>
      </c>
      <c r="L285" s="5">
        <v>469984000</v>
      </c>
      <c r="M285" s="6" t="s">
        <v>52</v>
      </c>
      <c r="N285" s="6" t="s">
        <v>1770</v>
      </c>
      <c r="O285" s="6" t="s">
        <v>184</v>
      </c>
      <c r="P285" s="17">
        <v>43017</v>
      </c>
      <c r="Q285" s="5">
        <f>VLOOKUP(G285,'CBs RAW'!$E$2:$P$427,12)</f>
        <v>0.5</v>
      </c>
      <c r="R285" s="17">
        <v>45208</v>
      </c>
      <c r="S285" s="6" t="s">
        <v>173</v>
      </c>
      <c r="T285" s="6" t="s">
        <v>189</v>
      </c>
      <c r="U285" s="6" t="s">
        <v>115</v>
      </c>
      <c r="V285" s="6" t="s">
        <v>53</v>
      </c>
      <c r="W285" s="6" t="s">
        <v>2903</v>
      </c>
      <c r="X285" s="18">
        <f>VLOOKUP(G285,'CBs RAW'!$E$2:$W$427,19)</f>
        <v>0.58799999999999997</v>
      </c>
      <c r="Y285" s="19">
        <f t="shared" si="0"/>
        <v>0.58799999999999997</v>
      </c>
      <c r="Z285" s="2" t="str">
        <f t="shared" si="1"/>
        <v>Legrand SACALLABLEFIXEDEURSr Unsecured</v>
      </c>
      <c r="AB285" s="8"/>
    </row>
    <row r="286" spans="1:28" x14ac:dyDescent="0.2">
      <c r="A286" s="6">
        <v>285</v>
      </c>
      <c r="B286" s="6" t="s">
        <v>916</v>
      </c>
      <c r="C286" s="6" t="s">
        <v>919</v>
      </c>
      <c r="D286" s="6" t="s">
        <v>57</v>
      </c>
      <c r="E286" s="6">
        <f>VLOOKUP(G286,'CBs RAW'!$E$2:$H$427,4)</f>
        <v>1.0820000000000001</v>
      </c>
      <c r="F286" s="6" t="s">
        <v>184</v>
      </c>
      <c r="G286" s="6" t="s">
        <v>2904</v>
      </c>
      <c r="H286" s="6" t="s">
        <v>2905</v>
      </c>
      <c r="I286" s="6" t="s">
        <v>2906</v>
      </c>
      <c r="J286" s="6" t="s">
        <v>420</v>
      </c>
      <c r="K286" s="6" t="s">
        <v>56</v>
      </c>
      <c r="L286" s="5">
        <v>495736000</v>
      </c>
      <c r="M286" s="6" t="s">
        <v>52</v>
      </c>
      <c r="N286" s="6" t="s">
        <v>1770</v>
      </c>
      <c r="O286" s="6" t="s">
        <v>184</v>
      </c>
      <c r="P286" s="17">
        <v>43165</v>
      </c>
      <c r="Q286" s="5">
        <f>VLOOKUP(G286,'CBs RAW'!$E$2:$P$427,12)</f>
        <v>1</v>
      </c>
      <c r="R286" s="17">
        <v>46087</v>
      </c>
      <c r="S286" s="6" t="s">
        <v>173</v>
      </c>
      <c r="T286" s="6" t="s">
        <v>189</v>
      </c>
      <c r="U286" s="6" t="s">
        <v>115</v>
      </c>
      <c r="V286" s="6" t="s">
        <v>53</v>
      </c>
      <c r="W286" s="6" t="s">
        <v>2907</v>
      </c>
      <c r="X286" s="18">
        <f>VLOOKUP(G286,'CBs RAW'!$E$2:$W$427,19)</f>
        <v>1.0409999999999999</v>
      </c>
      <c r="Y286" s="19">
        <f t="shared" si="0"/>
        <v>1.0409999999999999</v>
      </c>
      <c r="Z286" s="2" t="str">
        <f t="shared" si="1"/>
        <v>Legrand SACALLABLEFIXEDEURSr Unsecured</v>
      </c>
      <c r="AB286" s="8"/>
    </row>
    <row r="287" spans="1:28" x14ac:dyDescent="0.2">
      <c r="A287" s="6">
        <v>286</v>
      </c>
      <c r="B287" s="6" t="s">
        <v>916</v>
      </c>
      <c r="C287" s="6" t="s">
        <v>919</v>
      </c>
      <c r="D287" s="6" t="s">
        <v>57</v>
      </c>
      <c r="E287" s="6" t="str">
        <f>VLOOKUP(G287,'CBs RAW'!$E$2:$H$427,4)</f>
        <v>#N/A N/A</v>
      </c>
      <c r="F287" s="6" t="s">
        <v>184</v>
      </c>
      <c r="G287" s="6" t="s">
        <v>2908</v>
      </c>
      <c r="H287" s="6" t="s">
        <v>2909</v>
      </c>
      <c r="I287" s="6" t="s">
        <v>2910</v>
      </c>
      <c r="J287" s="6" t="s">
        <v>420</v>
      </c>
      <c r="K287" s="6" t="s">
        <v>56</v>
      </c>
      <c r="L287" s="5">
        <v>455568000</v>
      </c>
      <c r="M287" s="6" t="s">
        <v>52</v>
      </c>
      <c r="N287" s="6" t="s">
        <v>1770</v>
      </c>
      <c r="O287" s="6" t="s">
        <v>184</v>
      </c>
      <c r="P287" s="17">
        <v>43640</v>
      </c>
      <c r="Q287" s="5">
        <f>VLOOKUP(G287,'CBs RAW'!$E$2:$P$427,12)</f>
        <v>0.625</v>
      </c>
      <c r="R287" s="17">
        <v>46928</v>
      </c>
      <c r="S287" s="6" t="s">
        <v>173</v>
      </c>
      <c r="T287" s="6" t="s">
        <v>189</v>
      </c>
      <c r="U287" s="6" t="s">
        <v>115</v>
      </c>
      <c r="V287" s="6" t="s">
        <v>53</v>
      </c>
      <c r="W287" s="6" t="s">
        <v>2911</v>
      </c>
      <c r="X287" s="18">
        <f>VLOOKUP(G287,'CBs RAW'!$E$2:$W$427,19)</f>
        <v>0.61399999999999999</v>
      </c>
      <c r="Y287" s="19">
        <f t="shared" si="0"/>
        <v>0.61399999999999999</v>
      </c>
      <c r="Z287" s="2" t="str">
        <f t="shared" si="1"/>
        <v>Legrand SACALLABLEFIXEDEURSr Unsecured</v>
      </c>
      <c r="AB287" s="8"/>
    </row>
    <row r="288" spans="1:28" x14ac:dyDescent="0.2">
      <c r="A288" s="6">
        <v>287</v>
      </c>
      <c r="B288" s="6" t="s">
        <v>916</v>
      </c>
      <c r="C288" s="6" t="s">
        <v>919</v>
      </c>
      <c r="D288" s="6" t="s">
        <v>57</v>
      </c>
      <c r="E288" s="6" t="str">
        <f>VLOOKUP(G288,'CBs RAW'!$E$2:$H$427,4)</f>
        <v>#N/A N/A</v>
      </c>
      <c r="F288" s="6" t="s">
        <v>184</v>
      </c>
      <c r="G288" s="6" t="s">
        <v>2912</v>
      </c>
      <c r="H288" s="6" t="s">
        <v>2913</v>
      </c>
      <c r="I288" s="6" t="s">
        <v>2914</v>
      </c>
      <c r="J288" s="6" t="s">
        <v>420</v>
      </c>
      <c r="K288" s="6" t="s">
        <v>56</v>
      </c>
      <c r="L288" s="5">
        <v>658542000</v>
      </c>
      <c r="M288" s="6" t="s">
        <v>52</v>
      </c>
      <c r="N288" s="6" t="s">
        <v>1770</v>
      </c>
      <c r="O288" s="6" t="s">
        <v>184</v>
      </c>
      <c r="P288" s="17">
        <v>43971</v>
      </c>
      <c r="Q288" s="5">
        <f>VLOOKUP(G288,'CBs RAW'!$E$2:$P$427,12)</f>
        <v>0.75</v>
      </c>
      <c r="R288" s="17">
        <v>47623</v>
      </c>
      <c r="S288" s="6" t="s">
        <v>173</v>
      </c>
      <c r="T288" s="6" t="s">
        <v>189</v>
      </c>
      <c r="U288" s="6" t="s">
        <v>115</v>
      </c>
      <c r="V288" s="6" t="s">
        <v>53</v>
      </c>
      <c r="W288" s="6" t="s">
        <v>2915</v>
      </c>
      <c r="X288" s="18">
        <f>VLOOKUP(G288,'CBs RAW'!$E$2:$W$427,19)</f>
        <v>0.76600000000000001</v>
      </c>
      <c r="Y288" s="19">
        <f t="shared" si="0"/>
        <v>0.76600000000000001</v>
      </c>
      <c r="Z288" s="2" t="str">
        <f t="shared" si="1"/>
        <v>Legrand SACALLABLEFIXEDEURSr Unsecured</v>
      </c>
      <c r="AB288" s="8"/>
    </row>
    <row r="289" spans="1:28" x14ac:dyDescent="0.2">
      <c r="A289" s="6">
        <v>288</v>
      </c>
      <c r="B289" s="6" t="s">
        <v>916</v>
      </c>
      <c r="C289" s="6" t="s">
        <v>919</v>
      </c>
      <c r="D289" s="6" t="s">
        <v>57</v>
      </c>
      <c r="E289" s="6" t="str">
        <f>VLOOKUP(G289,'CBs RAW'!$E$2:$H$427,4)</f>
        <v>#N/A N/A</v>
      </c>
      <c r="F289" s="6" t="s">
        <v>184</v>
      </c>
      <c r="G289" s="6" t="s">
        <v>2916</v>
      </c>
      <c r="H289" s="6" t="s">
        <v>2917</v>
      </c>
      <c r="I289" s="6" t="s">
        <v>2918</v>
      </c>
      <c r="J289" s="6" t="s">
        <v>420</v>
      </c>
      <c r="K289" s="6" t="s">
        <v>56</v>
      </c>
      <c r="L289" s="5">
        <v>32820930</v>
      </c>
      <c r="M289" s="6" t="s">
        <v>118</v>
      </c>
      <c r="N289" s="6" t="s">
        <v>173</v>
      </c>
      <c r="O289" s="6" t="s">
        <v>184</v>
      </c>
      <c r="P289" s="17">
        <v>44333</v>
      </c>
      <c r="Q289" s="5">
        <f>VLOOKUP(G289,'CBs RAW'!$E$2:$P$427,12)</f>
        <v>0</v>
      </c>
      <c r="R289" s="17">
        <v>45063</v>
      </c>
      <c r="S289" s="6" t="s">
        <v>225</v>
      </c>
      <c r="T289" s="6" t="s">
        <v>54</v>
      </c>
      <c r="U289" s="6" t="s">
        <v>49</v>
      </c>
      <c r="V289" s="6" t="s">
        <v>53</v>
      </c>
      <c r="W289" s="6" t="s">
        <v>2919</v>
      </c>
      <c r="X289" s="18" t="str">
        <f>VLOOKUP(G289,'CBs RAW'!$E$2:$W$427,19)</f>
        <v>#N/A N/A</v>
      </c>
      <c r="Y289" s="2" t="str">
        <f t="shared" si="0"/>
        <v>#N/A N/A</v>
      </c>
      <c r="Z289" s="2" t="str">
        <f t="shared" si="1"/>
        <v>Legrand SAAT MATURITYFIXEDEURUnsecured</v>
      </c>
      <c r="AB289" s="8"/>
    </row>
    <row r="290" spans="1:28" x14ac:dyDescent="0.2">
      <c r="A290" s="6">
        <v>289</v>
      </c>
      <c r="B290" s="6" t="s">
        <v>916</v>
      </c>
      <c r="C290" s="6" t="s">
        <v>919</v>
      </c>
      <c r="D290" s="6" t="s">
        <v>391</v>
      </c>
      <c r="E290" s="6" t="str">
        <f>VLOOKUP(G290,'CBs RAW'!$E$2:$H$427,4)</f>
        <v>#N/A N/A</v>
      </c>
      <c r="F290" s="6" t="s">
        <v>184</v>
      </c>
      <c r="G290" s="6" t="s">
        <v>2920</v>
      </c>
      <c r="H290" s="6" t="s">
        <v>2921</v>
      </c>
      <c r="I290" s="6" t="s">
        <v>2922</v>
      </c>
      <c r="J290" s="6" t="s">
        <v>420</v>
      </c>
      <c r="K290" s="6" t="s">
        <v>56</v>
      </c>
      <c r="L290" s="5">
        <v>56771000</v>
      </c>
      <c r="M290" s="6" t="s">
        <v>458</v>
      </c>
      <c r="N290" s="6" t="s">
        <v>173</v>
      </c>
      <c r="O290" s="6" t="s">
        <v>184</v>
      </c>
      <c r="P290" s="17">
        <v>44572</v>
      </c>
      <c r="Q290" s="5">
        <f>VLOOKUP(G290,'CBs RAW'!$E$2:$P$427,12)</f>
        <v>-0.16</v>
      </c>
      <c r="R290" s="17">
        <v>45302</v>
      </c>
      <c r="S290" s="6" t="s">
        <v>2923</v>
      </c>
      <c r="T290" s="6" t="s">
        <v>54</v>
      </c>
      <c r="U290" s="6" t="s">
        <v>49</v>
      </c>
      <c r="V290" s="6" t="s">
        <v>53</v>
      </c>
      <c r="W290" s="6" t="s">
        <v>2924</v>
      </c>
      <c r="X290" s="18" t="str">
        <f>VLOOKUP(G290,'CBs RAW'!$E$2:$W$427,19)</f>
        <v>#N/A N/A</v>
      </c>
      <c r="Y290" s="2" t="str">
        <f t="shared" si="0"/>
        <v>#N/A N/A</v>
      </c>
      <c r="Z290" s="2" t="str">
        <f t="shared" si="1"/>
        <v>Legrand SAAT MATURITYFIXEDEURSecured</v>
      </c>
      <c r="AB290" s="8"/>
    </row>
    <row r="291" spans="1:28" x14ac:dyDescent="0.2">
      <c r="A291" s="6">
        <v>290</v>
      </c>
      <c r="B291" s="6" t="s">
        <v>916</v>
      </c>
      <c r="C291" s="6" t="s">
        <v>919</v>
      </c>
      <c r="D291" s="6" t="s">
        <v>57</v>
      </c>
      <c r="E291" s="6">
        <f>VLOOKUP(G291,'CBs RAW'!$E$2:$H$427,4)</f>
        <v>1.9540000000000002</v>
      </c>
      <c r="F291" s="6" t="s">
        <v>184</v>
      </c>
      <c r="G291" s="6" t="s">
        <v>2925</v>
      </c>
      <c r="H291" s="6" t="s">
        <v>2926</v>
      </c>
      <c r="I291" s="6" t="s">
        <v>2927</v>
      </c>
      <c r="J291" s="6" t="s">
        <v>420</v>
      </c>
      <c r="K291" s="6" t="s">
        <v>56</v>
      </c>
      <c r="L291" s="5">
        <v>327789000</v>
      </c>
      <c r="M291" s="6" t="s">
        <v>52</v>
      </c>
      <c r="N291" s="6" t="s">
        <v>1839</v>
      </c>
      <c r="O291" s="6" t="s">
        <v>184</v>
      </c>
      <c r="P291" s="17">
        <v>42354</v>
      </c>
      <c r="Q291" s="5">
        <f>VLOOKUP(G291,'CBs RAW'!$E$2:$P$427,12)</f>
        <v>1.875</v>
      </c>
      <c r="R291" s="17">
        <v>46737</v>
      </c>
      <c r="S291" s="6" t="s">
        <v>173</v>
      </c>
      <c r="T291" s="6" t="s">
        <v>189</v>
      </c>
      <c r="U291" s="6" t="s">
        <v>115</v>
      </c>
      <c r="V291" s="6" t="s">
        <v>53</v>
      </c>
      <c r="W291" s="6" t="s">
        <v>2928</v>
      </c>
      <c r="X291" s="18">
        <f>VLOOKUP(G291,'CBs RAW'!$E$2:$W$427,19)</f>
        <v>2.02</v>
      </c>
      <c r="Y291" s="19">
        <f t="shared" si="0"/>
        <v>2.02</v>
      </c>
      <c r="Z291" s="2" t="str">
        <f t="shared" si="1"/>
        <v>Legrand SACALLABLEFIXEDEURSr Unsecured</v>
      </c>
      <c r="AB291" s="8"/>
    </row>
    <row r="292" spans="1:28" x14ac:dyDescent="0.2">
      <c r="A292" s="6">
        <v>291</v>
      </c>
      <c r="B292" s="6" t="s">
        <v>1208</v>
      </c>
      <c r="C292" s="6" t="s">
        <v>1211</v>
      </c>
      <c r="D292" s="6" t="s">
        <v>391</v>
      </c>
      <c r="E292" s="6" t="str">
        <f>VLOOKUP(G292,'CBs RAW'!$E$2:$H$427,4)</f>
        <v>#N/A N/A</v>
      </c>
      <c r="F292" s="6" t="s">
        <v>367</v>
      </c>
      <c r="G292" s="6" t="s">
        <v>2929</v>
      </c>
      <c r="H292" s="6" t="s">
        <v>2930</v>
      </c>
      <c r="I292" s="6" t="s">
        <v>2931</v>
      </c>
      <c r="J292" s="6" t="s">
        <v>55</v>
      </c>
      <c r="K292" s="6" t="s">
        <v>70</v>
      </c>
      <c r="L292" s="5">
        <v>180505500</v>
      </c>
      <c r="M292" s="6" t="s">
        <v>52</v>
      </c>
      <c r="N292" s="6" t="s">
        <v>1770</v>
      </c>
      <c r="O292" s="6" t="s">
        <v>367</v>
      </c>
      <c r="P292" s="17">
        <v>43726</v>
      </c>
      <c r="Q292" s="5">
        <f>VLOOKUP(G292,'CBs RAW'!$E$2:$P$427,12)</f>
        <v>1.23</v>
      </c>
      <c r="R292" s="17">
        <v>45187</v>
      </c>
      <c r="S292" s="6" t="s">
        <v>685</v>
      </c>
      <c r="T292" s="6" t="s">
        <v>54</v>
      </c>
      <c r="U292" s="6" t="s">
        <v>49</v>
      </c>
      <c r="V292" s="6" t="s">
        <v>686</v>
      </c>
      <c r="W292" s="6" t="s">
        <v>2932</v>
      </c>
      <c r="X292" s="18" t="str">
        <f>VLOOKUP(G292,'CBs RAW'!$E$2:$W$427,19)</f>
        <v>#N/A N/A</v>
      </c>
      <c r="Y292" s="2" t="str">
        <f t="shared" si="0"/>
        <v>#N/A N/A</v>
      </c>
      <c r="Z292" s="2" t="str">
        <f t="shared" si="1"/>
        <v>Loomis ABAT MATURITYFLOATINGSEKSr Unsecured</v>
      </c>
      <c r="AB292" s="8"/>
    </row>
    <row r="293" spans="1:28" x14ac:dyDescent="0.2">
      <c r="A293" s="6">
        <v>292</v>
      </c>
      <c r="B293" s="6" t="s">
        <v>1724</v>
      </c>
      <c r="C293" s="6" t="s">
        <v>1727</v>
      </c>
      <c r="D293" s="6" t="s">
        <v>71</v>
      </c>
      <c r="E293" s="6">
        <f>VLOOKUP(G293,'CBs RAW'!$E$2:$H$427,4)</f>
        <v>2.2650000000000001</v>
      </c>
      <c r="F293" s="6" t="s">
        <v>199</v>
      </c>
      <c r="G293" s="6" t="s">
        <v>2933</v>
      </c>
      <c r="H293" s="6" t="s">
        <v>2934</v>
      </c>
      <c r="I293" s="6" t="s">
        <v>2935</v>
      </c>
      <c r="J293" s="6" t="s">
        <v>55</v>
      </c>
      <c r="K293" s="6" t="s">
        <v>56</v>
      </c>
      <c r="L293" s="5">
        <v>197805300</v>
      </c>
      <c r="M293" s="6" t="s">
        <v>52</v>
      </c>
      <c r="N293" s="6" t="s">
        <v>1839</v>
      </c>
      <c r="O293" s="6" t="s">
        <v>199</v>
      </c>
      <c r="P293" s="17">
        <v>43223</v>
      </c>
      <c r="Q293" s="5">
        <f>VLOOKUP(G293,'CBs RAW'!$E$2:$P$427,12)</f>
        <v>2.625</v>
      </c>
      <c r="R293" s="17">
        <v>45412</v>
      </c>
      <c r="S293" s="6" t="s">
        <v>173</v>
      </c>
      <c r="T293" s="6" t="s">
        <v>54</v>
      </c>
      <c r="U293" s="6" t="s">
        <v>115</v>
      </c>
      <c r="V293" s="6" t="s">
        <v>53</v>
      </c>
      <c r="W293" s="6" t="s">
        <v>2936</v>
      </c>
      <c r="X293" s="18" t="str">
        <f>VLOOKUP(G293,'CBs RAW'!$E$2:$W$427,19)</f>
        <v>#N/A N/A</v>
      </c>
      <c r="Y293" s="2">
        <f t="shared" si="0"/>
        <v>2.2650000000000001</v>
      </c>
      <c r="Z293" s="2" t="str">
        <f t="shared" si="1"/>
        <v>Maire Tecnimont SpACALLABLEFIXEDEURSr Unsecured</v>
      </c>
      <c r="AB293" s="8"/>
    </row>
    <row r="294" spans="1:28" x14ac:dyDescent="0.2">
      <c r="A294" s="6">
        <v>293</v>
      </c>
      <c r="B294" s="6" t="s">
        <v>1198</v>
      </c>
      <c r="C294" s="6" t="s">
        <v>1201</v>
      </c>
      <c r="D294" s="6" t="s">
        <v>71</v>
      </c>
      <c r="E294" s="6" t="str">
        <f>VLOOKUP(G294,'CBs RAW'!$E$2:$H$427,4)</f>
        <v>#N/A N/A</v>
      </c>
      <c r="F294" s="6" t="s">
        <v>1202</v>
      </c>
      <c r="G294" s="6" t="s">
        <v>2937</v>
      </c>
      <c r="H294" s="6" t="s">
        <v>2938</v>
      </c>
      <c r="I294" s="6" t="s">
        <v>2939</v>
      </c>
      <c r="J294" s="6" t="s">
        <v>55</v>
      </c>
      <c r="K294" s="6" t="s">
        <v>56</v>
      </c>
      <c r="L294" s="5" t="s">
        <v>2940</v>
      </c>
      <c r="M294" s="6" t="s">
        <v>52</v>
      </c>
      <c r="N294" s="6" t="s">
        <v>173</v>
      </c>
      <c r="O294" s="6" t="s">
        <v>1202</v>
      </c>
      <c r="P294" s="17">
        <v>43104</v>
      </c>
      <c r="Q294" s="5">
        <f>VLOOKUP(G294,'CBs RAW'!$E$2:$P$427,12)</f>
        <v>4</v>
      </c>
      <c r="R294" s="17">
        <v>44930</v>
      </c>
      <c r="S294" s="6" t="s">
        <v>173</v>
      </c>
      <c r="T294" s="6" t="s">
        <v>54</v>
      </c>
      <c r="U294" s="6" t="s">
        <v>49</v>
      </c>
      <c r="V294" s="6" t="s">
        <v>53</v>
      </c>
      <c r="W294" s="6" t="s">
        <v>2941</v>
      </c>
      <c r="X294" s="18">
        <f>VLOOKUP(G294,'CBs RAW'!$E$2:$W$427,19)</f>
        <v>3.9990000000000001</v>
      </c>
      <c r="Y294" s="19">
        <f t="shared" si="0"/>
        <v>3.9990000000000001</v>
      </c>
      <c r="Z294" s="2" t="str">
        <f t="shared" si="1"/>
        <v>Mota-Engil SGPS SAAT MATURITYFIXEDEURSr Unsecured</v>
      </c>
      <c r="AB294" s="8"/>
    </row>
    <row r="295" spans="1:28" x14ac:dyDescent="0.2">
      <c r="A295" s="6">
        <v>294</v>
      </c>
      <c r="B295" s="6" t="s">
        <v>1198</v>
      </c>
      <c r="C295" s="6" t="s">
        <v>1201</v>
      </c>
      <c r="D295" s="6" t="s">
        <v>71</v>
      </c>
      <c r="E295" s="6" t="str">
        <f>VLOOKUP(G295,'CBs RAW'!$E$2:$H$427,4)</f>
        <v>#N/A N/A</v>
      </c>
      <c r="F295" s="6" t="s">
        <v>1202</v>
      </c>
      <c r="G295" s="6" t="s">
        <v>2942</v>
      </c>
      <c r="H295" s="6" t="s">
        <v>2943</v>
      </c>
      <c r="I295" s="6" t="s">
        <v>2944</v>
      </c>
      <c r="J295" s="6" t="s">
        <v>55</v>
      </c>
      <c r="K295" s="6" t="s">
        <v>56</v>
      </c>
      <c r="L295" s="5">
        <v>124787300</v>
      </c>
      <c r="M295" s="6" t="s">
        <v>52</v>
      </c>
      <c r="N295" s="6" t="s">
        <v>173</v>
      </c>
      <c r="O295" s="6" t="s">
        <v>1202</v>
      </c>
      <c r="P295" s="17">
        <v>43432</v>
      </c>
      <c r="Q295" s="5">
        <f>VLOOKUP(G295,'CBs RAW'!$E$2:$P$427,12)</f>
        <v>4.5</v>
      </c>
      <c r="R295" s="17">
        <v>44893</v>
      </c>
      <c r="S295" s="6" t="s">
        <v>173</v>
      </c>
      <c r="T295" s="6" t="s">
        <v>54</v>
      </c>
      <c r="U295" s="6" t="s">
        <v>49</v>
      </c>
      <c r="V295" s="6" t="s">
        <v>53</v>
      </c>
      <c r="W295" s="6" t="s">
        <v>2945</v>
      </c>
      <c r="X295" s="18" t="str">
        <f>VLOOKUP(G295,'CBs RAW'!$E$2:$W$427,19)</f>
        <v>#N/A N/A</v>
      </c>
      <c r="Y295" s="2" t="str">
        <f t="shared" si="0"/>
        <v>#N/A N/A</v>
      </c>
      <c r="Z295" s="2" t="str">
        <f t="shared" si="1"/>
        <v>Mota-Engil SGPS SAAT MATURITYFIXEDEURSr Unsecured</v>
      </c>
      <c r="AB295" s="8"/>
    </row>
    <row r="296" spans="1:28" x14ac:dyDescent="0.2">
      <c r="A296" s="6">
        <v>295</v>
      </c>
      <c r="B296" s="6" t="s">
        <v>1198</v>
      </c>
      <c r="C296" s="6" t="s">
        <v>1201</v>
      </c>
      <c r="D296" s="6" t="s">
        <v>57</v>
      </c>
      <c r="E296" s="6" t="str">
        <f>VLOOKUP(G296,'CBs RAW'!$E$2:$H$427,4)</f>
        <v>#N/A N/A</v>
      </c>
      <c r="F296" s="6" t="s">
        <v>1202</v>
      </c>
      <c r="G296" s="6" t="s">
        <v>2946</v>
      </c>
      <c r="H296" s="6" t="s">
        <v>2947</v>
      </c>
      <c r="I296" s="6" t="s">
        <v>2948</v>
      </c>
      <c r="J296" s="6" t="s">
        <v>55</v>
      </c>
      <c r="K296" s="6" t="s">
        <v>56</v>
      </c>
      <c r="L296" s="5">
        <v>55699500</v>
      </c>
      <c r="M296" s="6" t="s">
        <v>52</v>
      </c>
      <c r="N296" s="6" t="s">
        <v>173</v>
      </c>
      <c r="O296" s="6" t="s">
        <v>1202</v>
      </c>
      <c r="P296" s="17">
        <v>43843</v>
      </c>
      <c r="Q296" s="5">
        <f>VLOOKUP(G296,'CBs RAW'!$E$2:$P$427,12)</f>
        <v>2.75</v>
      </c>
      <c r="R296" s="17">
        <v>45304</v>
      </c>
      <c r="S296" s="6" t="s">
        <v>173</v>
      </c>
      <c r="T296" s="6" t="s">
        <v>54</v>
      </c>
      <c r="U296" s="6" t="s">
        <v>2949</v>
      </c>
      <c r="V296" s="6" t="s">
        <v>53</v>
      </c>
      <c r="W296" s="6" t="s">
        <v>2950</v>
      </c>
      <c r="X296" s="18">
        <f>VLOOKUP(G296,'CBs RAW'!$E$2:$W$427,19)</f>
        <v>2.5529999999999999</v>
      </c>
      <c r="Y296" s="19">
        <f t="shared" si="0"/>
        <v>2.5529999999999999</v>
      </c>
      <c r="Z296" s="2" t="str">
        <f t="shared" si="1"/>
        <v>Mota-Engil SGPS SAPUTABLEFIXEDEURSr Unsecured</v>
      </c>
      <c r="AB296" s="8"/>
    </row>
    <row r="297" spans="1:28" x14ac:dyDescent="0.2">
      <c r="A297" s="6">
        <v>296</v>
      </c>
      <c r="B297" s="6" t="s">
        <v>1198</v>
      </c>
      <c r="C297" s="6" t="s">
        <v>1201</v>
      </c>
      <c r="D297" s="6" t="s">
        <v>71</v>
      </c>
      <c r="E297" s="6" t="str">
        <f>VLOOKUP(G297,'CBs RAW'!$E$2:$H$427,4)</f>
        <v>#N/A N/A</v>
      </c>
      <c r="F297" s="6" t="s">
        <v>1202</v>
      </c>
      <c r="G297" s="6" t="s">
        <v>2951</v>
      </c>
      <c r="H297" s="6" t="s">
        <v>2952</v>
      </c>
      <c r="I297" s="6" t="s">
        <v>2953</v>
      </c>
      <c r="J297" s="6" t="s">
        <v>55</v>
      </c>
      <c r="K297" s="6" t="s">
        <v>56</v>
      </c>
      <c r="L297" s="5" t="s">
        <v>2954</v>
      </c>
      <c r="M297" s="6" t="s">
        <v>52</v>
      </c>
      <c r="N297" s="6" t="s">
        <v>173</v>
      </c>
      <c r="O297" s="6" t="s">
        <v>1202</v>
      </c>
      <c r="P297" s="17">
        <v>43768</v>
      </c>
      <c r="Q297" s="5">
        <f>VLOOKUP(G297,'CBs RAW'!$E$2:$P$427,12)</f>
        <v>4.375</v>
      </c>
      <c r="R297" s="17">
        <v>45595</v>
      </c>
      <c r="S297" s="6" t="s">
        <v>173</v>
      </c>
      <c r="T297" s="6" t="s">
        <v>54</v>
      </c>
      <c r="U297" s="6" t="s">
        <v>1205</v>
      </c>
      <c r="V297" s="6" t="s">
        <v>53</v>
      </c>
      <c r="W297" s="6" t="s">
        <v>2955</v>
      </c>
      <c r="X297" s="18" t="str">
        <f>VLOOKUP(G297,'CBs RAW'!$E$2:$W$427,19)</f>
        <v>#N/A N/A</v>
      </c>
      <c r="Y297" s="2" t="str">
        <f t="shared" si="0"/>
        <v>#N/A N/A</v>
      </c>
      <c r="Z297" s="2" t="str">
        <f t="shared" si="1"/>
        <v>Mota-Engil SGPS SASINKABLEFIXEDEURSr Unsecured</v>
      </c>
      <c r="AB297" s="8"/>
    </row>
    <row r="298" spans="1:28" x14ac:dyDescent="0.2">
      <c r="A298" s="6">
        <v>297</v>
      </c>
      <c r="B298" s="6" t="s">
        <v>946</v>
      </c>
      <c r="C298" s="6" t="s">
        <v>949</v>
      </c>
      <c r="D298" s="6" t="s">
        <v>57</v>
      </c>
      <c r="E298" s="6" t="str">
        <f>VLOOKUP(G298,'CBs RAW'!$E$2:$H$427,4)</f>
        <v>#N/A N/A</v>
      </c>
      <c r="F298" s="6" t="s">
        <v>366</v>
      </c>
      <c r="G298" s="6" t="s">
        <v>2956</v>
      </c>
      <c r="H298" s="6" t="s">
        <v>2957</v>
      </c>
      <c r="I298" s="6" t="s">
        <v>2958</v>
      </c>
      <c r="J298" s="6" t="s">
        <v>55</v>
      </c>
      <c r="K298" s="6" t="s">
        <v>56</v>
      </c>
      <c r="L298" s="5">
        <v>347565000</v>
      </c>
      <c r="M298" s="6" t="s">
        <v>52</v>
      </c>
      <c r="N298" s="6" t="s">
        <v>1770</v>
      </c>
      <c r="O298" s="6" t="s">
        <v>366</v>
      </c>
      <c r="P298" s="17">
        <v>43389</v>
      </c>
      <c r="Q298" s="5">
        <f>VLOOKUP(G298,'CBs RAW'!$E$2:$P$427,12)</f>
        <v>1.375</v>
      </c>
      <c r="R298" s="17">
        <v>47042</v>
      </c>
      <c r="S298" s="6" t="s">
        <v>225</v>
      </c>
      <c r="T298" s="6" t="s">
        <v>1645</v>
      </c>
      <c r="U298" s="6" t="s">
        <v>115</v>
      </c>
      <c r="V298" s="6" t="s">
        <v>53</v>
      </c>
      <c r="W298" s="6" t="s">
        <v>2959</v>
      </c>
      <c r="X298" s="18">
        <f>VLOOKUP(G298,'CBs RAW'!$E$2:$W$427,19)</f>
        <v>1.337</v>
      </c>
      <c r="Y298" s="19">
        <f t="shared" si="0"/>
        <v>1.337</v>
      </c>
      <c r="Z298" s="2" t="str">
        <f t="shared" si="1"/>
        <v>Nederlandse Gasunie NVCALLABLEFIXEDEURSr Unsecured</v>
      </c>
      <c r="AB298" s="8"/>
    </row>
    <row r="299" spans="1:28" x14ac:dyDescent="0.2">
      <c r="A299" s="6">
        <v>298</v>
      </c>
      <c r="B299" s="6" t="s">
        <v>946</v>
      </c>
      <c r="C299" s="6" t="s">
        <v>949</v>
      </c>
      <c r="D299" s="6" t="s">
        <v>57</v>
      </c>
      <c r="E299" s="6" t="str">
        <f>VLOOKUP(G299,'CBs RAW'!$E$2:$H$427,4)</f>
        <v>#N/A N/A</v>
      </c>
      <c r="F299" s="6" t="s">
        <v>366</v>
      </c>
      <c r="G299" s="6" t="s">
        <v>2960</v>
      </c>
      <c r="H299" s="6" t="s">
        <v>2961</v>
      </c>
      <c r="I299" s="6" t="s">
        <v>2962</v>
      </c>
      <c r="J299" s="6" t="s">
        <v>55</v>
      </c>
      <c r="K299" s="6" t="s">
        <v>56</v>
      </c>
      <c r="L299" s="5">
        <v>743106000</v>
      </c>
      <c r="M299" s="6" t="s">
        <v>52</v>
      </c>
      <c r="N299" s="6" t="s">
        <v>173</v>
      </c>
      <c r="O299" s="6" t="s">
        <v>366</v>
      </c>
      <c r="P299" s="17">
        <v>42501</v>
      </c>
      <c r="Q299" s="5">
        <f>VLOOKUP(G299,'CBs RAW'!$E$2:$P$427,12)</f>
        <v>1</v>
      </c>
      <c r="R299" s="17">
        <v>46153</v>
      </c>
      <c r="S299" s="6" t="s">
        <v>225</v>
      </c>
      <c r="T299" s="6" t="s">
        <v>1645</v>
      </c>
      <c r="U299" s="6" t="s">
        <v>115</v>
      </c>
      <c r="V299" s="6" t="s">
        <v>53</v>
      </c>
      <c r="W299" s="6" t="s">
        <v>2963</v>
      </c>
      <c r="X299" s="18">
        <f>VLOOKUP(G299,'CBs RAW'!$E$2:$W$427,19)</f>
        <v>0.91800000000000004</v>
      </c>
      <c r="Y299" s="19">
        <f t="shared" si="0"/>
        <v>0.91800000000000004</v>
      </c>
      <c r="Z299" s="2" t="str">
        <f t="shared" si="1"/>
        <v>Nederlandse Gasunie NVCALLABLEFIXEDEURSr Unsecured</v>
      </c>
      <c r="AB299" s="8"/>
    </row>
    <row r="300" spans="1:28" x14ac:dyDescent="0.2">
      <c r="A300" s="6">
        <v>299</v>
      </c>
      <c r="B300" s="6" t="s">
        <v>946</v>
      </c>
      <c r="C300" s="6" t="s">
        <v>949</v>
      </c>
      <c r="D300" s="6" t="s">
        <v>57</v>
      </c>
      <c r="E300" s="6" t="str">
        <f>VLOOKUP(G300,'CBs RAW'!$E$2:$H$427,4)</f>
        <v>#N/A N/A</v>
      </c>
      <c r="F300" s="6" t="s">
        <v>366</v>
      </c>
      <c r="G300" s="6" t="s">
        <v>2964</v>
      </c>
      <c r="H300" s="6" t="s">
        <v>2965</v>
      </c>
      <c r="I300" s="6" t="s">
        <v>2966</v>
      </c>
      <c r="J300" s="6" t="s">
        <v>55</v>
      </c>
      <c r="K300" s="6" t="s">
        <v>56</v>
      </c>
      <c r="L300" s="5">
        <v>549140000</v>
      </c>
      <c r="M300" s="6" t="s">
        <v>52</v>
      </c>
      <c r="N300" s="6" t="s">
        <v>1770</v>
      </c>
      <c r="O300" s="6" t="s">
        <v>366</v>
      </c>
      <c r="P300" s="17">
        <v>43741</v>
      </c>
      <c r="Q300" s="5">
        <f>VLOOKUP(G300,'CBs RAW'!$E$2:$P$427,12)</f>
        <v>0.375</v>
      </c>
      <c r="R300" s="17">
        <v>48124</v>
      </c>
      <c r="S300" s="6" t="s">
        <v>225</v>
      </c>
      <c r="T300" s="6" t="s">
        <v>189</v>
      </c>
      <c r="U300" s="6" t="s">
        <v>115</v>
      </c>
      <c r="V300" s="6" t="s">
        <v>53</v>
      </c>
      <c r="W300" s="6" t="s">
        <v>2967</v>
      </c>
      <c r="X300" s="18">
        <f>VLOOKUP(G300,'CBs RAW'!$E$2:$W$427,19)</f>
        <v>0.36</v>
      </c>
      <c r="Y300" s="19">
        <f t="shared" si="0"/>
        <v>0.36</v>
      </c>
      <c r="Z300" s="2" t="str">
        <f t="shared" si="1"/>
        <v>Nederlandse Gasunie NVCALLABLEFIXEDEURSr Unsecured</v>
      </c>
      <c r="AB300" s="8"/>
    </row>
    <row r="301" spans="1:28" x14ac:dyDescent="0.2">
      <c r="A301" s="6">
        <v>300</v>
      </c>
      <c r="B301" s="6" t="s">
        <v>1639</v>
      </c>
      <c r="C301" s="6" t="s">
        <v>1642</v>
      </c>
      <c r="D301" s="6" t="s">
        <v>57</v>
      </c>
      <c r="E301" s="6" t="str">
        <f>VLOOKUP(G301,'CBs RAW'!$E$2:$H$427,4)</f>
        <v>#N/A N/A</v>
      </c>
      <c r="F301" s="6" t="s">
        <v>170</v>
      </c>
      <c r="G301" s="6" t="s">
        <v>2968</v>
      </c>
      <c r="H301" s="6" t="s">
        <v>2969</v>
      </c>
      <c r="I301" s="6" t="s">
        <v>2970</v>
      </c>
      <c r="J301" s="6" t="s">
        <v>55</v>
      </c>
      <c r="K301" s="6" t="s">
        <v>56</v>
      </c>
      <c r="L301" s="5">
        <v>641838000</v>
      </c>
      <c r="M301" s="6" t="s">
        <v>52</v>
      </c>
      <c r="N301" s="6" t="s">
        <v>1770</v>
      </c>
      <c r="O301" s="6" t="s">
        <v>169</v>
      </c>
      <c r="P301" s="17">
        <v>42825</v>
      </c>
      <c r="Q301" s="5">
        <f>VLOOKUP(G301,'CBs RAW'!$E$2:$P$427,12)</f>
        <v>1.125</v>
      </c>
      <c r="R301" s="17">
        <v>46660</v>
      </c>
      <c r="S301" s="6" t="s">
        <v>173</v>
      </c>
      <c r="T301" s="6" t="s">
        <v>1645</v>
      </c>
      <c r="U301" s="6" t="s">
        <v>115</v>
      </c>
      <c r="V301" s="6" t="s">
        <v>53</v>
      </c>
      <c r="W301" s="6" t="s">
        <v>2971</v>
      </c>
      <c r="X301" s="18">
        <f>VLOOKUP(G301,'CBs RAW'!$E$2:$W$427,19)</f>
        <v>1.0169999999999999</v>
      </c>
      <c r="Y301" s="19">
        <f t="shared" si="0"/>
        <v>1.0169999999999999</v>
      </c>
      <c r="Z301" s="2" t="str">
        <f t="shared" si="1"/>
        <v>Novartis Finance SACALLABLEFIXEDEURSr Unsecured</v>
      </c>
      <c r="AB301" s="8"/>
    </row>
    <row r="302" spans="1:28" x14ac:dyDescent="0.2">
      <c r="A302" s="6">
        <v>301</v>
      </c>
      <c r="B302" s="6" t="s">
        <v>1639</v>
      </c>
      <c r="C302" s="6" t="s">
        <v>1642</v>
      </c>
      <c r="D302" s="6" t="s">
        <v>57</v>
      </c>
      <c r="E302" s="6" t="str">
        <f>VLOOKUP(G302,'CBs RAW'!$E$2:$H$427,4)</f>
        <v>#N/A N/A</v>
      </c>
      <c r="F302" s="6" t="s">
        <v>170</v>
      </c>
      <c r="G302" s="6" t="s">
        <v>2972</v>
      </c>
      <c r="H302" s="6" t="s">
        <v>2973</v>
      </c>
      <c r="I302" s="6" t="s">
        <v>2974</v>
      </c>
      <c r="J302" s="6" t="s">
        <v>55</v>
      </c>
      <c r="K302" s="6" t="s">
        <v>56</v>
      </c>
      <c r="L302" s="5">
        <v>931342500</v>
      </c>
      <c r="M302" s="6" t="s">
        <v>52</v>
      </c>
      <c r="N302" s="6" t="s">
        <v>1770</v>
      </c>
      <c r="O302" s="6" t="s">
        <v>169</v>
      </c>
      <c r="P302" s="17">
        <v>43145</v>
      </c>
      <c r="Q302" s="5">
        <f>VLOOKUP(G302,'CBs RAW'!$E$2:$P$427,12)</f>
        <v>0.5</v>
      </c>
      <c r="R302" s="17">
        <v>45152</v>
      </c>
      <c r="S302" s="6" t="s">
        <v>173</v>
      </c>
      <c r="T302" s="6" t="s">
        <v>1645</v>
      </c>
      <c r="U302" s="6" t="s">
        <v>115</v>
      </c>
      <c r="V302" s="6" t="s">
        <v>53</v>
      </c>
      <c r="W302" s="6" t="s">
        <v>2975</v>
      </c>
      <c r="X302" s="18">
        <f>VLOOKUP(G302,'CBs RAW'!$E$2:$W$427,19)</f>
        <v>0.59899999999999998</v>
      </c>
      <c r="Y302" s="19">
        <f t="shared" si="0"/>
        <v>0.59899999999999998</v>
      </c>
      <c r="Z302" s="2" t="str">
        <f t="shared" si="1"/>
        <v>Novartis Finance SACALLABLEFIXEDEURSr Unsecured</v>
      </c>
      <c r="AB302" s="8"/>
    </row>
    <row r="303" spans="1:28" x14ac:dyDescent="0.2">
      <c r="A303" s="6">
        <v>302</v>
      </c>
      <c r="B303" s="6" t="s">
        <v>1639</v>
      </c>
      <c r="C303" s="6" t="s">
        <v>1642</v>
      </c>
      <c r="D303" s="6" t="s">
        <v>57</v>
      </c>
      <c r="E303" s="6" t="str">
        <f>VLOOKUP(G303,'CBs RAW'!$E$2:$H$427,4)</f>
        <v>#N/A N/A</v>
      </c>
      <c r="F303" s="6" t="s">
        <v>170</v>
      </c>
      <c r="G303" s="6" t="s">
        <v>2976</v>
      </c>
      <c r="H303" s="6" t="s">
        <v>2977</v>
      </c>
      <c r="I303" s="6" t="s">
        <v>2978</v>
      </c>
      <c r="J303" s="6" t="s">
        <v>55</v>
      </c>
      <c r="K303" s="6" t="s">
        <v>56</v>
      </c>
      <c r="L303" s="5">
        <v>931342500</v>
      </c>
      <c r="M303" s="6" t="s">
        <v>52</v>
      </c>
      <c r="N303" s="6" t="s">
        <v>1770</v>
      </c>
      <c r="O303" s="6" t="s">
        <v>169</v>
      </c>
      <c r="P303" s="17">
        <v>43145</v>
      </c>
      <c r="Q303" s="5">
        <f>VLOOKUP(G303,'CBs RAW'!$E$2:$P$427,12)</f>
        <v>1.375</v>
      </c>
      <c r="R303" s="17">
        <v>47709</v>
      </c>
      <c r="S303" s="6" t="s">
        <v>173</v>
      </c>
      <c r="T303" s="6" t="s">
        <v>1645</v>
      </c>
      <c r="U303" s="6" t="s">
        <v>115</v>
      </c>
      <c r="V303" s="6" t="s">
        <v>53</v>
      </c>
      <c r="W303" s="6" t="s">
        <v>2979</v>
      </c>
      <c r="X303" s="18">
        <f>VLOOKUP(G303,'CBs RAW'!$E$2:$W$427,19)</f>
        <v>1.4450000000000001</v>
      </c>
      <c r="Y303" s="19">
        <f t="shared" si="0"/>
        <v>1.4450000000000001</v>
      </c>
      <c r="Z303" s="2" t="str">
        <f t="shared" si="1"/>
        <v>Novartis Finance SACALLABLEFIXEDEURSr Unsecured</v>
      </c>
      <c r="AB303" s="8"/>
    </row>
    <row r="304" spans="1:28" x14ac:dyDescent="0.2">
      <c r="A304" s="6">
        <v>303</v>
      </c>
      <c r="B304" s="6" t="s">
        <v>1639</v>
      </c>
      <c r="C304" s="6" t="s">
        <v>1642</v>
      </c>
      <c r="D304" s="6" t="s">
        <v>57</v>
      </c>
      <c r="E304" s="6" t="str">
        <f>VLOOKUP(G304,'CBs RAW'!$E$2:$H$427,4)</f>
        <v>#N/A N/A</v>
      </c>
      <c r="F304" s="6" t="s">
        <v>170</v>
      </c>
      <c r="G304" s="6" t="s">
        <v>2980</v>
      </c>
      <c r="H304" s="6" t="s">
        <v>2981</v>
      </c>
      <c r="I304" s="6" t="s">
        <v>2982</v>
      </c>
      <c r="J304" s="6" t="s">
        <v>55</v>
      </c>
      <c r="K304" s="6" t="s">
        <v>56</v>
      </c>
      <c r="L304" s="5">
        <v>931342500</v>
      </c>
      <c r="M304" s="6" t="s">
        <v>52</v>
      </c>
      <c r="N304" s="6" t="s">
        <v>1770</v>
      </c>
      <c r="O304" s="6" t="s">
        <v>169</v>
      </c>
      <c r="P304" s="17">
        <v>43145</v>
      </c>
      <c r="Q304" s="5">
        <f>VLOOKUP(G304,'CBs RAW'!$E$2:$P$427,12)</f>
        <v>1.7</v>
      </c>
      <c r="R304" s="17">
        <v>50631</v>
      </c>
      <c r="S304" s="6" t="s">
        <v>173</v>
      </c>
      <c r="T304" s="6" t="s">
        <v>1645</v>
      </c>
      <c r="U304" s="6" t="s">
        <v>115</v>
      </c>
      <c r="V304" s="6" t="s">
        <v>53</v>
      </c>
      <c r="W304" s="6" t="s">
        <v>2983</v>
      </c>
      <c r="X304" s="18">
        <f>VLOOKUP(G304,'CBs RAW'!$E$2:$W$427,19)</f>
        <v>1.827</v>
      </c>
      <c r="Y304" s="19">
        <f t="shared" si="0"/>
        <v>1.827</v>
      </c>
      <c r="Z304" s="2" t="str">
        <f t="shared" si="1"/>
        <v>Novartis Finance SACALLABLEFIXEDEURSr Unsecured</v>
      </c>
      <c r="AB304" s="8"/>
    </row>
    <row r="305" spans="1:28" x14ac:dyDescent="0.2">
      <c r="A305" s="6">
        <v>304</v>
      </c>
      <c r="B305" s="6" t="s">
        <v>1639</v>
      </c>
      <c r="C305" s="6" t="s">
        <v>1642</v>
      </c>
      <c r="D305" s="6" t="s">
        <v>57</v>
      </c>
      <c r="E305" s="6">
        <f>VLOOKUP(G305,'CBs RAW'!$E$2:$H$427,4)</f>
        <v>1.653</v>
      </c>
      <c r="F305" s="6" t="s">
        <v>170</v>
      </c>
      <c r="G305" s="6" t="s">
        <v>2984</v>
      </c>
      <c r="H305" s="6" t="s">
        <v>2985</v>
      </c>
      <c r="I305" s="6" t="s">
        <v>2986</v>
      </c>
      <c r="J305" s="6" t="s">
        <v>55</v>
      </c>
      <c r="K305" s="6" t="s">
        <v>56</v>
      </c>
      <c r="L305" s="5">
        <v>745968000</v>
      </c>
      <c r="M305" s="6" t="s">
        <v>52</v>
      </c>
      <c r="N305" s="6" t="s">
        <v>1770</v>
      </c>
      <c r="O305" s="6" t="s">
        <v>169</v>
      </c>
      <c r="P305" s="17">
        <v>41950</v>
      </c>
      <c r="Q305" s="5">
        <f>VLOOKUP(G305,'CBs RAW'!$E$2:$P$427,12)</f>
        <v>1.625</v>
      </c>
      <c r="R305" s="17">
        <v>46335</v>
      </c>
      <c r="S305" s="6" t="s">
        <v>173</v>
      </c>
      <c r="T305" s="6" t="s">
        <v>1645</v>
      </c>
      <c r="U305" s="6" t="s">
        <v>49</v>
      </c>
      <c r="V305" s="6" t="s">
        <v>53</v>
      </c>
      <c r="W305" s="6" t="s">
        <v>2987</v>
      </c>
      <c r="X305" s="18">
        <f>VLOOKUP(G305,'CBs RAW'!$E$2:$W$427,19)</f>
        <v>1.4710000000000001</v>
      </c>
      <c r="Y305" s="19">
        <f t="shared" si="0"/>
        <v>1.4710000000000001</v>
      </c>
      <c r="Z305" s="2" t="str">
        <f t="shared" si="1"/>
        <v>Novartis Finance SAAT MATURITYFIXEDEURSr Unsecured</v>
      </c>
      <c r="AB305" s="8"/>
    </row>
    <row r="306" spans="1:28" x14ac:dyDescent="0.2">
      <c r="A306" s="6">
        <v>305</v>
      </c>
      <c r="B306" s="6" t="s">
        <v>1639</v>
      </c>
      <c r="C306" s="6" t="s">
        <v>1642</v>
      </c>
      <c r="D306" s="6" t="s">
        <v>57</v>
      </c>
      <c r="E306" s="6" t="str">
        <f>VLOOKUP(G306,'CBs RAW'!$E$2:$H$427,4)</f>
        <v>#N/A N/A</v>
      </c>
      <c r="F306" s="6" t="s">
        <v>170</v>
      </c>
      <c r="G306" s="6" t="s">
        <v>2988</v>
      </c>
      <c r="H306" s="6" t="s">
        <v>2989</v>
      </c>
      <c r="I306" s="6" t="s">
        <v>2990</v>
      </c>
      <c r="J306" s="6" t="s">
        <v>55</v>
      </c>
      <c r="K306" s="6" t="s">
        <v>56</v>
      </c>
      <c r="L306" s="5">
        <v>1395562500</v>
      </c>
      <c r="M306" s="6" t="s">
        <v>52</v>
      </c>
      <c r="N306" s="6" t="s">
        <v>173</v>
      </c>
      <c r="O306" s="6" t="s">
        <v>169</v>
      </c>
      <c r="P306" s="17">
        <v>42633</v>
      </c>
      <c r="Q306" s="5">
        <f>VLOOKUP(G306,'CBs RAW'!$E$2:$P$427,12)</f>
        <v>0.125</v>
      </c>
      <c r="R306" s="17">
        <v>45189</v>
      </c>
      <c r="S306" s="6" t="s">
        <v>173</v>
      </c>
      <c r="T306" s="6" t="s">
        <v>1645</v>
      </c>
      <c r="U306" s="6" t="s">
        <v>49</v>
      </c>
      <c r="V306" s="6" t="s">
        <v>53</v>
      </c>
      <c r="W306" s="6" t="s">
        <v>2991</v>
      </c>
      <c r="X306" s="18">
        <f>VLOOKUP(G306,'CBs RAW'!$E$2:$W$427,19)</f>
        <v>0.182</v>
      </c>
      <c r="Y306" s="19">
        <f t="shared" si="0"/>
        <v>0.182</v>
      </c>
      <c r="Z306" s="2" t="str">
        <f t="shared" si="1"/>
        <v>Novartis Finance SAAT MATURITYFIXEDEURSr Unsecured</v>
      </c>
      <c r="AB306" s="8"/>
    </row>
    <row r="307" spans="1:28" x14ac:dyDescent="0.2">
      <c r="A307" s="6">
        <v>306</v>
      </c>
      <c r="B307" s="6" t="s">
        <v>1639</v>
      </c>
      <c r="C307" s="6" t="s">
        <v>1642</v>
      </c>
      <c r="D307" s="6" t="s">
        <v>57</v>
      </c>
      <c r="E307" s="6" t="str">
        <f>VLOOKUP(G307,'CBs RAW'!$E$2:$H$427,4)</f>
        <v>#N/A N/A</v>
      </c>
      <c r="F307" s="6" t="s">
        <v>170</v>
      </c>
      <c r="G307" s="6" t="s">
        <v>2992</v>
      </c>
      <c r="H307" s="6" t="s">
        <v>2993</v>
      </c>
      <c r="I307" s="6" t="s">
        <v>2994</v>
      </c>
      <c r="J307" s="6" t="s">
        <v>55</v>
      </c>
      <c r="K307" s="6" t="s">
        <v>56</v>
      </c>
      <c r="L307" s="5">
        <v>558225000</v>
      </c>
      <c r="M307" s="6" t="s">
        <v>52</v>
      </c>
      <c r="N307" s="6" t="s">
        <v>173</v>
      </c>
      <c r="O307" s="6" t="s">
        <v>169</v>
      </c>
      <c r="P307" s="17">
        <v>42633</v>
      </c>
      <c r="Q307" s="5">
        <f>VLOOKUP(G307,'CBs RAW'!$E$2:$P$427,12)</f>
        <v>0.625</v>
      </c>
      <c r="R307" s="17">
        <v>47016</v>
      </c>
      <c r="S307" s="6" t="s">
        <v>173</v>
      </c>
      <c r="T307" s="6" t="s">
        <v>1645</v>
      </c>
      <c r="U307" s="6" t="s">
        <v>49</v>
      </c>
      <c r="V307" s="6" t="s">
        <v>53</v>
      </c>
      <c r="W307" s="6" t="s">
        <v>2995</v>
      </c>
      <c r="X307" s="18">
        <f>VLOOKUP(G307,'CBs RAW'!$E$2:$W$427,19)</f>
        <v>0.66600000000000004</v>
      </c>
      <c r="Y307" s="19">
        <f t="shared" si="0"/>
        <v>0.66600000000000004</v>
      </c>
      <c r="Z307" s="2" t="str">
        <f t="shared" si="1"/>
        <v>Novartis Finance SAAT MATURITYFIXEDEURSr Unsecured</v>
      </c>
      <c r="AB307" s="8"/>
    </row>
    <row r="308" spans="1:28" x14ac:dyDescent="0.2">
      <c r="A308" s="6">
        <v>307</v>
      </c>
      <c r="B308" s="6" t="s">
        <v>1525</v>
      </c>
      <c r="C308" s="6" t="s">
        <v>1528</v>
      </c>
      <c r="D308" s="6" t="s">
        <v>57</v>
      </c>
      <c r="E308" s="6" t="str">
        <f>VLOOKUP(G308,'CBs RAW'!$E$2:$H$427,4)</f>
        <v>#N/A N/A</v>
      </c>
      <c r="F308" s="6" t="s">
        <v>184</v>
      </c>
      <c r="G308" s="6" t="s">
        <v>2996</v>
      </c>
      <c r="H308" s="6" t="s">
        <v>2997</v>
      </c>
      <c r="I308" s="6" t="s">
        <v>2998</v>
      </c>
      <c r="J308" s="6" t="s">
        <v>420</v>
      </c>
      <c r="K308" s="6" t="s">
        <v>56</v>
      </c>
      <c r="L308" s="5">
        <v>1080200000</v>
      </c>
      <c r="M308" s="6" t="s">
        <v>52</v>
      </c>
      <c r="N308" s="6" t="s">
        <v>1770</v>
      </c>
      <c r="O308" s="6" t="s">
        <v>184</v>
      </c>
      <c r="P308" s="17">
        <v>43927</v>
      </c>
      <c r="Q308" s="5">
        <f>VLOOKUP(G308,'CBs RAW'!$E$2:$P$427,12)</f>
        <v>1.125</v>
      </c>
      <c r="R308" s="17">
        <v>45754</v>
      </c>
      <c r="S308" s="6" t="s">
        <v>173</v>
      </c>
      <c r="T308" s="6" t="s">
        <v>619</v>
      </c>
      <c r="U308" s="6" t="s">
        <v>115</v>
      </c>
      <c r="V308" s="6" t="s">
        <v>53</v>
      </c>
      <c r="W308" s="6" t="s">
        <v>2999</v>
      </c>
      <c r="X308" s="18">
        <f>VLOOKUP(G308,'CBs RAW'!$E$2:$W$427,19)</f>
        <v>1.1419999999999999</v>
      </c>
      <c r="Y308" s="19">
        <f t="shared" si="0"/>
        <v>1.1419999999999999</v>
      </c>
      <c r="Z308" s="2" t="str">
        <f t="shared" si="1"/>
        <v>Pernod Ricard SACALLABLEFIXEDEURSr Unsecured</v>
      </c>
      <c r="AB308" s="8"/>
    </row>
    <row r="309" spans="1:28" x14ac:dyDescent="0.2">
      <c r="A309" s="6">
        <v>308</v>
      </c>
      <c r="B309" s="6" t="s">
        <v>1525</v>
      </c>
      <c r="C309" s="6" t="s">
        <v>1528</v>
      </c>
      <c r="D309" s="6" t="s">
        <v>57</v>
      </c>
      <c r="E309" s="6" t="str">
        <f>VLOOKUP(G309,'CBs RAW'!$E$2:$H$427,4)</f>
        <v>#N/A N/A</v>
      </c>
      <c r="F309" s="6" t="s">
        <v>184</v>
      </c>
      <c r="G309" s="6" t="s">
        <v>3000</v>
      </c>
      <c r="H309" s="6" t="s">
        <v>3001</v>
      </c>
      <c r="I309" s="6" t="s">
        <v>3002</v>
      </c>
      <c r="J309" s="6" t="s">
        <v>420</v>
      </c>
      <c r="K309" s="6" t="s">
        <v>56</v>
      </c>
      <c r="L309" s="5">
        <v>1080200000</v>
      </c>
      <c r="M309" s="6" t="s">
        <v>52</v>
      </c>
      <c r="N309" s="6" t="s">
        <v>1770</v>
      </c>
      <c r="O309" s="6" t="s">
        <v>184</v>
      </c>
      <c r="P309" s="17">
        <v>43927</v>
      </c>
      <c r="Q309" s="5">
        <f>VLOOKUP(G309,'CBs RAW'!$E$2:$P$427,12)</f>
        <v>1.75</v>
      </c>
      <c r="R309" s="17">
        <v>47581</v>
      </c>
      <c r="S309" s="6" t="s">
        <v>173</v>
      </c>
      <c r="T309" s="6" t="s">
        <v>619</v>
      </c>
      <c r="U309" s="6" t="s">
        <v>115</v>
      </c>
      <c r="V309" s="6" t="s">
        <v>53</v>
      </c>
      <c r="W309" s="6" t="s">
        <v>3003</v>
      </c>
      <c r="X309" s="18">
        <f>VLOOKUP(G309,'CBs RAW'!$E$2:$W$427,19)</f>
        <v>1.752</v>
      </c>
      <c r="Y309" s="19">
        <f t="shared" si="0"/>
        <v>1.752</v>
      </c>
      <c r="Z309" s="2" t="str">
        <f t="shared" si="1"/>
        <v>Pernod Ricard SACALLABLEFIXEDEURSr Unsecured</v>
      </c>
      <c r="AB309" s="8"/>
    </row>
    <row r="310" spans="1:28" x14ac:dyDescent="0.2">
      <c r="A310" s="6">
        <v>309</v>
      </c>
      <c r="B310" s="6" t="s">
        <v>1525</v>
      </c>
      <c r="C310" s="6" t="s">
        <v>1528</v>
      </c>
      <c r="D310" s="6" t="s">
        <v>57</v>
      </c>
      <c r="E310" s="6" t="str">
        <f>VLOOKUP(G310,'CBs RAW'!$E$2:$H$427,4)</f>
        <v>#N/A N/A</v>
      </c>
      <c r="F310" s="6" t="s">
        <v>184</v>
      </c>
      <c r="G310" s="6" t="s">
        <v>3004</v>
      </c>
      <c r="H310" s="6" t="s">
        <v>3005</v>
      </c>
      <c r="I310" s="6" t="s">
        <v>3006</v>
      </c>
      <c r="J310" s="6" t="s">
        <v>420</v>
      </c>
      <c r="K310" s="6" t="s">
        <v>56</v>
      </c>
      <c r="L310" s="5">
        <v>580950000</v>
      </c>
      <c r="M310" s="6" t="s">
        <v>52</v>
      </c>
      <c r="N310" s="6" t="s">
        <v>1775</v>
      </c>
      <c r="O310" s="6" t="s">
        <v>184</v>
      </c>
      <c r="P310" s="17">
        <v>44473</v>
      </c>
      <c r="Q310" s="5">
        <f>VLOOKUP(G310,'CBs RAW'!$E$2:$P$427,12)</f>
        <v>0.125</v>
      </c>
      <c r="R310" s="17">
        <v>47395</v>
      </c>
      <c r="S310" s="6" t="s">
        <v>3007</v>
      </c>
      <c r="T310" s="6" t="s">
        <v>619</v>
      </c>
      <c r="U310" s="6" t="s">
        <v>115</v>
      </c>
      <c r="V310" s="6" t="s">
        <v>53</v>
      </c>
      <c r="W310" s="6" t="s">
        <v>3008</v>
      </c>
      <c r="X310" s="18">
        <f>VLOOKUP(G310,'CBs RAW'!$E$2:$W$427,19)</f>
        <v>0.29499999999999998</v>
      </c>
      <c r="Y310" s="19">
        <f t="shared" si="0"/>
        <v>0.29499999999999998</v>
      </c>
      <c r="Z310" s="2" t="str">
        <f t="shared" si="1"/>
        <v>Pernod Ricard SACALLABLEFIXEDEURSr Unsecured</v>
      </c>
      <c r="AB310" s="8"/>
    </row>
    <row r="311" spans="1:28" x14ac:dyDescent="0.2">
      <c r="A311" s="6">
        <v>310</v>
      </c>
      <c r="B311" s="6" t="s">
        <v>1525</v>
      </c>
      <c r="C311" s="6" t="s">
        <v>1528</v>
      </c>
      <c r="D311" s="6" t="s">
        <v>57</v>
      </c>
      <c r="E311" s="6" t="str">
        <f>VLOOKUP(G311,'CBs RAW'!$E$2:$H$427,4)</f>
        <v>#N/A N/A</v>
      </c>
      <c r="F311" s="6" t="s">
        <v>184</v>
      </c>
      <c r="G311" s="6" t="s">
        <v>3009</v>
      </c>
      <c r="H311" s="6" t="s">
        <v>3010</v>
      </c>
      <c r="I311" s="6" t="s">
        <v>3011</v>
      </c>
      <c r="J311" s="6" t="s">
        <v>420</v>
      </c>
      <c r="K311" s="6" t="s">
        <v>56</v>
      </c>
      <c r="L311" s="5">
        <v>825331000</v>
      </c>
      <c r="M311" s="6" t="s">
        <v>52</v>
      </c>
      <c r="N311" s="6" t="s">
        <v>1770</v>
      </c>
      <c r="O311" s="6" t="s">
        <v>184</v>
      </c>
      <c r="P311" s="17">
        <v>41911</v>
      </c>
      <c r="Q311" s="5">
        <f>VLOOKUP(G311,'CBs RAW'!$E$2:$P$427,12)</f>
        <v>2.125</v>
      </c>
      <c r="R311" s="17">
        <v>45562</v>
      </c>
      <c r="S311" s="6" t="s">
        <v>173</v>
      </c>
      <c r="T311" s="6" t="s">
        <v>619</v>
      </c>
      <c r="U311" s="6" t="s">
        <v>115</v>
      </c>
      <c r="V311" s="6" t="s">
        <v>53</v>
      </c>
      <c r="W311" s="6" t="s">
        <v>3012</v>
      </c>
      <c r="X311" s="18">
        <f>VLOOKUP(G311,'CBs RAW'!$E$2:$W$427,19)</f>
        <v>2.0270000000000001</v>
      </c>
      <c r="Y311" s="19">
        <f t="shared" si="0"/>
        <v>2.0270000000000001</v>
      </c>
      <c r="Z311" s="2" t="str">
        <f t="shared" si="1"/>
        <v>Pernod Ricard SACALLABLEFIXEDEURSr Unsecured</v>
      </c>
      <c r="AB311" s="8"/>
    </row>
    <row r="312" spans="1:28" x14ac:dyDescent="0.2">
      <c r="A312" s="6">
        <v>311</v>
      </c>
      <c r="B312" s="6" t="s">
        <v>1525</v>
      </c>
      <c r="C312" s="6" t="s">
        <v>1528</v>
      </c>
      <c r="D312" s="6" t="s">
        <v>57</v>
      </c>
      <c r="E312" s="6" t="str">
        <f>VLOOKUP(G312,'CBs RAW'!$E$2:$H$427,4)</f>
        <v>#N/A N/A</v>
      </c>
      <c r="F312" s="6" t="s">
        <v>184</v>
      </c>
      <c r="G312" s="6" t="s">
        <v>3013</v>
      </c>
      <c r="H312" s="6" t="s">
        <v>3014</v>
      </c>
      <c r="I312" s="6" t="s">
        <v>3015</v>
      </c>
      <c r="J312" s="6" t="s">
        <v>420</v>
      </c>
      <c r="K312" s="6" t="s">
        <v>56</v>
      </c>
      <c r="L312" s="5">
        <v>679902000</v>
      </c>
      <c r="M312" s="6" t="s">
        <v>52</v>
      </c>
      <c r="N312" s="6" t="s">
        <v>1770</v>
      </c>
      <c r="O312" s="6" t="s">
        <v>184</v>
      </c>
      <c r="P312" s="17">
        <v>42507</v>
      </c>
      <c r="Q312" s="5">
        <f>VLOOKUP(G312,'CBs RAW'!$E$2:$P$427,12)</f>
        <v>1.5</v>
      </c>
      <c r="R312" s="17">
        <v>46160</v>
      </c>
      <c r="S312" s="6" t="s">
        <v>173</v>
      </c>
      <c r="T312" s="6" t="s">
        <v>619</v>
      </c>
      <c r="U312" s="6" t="s">
        <v>115</v>
      </c>
      <c r="V312" s="6" t="s">
        <v>53</v>
      </c>
      <c r="W312" s="6" t="s">
        <v>3016</v>
      </c>
      <c r="X312" s="18">
        <f>VLOOKUP(G312,'CBs RAW'!$E$2:$W$427,19)</f>
        <v>1.492</v>
      </c>
      <c r="Y312" s="19">
        <f t="shared" si="0"/>
        <v>1.492</v>
      </c>
      <c r="Z312" s="2" t="str">
        <f t="shared" si="1"/>
        <v>Pernod Ricard SACALLABLEFIXEDEURSr Unsecured</v>
      </c>
      <c r="AB312" s="8"/>
    </row>
    <row r="313" spans="1:28" x14ac:dyDescent="0.2">
      <c r="A313" s="6">
        <v>312</v>
      </c>
      <c r="B313" s="6" t="s">
        <v>1525</v>
      </c>
      <c r="C313" s="6" t="s">
        <v>1528</v>
      </c>
      <c r="D313" s="6" t="s">
        <v>71</v>
      </c>
      <c r="E313" s="6">
        <f>VLOOKUP(G313,'CBs RAW'!$E$2:$H$427,4)</f>
        <v>3.3159999999999998</v>
      </c>
      <c r="F313" s="6" t="s">
        <v>184</v>
      </c>
      <c r="G313" s="6" t="s">
        <v>3017</v>
      </c>
      <c r="H313" s="6" t="s">
        <v>3018</v>
      </c>
      <c r="I313" s="6" t="s">
        <v>3019</v>
      </c>
      <c r="J313" s="6" t="s">
        <v>420</v>
      </c>
      <c r="K313" s="6" t="s">
        <v>56</v>
      </c>
      <c r="L313" s="5">
        <v>600000000</v>
      </c>
      <c r="M313" s="6" t="s">
        <v>52</v>
      </c>
      <c r="N313" s="6" t="s">
        <v>1770</v>
      </c>
      <c r="O313" s="6" t="s">
        <v>184</v>
      </c>
      <c r="P313" s="17">
        <v>42529</v>
      </c>
      <c r="Q313" s="5">
        <f>VLOOKUP(G313,'CBs RAW'!$E$2:$P$427,12)</f>
        <v>3.25</v>
      </c>
      <c r="R313" s="17">
        <v>46181</v>
      </c>
      <c r="S313" s="6" t="s">
        <v>261</v>
      </c>
      <c r="T313" s="6" t="s">
        <v>619</v>
      </c>
      <c r="U313" s="6" t="s">
        <v>115</v>
      </c>
      <c r="V313" s="6" t="s">
        <v>262</v>
      </c>
      <c r="W313" s="6" t="s">
        <v>3020</v>
      </c>
      <c r="X313" s="18">
        <f>VLOOKUP(G313,'CBs RAW'!$E$2:$W$427,19)</f>
        <v>3.117</v>
      </c>
      <c r="Y313" s="19">
        <f t="shared" si="0"/>
        <v>3.117</v>
      </c>
      <c r="Z313" s="2" t="str">
        <f t="shared" si="1"/>
        <v>Pernod Ricard SACALLABLEFIXEDUSDSr Unsecured</v>
      </c>
      <c r="AB313" s="8"/>
    </row>
    <row r="314" spans="1:28" x14ac:dyDescent="0.2">
      <c r="A314" s="6">
        <v>313</v>
      </c>
      <c r="B314" s="6" t="s">
        <v>1525</v>
      </c>
      <c r="C314" s="6" t="s">
        <v>1528</v>
      </c>
      <c r="D314" s="6" t="s">
        <v>71</v>
      </c>
      <c r="E314" s="6">
        <f>VLOOKUP(G314,'CBs RAW'!$E$2:$H$427,4)</f>
        <v>3.3159999999999998</v>
      </c>
      <c r="F314" s="6" t="s">
        <v>184</v>
      </c>
      <c r="G314" s="6" t="s">
        <v>3021</v>
      </c>
      <c r="H314" s="6" t="s">
        <v>3022</v>
      </c>
      <c r="I314" s="6" t="s">
        <v>3023</v>
      </c>
      <c r="J314" s="6" t="s">
        <v>420</v>
      </c>
      <c r="K314" s="6" t="s">
        <v>56</v>
      </c>
      <c r="L314" s="5">
        <v>600000000</v>
      </c>
      <c r="M314" s="6" t="s">
        <v>52</v>
      </c>
      <c r="N314" s="6" t="s">
        <v>1770</v>
      </c>
      <c r="O314" s="6" t="s">
        <v>184</v>
      </c>
      <c r="P314" s="17">
        <v>42529</v>
      </c>
      <c r="Q314" s="5">
        <f>VLOOKUP(G314,'CBs RAW'!$E$2:$P$427,12)</f>
        <v>3.25</v>
      </c>
      <c r="R314" s="17">
        <v>46181</v>
      </c>
      <c r="S314" s="6" t="s">
        <v>270</v>
      </c>
      <c r="T314" s="6" t="s">
        <v>619</v>
      </c>
      <c r="U314" s="6" t="s">
        <v>115</v>
      </c>
      <c r="V314" s="6" t="s">
        <v>262</v>
      </c>
      <c r="W314" s="6" t="s">
        <v>3024</v>
      </c>
      <c r="X314" s="18">
        <f>VLOOKUP(G314,'CBs RAW'!$E$2:$W$427,19)</f>
        <v>3.121</v>
      </c>
      <c r="Y314" s="19">
        <f t="shared" si="0"/>
        <v>3.121</v>
      </c>
      <c r="Z314" s="2" t="str">
        <f t="shared" si="1"/>
        <v>Pernod Ricard SACALLABLEFIXEDUSDSr Unsecured</v>
      </c>
      <c r="AB314" s="8"/>
    </row>
    <row r="315" spans="1:28" x14ac:dyDescent="0.2">
      <c r="A315" s="6">
        <v>314</v>
      </c>
      <c r="B315" s="6" t="s">
        <v>1525</v>
      </c>
      <c r="C315" s="6" t="s">
        <v>1528</v>
      </c>
      <c r="D315" s="6" t="s">
        <v>57</v>
      </c>
      <c r="E315" s="6" t="str">
        <f>VLOOKUP(G315,'CBs RAW'!$E$2:$H$427,4)</f>
        <v>#N/A N/A</v>
      </c>
      <c r="F315" s="6" t="s">
        <v>184</v>
      </c>
      <c r="G315" s="6" t="s">
        <v>3025</v>
      </c>
      <c r="H315" s="6" t="s">
        <v>3026</v>
      </c>
      <c r="I315" s="6" t="s">
        <v>3027</v>
      </c>
      <c r="J315" s="6" t="s">
        <v>420</v>
      </c>
      <c r="K315" s="6" t="s">
        <v>56</v>
      </c>
      <c r="L315" s="5">
        <v>561890000</v>
      </c>
      <c r="M315" s="6" t="s">
        <v>52</v>
      </c>
      <c r="N315" s="6" t="s">
        <v>1770</v>
      </c>
      <c r="O315" s="6" t="s">
        <v>184</v>
      </c>
      <c r="P315" s="17">
        <v>42275</v>
      </c>
      <c r="Q315" s="5">
        <f>VLOOKUP(G315,'CBs RAW'!$E$2:$P$427,12)</f>
        <v>1.875</v>
      </c>
      <c r="R315" s="17">
        <v>45197</v>
      </c>
      <c r="S315" s="6" t="s">
        <v>173</v>
      </c>
      <c r="T315" s="6" t="s">
        <v>189</v>
      </c>
      <c r="U315" s="6" t="s">
        <v>115</v>
      </c>
      <c r="V315" s="6" t="s">
        <v>53</v>
      </c>
      <c r="W315" s="6" t="s">
        <v>3028</v>
      </c>
      <c r="X315" s="18">
        <f>VLOOKUP(G315,'CBs RAW'!$E$2:$W$427,19)</f>
        <v>1.89</v>
      </c>
      <c r="Y315" s="19">
        <f t="shared" si="0"/>
        <v>1.89</v>
      </c>
      <c r="Z315" s="2" t="str">
        <f t="shared" si="1"/>
        <v>Pernod Ricard SACALLABLEFIXEDEURSr Unsecured</v>
      </c>
      <c r="AB315" s="8"/>
    </row>
    <row r="316" spans="1:28" x14ac:dyDescent="0.2">
      <c r="A316" s="6">
        <v>315</v>
      </c>
      <c r="B316" s="6" t="s">
        <v>1525</v>
      </c>
      <c r="C316" s="6" t="s">
        <v>1528</v>
      </c>
      <c r="D316" s="6" t="s">
        <v>57</v>
      </c>
      <c r="E316" s="6" t="str">
        <f>VLOOKUP(G316,'CBs RAW'!$E$2:$H$427,4)</f>
        <v>#N/A N/A</v>
      </c>
      <c r="F316" s="6" t="s">
        <v>184</v>
      </c>
      <c r="G316" s="6" t="s">
        <v>3029</v>
      </c>
      <c r="H316" s="6" t="s">
        <v>3030</v>
      </c>
      <c r="I316" s="6" t="s">
        <v>3031</v>
      </c>
      <c r="J316" s="6" t="s">
        <v>420</v>
      </c>
      <c r="K316" s="6" t="s">
        <v>56</v>
      </c>
      <c r="L316" s="5">
        <v>555340000</v>
      </c>
      <c r="M316" s="6" t="s">
        <v>52</v>
      </c>
      <c r="N316" s="6" t="s">
        <v>1770</v>
      </c>
      <c r="O316" s="6" t="s">
        <v>184</v>
      </c>
      <c r="P316" s="17">
        <v>43762</v>
      </c>
      <c r="Q316" s="5">
        <f>VLOOKUP(G316,'CBs RAW'!$E$2:$P$427,12)</f>
        <v>0</v>
      </c>
      <c r="R316" s="17">
        <v>45223</v>
      </c>
      <c r="S316" s="6" t="s">
        <v>173</v>
      </c>
      <c r="T316" s="6" t="s">
        <v>619</v>
      </c>
      <c r="U316" s="6" t="s">
        <v>115</v>
      </c>
      <c r="V316" s="6" t="s">
        <v>53</v>
      </c>
      <c r="W316" s="6" t="s">
        <v>3032</v>
      </c>
      <c r="X316" s="18">
        <f>VLOOKUP(G316,'CBs RAW'!$E$2:$W$427,19)</f>
        <v>-7.2999999999999995E-2</v>
      </c>
      <c r="Y316" s="19">
        <f t="shared" si="0"/>
        <v>-7.2999999999999995E-2</v>
      </c>
      <c r="Z316" s="2" t="str">
        <f t="shared" si="1"/>
        <v>Pernod Ricard SACALLABLEFIXEDEURSr Unsecured</v>
      </c>
      <c r="AB316" s="8"/>
    </row>
    <row r="317" spans="1:28" x14ac:dyDescent="0.2">
      <c r="A317" s="6">
        <v>316</v>
      </c>
      <c r="B317" s="6" t="s">
        <v>1525</v>
      </c>
      <c r="C317" s="6" t="s">
        <v>1528</v>
      </c>
      <c r="D317" s="6" t="s">
        <v>57</v>
      </c>
      <c r="E317" s="6" t="str">
        <f>VLOOKUP(G317,'CBs RAW'!$E$2:$H$427,4)</f>
        <v>#N/A N/A</v>
      </c>
      <c r="F317" s="6" t="s">
        <v>184</v>
      </c>
      <c r="G317" s="6" t="s">
        <v>3033</v>
      </c>
      <c r="H317" s="6" t="s">
        <v>3034</v>
      </c>
      <c r="I317" s="6" t="s">
        <v>3035</v>
      </c>
      <c r="J317" s="6" t="s">
        <v>420</v>
      </c>
      <c r="K317" s="6" t="s">
        <v>56</v>
      </c>
      <c r="L317" s="5">
        <v>555340000</v>
      </c>
      <c r="M317" s="6" t="s">
        <v>52</v>
      </c>
      <c r="N317" s="6" t="s">
        <v>1770</v>
      </c>
      <c r="O317" s="6" t="s">
        <v>184</v>
      </c>
      <c r="P317" s="17">
        <v>43762</v>
      </c>
      <c r="Q317" s="5">
        <f>VLOOKUP(G317,'CBs RAW'!$E$2:$P$427,12)</f>
        <v>0.5</v>
      </c>
      <c r="R317" s="17">
        <v>46684</v>
      </c>
      <c r="S317" s="6" t="s">
        <v>173</v>
      </c>
      <c r="T317" s="6" t="s">
        <v>619</v>
      </c>
      <c r="U317" s="6" t="s">
        <v>115</v>
      </c>
      <c r="V317" s="6" t="s">
        <v>53</v>
      </c>
      <c r="W317" s="6" t="s">
        <v>3036</v>
      </c>
      <c r="X317" s="18">
        <f>VLOOKUP(G317,'CBs RAW'!$E$2:$W$427,19)</f>
        <v>0.38</v>
      </c>
      <c r="Y317" s="19">
        <f t="shared" si="0"/>
        <v>0.38</v>
      </c>
      <c r="Z317" s="2" t="str">
        <f t="shared" si="1"/>
        <v>Pernod Ricard SACALLABLEFIXEDEURSr Unsecured</v>
      </c>
      <c r="AB317" s="8"/>
    </row>
    <row r="318" spans="1:28" x14ac:dyDescent="0.2">
      <c r="A318" s="6">
        <v>317</v>
      </c>
      <c r="B318" s="6" t="s">
        <v>1525</v>
      </c>
      <c r="C318" s="6" t="s">
        <v>1528</v>
      </c>
      <c r="D318" s="6" t="s">
        <v>57</v>
      </c>
      <c r="E318" s="6" t="str">
        <f>VLOOKUP(G318,'CBs RAW'!$E$2:$H$427,4)</f>
        <v>#N/A N/A</v>
      </c>
      <c r="F318" s="6" t="s">
        <v>184</v>
      </c>
      <c r="G318" s="6" t="s">
        <v>3037</v>
      </c>
      <c r="H318" s="6" t="s">
        <v>3038</v>
      </c>
      <c r="I318" s="6" t="s">
        <v>3039</v>
      </c>
      <c r="J318" s="6" t="s">
        <v>420</v>
      </c>
      <c r="K318" s="6" t="s">
        <v>56</v>
      </c>
      <c r="L318" s="5">
        <v>555340000</v>
      </c>
      <c r="M318" s="6" t="s">
        <v>52</v>
      </c>
      <c r="N318" s="6" t="s">
        <v>1770</v>
      </c>
      <c r="O318" s="6" t="s">
        <v>184</v>
      </c>
      <c r="P318" s="17">
        <v>43762</v>
      </c>
      <c r="Q318" s="5">
        <f>VLOOKUP(G318,'CBs RAW'!$E$2:$P$427,12)</f>
        <v>0.875</v>
      </c>
      <c r="R318" s="17">
        <v>48145</v>
      </c>
      <c r="S318" s="6" t="s">
        <v>173</v>
      </c>
      <c r="T318" s="6" t="s">
        <v>619</v>
      </c>
      <c r="U318" s="6" t="s">
        <v>115</v>
      </c>
      <c r="V318" s="6" t="s">
        <v>53</v>
      </c>
      <c r="W318" s="6" t="s">
        <v>3040</v>
      </c>
      <c r="X318" s="18">
        <f>VLOOKUP(G318,'CBs RAW'!$E$2:$W$427,19)</f>
        <v>0.78100000000000003</v>
      </c>
      <c r="Y318" s="19">
        <f t="shared" si="0"/>
        <v>0.78100000000000003</v>
      </c>
      <c r="Z318" s="2" t="str">
        <f t="shared" si="1"/>
        <v>Pernod Ricard SACALLABLEFIXEDEURSr Unsecured</v>
      </c>
      <c r="AB318" s="8"/>
    </row>
    <row r="319" spans="1:28" x14ac:dyDescent="0.2">
      <c r="A319" s="6">
        <v>318</v>
      </c>
      <c r="B319" s="6" t="s">
        <v>218</v>
      </c>
      <c r="C319" s="6" t="s">
        <v>221</v>
      </c>
      <c r="D319" s="6" t="s">
        <v>57</v>
      </c>
      <c r="E319" s="6" t="str">
        <f>VLOOKUP(G319,'CBs RAW'!$E$2:$H$427,4)</f>
        <v>#N/A N/A</v>
      </c>
      <c r="F319" s="6" t="s">
        <v>222</v>
      </c>
      <c r="G319" s="6" t="s">
        <v>3041</v>
      </c>
      <c r="H319" s="6" t="s">
        <v>3042</v>
      </c>
      <c r="I319" s="6" t="s">
        <v>3043</v>
      </c>
      <c r="J319" s="6" t="s">
        <v>55</v>
      </c>
      <c r="K319" s="6" t="s">
        <v>56</v>
      </c>
      <c r="L319" s="5">
        <v>21763600</v>
      </c>
      <c r="M319" s="6" t="s">
        <v>52</v>
      </c>
      <c r="N319" s="6" t="s">
        <v>173</v>
      </c>
      <c r="O319" s="6" t="s">
        <v>222</v>
      </c>
      <c r="P319" s="17">
        <v>42151</v>
      </c>
      <c r="Q319" s="5">
        <f>VLOOKUP(G319,'CBs RAW'!$E$2:$P$427,12)</f>
        <v>5</v>
      </c>
      <c r="R319" s="17">
        <v>45804</v>
      </c>
      <c r="S319" s="6">
        <v>1</v>
      </c>
      <c r="T319" s="6" t="s">
        <v>54</v>
      </c>
      <c r="U319" s="6" t="s">
        <v>49</v>
      </c>
      <c r="V319" s="6" t="s">
        <v>53</v>
      </c>
      <c r="W319" s="6" t="s">
        <v>3044</v>
      </c>
      <c r="X319" s="18" t="str">
        <f>VLOOKUP(G319,'CBs RAW'!$E$2:$W$427,19)</f>
        <v>#N/A N/A</v>
      </c>
      <c r="Y319" s="2" t="str">
        <f t="shared" si="0"/>
        <v>#N/A N/A</v>
      </c>
      <c r="Z319" s="2" t="str">
        <f t="shared" si="1"/>
        <v>Pikolin SLAT MATURITYFIXEDEURSr Unsecured</v>
      </c>
      <c r="AB319" s="8"/>
    </row>
    <row r="320" spans="1:28" x14ac:dyDescent="0.2">
      <c r="A320" s="6">
        <v>319</v>
      </c>
      <c r="B320" s="6" t="s">
        <v>218</v>
      </c>
      <c r="C320" s="6" t="s">
        <v>221</v>
      </c>
      <c r="D320" s="6" t="s">
        <v>57</v>
      </c>
      <c r="E320" s="6" t="str">
        <f>VLOOKUP(G320,'CBs RAW'!$E$2:$H$427,4)</f>
        <v>#N/A N/A</v>
      </c>
      <c r="F320" s="6" t="s">
        <v>222</v>
      </c>
      <c r="G320" s="6" t="s">
        <v>3045</v>
      </c>
      <c r="H320" s="6" t="s">
        <v>3046</v>
      </c>
      <c r="I320" s="6" t="s">
        <v>3047</v>
      </c>
      <c r="J320" s="6" t="s">
        <v>55</v>
      </c>
      <c r="K320" s="6" t="s">
        <v>56</v>
      </c>
      <c r="L320" s="5">
        <v>10881800</v>
      </c>
      <c r="M320" s="6" t="s">
        <v>52</v>
      </c>
      <c r="N320" s="6" t="s">
        <v>173</v>
      </c>
      <c r="O320" s="6" t="s">
        <v>222</v>
      </c>
      <c r="P320" s="17">
        <v>42151</v>
      </c>
      <c r="Q320" s="5">
        <f>VLOOKUP(G320,'CBs RAW'!$E$2:$P$427,12)</f>
        <v>4.5</v>
      </c>
      <c r="R320" s="17">
        <v>44708</v>
      </c>
      <c r="S320" s="6">
        <v>2</v>
      </c>
      <c r="T320" s="6" t="s">
        <v>54</v>
      </c>
      <c r="U320" s="6" t="s">
        <v>49</v>
      </c>
      <c r="V320" s="6" t="s">
        <v>53</v>
      </c>
      <c r="W320" s="6" t="s">
        <v>3048</v>
      </c>
      <c r="X320" s="18" t="str">
        <f>VLOOKUP(G320,'CBs RAW'!$E$2:$W$427,19)</f>
        <v>#N/A N/A</v>
      </c>
      <c r="Y320" s="2" t="str">
        <f t="shared" si="0"/>
        <v>#N/A N/A</v>
      </c>
      <c r="Z320" s="2" t="str">
        <f t="shared" si="1"/>
        <v>Pikolin SLAT MATURITYFIXEDEURSr Unsecured</v>
      </c>
      <c r="AB320" s="8"/>
    </row>
    <row r="321" spans="1:28" x14ac:dyDescent="0.2">
      <c r="A321" s="6">
        <v>320</v>
      </c>
      <c r="B321" s="6" t="s">
        <v>206</v>
      </c>
      <c r="C321" s="6" t="s">
        <v>209</v>
      </c>
      <c r="D321" s="6" t="s">
        <v>71</v>
      </c>
      <c r="E321" s="6" t="str">
        <f>VLOOKUP(G321,'CBs RAW'!$E$2:$H$427,4)</f>
        <v>#N/A N/A</v>
      </c>
      <c r="F321" s="6" t="s">
        <v>112</v>
      </c>
      <c r="G321" s="6" t="s">
        <v>3049</v>
      </c>
      <c r="H321" s="6" t="s">
        <v>3050</v>
      </c>
      <c r="I321" s="6" t="s">
        <v>3051</v>
      </c>
      <c r="J321" s="6" t="s">
        <v>174</v>
      </c>
      <c r="K321" s="6" t="s">
        <v>70</v>
      </c>
      <c r="L321" s="5">
        <v>56484000</v>
      </c>
      <c r="M321" s="6" t="s">
        <v>52</v>
      </c>
      <c r="N321" s="6" t="s">
        <v>173</v>
      </c>
      <c r="O321" s="6" t="s">
        <v>112</v>
      </c>
      <c r="P321" s="17">
        <v>43089</v>
      </c>
      <c r="Q321" s="5">
        <f>VLOOKUP(G321,'CBs RAW'!$E$2:$P$427,12)</f>
        <v>3.5100000000000002</v>
      </c>
      <c r="R321" s="17">
        <v>44903</v>
      </c>
      <c r="S321" s="6" t="s">
        <v>350</v>
      </c>
      <c r="T321" s="6" t="s">
        <v>54</v>
      </c>
      <c r="U321" s="6" t="s">
        <v>49</v>
      </c>
      <c r="V321" s="6" t="s">
        <v>119</v>
      </c>
      <c r="W321" s="6" t="s">
        <v>3052</v>
      </c>
      <c r="X321" s="18" t="str">
        <f>VLOOKUP(G321,'CBs RAW'!$E$2:$W$427,19)</f>
        <v>#N/A N/A</v>
      </c>
      <c r="Y321" s="2" t="str">
        <f t="shared" si="0"/>
        <v>#N/A N/A</v>
      </c>
      <c r="Z321" s="2" t="str">
        <f t="shared" si="1"/>
        <v>Polski Koncern Naftowy ORLEN SAAT MATURITYFLOATINGPLNSr Unsecured</v>
      </c>
      <c r="AB321" s="8"/>
    </row>
    <row r="322" spans="1:28" x14ac:dyDescent="0.2">
      <c r="A322" s="6">
        <v>321</v>
      </c>
      <c r="B322" s="6" t="s">
        <v>206</v>
      </c>
      <c r="C322" s="6" t="s">
        <v>209</v>
      </c>
      <c r="D322" s="6" t="s">
        <v>71</v>
      </c>
      <c r="E322" s="6" t="str">
        <f>VLOOKUP(G322,'CBs RAW'!$E$2:$H$427,4)</f>
        <v>#N/A N/A</v>
      </c>
      <c r="F322" s="6" t="s">
        <v>112</v>
      </c>
      <c r="G322" s="6" t="s">
        <v>3053</v>
      </c>
      <c r="H322" s="6" t="s">
        <v>3054</v>
      </c>
      <c r="I322" s="6" t="s">
        <v>3055</v>
      </c>
      <c r="J322" s="6" t="s">
        <v>174</v>
      </c>
      <c r="K322" s="6" t="s">
        <v>70</v>
      </c>
      <c r="L322" s="5">
        <v>54746800</v>
      </c>
      <c r="M322" s="6" t="s">
        <v>52</v>
      </c>
      <c r="N322" s="6" t="s">
        <v>173</v>
      </c>
      <c r="O322" s="6" t="s">
        <v>112</v>
      </c>
      <c r="P322" s="17">
        <v>43256</v>
      </c>
      <c r="Q322" s="5">
        <f>VLOOKUP(G322,'CBs RAW'!$E$2:$P$427,12)</f>
        <v>3.63</v>
      </c>
      <c r="R322" s="17">
        <v>44717</v>
      </c>
      <c r="S322" s="6" t="s">
        <v>212</v>
      </c>
      <c r="T322" s="6" t="s">
        <v>54</v>
      </c>
      <c r="U322" s="6" t="s">
        <v>49</v>
      </c>
      <c r="V322" s="6" t="s">
        <v>119</v>
      </c>
      <c r="W322" s="6" t="s">
        <v>3056</v>
      </c>
      <c r="X322" s="18" t="str">
        <f>VLOOKUP(G322,'CBs RAW'!$E$2:$W$427,19)</f>
        <v>#N/A N/A</v>
      </c>
      <c r="Y322" s="2" t="str">
        <f t="shared" si="0"/>
        <v>#N/A N/A</v>
      </c>
      <c r="Z322" s="2" t="str">
        <f t="shared" si="1"/>
        <v>Polski Koncern Naftowy ORLEN SAAT MATURITYFLOATINGPLNSr Unsecured</v>
      </c>
      <c r="AB322" s="8"/>
    </row>
    <row r="323" spans="1:28" x14ac:dyDescent="0.2">
      <c r="A323" s="6">
        <v>322</v>
      </c>
      <c r="B323" s="6" t="s">
        <v>206</v>
      </c>
      <c r="C323" s="6" t="s">
        <v>209</v>
      </c>
      <c r="D323" s="6" t="s">
        <v>71</v>
      </c>
      <c r="E323" s="6" t="str">
        <f>VLOOKUP(G323,'CBs RAW'!$E$2:$H$427,4)</f>
        <v>#N/A N/A</v>
      </c>
      <c r="F323" s="6" t="s">
        <v>112</v>
      </c>
      <c r="G323" s="6" t="s">
        <v>3057</v>
      </c>
      <c r="H323" s="6" t="s">
        <v>3058</v>
      </c>
      <c r="I323" s="6" t="s">
        <v>3059</v>
      </c>
      <c r="J323" s="6" t="s">
        <v>174</v>
      </c>
      <c r="K323" s="6" t="s">
        <v>70</v>
      </c>
      <c r="L323" s="5">
        <v>53614200</v>
      </c>
      <c r="M323" s="6" t="s">
        <v>52</v>
      </c>
      <c r="N323" s="6" t="s">
        <v>173</v>
      </c>
      <c r="O323" s="6" t="s">
        <v>112</v>
      </c>
      <c r="P323" s="17">
        <v>43270</v>
      </c>
      <c r="Q323" s="5">
        <f>VLOOKUP(G323,'CBs RAW'!$E$2:$P$427,12)</f>
        <v>3.8000000000000003</v>
      </c>
      <c r="R323" s="17">
        <v>44731</v>
      </c>
      <c r="S323" s="6" t="s">
        <v>430</v>
      </c>
      <c r="T323" s="6" t="s">
        <v>54</v>
      </c>
      <c r="U323" s="6" t="s">
        <v>49</v>
      </c>
      <c r="V323" s="6" t="s">
        <v>119</v>
      </c>
      <c r="W323" s="6" t="s">
        <v>3060</v>
      </c>
      <c r="X323" s="18" t="str">
        <f>VLOOKUP(G323,'CBs RAW'!$E$2:$W$427,19)</f>
        <v>#N/A N/A</v>
      </c>
      <c r="Y323" s="2" t="str">
        <f t="shared" si="0"/>
        <v>#N/A N/A</v>
      </c>
      <c r="Z323" s="2" t="str">
        <f t="shared" si="1"/>
        <v>Polski Koncern Naftowy ORLEN SAAT MATURITYFLOATINGPLNSr Unsecured</v>
      </c>
      <c r="AB323" s="8"/>
    </row>
    <row r="324" spans="1:28" x14ac:dyDescent="0.2">
      <c r="A324" s="6">
        <v>323</v>
      </c>
      <c r="B324" s="6" t="s">
        <v>206</v>
      </c>
      <c r="C324" s="6" t="s">
        <v>209</v>
      </c>
      <c r="D324" s="6" t="s">
        <v>71</v>
      </c>
      <c r="E324" s="6" t="str">
        <f>VLOOKUP(G324,'CBs RAW'!$E$2:$H$427,4)</f>
        <v>#N/A N/A</v>
      </c>
      <c r="F324" s="6" t="s">
        <v>112</v>
      </c>
      <c r="G324" s="6" t="s">
        <v>3061</v>
      </c>
      <c r="H324" s="6" t="s">
        <v>3062</v>
      </c>
      <c r="I324" s="6" t="s">
        <v>3063</v>
      </c>
      <c r="J324" s="6" t="s">
        <v>174</v>
      </c>
      <c r="K324" s="6" t="s">
        <v>70</v>
      </c>
      <c r="L324" s="5">
        <v>54126400</v>
      </c>
      <c r="M324" s="6" t="s">
        <v>52</v>
      </c>
      <c r="N324" s="6" t="s">
        <v>173</v>
      </c>
      <c r="O324" s="6" t="s">
        <v>112</v>
      </c>
      <c r="P324" s="17">
        <v>43294</v>
      </c>
      <c r="Q324" s="5">
        <f>VLOOKUP(G324,'CBs RAW'!$E$2:$P$427,12)</f>
        <v>4.24</v>
      </c>
      <c r="R324" s="17">
        <v>44755</v>
      </c>
      <c r="S324" s="6" t="s">
        <v>3064</v>
      </c>
      <c r="T324" s="6" t="s">
        <v>54</v>
      </c>
      <c r="U324" s="6" t="s">
        <v>49</v>
      </c>
      <c r="V324" s="6" t="s">
        <v>119</v>
      </c>
      <c r="W324" s="6" t="s">
        <v>3065</v>
      </c>
      <c r="X324" s="18" t="str">
        <f>VLOOKUP(G324,'CBs RAW'!$E$2:$W$427,19)</f>
        <v>#N/A N/A</v>
      </c>
      <c r="Y324" s="2" t="str">
        <f t="shared" si="0"/>
        <v>#N/A N/A</v>
      </c>
      <c r="Z324" s="2" t="str">
        <f t="shared" si="1"/>
        <v>Polski Koncern Naftowy ORLEN SAAT MATURITYFLOATINGPLNSr Unsecured</v>
      </c>
      <c r="AB324" s="8"/>
    </row>
    <row r="325" spans="1:28" x14ac:dyDescent="0.2">
      <c r="A325" s="6">
        <v>324</v>
      </c>
      <c r="B325" s="6" t="s">
        <v>127</v>
      </c>
      <c r="C325" s="6" t="s">
        <v>130</v>
      </c>
      <c r="D325" s="6" t="s">
        <v>71</v>
      </c>
      <c r="E325" s="6" t="str">
        <f>VLOOKUP(G325,'CBs RAW'!$E$2:$H$427,4)</f>
        <v>#N/A N/A</v>
      </c>
      <c r="F325" s="6" t="s">
        <v>45</v>
      </c>
      <c r="G325" s="6" t="s">
        <v>3066</v>
      </c>
      <c r="H325" s="6" t="s">
        <v>173</v>
      </c>
      <c r="I325" s="6" t="s">
        <v>3067</v>
      </c>
      <c r="J325" s="6" t="s">
        <v>133</v>
      </c>
      <c r="K325" s="6" t="s">
        <v>70</v>
      </c>
      <c r="L325" s="5">
        <v>187291200</v>
      </c>
      <c r="M325" s="6" t="s">
        <v>52</v>
      </c>
      <c r="N325" s="6" t="s">
        <v>173</v>
      </c>
      <c r="O325" s="6" t="s">
        <v>45</v>
      </c>
      <c r="P325" s="17">
        <v>43297</v>
      </c>
      <c r="Q325" s="5">
        <f>VLOOKUP(G325,'CBs RAW'!$E$2:$P$427,12)</f>
        <v>0</v>
      </c>
      <c r="R325" s="17">
        <v>45123</v>
      </c>
      <c r="S325" s="6" t="s">
        <v>76</v>
      </c>
      <c r="T325" s="6" t="s">
        <v>54</v>
      </c>
      <c r="U325" s="6" t="s">
        <v>49</v>
      </c>
      <c r="V325" s="6" t="s">
        <v>53</v>
      </c>
      <c r="W325" s="6" t="s">
        <v>3068</v>
      </c>
      <c r="X325" s="18" t="str">
        <f>VLOOKUP(G325,'CBs RAW'!$E$2:$W$427,19)</f>
        <v>#N/A N/A</v>
      </c>
      <c r="Y325" s="2" t="str">
        <f t="shared" si="0"/>
        <v>#N/A N/A</v>
      </c>
      <c r="Z325" s="2" t="str">
        <f t="shared" si="1"/>
        <v>Puma SEAT MATURITYFLOATINGEURSr Unsecured</v>
      </c>
      <c r="AB325" s="8"/>
    </row>
    <row r="326" spans="1:28" x14ac:dyDescent="0.2">
      <c r="A326" s="6">
        <v>325</v>
      </c>
      <c r="B326" s="6" t="s">
        <v>127</v>
      </c>
      <c r="C326" s="6" t="s">
        <v>130</v>
      </c>
      <c r="D326" s="6" t="s">
        <v>57</v>
      </c>
      <c r="E326" s="6" t="str">
        <f>VLOOKUP(G326,'CBs RAW'!$E$2:$H$427,4)</f>
        <v>#N/A N/A</v>
      </c>
      <c r="F326" s="6" t="s">
        <v>45</v>
      </c>
      <c r="G326" s="6" t="s">
        <v>3069</v>
      </c>
      <c r="H326" s="6" t="s">
        <v>173</v>
      </c>
      <c r="I326" s="6" t="s">
        <v>3070</v>
      </c>
      <c r="J326" s="6" t="s">
        <v>133</v>
      </c>
      <c r="K326" s="6" t="s">
        <v>56</v>
      </c>
      <c r="L326" s="5">
        <v>77916300</v>
      </c>
      <c r="M326" s="6" t="s">
        <v>52</v>
      </c>
      <c r="N326" s="6" t="s">
        <v>1770</v>
      </c>
      <c r="O326" s="6" t="s">
        <v>45</v>
      </c>
      <c r="P326" s="17">
        <v>43844</v>
      </c>
      <c r="Q326" s="5">
        <f>VLOOKUP(G326,'CBs RAW'!$E$2:$P$427,12)</f>
        <v>0</v>
      </c>
      <c r="R326" s="17">
        <v>45671</v>
      </c>
      <c r="S326" s="6" t="s">
        <v>104</v>
      </c>
      <c r="T326" s="6" t="s">
        <v>54</v>
      </c>
      <c r="U326" s="6" t="s">
        <v>49</v>
      </c>
      <c r="V326" s="6" t="s">
        <v>53</v>
      </c>
      <c r="W326" s="6" t="s">
        <v>3071</v>
      </c>
      <c r="X326" s="18" t="str">
        <f>VLOOKUP(G326,'CBs RAW'!$E$2:$W$427,19)</f>
        <v>#N/A N/A</v>
      </c>
      <c r="Y326" s="2" t="str">
        <f t="shared" si="0"/>
        <v>#N/A N/A</v>
      </c>
      <c r="Z326" s="2" t="str">
        <f t="shared" si="1"/>
        <v>Puma SEAT MATURITYFIXEDEURSr Unsecured</v>
      </c>
      <c r="AB326" s="8"/>
    </row>
    <row r="327" spans="1:28" x14ac:dyDescent="0.2">
      <c r="A327" s="6">
        <v>326</v>
      </c>
      <c r="B327" s="6" t="s">
        <v>127</v>
      </c>
      <c r="C327" s="6" t="s">
        <v>130</v>
      </c>
      <c r="D327" s="6" t="s">
        <v>71</v>
      </c>
      <c r="E327" s="6" t="str">
        <f>VLOOKUP(G327,'CBs RAW'!$E$2:$H$427,4)</f>
        <v>#N/A N/A</v>
      </c>
      <c r="F327" s="6" t="s">
        <v>45</v>
      </c>
      <c r="G327" s="6" t="s">
        <v>3072</v>
      </c>
      <c r="H327" s="6" t="s">
        <v>173</v>
      </c>
      <c r="I327" s="6" t="s">
        <v>3073</v>
      </c>
      <c r="J327" s="6" t="s">
        <v>133</v>
      </c>
      <c r="K327" s="6" t="s">
        <v>70</v>
      </c>
      <c r="L327" s="5">
        <v>77916300</v>
      </c>
      <c r="M327" s="6" t="s">
        <v>52</v>
      </c>
      <c r="N327" s="6" t="s">
        <v>1770</v>
      </c>
      <c r="O327" s="6" t="s">
        <v>45</v>
      </c>
      <c r="P327" s="17">
        <v>43844</v>
      </c>
      <c r="Q327" s="5">
        <f>VLOOKUP(G327,'CBs RAW'!$E$2:$P$427,12)</f>
        <v>0</v>
      </c>
      <c r="R327" s="17">
        <v>45671</v>
      </c>
      <c r="S327" s="6" t="s">
        <v>94</v>
      </c>
      <c r="T327" s="6" t="s">
        <v>54</v>
      </c>
      <c r="U327" s="6" t="s">
        <v>49</v>
      </c>
      <c r="V327" s="6" t="s">
        <v>53</v>
      </c>
      <c r="W327" s="6" t="s">
        <v>3074</v>
      </c>
      <c r="X327" s="18" t="str">
        <f>VLOOKUP(G327,'CBs RAW'!$E$2:$W$427,19)</f>
        <v>#N/A N/A</v>
      </c>
      <c r="Y327" s="2" t="str">
        <f t="shared" si="0"/>
        <v>#N/A N/A</v>
      </c>
      <c r="Z327" s="2" t="str">
        <f t="shared" si="1"/>
        <v>Puma SEAT MATURITYFLOATINGEURSr Unsecured</v>
      </c>
      <c r="AB327" s="8"/>
    </row>
    <row r="328" spans="1:28" x14ac:dyDescent="0.2">
      <c r="A328" s="6">
        <v>327</v>
      </c>
      <c r="B328" s="6" t="s">
        <v>1518</v>
      </c>
      <c r="C328" s="6" t="s">
        <v>1521</v>
      </c>
      <c r="D328" s="6" t="s">
        <v>57</v>
      </c>
      <c r="E328" s="6">
        <f>VLOOKUP(G328,'CBs RAW'!$E$2:$H$427,4)</f>
        <v>0.54</v>
      </c>
      <c r="F328" s="6" t="s">
        <v>184</v>
      </c>
      <c r="G328" s="6" t="s">
        <v>3075</v>
      </c>
      <c r="H328" s="6" t="s">
        <v>3076</v>
      </c>
      <c r="I328" s="6" t="s">
        <v>3077</v>
      </c>
      <c r="J328" s="6" t="s">
        <v>117</v>
      </c>
      <c r="K328" s="6" t="s">
        <v>56</v>
      </c>
      <c r="L328" s="5">
        <v>2149052500</v>
      </c>
      <c r="M328" s="6" t="s">
        <v>52</v>
      </c>
      <c r="N328" s="6" t="s">
        <v>1775</v>
      </c>
      <c r="O328" s="6" t="s">
        <v>184</v>
      </c>
      <c r="P328" s="17">
        <v>43180</v>
      </c>
      <c r="Q328" s="5">
        <f>VLOOKUP(G328,'CBs RAW'!$E$2:$P$427,12)</f>
        <v>0.5</v>
      </c>
      <c r="R328" s="17">
        <v>45006</v>
      </c>
      <c r="S328" s="6" t="s">
        <v>3078</v>
      </c>
      <c r="T328" s="6" t="s">
        <v>483</v>
      </c>
      <c r="U328" s="6" t="s">
        <v>115</v>
      </c>
      <c r="V328" s="6" t="s">
        <v>53</v>
      </c>
      <c r="W328" s="6" t="s">
        <v>3079</v>
      </c>
      <c r="X328" s="18">
        <f>VLOOKUP(G328,'CBs RAW'!$E$2:$W$427,19)</f>
        <v>0.50600000000000001</v>
      </c>
      <c r="Y328" s="19">
        <f t="shared" si="0"/>
        <v>0.50600000000000001</v>
      </c>
      <c r="Z328" s="2" t="str">
        <f t="shared" si="1"/>
        <v>SanofiCALLABLEFIXEDEURSr Unsecured</v>
      </c>
      <c r="AB328" s="8"/>
    </row>
    <row r="329" spans="1:28" x14ac:dyDescent="0.2">
      <c r="A329" s="6">
        <v>328</v>
      </c>
      <c r="B329" s="6" t="s">
        <v>1518</v>
      </c>
      <c r="C329" s="6" t="s">
        <v>1521</v>
      </c>
      <c r="D329" s="6" t="s">
        <v>57</v>
      </c>
      <c r="E329" s="6" t="str">
        <f>VLOOKUP(G329,'CBs RAW'!$E$2:$H$427,4)</f>
        <v>#N/A N/A</v>
      </c>
      <c r="F329" s="6" t="s">
        <v>184</v>
      </c>
      <c r="G329" s="6" t="s">
        <v>3080</v>
      </c>
      <c r="H329" s="6" t="s">
        <v>3081</v>
      </c>
      <c r="I329" s="6" t="s">
        <v>3082</v>
      </c>
      <c r="J329" s="6" t="s">
        <v>117</v>
      </c>
      <c r="K329" s="6" t="s">
        <v>56</v>
      </c>
      <c r="L329" s="5">
        <v>1535037500</v>
      </c>
      <c r="M329" s="6" t="s">
        <v>52</v>
      </c>
      <c r="N329" s="6" t="s">
        <v>2894</v>
      </c>
      <c r="O329" s="6" t="s">
        <v>184</v>
      </c>
      <c r="P329" s="17">
        <v>43180</v>
      </c>
      <c r="Q329" s="5">
        <f>VLOOKUP(G329,'CBs RAW'!$E$2:$P$427,12)</f>
        <v>1.875</v>
      </c>
      <c r="R329" s="17">
        <v>50485</v>
      </c>
      <c r="S329" s="6" t="s">
        <v>3083</v>
      </c>
      <c r="T329" s="6" t="s">
        <v>483</v>
      </c>
      <c r="U329" s="6" t="s">
        <v>115</v>
      </c>
      <c r="V329" s="6" t="s">
        <v>53</v>
      </c>
      <c r="W329" s="6" t="s">
        <v>3084</v>
      </c>
      <c r="X329" s="18">
        <f>VLOOKUP(G329,'CBs RAW'!$E$2:$W$427,19)</f>
        <v>1.889</v>
      </c>
      <c r="Y329" s="19">
        <f t="shared" si="0"/>
        <v>1.889</v>
      </c>
      <c r="Z329" s="2" t="str">
        <f t="shared" si="1"/>
        <v>SanofiCALLABLEFIXEDEURSr Unsecured</v>
      </c>
      <c r="AB329" s="8"/>
    </row>
    <row r="330" spans="1:28" x14ac:dyDescent="0.2">
      <c r="A330" s="6">
        <v>329</v>
      </c>
      <c r="B330" s="6" t="s">
        <v>1518</v>
      </c>
      <c r="C330" s="6" t="s">
        <v>1521</v>
      </c>
      <c r="D330" s="6" t="s">
        <v>57</v>
      </c>
      <c r="E330" s="6" t="str">
        <f>VLOOKUP(G330,'CBs RAW'!$E$2:$H$427,4)</f>
        <v>#N/A N/A</v>
      </c>
      <c r="F330" s="6" t="s">
        <v>184</v>
      </c>
      <c r="G330" s="6" t="s">
        <v>3085</v>
      </c>
      <c r="H330" s="6" t="s">
        <v>3086</v>
      </c>
      <c r="I330" s="6" t="s">
        <v>3087</v>
      </c>
      <c r="J330" s="6" t="s">
        <v>117</v>
      </c>
      <c r="K330" s="6" t="s">
        <v>56</v>
      </c>
      <c r="L330" s="5">
        <v>2456060000</v>
      </c>
      <c r="M330" s="6" t="s">
        <v>52</v>
      </c>
      <c r="N330" s="6" t="s">
        <v>2894</v>
      </c>
      <c r="O330" s="6" t="s">
        <v>184</v>
      </c>
      <c r="P330" s="17">
        <v>43180</v>
      </c>
      <c r="Q330" s="5">
        <f>VLOOKUP(G330,'CBs RAW'!$E$2:$P$427,12)</f>
        <v>1.375</v>
      </c>
      <c r="R330" s="17">
        <v>47563</v>
      </c>
      <c r="S330" s="6" t="s">
        <v>3088</v>
      </c>
      <c r="T330" s="6" t="s">
        <v>483</v>
      </c>
      <c r="U330" s="6" t="s">
        <v>115</v>
      </c>
      <c r="V330" s="6" t="s">
        <v>53</v>
      </c>
      <c r="W330" s="6" t="s">
        <v>3089</v>
      </c>
      <c r="X330" s="18">
        <f>VLOOKUP(G330,'CBs RAW'!$E$2:$W$427,19)</f>
        <v>1.472</v>
      </c>
      <c r="Y330" s="19">
        <f t="shared" si="0"/>
        <v>1.472</v>
      </c>
      <c r="Z330" s="2" t="str">
        <f t="shared" si="1"/>
        <v>SanofiCALLABLEFIXEDEURSr Unsecured</v>
      </c>
      <c r="AB330" s="8"/>
    </row>
    <row r="331" spans="1:28" x14ac:dyDescent="0.2">
      <c r="A331" s="6">
        <v>330</v>
      </c>
      <c r="B331" s="6" t="s">
        <v>1518</v>
      </c>
      <c r="C331" s="6" t="s">
        <v>1521</v>
      </c>
      <c r="D331" s="6" t="s">
        <v>57</v>
      </c>
      <c r="E331" s="6">
        <f>VLOOKUP(G331,'CBs RAW'!$E$2:$H$427,4)</f>
        <v>1.05</v>
      </c>
      <c r="F331" s="6" t="s">
        <v>184</v>
      </c>
      <c r="G331" s="6" t="s">
        <v>3090</v>
      </c>
      <c r="H331" s="6" t="s">
        <v>3091</v>
      </c>
      <c r="I331" s="6" t="s">
        <v>3092</v>
      </c>
      <c r="J331" s="6" t="s">
        <v>117</v>
      </c>
      <c r="K331" s="6" t="s">
        <v>56</v>
      </c>
      <c r="L331" s="5">
        <v>1842045000</v>
      </c>
      <c r="M331" s="6" t="s">
        <v>52</v>
      </c>
      <c r="N331" s="6" t="s">
        <v>1775</v>
      </c>
      <c r="O331" s="6" t="s">
        <v>184</v>
      </c>
      <c r="P331" s="17">
        <v>43180</v>
      </c>
      <c r="Q331" s="5">
        <f>VLOOKUP(G331,'CBs RAW'!$E$2:$P$427,12)</f>
        <v>1</v>
      </c>
      <c r="R331" s="17">
        <v>46102</v>
      </c>
      <c r="S331" s="6" t="s">
        <v>3093</v>
      </c>
      <c r="T331" s="6" t="s">
        <v>483</v>
      </c>
      <c r="U331" s="6" t="s">
        <v>115</v>
      </c>
      <c r="V331" s="6" t="s">
        <v>53</v>
      </c>
      <c r="W331" s="6" t="s">
        <v>3094</v>
      </c>
      <c r="X331" s="18">
        <f>VLOOKUP(G331,'CBs RAW'!$E$2:$W$427,19)</f>
        <v>1.028</v>
      </c>
      <c r="Y331" s="19">
        <f t="shared" si="0"/>
        <v>1.028</v>
      </c>
      <c r="Z331" s="2" t="str">
        <f t="shared" si="1"/>
        <v>SanofiCALLABLEFIXEDEURSr Unsecured</v>
      </c>
      <c r="AB331" s="8"/>
    </row>
    <row r="332" spans="1:28" x14ac:dyDescent="0.2">
      <c r="A332" s="6">
        <v>331</v>
      </c>
      <c r="B332" s="6" t="s">
        <v>1518</v>
      </c>
      <c r="C332" s="6" t="s">
        <v>1521</v>
      </c>
      <c r="D332" s="6" t="s">
        <v>71</v>
      </c>
      <c r="E332" s="6">
        <f>VLOOKUP(G332,'CBs RAW'!$E$2:$H$427,4)</f>
        <v>3.4129999999999998</v>
      </c>
      <c r="F332" s="6" t="s">
        <v>184</v>
      </c>
      <c r="G332" s="6" t="s">
        <v>3095</v>
      </c>
      <c r="H332" s="6" t="s">
        <v>3096</v>
      </c>
      <c r="I332" s="6" t="s">
        <v>3097</v>
      </c>
      <c r="J332" s="6" t="s">
        <v>117</v>
      </c>
      <c r="K332" s="6" t="s">
        <v>56</v>
      </c>
      <c r="L332" s="5">
        <v>1000000000</v>
      </c>
      <c r="M332" s="6" t="s">
        <v>52</v>
      </c>
      <c r="N332" s="6" t="s">
        <v>1770</v>
      </c>
      <c r="O332" s="6" t="s">
        <v>184</v>
      </c>
      <c r="P332" s="17">
        <v>43270</v>
      </c>
      <c r="Q332" s="5">
        <f>VLOOKUP(G332,'CBs RAW'!$E$2:$P$427,12)</f>
        <v>3.375</v>
      </c>
      <c r="R332" s="17">
        <v>45096</v>
      </c>
      <c r="S332" s="6" t="s">
        <v>173</v>
      </c>
      <c r="T332" s="6" t="s">
        <v>483</v>
      </c>
      <c r="U332" s="6" t="s">
        <v>115</v>
      </c>
      <c r="V332" s="6" t="s">
        <v>262</v>
      </c>
      <c r="W332" s="6" t="s">
        <v>3098</v>
      </c>
      <c r="X332" s="18" t="str">
        <f>VLOOKUP(G332,'CBs RAW'!$E$2:$W$427,19)</f>
        <v>#N/A N/A</v>
      </c>
      <c r="Y332" s="2">
        <f t="shared" si="0"/>
        <v>3.4129999999999998</v>
      </c>
      <c r="Z332" s="2" t="str">
        <f t="shared" si="1"/>
        <v>SanofiCALLABLEFIXEDUSDSr Unsecured</v>
      </c>
      <c r="AB332" s="8"/>
    </row>
    <row r="333" spans="1:28" x14ac:dyDescent="0.2">
      <c r="A333" s="6">
        <v>332</v>
      </c>
      <c r="B333" s="6" t="s">
        <v>1518</v>
      </c>
      <c r="C333" s="6" t="s">
        <v>1521</v>
      </c>
      <c r="D333" s="6" t="s">
        <v>71</v>
      </c>
      <c r="E333" s="6">
        <f>VLOOKUP(G333,'CBs RAW'!$E$2:$H$427,4)</f>
        <v>3.7130000000000001</v>
      </c>
      <c r="F333" s="6" t="s">
        <v>184</v>
      </c>
      <c r="G333" s="6" t="s">
        <v>3099</v>
      </c>
      <c r="H333" s="6" t="s">
        <v>3100</v>
      </c>
      <c r="I333" s="6" t="s">
        <v>3101</v>
      </c>
      <c r="J333" s="6" t="s">
        <v>117</v>
      </c>
      <c r="K333" s="6" t="s">
        <v>56</v>
      </c>
      <c r="L333" s="5">
        <v>1000000000</v>
      </c>
      <c r="M333" s="6" t="s">
        <v>52</v>
      </c>
      <c r="N333" s="6" t="s">
        <v>1770</v>
      </c>
      <c r="O333" s="6" t="s">
        <v>184</v>
      </c>
      <c r="P333" s="17">
        <v>43270</v>
      </c>
      <c r="Q333" s="5">
        <f>VLOOKUP(G333,'CBs RAW'!$E$2:$P$427,12)</f>
        <v>3.625</v>
      </c>
      <c r="R333" s="17">
        <v>46923</v>
      </c>
      <c r="S333" s="6" t="s">
        <v>173</v>
      </c>
      <c r="T333" s="6" t="s">
        <v>483</v>
      </c>
      <c r="U333" s="6" t="s">
        <v>115</v>
      </c>
      <c r="V333" s="6" t="s">
        <v>262</v>
      </c>
      <c r="W333" s="6" t="s">
        <v>3102</v>
      </c>
      <c r="X333" s="18" t="str">
        <f>VLOOKUP(G333,'CBs RAW'!$E$2:$W$427,19)</f>
        <v>#N/A N/A</v>
      </c>
      <c r="Y333" s="2">
        <f t="shared" si="0"/>
        <v>3.7130000000000001</v>
      </c>
      <c r="Z333" s="2" t="str">
        <f t="shared" si="1"/>
        <v>SanofiCALLABLEFIXEDUSDSr Unsecured</v>
      </c>
      <c r="AB333" s="8"/>
    </row>
    <row r="334" spans="1:28" x14ac:dyDescent="0.2">
      <c r="A334" s="6">
        <v>333</v>
      </c>
      <c r="B334" s="6" t="s">
        <v>1518</v>
      </c>
      <c r="C334" s="6" t="s">
        <v>1521</v>
      </c>
      <c r="D334" s="6" t="s">
        <v>57</v>
      </c>
      <c r="E334" s="6" t="str">
        <f>VLOOKUP(G334,'CBs RAW'!$E$2:$H$427,4)</f>
        <v>#N/A N/A</v>
      </c>
      <c r="F334" s="6" t="s">
        <v>184</v>
      </c>
      <c r="G334" s="6" t="s">
        <v>3103</v>
      </c>
      <c r="H334" s="6" t="s">
        <v>3104</v>
      </c>
      <c r="I334" s="6" t="s">
        <v>3105</v>
      </c>
      <c r="J334" s="6" t="s">
        <v>117</v>
      </c>
      <c r="K334" s="6" t="s">
        <v>56</v>
      </c>
      <c r="L334" s="5">
        <v>737938500</v>
      </c>
      <c r="M334" s="6" t="s">
        <v>52</v>
      </c>
      <c r="N334" s="6" t="s">
        <v>1770</v>
      </c>
      <c r="O334" s="6" t="s">
        <v>184</v>
      </c>
      <c r="P334" s="17">
        <v>43545</v>
      </c>
      <c r="Q334" s="5">
        <f>VLOOKUP(G334,'CBs RAW'!$E$2:$P$427,12)</f>
        <v>0.875</v>
      </c>
      <c r="R334" s="17">
        <v>47198</v>
      </c>
      <c r="S334" s="6" t="s">
        <v>225</v>
      </c>
      <c r="T334" s="6" t="s">
        <v>483</v>
      </c>
      <c r="U334" s="6" t="s">
        <v>115</v>
      </c>
      <c r="V334" s="6" t="s">
        <v>53</v>
      </c>
      <c r="W334" s="6" t="s">
        <v>3106</v>
      </c>
      <c r="X334" s="18">
        <f>VLOOKUP(G334,'CBs RAW'!$E$2:$W$427,19)</f>
        <v>0.84899999999999998</v>
      </c>
      <c r="Y334" s="19">
        <f t="shared" si="0"/>
        <v>0.84899999999999998</v>
      </c>
      <c r="Z334" s="2" t="str">
        <f t="shared" si="1"/>
        <v>SanofiCALLABLEFIXEDEURSr Unsecured</v>
      </c>
      <c r="AB334" s="8"/>
    </row>
    <row r="335" spans="1:28" x14ac:dyDescent="0.2">
      <c r="A335" s="6">
        <v>334</v>
      </c>
      <c r="B335" s="6" t="s">
        <v>1518</v>
      </c>
      <c r="C335" s="6" t="s">
        <v>1521</v>
      </c>
      <c r="D335" s="6" t="s">
        <v>57</v>
      </c>
      <c r="E335" s="6" t="str">
        <f>VLOOKUP(G335,'CBs RAW'!$E$2:$H$427,4)</f>
        <v>#N/A N/A</v>
      </c>
      <c r="F335" s="6" t="s">
        <v>184</v>
      </c>
      <c r="G335" s="6" t="s">
        <v>3107</v>
      </c>
      <c r="H335" s="6" t="s">
        <v>3108</v>
      </c>
      <c r="I335" s="6" t="s">
        <v>3109</v>
      </c>
      <c r="J335" s="6" t="s">
        <v>117</v>
      </c>
      <c r="K335" s="6" t="s">
        <v>56</v>
      </c>
      <c r="L335" s="5">
        <v>567645000</v>
      </c>
      <c r="M335" s="6" t="s">
        <v>52</v>
      </c>
      <c r="N335" s="6" t="s">
        <v>1770</v>
      </c>
      <c r="O335" s="6" t="s">
        <v>184</v>
      </c>
      <c r="P335" s="17">
        <v>43545</v>
      </c>
      <c r="Q335" s="5">
        <f>VLOOKUP(G335,'CBs RAW'!$E$2:$P$427,12)</f>
        <v>1.25</v>
      </c>
      <c r="R335" s="17">
        <v>49024</v>
      </c>
      <c r="S335" s="6" t="s">
        <v>225</v>
      </c>
      <c r="T335" s="6" t="s">
        <v>483</v>
      </c>
      <c r="U335" s="6" t="s">
        <v>115</v>
      </c>
      <c r="V335" s="6" t="s">
        <v>53</v>
      </c>
      <c r="W335" s="6" t="s">
        <v>3110</v>
      </c>
      <c r="X335" s="18">
        <f>VLOOKUP(G335,'CBs RAW'!$E$2:$W$427,19)</f>
        <v>1.2929999999999999</v>
      </c>
      <c r="Y335" s="19">
        <f t="shared" si="0"/>
        <v>1.2929999999999999</v>
      </c>
      <c r="Z335" s="2" t="str">
        <f t="shared" si="1"/>
        <v>SanofiCALLABLEFIXEDEURSr Unsecured</v>
      </c>
      <c r="AB335" s="8"/>
    </row>
    <row r="336" spans="1:28" x14ac:dyDescent="0.2">
      <c r="A336" s="6">
        <v>335</v>
      </c>
      <c r="B336" s="6" t="s">
        <v>1518</v>
      </c>
      <c r="C336" s="6" t="s">
        <v>1521</v>
      </c>
      <c r="D336" s="6" t="s">
        <v>57</v>
      </c>
      <c r="E336" s="6" t="str">
        <f>VLOOKUP(G336,'CBs RAW'!$E$2:$H$427,4)</f>
        <v>#N/A N/A</v>
      </c>
      <c r="F336" s="6" t="s">
        <v>184</v>
      </c>
      <c r="G336" s="6" t="s">
        <v>3111</v>
      </c>
      <c r="H336" s="6" t="s">
        <v>3112</v>
      </c>
      <c r="I336" s="6" t="s">
        <v>3113</v>
      </c>
      <c r="J336" s="6" t="s">
        <v>117</v>
      </c>
      <c r="K336" s="6" t="s">
        <v>56</v>
      </c>
      <c r="L336" s="5">
        <v>1101960000</v>
      </c>
      <c r="M336" s="6" t="s">
        <v>52</v>
      </c>
      <c r="N336" s="6" t="s">
        <v>1770</v>
      </c>
      <c r="O336" s="6" t="s">
        <v>184</v>
      </c>
      <c r="P336" s="17">
        <v>43920</v>
      </c>
      <c r="Q336" s="5">
        <f>VLOOKUP(G336,'CBs RAW'!$E$2:$P$427,12)</f>
        <v>1</v>
      </c>
      <c r="R336" s="17">
        <v>45748</v>
      </c>
      <c r="S336" s="6" t="s">
        <v>225</v>
      </c>
      <c r="T336" s="6" t="s">
        <v>483</v>
      </c>
      <c r="U336" s="6" t="s">
        <v>115</v>
      </c>
      <c r="V336" s="6" t="s">
        <v>53</v>
      </c>
      <c r="W336" s="6" t="s">
        <v>3114</v>
      </c>
      <c r="X336" s="18">
        <f>VLOOKUP(G336,'CBs RAW'!$E$2:$W$427,19)</f>
        <v>0.45700000000000002</v>
      </c>
      <c r="Y336" s="19">
        <f t="shared" si="0"/>
        <v>0.45700000000000002</v>
      </c>
      <c r="Z336" s="2" t="str">
        <f t="shared" si="1"/>
        <v>SanofiCALLABLEFIXEDEURSr Unsecured</v>
      </c>
      <c r="AB336" s="8"/>
    </row>
    <row r="337" spans="1:28" x14ac:dyDescent="0.2">
      <c r="A337" s="6">
        <v>336</v>
      </c>
      <c r="B337" s="6" t="s">
        <v>1518</v>
      </c>
      <c r="C337" s="6" t="s">
        <v>1521</v>
      </c>
      <c r="D337" s="6" t="s">
        <v>57</v>
      </c>
      <c r="E337" s="6" t="str">
        <f>VLOOKUP(G337,'CBs RAW'!$E$2:$H$427,4)</f>
        <v>#N/A N/A</v>
      </c>
      <c r="F337" s="6" t="s">
        <v>184</v>
      </c>
      <c r="G337" s="6" t="s">
        <v>3115</v>
      </c>
      <c r="H337" s="6" t="s">
        <v>3116</v>
      </c>
      <c r="I337" s="6" t="s">
        <v>3117</v>
      </c>
      <c r="J337" s="6" t="s">
        <v>117</v>
      </c>
      <c r="K337" s="6" t="s">
        <v>56</v>
      </c>
      <c r="L337" s="5">
        <v>1101960000</v>
      </c>
      <c r="M337" s="6" t="s">
        <v>52</v>
      </c>
      <c r="N337" s="6" t="s">
        <v>1770</v>
      </c>
      <c r="O337" s="6" t="s">
        <v>184</v>
      </c>
      <c r="P337" s="17">
        <v>43920</v>
      </c>
      <c r="Q337" s="5">
        <f>VLOOKUP(G337,'CBs RAW'!$E$2:$P$427,12)</f>
        <v>1.5</v>
      </c>
      <c r="R337" s="17">
        <v>47574</v>
      </c>
      <c r="S337" s="6" t="s">
        <v>225</v>
      </c>
      <c r="T337" s="6" t="s">
        <v>483</v>
      </c>
      <c r="U337" s="6" t="s">
        <v>115</v>
      </c>
      <c r="V337" s="6" t="s">
        <v>53</v>
      </c>
      <c r="W337" s="6" t="s">
        <v>3118</v>
      </c>
      <c r="X337" s="18">
        <f>VLOOKUP(G337,'CBs RAW'!$E$2:$W$427,19)</f>
        <v>0.78</v>
      </c>
      <c r="Y337" s="19">
        <f t="shared" si="0"/>
        <v>0.78</v>
      </c>
      <c r="Z337" s="2" t="str">
        <f t="shared" si="1"/>
        <v>SanofiCALLABLEFIXEDEURSr Unsecured</v>
      </c>
      <c r="AB337" s="8"/>
    </row>
    <row r="338" spans="1:28" x14ac:dyDescent="0.2">
      <c r="A338" s="6">
        <v>337</v>
      </c>
      <c r="B338" s="6" t="s">
        <v>1518</v>
      </c>
      <c r="C338" s="6" t="s">
        <v>1521</v>
      </c>
      <c r="D338" s="6" t="s">
        <v>57</v>
      </c>
      <c r="E338" s="6">
        <f>VLOOKUP(G338,'CBs RAW'!$E$2:$H$427,4)</f>
        <v>0.90300000000000002</v>
      </c>
      <c r="F338" s="6" t="s">
        <v>184</v>
      </c>
      <c r="G338" s="6" t="s">
        <v>3119</v>
      </c>
      <c r="H338" s="6" t="s">
        <v>3120</v>
      </c>
      <c r="I338" s="6" t="s">
        <v>3121</v>
      </c>
      <c r="J338" s="6" t="s">
        <v>117</v>
      </c>
      <c r="K338" s="6" t="s">
        <v>56</v>
      </c>
      <c r="L338" s="5">
        <v>927197000</v>
      </c>
      <c r="M338" s="6" t="s">
        <v>52</v>
      </c>
      <c r="N338" s="6" t="s">
        <v>1770</v>
      </c>
      <c r="O338" s="6" t="s">
        <v>184</v>
      </c>
      <c r="P338" s="17">
        <v>44657</v>
      </c>
      <c r="Q338" s="5">
        <f>VLOOKUP(G338,'CBs RAW'!$E$2:$P$427,12)</f>
        <v>0.875</v>
      </c>
      <c r="R338" s="17">
        <v>45753</v>
      </c>
      <c r="S338" s="6" t="s">
        <v>173</v>
      </c>
      <c r="T338" s="6" t="s">
        <v>483</v>
      </c>
      <c r="U338" s="6" t="s">
        <v>115</v>
      </c>
      <c r="V338" s="6" t="s">
        <v>53</v>
      </c>
      <c r="W338" s="6" t="s">
        <v>3122</v>
      </c>
      <c r="X338" s="18">
        <f>VLOOKUP(G338,'CBs RAW'!$E$2:$W$427,19)</f>
        <v>0.81799999999999995</v>
      </c>
      <c r="Y338" s="19">
        <f t="shared" si="0"/>
        <v>0.81799999999999995</v>
      </c>
      <c r="Z338" s="2" t="str">
        <f t="shared" si="1"/>
        <v>SanofiCALLABLEFIXEDEURSr Unsecured</v>
      </c>
    </row>
    <row r="339" spans="1:28" x14ac:dyDescent="0.2">
      <c r="A339" s="6">
        <v>338</v>
      </c>
      <c r="B339" s="6" t="s">
        <v>1518</v>
      </c>
      <c r="C339" s="6" t="s">
        <v>1521</v>
      </c>
      <c r="D339" s="6" t="s">
        <v>57</v>
      </c>
      <c r="E339" s="6" t="str">
        <f>VLOOKUP(G339,'CBs RAW'!$E$2:$H$427,4)</f>
        <v>#N/A N/A</v>
      </c>
      <c r="F339" s="6" t="s">
        <v>184</v>
      </c>
      <c r="G339" s="6" t="s">
        <v>3123</v>
      </c>
      <c r="H339" s="6" t="s">
        <v>3124</v>
      </c>
      <c r="I339" s="6" t="s">
        <v>3125</v>
      </c>
      <c r="J339" s="6" t="s">
        <v>117</v>
      </c>
      <c r="K339" s="6" t="s">
        <v>56</v>
      </c>
      <c r="L339" s="5">
        <v>1347180000</v>
      </c>
      <c r="M339" s="6" t="s">
        <v>52</v>
      </c>
      <c r="N339" s="6" t="s">
        <v>1770</v>
      </c>
      <c r="O339" s="6" t="s">
        <v>184</v>
      </c>
      <c r="P339" s="17">
        <v>41592</v>
      </c>
      <c r="Q339" s="5">
        <f>VLOOKUP(G339,'CBs RAW'!$E$2:$P$427,12)</f>
        <v>2.5</v>
      </c>
      <c r="R339" s="17">
        <v>45244</v>
      </c>
      <c r="S339" s="6" t="s">
        <v>225</v>
      </c>
      <c r="T339" s="6" t="s">
        <v>483</v>
      </c>
      <c r="U339" s="6" t="s">
        <v>115</v>
      </c>
      <c r="V339" s="6" t="s">
        <v>53</v>
      </c>
      <c r="W339" s="6" t="s">
        <v>3126</v>
      </c>
      <c r="X339" s="18">
        <f>VLOOKUP(G339,'CBs RAW'!$E$2:$W$427,19)</f>
        <v>2.4929999999999999</v>
      </c>
      <c r="Y339" s="19">
        <f t="shared" si="0"/>
        <v>2.4929999999999999</v>
      </c>
      <c r="Z339" s="2" t="str">
        <f t="shared" si="1"/>
        <v>SanofiCALLABLEFIXEDEURSr Unsecured</v>
      </c>
    </row>
    <row r="340" spans="1:28" x14ac:dyDescent="0.2">
      <c r="A340" s="6">
        <v>339</v>
      </c>
      <c r="B340" s="6" t="s">
        <v>1518</v>
      </c>
      <c r="C340" s="6" t="s">
        <v>1521</v>
      </c>
      <c r="D340" s="6" t="s">
        <v>57</v>
      </c>
      <c r="E340" s="6">
        <f>VLOOKUP(G340,'CBs RAW'!$E$2:$H$427,4)</f>
        <v>1.8720000000000001</v>
      </c>
      <c r="F340" s="6" t="s">
        <v>184</v>
      </c>
      <c r="G340" s="6" t="s">
        <v>3127</v>
      </c>
      <c r="H340" s="6" t="s">
        <v>3128</v>
      </c>
      <c r="I340" s="6" t="s">
        <v>3129</v>
      </c>
      <c r="J340" s="6" t="s">
        <v>117</v>
      </c>
      <c r="K340" s="6" t="s">
        <v>56</v>
      </c>
      <c r="L340" s="5">
        <v>1948186900</v>
      </c>
      <c r="M340" s="6" t="s">
        <v>52</v>
      </c>
      <c r="N340" s="6" t="s">
        <v>1770</v>
      </c>
      <c r="O340" s="6" t="s">
        <v>184</v>
      </c>
      <c r="P340" s="17">
        <v>41892</v>
      </c>
      <c r="Q340" s="5">
        <f>VLOOKUP(G340,'CBs RAW'!$E$2:$P$427,12)</f>
        <v>1.75</v>
      </c>
      <c r="R340" s="17">
        <v>46275</v>
      </c>
      <c r="S340" s="6" t="s">
        <v>225</v>
      </c>
      <c r="T340" s="6" t="s">
        <v>483</v>
      </c>
      <c r="U340" s="6" t="s">
        <v>115</v>
      </c>
      <c r="V340" s="6" t="s">
        <v>53</v>
      </c>
      <c r="W340" s="6" t="s">
        <v>3130</v>
      </c>
      <c r="X340" s="18">
        <f>VLOOKUP(G340,'CBs RAW'!$E$2:$W$427,19)</f>
        <v>1.8340000000000001</v>
      </c>
      <c r="Y340" s="19">
        <f t="shared" si="0"/>
        <v>1.8340000000000001</v>
      </c>
      <c r="Z340" s="2" t="str">
        <f t="shared" si="1"/>
        <v>SanofiCALLABLEFIXEDEURSr Unsecured</v>
      </c>
    </row>
    <row r="341" spans="1:28" x14ac:dyDescent="0.2">
      <c r="A341" s="6">
        <v>340</v>
      </c>
      <c r="B341" s="6" t="s">
        <v>1518</v>
      </c>
      <c r="C341" s="6" t="s">
        <v>1521</v>
      </c>
      <c r="D341" s="6" t="s">
        <v>57</v>
      </c>
      <c r="E341" s="6" t="str">
        <f>VLOOKUP(G341,'CBs RAW'!$E$2:$H$427,4)</f>
        <v>#N/A N/A</v>
      </c>
      <c r="F341" s="6" t="s">
        <v>184</v>
      </c>
      <c r="G341" s="6" t="s">
        <v>3131</v>
      </c>
      <c r="H341" s="6" t="s">
        <v>3132</v>
      </c>
      <c r="I341" s="6" t="s">
        <v>3133</v>
      </c>
      <c r="J341" s="6" t="s">
        <v>117</v>
      </c>
      <c r="K341" s="6" t="s">
        <v>56</v>
      </c>
      <c r="L341" s="5">
        <v>683772000</v>
      </c>
      <c r="M341" s="6" t="s">
        <v>52</v>
      </c>
      <c r="N341" s="6" t="s">
        <v>1770</v>
      </c>
      <c r="O341" s="6" t="s">
        <v>184</v>
      </c>
      <c r="P341" s="17">
        <v>42465</v>
      </c>
      <c r="Q341" s="5">
        <f>VLOOKUP(G341,'CBs RAW'!$E$2:$P$427,12)</f>
        <v>0.625</v>
      </c>
      <c r="R341" s="17">
        <v>45387</v>
      </c>
      <c r="S341" s="6" t="s">
        <v>225</v>
      </c>
      <c r="T341" s="6" t="s">
        <v>483</v>
      </c>
      <c r="U341" s="6" t="s">
        <v>115</v>
      </c>
      <c r="V341" s="6" t="s">
        <v>53</v>
      </c>
      <c r="W341" s="6" t="s">
        <v>3134</v>
      </c>
      <c r="X341" s="18">
        <f>VLOOKUP(G341,'CBs RAW'!$E$2:$W$427,19)</f>
        <v>0.55500000000000005</v>
      </c>
      <c r="Y341" s="19">
        <f t="shared" si="0"/>
        <v>0.55500000000000005</v>
      </c>
      <c r="Z341" s="2" t="str">
        <f t="shared" si="1"/>
        <v>SanofiCALLABLEFIXEDEURSr Unsecured</v>
      </c>
    </row>
    <row r="342" spans="1:28" x14ac:dyDescent="0.2">
      <c r="A342" s="6">
        <v>341</v>
      </c>
      <c r="B342" s="6" t="s">
        <v>1518</v>
      </c>
      <c r="C342" s="6" t="s">
        <v>1521</v>
      </c>
      <c r="D342" s="6" t="s">
        <v>57</v>
      </c>
      <c r="E342" s="6" t="str">
        <f>VLOOKUP(G342,'CBs RAW'!$E$2:$H$427,4)</f>
        <v>#N/A N/A</v>
      </c>
      <c r="F342" s="6" t="s">
        <v>184</v>
      </c>
      <c r="G342" s="6" t="s">
        <v>3135</v>
      </c>
      <c r="H342" s="6" t="s">
        <v>3136</v>
      </c>
      <c r="I342" s="6" t="s">
        <v>3137</v>
      </c>
      <c r="J342" s="6" t="s">
        <v>117</v>
      </c>
      <c r="K342" s="6" t="s">
        <v>56</v>
      </c>
      <c r="L342" s="5">
        <v>797734000</v>
      </c>
      <c r="M342" s="6" t="s">
        <v>52</v>
      </c>
      <c r="N342" s="6" t="s">
        <v>1770</v>
      </c>
      <c r="O342" s="6" t="s">
        <v>184</v>
      </c>
      <c r="P342" s="17">
        <v>42465</v>
      </c>
      <c r="Q342" s="5">
        <f>VLOOKUP(G342,'CBs RAW'!$E$2:$P$427,12)</f>
        <v>1.125</v>
      </c>
      <c r="R342" s="17">
        <v>46848</v>
      </c>
      <c r="S342" s="6" t="s">
        <v>225</v>
      </c>
      <c r="T342" s="6" t="s">
        <v>483</v>
      </c>
      <c r="U342" s="6" t="s">
        <v>115</v>
      </c>
      <c r="V342" s="6" t="s">
        <v>53</v>
      </c>
      <c r="W342" s="6" t="s">
        <v>3138</v>
      </c>
      <c r="X342" s="18">
        <f>VLOOKUP(G342,'CBs RAW'!$E$2:$W$427,19)</f>
        <v>1.004</v>
      </c>
      <c r="Y342" s="19">
        <f t="shared" si="0"/>
        <v>1.004</v>
      </c>
      <c r="Z342" s="2" t="str">
        <f t="shared" si="1"/>
        <v>SanofiCALLABLEFIXEDEURSr Unsecured</v>
      </c>
    </row>
    <row r="343" spans="1:28" x14ac:dyDescent="0.2">
      <c r="A343" s="6">
        <v>342</v>
      </c>
      <c r="B343" s="6" t="s">
        <v>1518</v>
      </c>
      <c r="C343" s="6" t="s">
        <v>1521</v>
      </c>
      <c r="D343" s="6" t="s">
        <v>57</v>
      </c>
      <c r="E343" s="6" t="str">
        <f>VLOOKUP(G343,'CBs RAW'!$E$2:$H$427,4)</f>
        <v>#N/A N/A</v>
      </c>
      <c r="F343" s="6" t="s">
        <v>184</v>
      </c>
      <c r="G343" s="6" t="s">
        <v>3139</v>
      </c>
      <c r="H343" s="6" t="s">
        <v>3140</v>
      </c>
      <c r="I343" s="6" t="s">
        <v>3141</v>
      </c>
      <c r="J343" s="6" t="s">
        <v>117</v>
      </c>
      <c r="K343" s="6" t="s">
        <v>56</v>
      </c>
      <c r="L343" s="5">
        <v>954975000</v>
      </c>
      <c r="M343" s="6" t="s">
        <v>52</v>
      </c>
      <c r="N343" s="6" t="s">
        <v>1770</v>
      </c>
      <c r="O343" s="6" t="s">
        <v>184</v>
      </c>
      <c r="P343" s="17">
        <v>42626</v>
      </c>
      <c r="Q343" s="5">
        <f>VLOOKUP(G343,'CBs RAW'!$E$2:$P$427,12)</f>
        <v>0</v>
      </c>
      <c r="R343" s="17">
        <v>44817</v>
      </c>
      <c r="S343" s="6" t="s">
        <v>225</v>
      </c>
      <c r="T343" s="6" t="s">
        <v>483</v>
      </c>
      <c r="U343" s="6" t="s">
        <v>115</v>
      </c>
      <c r="V343" s="6" t="s">
        <v>53</v>
      </c>
      <c r="W343" s="6" t="s">
        <v>3142</v>
      </c>
      <c r="X343" s="18">
        <f>VLOOKUP(G343,'CBs RAW'!$E$2:$W$427,19)</f>
        <v>0.16700000000000001</v>
      </c>
      <c r="Y343" s="19">
        <f t="shared" si="0"/>
        <v>0.16700000000000001</v>
      </c>
      <c r="Z343" s="2" t="str">
        <f t="shared" si="1"/>
        <v>SanofiCALLABLEFIXEDEURSr Unsecured</v>
      </c>
    </row>
    <row r="344" spans="1:28" x14ac:dyDescent="0.2">
      <c r="A344" s="6">
        <v>343</v>
      </c>
      <c r="B344" s="6" t="s">
        <v>1518</v>
      </c>
      <c r="C344" s="6" t="s">
        <v>1521</v>
      </c>
      <c r="D344" s="6" t="s">
        <v>57</v>
      </c>
      <c r="E344" s="6" t="str">
        <f>VLOOKUP(G344,'CBs RAW'!$E$2:$H$427,4)</f>
        <v>#N/A N/A</v>
      </c>
      <c r="F344" s="6" t="s">
        <v>184</v>
      </c>
      <c r="G344" s="6" t="s">
        <v>3143</v>
      </c>
      <c r="H344" s="6" t="s">
        <v>3144</v>
      </c>
      <c r="I344" s="6" t="s">
        <v>3145</v>
      </c>
      <c r="J344" s="6" t="s">
        <v>117</v>
      </c>
      <c r="K344" s="6" t="s">
        <v>56</v>
      </c>
      <c r="L344" s="5">
        <v>1292025000</v>
      </c>
      <c r="M344" s="6" t="s">
        <v>52</v>
      </c>
      <c r="N344" s="6" t="s">
        <v>1770</v>
      </c>
      <c r="O344" s="6" t="s">
        <v>184</v>
      </c>
      <c r="P344" s="17">
        <v>42626</v>
      </c>
      <c r="Q344" s="5">
        <f>VLOOKUP(G344,'CBs RAW'!$E$2:$P$427,12)</f>
        <v>0.5</v>
      </c>
      <c r="R344" s="17">
        <v>46400</v>
      </c>
      <c r="S344" s="6" t="s">
        <v>225</v>
      </c>
      <c r="T344" s="6" t="s">
        <v>483</v>
      </c>
      <c r="U344" s="6" t="s">
        <v>115</v>
      </c>
      <c r="V344" s="6" t="s">
        <v>53</v>
      </c>
      <c r="W344" s="6" t="s">
        <v>3146</v>
      </c>
      <c r="X344" s="18">
        <f>VLOOKUP(G344,'CBs RAW'!$E$2:$W$427,19)</f>
        <v>0.73499999999999999</v>
      </c>
      <c r="Y344" s="19">
        <f t="shared" si="0"/>
        <v>0.73499999999999999</v>
      </c>
      <c r="Z344" s="2" t="str">
        <f t="shared" si="1"/>
        <v>SanofiCALLABLEFIXEDEURSr Unsecured</v>
      </c>
    </row>
    <row r="345" spans="1:28" x14ac:dyDescent="0.2">
      <c r="A345" s="6">
        <v>344</v>
      </c>
      <c r="B345" s="6" t="s">
        <v>1518</v>
      </c>
      <c r="C345" s="6" t="s">
        <v>1521</v>
      </c>
      <c r="D345" s="6" t="s">
        <v>57</v>
      </c>
      <c r="E345" s="6" t="str">
        <f>VLOOKUP(G345,'CBs RAW'!$E$2:$H$427,4)</f>
        <v>#N/A N/A</v>
      </c>
      <c r="F345" s="6" t="s">
        <v>184</v>
      </c>
      <c r="G345" s="6" t="s">
        <v>3147</v>
      </c>
      <c r="H345" s="6" t="s">
        <v>3148</v>
      </c>
      <c r="I345" s="6" t="s">
        <v>3149</v>
      </c>
      <c r="J345" s="6" t="s">
        <v>117</v>
      </c>
      <c r="K345" s="6" t="s">
        <v>56</v>
      </c>
      <c r="L345" s="5">
        <v>834330000</v>
      </c>
      <c r="M345" s="6" t="s">
        <v>52</v>
      </c>
      <c r="N345" s="6" t="s">
        <v>1770</v>
      </c>
      <c r="O345" s="6" t="s">
        <v>184</v>
      </c>
      <c r="P345" s="17">
        <v>42269</v>
      </c>
      <c r="Q345" s="5">
        <f>VLOOKUP(G345,'CBs RAW'!$E$2:$P$427,12)</f>
        <v>1.5</v>
      </c>
      <c r="R345" s="17">
        <v>45922</v>
      </c>
      <c r="S345" s="6" t="s">
        <v>225</v>
      </c>
      <c r="T345" s="6" t="s">
        <v>483</v>
      </c>
      <c r="U345" s="6" t="s">
        <v>115</v>
      </c>
      <c r="V345" s="6" t="s">
        <v>53</v>
      </c>
      <c r="W345" s="6" t="s">
        <v>3150</v>
      </c>
      <c r="X345" s="18">
        <f>VLOOKUP(G345,'CBs RAW'!$E$2:$W$427,19)</f>
        <v>1.57</v>
      </c>
      <c r="Y345" s="19">
        <f t="shared" si="0"/>
        <v>1.57</v>
      </c>
      <c r="Z345" s="2" t="str">
        <f t="shared" si="1"/>
        <v>SanofiCALLABLEFIXEDEURSr Unsecured</v>
      </c>
    </row>
    <row r="346" spans="1:28" x14ac:dyDescent="0.2">
      <c r="A346" s="6">
        <v>345</v>
      </c>
      <c r="B346" s="6" t="s">
        <v>1603</v>
      </c>
      <c r="C346" s="6" t="s">
        <v>1606</v>
      </c>
      <c r="D346" s="6" t="s">
        <v>71</v>
      </c>
      <c r="E346" s="6" t="str">
        <f>VLOOKUP(G346,'CBs RAW'!$E$2:$H$427,4)</f>
        <v>#N/A N/A</v>
      </c>
      <c r="F346" s="6" t="s">
        <v>45</v>
      </c>
      <c r="G346" s="6" t="s">
        <v>3151</v>
      </c>
      <c r="H346" s="6" t="s">
        <v>173</v>
      </c>
      <c r="I346" s="6" t="s">
        <v>3152</v>
      </c>
      <c r="J346" s="6" t="s">
        <v>55</v>
      </c>
      <c r="K346" s="6" t="s">
        <v>70</v>
      </c>
      <c r="L346" s="5">
        <v>308828115</v>
      </c>
      <c r="M346" s="6" t="s">
        <v>52</v>
      </c>
      <c r="N346" s="6" t="s">
        <v>173</v>
      </c>
      <c r="O346" s="6" t="s">
        <v>45</v>
      </c>
      <c r="P346" s="17">
        <v>43112</v>
      </c>
      <c r="Q346" s="5">
        <f>VLOOKUP(G346,'CBs RAW'!$E$2:$P$427,12)</f>
        <v>0</v>
      </c>
      <c r="R346" s="17">
        <v>44938</v>
      </c>
      <c r="S346" s="6" t="s">
        <v>76</v>
      </c>
      <c r="T346" s="6" t="s">
        <v>54</v>
      </c>
      <c r="U346" s="6" t="s">
        <v>49</v>
      </c>
      <c r="V346" s="6" t="s">
        <v>53</v>
      </c>
      <c r="W346" s="6" t="s">
        <v>3153</v>
      </c>
      <c r="X346" s="18" t="str">
        <f>VLOOKUP(G346,'CBs RAW'!$E$2:$W$427,19)</f>
        <v>#N/A N/A</v>
      </c>
      <c r="Y346" s="2" t="str">
        <f t="shared" si="0"/>
        <v>#N/A N/A</v>
      </c>
      <c r="Z346" s="2" t="str">
        <f t="shared" si="1"/>
        <v>Saria SE &amp; Co KGAT MATURITYFLOATINGEURSr Unsecured</v>
      </c>
    </row>
    <row r="347" spans="1:28" x14ac:dyDescent="0.2">
      <c r="A347" s="6">
        <v>346</v>
      </c>
      <c r="B347" s="6" t="s">
        <v>1603</v>
      </c>
      <c r="C347" s="6" t="s">
        <v>1606</v>
      </c>
      <c r="D347" s="6" t="s">
        <v>71</v>
      </c>
      <c r="E347" s="6" t="str">
        <f>VLOOKUP(G347,'CBs RAW'!$E$2:$H$427,4)</f>
        <v>#N/A N/A</v>
      </c>
      <c r="F347" s="6" t="s">
        <v>45</v>
      </c>
      <c r="G347" s="6" t="s">
        <v>3154</v>
      </c>
      <c r="H347" s="6" t="s">
        <v>173</v>
      </c>
      <c r="I347" s="6" t="s">
        <v>3155</v>
      </c>
      <c r="J347" s="6" t="s">
        <v>55</v>
      </c>
      <c r="K347" s="6" t="s">
        <v>70</v>
      </c>
      <c r="L347" s="5">
        <v>308828115</v>
      </c>
      <c r="M347" s="6" t="s">
        <v>52</v>
      </c>
      <c r="N347" s="6" t="s">
        <v>173</v>
      </c>
      <c r="O347" s="6" t="s">
        <v>45</v>
      </c>
      <c r="P347" s="17">
        <v>43112</v>
      </c>
      <c r="Q347" s="5">
        <f>VLOOKUP(G347,'CBs RAW'!$E$2:$P$427,12)</f>
        <v>0</v>
      </c>
      <c r="R347" s="17">
        <v>45669</v>
      </c>
      <c r="S347" s="6" t="s">
        <v>69</v>
      </c>
      <c r="T347" s="6" t="s">
        <v>54</v>
      </c>
      <c r="U347" s="6" t="s">
        <v>49</v>
      </c>
      <c r="V347" s="6" t="s">
        <v>53</v>
      </c>
      <c r="W347" s="6" t="s">
        <v>3156</v>
      </c>
      <c r="X347" s="18" t="str">
        <f>VLOOKUP(G347,'CBs RAW'!$E$2:$W$427,19)</f>
        <v>#N/A N/A</v>
      </c>
      <c r="Y347" s="2" t="str">
        <f t="shared" si="0"/>
        <v>#N/A N/A</v>
      </c>
      <c r="Z347" s="2" t="str">
        <f t="shared" si="1"/>
        <v>Saria SE &amp; Co KGAT MATURITYFLOATINGEURSr Unsecured</v>
      </c>
    </row>
    <row r="348" spans="1:28" x14ac:dyDescent="0.2">
      <c r="A348" s="6">
        <v>347</v>
      </c>
      <c r="B348" s="6" t="s">
        <v>1603</v>
      </c>
      <c r="C348" s="6" t="s">
        <v>1606</v>
      </c>
      <c r="D348" s="6" t="s">
        <v>71</v>
      </c>
      <c r="E348" s="6" t="str">
        <f>VLOOKUP(G348,'CBs RAW'!$E$2:$H$427,4)</f>
        <v>#N/A N/A</v>
      </c>
      <c r="F348" s="6" t="s">
        <v>45</v>
      </c>
      <c r="G348" s="6" t="s">
        <v>3157</v>
      </c>
      <c r="H348" s="6" t="s">
        <v>173</v>
      </c>
      <c r="I348" s="6" t="s">
        <v>3158</v>
      </c>
      <c r="J348" s="6" t="s">
        <v>55</v>
      </c>
      <c r="K348" s="6" t="s">
        <v>70</v>
      </c>
      <c r="L348" s="5">
        <v>308828115</v>
      </c>
      <c r="M348" s="6" t="s">
        <v>52</v>
      </c>
      <c r="N348" s="6" t="s">
        <v>173</v>
      </c>
      <c r="O348" s="6" t="s">
        <v>45</v>
      </c>
      <c r="P348" s="17">
        <v>43112</v>
      </c>
      <c r="Q348" s="5">
        <f>VLOOKUP(G348,'CBs RAW'!$E$2:$P$427,12)</f>
        <v>0</v>
      </c>
      <c r="R348" s="17">
        <v>46764</v>
      </c>
      <c r="S348" s="6" t="s">
        <v>51</v>
      </c>
      <c r="T348" s="6" t="s">
        <v>54</v>
      </c>
      <c r="U348" s="6" t="s">
        <v>49</v>
      </c>
      <c r="V348" s="6" t="s">
        <v>53</v>
      </c>
      <c r="W348" s="6" t="s">
        <v>3159</v>
      </c>
      <c r="X348" s="18" t="str">
        <f>VLOOKUP(G348,'CBs RAW'!$E$2:$W$427,19)</f>
        <v>#N/A N/A</v>
      </c>
      <c r="Y348" s="2" t="str">
        <f t="shared" si="0"/>
        <v>#N/A N/A</v>
      </c>
      <c r="Z348" s="2" t="str">
        <f t="shared" si="1"/>
        <v>Saria SE &amp; Co KGAT MATURITYFLOATINGEURSr Unsecured</v>
      </c>
    </row>
    <row r="349" spans="1:28" x14ac:dyDescent="0.2">
      <c r="A349" s="6">
        <v>348</v>
      </c>
      <c r="B349" s="6" t="s">
        <v>180</v>
      </c>
      <c r="C349" s="6" t="s">
        <v>183</v>
      </c>
      <c r="D349" s="6" t="s">
        <v>57</v>
      </c>
      <c r="E349" s="6" t="str">
        <f>VLOOKUP(G349,'CBs RAW'!$E$2:$H$427,4)</f>
        <v>#N/A N/A</v>
      </c>
      <c r="F349" s="6" t="s">
        <v>185</v>
      </c>
      <c r="G349" s="6" t="s">
        <v>3160</v>
      </c>
      <c r="H349" s="6" t="s">
        <v>3161</v>
      </c>
      <c r="I349" s="6" t="s">
        <v>3162</v>
      </c>
      <c r="J349" s="6" t="s">
        <v>133</v>
      </c>
      <c r="K349" s="6" t="s">
        <v>56</v>
      </c>
      <c r="L349" s="5">
        <v>882225000</v>
      </c>
      <c r="M349" s="6" t="s">
        <v>52</v>
      </c>
      <c r="N349" s="6" t="s">
        <v>1770</v>
      </c>
      <c r="O349" s="6" t="s">
        <v>184</v>
      </c>
      <c r="P349" s="17">
        <v>43082</v>
      </c>
      <c r="Q349" s="5">
        <f>VLOOKUP(G349,'CBs RAW'!$E$2:$P$427,12)</f>
        <v>0.875</v>
      </c>
      <c r="R349" s="17">
        <v>46369</v>
      </c>
      <c r="S349" s="6" t="s">
        <v>225</v>
      </c>
      <c r="T349" s="6" t="s">
        <v>189</v>
      </c>
      <c r="U349" s="6" t="s">
        <v>115</v>
      </c>
      <c r="V349" s="6" t="s">
        <v>53</v>
      </c>
      <c r="W349" s="6" t="s">
        <v>3163</v>
      </c>
      <c r="X349" s="18">
        <f>VLOOKUP(G349,'CBs RAW'!$E$2:$W$427,19)</f>
        <v>0.93200000000000005</v>
      </c>
      <c r="Y349" s="19">
        <f t="shared" si="0"/>
        <v>0.93200000000000005</v>
      </c>
      <c r="Z349" s="2" t="str">
        <f t="shared" si="1"/>
        <v>Schneider Electric SECALLABLEFIXEDEURSr Unsecured</v>
      </c>
    </row>
    <row r="350" spans="1:28" x14ac:dyDescent="0.2">
      <c r="A350" s="6">
        <v>349</v>
      </c>
      <c r="B350" s="6" t="s">
        <v>180</v>
      </c>
      <c r="C350" s="6" t="s">
        <v>183</v>
      </c>
      <c r="D350" s="6" t="s">
        <v>57</v>
      </c>
      <c r="E350" s="6" t="str">
        <f>VLOOKUP(G350,'CBs RAW'!$E$2:$H$427,4)</f>
        <v>#N/A N/A</v>
      </c>
      <c r="F350" s="6" t="s">
        <v>185</v>
      </c>
      <c r="G350" s="6" t="s">
        <v>3164</v>
      </c>
      <c r="H350" s="6" t="s">
        <v>3165</v>
      </c>
      <c r="I350" s="6" t="s">
        <v>3166</v>
      </c>
      <c r="J350" s="6" t="s">
        <v>133</v>
      </c>
      <c r="K350" s="6" t="s">
        <v>56</v>
      </c>
      <c r="L350" s="5">
        <v>870547500</v>
      </c>
      <c r="M350" s="6" t="s">
        <v>52</v>
      </c>
      <c r="N350" s="6" t="s">
        <v>1770</v>
      </c>
      <c r="O350" s="6" t="s">
        <v>184</v>
      </c>
      <c r="P350" s="17">
        <v>43272</v>
      </c>
      <c r="Q350" s="5">
        <f>VLOOKUP(G350,'CBs RAW'!$E$2:$P$427,12)</f>
        <v>1.375</v>
      </c>
      <c r="R350" s="17">
        <v>46559</v>
      </c>
      <c r="S350" s="6" t="s">
        <v>225</v>
      </c>
      <c r="T350" s="6" t="s">
        <v>189</v>
      </c>
      <c r="U350" s="6" t="s">
        <v>115</v>
      </c>
      <c r="V350" s="6" t="s">
        <v>53</v>
      </c>
      <c r="W350" s="6" t="s">
        <v>3167</v>
      </c>
      <c r="X350" s="18">
        <f>VLOOKUP(G350,'CBs RAW'!$E$2:$W$427,19)</f>
        <v>1.2470000000000001</v>
      </c>
      <c r="Y350" s="19">
        <f t="shared" si="0"/>
        <v>1.2470000000000001</v>
      </c>
      <c r="Z350" s="2" t="str">
        <f t="shared" si="1"/>
        <v>Schneider Electric SECALLABLEFIXEDEURSr Unsecured</v>
      </c>
    </row>
    <row r="351" spans="1:28" x14ac:dyDescent="0.2">
      <c r="A351" s="6">
        <v>350</v>
      </c>
      <c r="B351" s="6" t="s">
        <v>180</v>
      </c>
      <c r="C351" s="6" t="s">
        <v>183</v>
      </c>
      <c r="D351" s="6" t="s">
        <v>57</v>
      </c>
      <c r="E351" s="6" t="str">
        <f>VLOOKUP(G351,'CBs RAW'!$E$2:$H$427,4)</f>
        <v>#N/A N/A</v>
      </c>
      <c r="F351" s="6" t="s">
        <v>185</v>
      </c>
      <c r="G351" s="6" t="s">
        <v>3168</v>
      </c>
      <c r="H351" s="6" t="s">
        <v>3169</v>
      </c>
      <c r="I351" s="6" t="s">
        <v>3170</v>
      </c>
      <c r="J351" s="6" t="s">
        <v>133</v>
      </c>
      <c r="K351" s="6" t="s">
        <v>56</v>
      </c>
      <c r="L351" s="5">
        <v>854235000</v>
      </c>
      <c r="M351" s="6" t="s">
        <v>52</v>
      </c>
      <c r="N351" s="6" t="s">
        <v>1770</v>
      </c>
      <c r="O351" s="6" t="s">
        <v>184</v>
      </c>
      <c r="P351" s="17">
        <v>43480</v>
      </c>
      <c r="Q351" s="5">
        <f>VLOOKUP(G351,'CBs RAW'!$E$2:$P$427,12)</f>
        <v>1.5</v>
      </c>
      <c r="R351" s="17">
        <v>46767</v>
      </c>
      <c r="S351" s="6" t="s">
        <v>225</v>
      </c>
      <c r="T351" s="6" t="s">
        <v>189</v>
      </c>
      <c r="U351" s="6" t="s">
        <v>115</v>
      </c>
      <c r="V351" s="6" t="s">
        <v>53</v>
      </c>
      <c r="W351" s="6" t="s">
        <v>3171</v>
      </c>
      <c r="X351" s="18">
        <f>VLOOKUP(G351,'CBs RAW'!$E$2:$W$427,19)</f>
        <v>1.401</v>
      </c>
      <c r="Y351" s="19">
        <f t="shared" si="0"/>
        <v>1.401</v>
      </c>
      <c r="Z351" s="2" t="str">
        <f t="shared" si="1"/>
        <v>Schneider Electric SECALLABLEFIXEDEURSr Unsecured</v>
      </c>
    </row>
    <row r="352" spans="1:28" x14ac:dyDescent="0.2">
      <c r="A352" s="6">
        <v>351</v>
      </c>
      <c r="B352" s="6" t="s">
        <v>180</v>
      </c>
      <c r="C352" s="6" t="s">
        <v>183</v>
      </c>
      <c r="D352" s="6" t="s">
        <v>57</v>
      </c>
      <c r="E352" s="6" t="str">
        <f>VLOOKUP(G352,'CBs RAW'!$E$2:$H$427,4)</f>
        <v>#N/A N/A</v>
      </c>
      <c r="F352" s="6" t="s">
        <v>185</v>
      </c>
      <c r="G352" s="6" t="s">
        <v>3172</v>
      </c>
      <c r="H352" s="6" t="s">
        <v>3173</v>
      </c>
      <c r="I352" s="6" t="s">
        <v>3174</v>
      </c>
      <c r="J352" s="6" t="s">
        <v>133</v>
      </c>
      <c r="K352" s="6" t="s">
        <v>56</v>
      </c>
      <c r="L352" s="5">
        <v>902800000</v>
      </c>
      <c r="M352" s="6" t="s">
        <v>52</v>
      </c>
      <c r="N352" s="6" t="s">
        <v>1770</v>
      </c>
      <c r="O352" s="6" t="s">
        <v>184</v>
      </c>
      <c r="P352" s="17">
        <v>43901</v>
      </c>
      <c r="Q352" s="5">
        <f>VLOOKUP(G352,'CBs RAW'!$E$2:$P$427,12)</f>
        <v>0.25</v>
      </c>
      <c r="R352" s="17">
        <v>47188</v>
      </c>
      <c r="S352" s="6" t="s">
        <v>225</v>
      </c>
      <c r="T352" s="6" t="s">
        <v>189</v>
      </c>
      <c r="U352" s="6" t="s">
        <v>115</v>
      </c>
      <c r="V352" s="6" t="s">
        <v>53</v>
      </c>
      <c r="W352" s="6" t="s">
        <v>3175</v>
      </c>
      <c r="X352" s="18">
        <f>VLOOKUP(G352,'CBs RAW'!$E$2:$W$427,19)</f>
        <v>0.441</v>
      </c>
      <c r="Y352" s="19">
        <f t="shared" si="0"/>
        <v>0.441</v>
      </c>
      <c r="Z352" s="2" t="str">
        <f t="shared" si="1"/>
        <v>Schneider Electric SECALLABLEFIXEDEURSr Unsecured</v>
      </c>
    </row>
    <row r="353" spans="1:26" x14ac:dyDescent="0.2">
      <c r="A353" s="6">
        <v>352</v>
      </c>
      <c r="B353" s="6" t="s">
        <v>180</v>
      </c>
      <c r="C353" s="6" t="s">
        <v>183</v>
      </c>
      <c r="D353" s="6" t="s">
        <v>57</v>
      </c>
      <c r="E353" s="6" t="str">
        <f>VLOOKUP(G353,'CBs RAW'!$E$2:$H$427,4)</f>
        <v>#N/A N/A</v>
      </c>
      <c r="F353" s="6" t="s">
        <v>185</v>
      </c>
      <c r="G353" s="6" t="s">
        <v>3176</v>
      </c>
      <c r="H353" s="6" t="s">
        <v>3177</v>
      </c>
      <c r="I353" s="6" t="s">
        <v>3178</v>
      </c>
      <c r="J353" s="6" t="s">
        <v>133</v>
      </c>
      <c r="K353" s="6" t="s">
        <v>56</v>
      </c>
      <c r="L353" s="5">
        <v>546800000</v>
      </c>
      <c r="M353" s="6" t="s">
        <v>52</v>
      </c>
      <c r="N353" s="6" t="s">
        <v>1770</v>
      </c>
      <c r="O353" s="6" t="s">
        <v>184</v>
      </c>
      <c r="P353" s="17">
        <v>43930</v>
      </c>
      <c r="Q353" s="5">
        <f>VLOOKUP(G353,'CBs RAW'!$E$2:$P$427,12)</f>
        <v>1</v>
      </c>
      <c r="R353" s="17">
        <v>46486</v>
      </c>
      <c r="S353" s="6" t="s">
        <v>225</v>
      </c>
      <c r="T353" s="6" t="s">
        <v>189</v>
      </c>
      <c r="U353" s="6" t="s">
        <v>115</v>
      </c>
      <c r="V353" s="6" t="s">
        <v>53</v>
      </c>
      <c r="W353" s="6" t="s">
        <v>3179</v>
      </c>
      <c r="X353" s="18">
        <f>VLOOKUP(G353,'CBs RAW'!$E$2:$W$427,19)</f>
        <v>0.82399999999999995</v>
      </c>
      <c r="Y353" s="19">
        <f t="shared" si="0"/>
        <v>0.82399999999999995</v>
      </c>
      <c r="Z353" s="2" t="str">
        <f t="shared" si="1"/>
        <v>Schneider Electric SECALLABLEFIXEDEURSr Unsecured</v>
      </c>
    </row>
    <row r="354" spans="1:26" x14ac:dyDescent="0.2">
      <c r="A354" s="6">
        <v>353</v>
      </c>
      <c r="B354" s="6" t="s">
        <v>180</v>
      </c>
      <c r="C354" s="6" t="s">
        <v>183</v>
      </c>
      <c r="D354" s="6" t="s">
        <v>57</v>
      </c>
      <c r="E354" s="6">
        <f>VLOOKUP(G354,'CBs RAW'!$E$2:$H$427,4)</f>
        <v>0.08</v>
      </c>
      <c r="F354" s="6" t="s">
        <v>185</v>
      </c>
      <c r="G354" s="6" t="s">
        <v>3180</v>
      </c>
      <c r="H354" s="6" t="s">
        <v>3181</v>
      </c>
      <c r="I354" s="6" t="s">
        <v>3182</v>
      </c>
      <c r="J354" s="6" t="s">
        <v>133</v>
      </c>
      <c r="K354" s="6" t="s">
        <v>56</v>
      </c>
      <c r="L354" s="5">
        <v>561810000</v>
      </c>
      <c r="M354" s="6" t="s">
        <v>52</v>
      </c>
      <c r="N354" s="6" t="s">
        <v>1770</v>
      </c>
      <c r="O354" s="6" t="s">
        <v>184</v>
      </c>
      <c r="P354" s="17">
        <v>43994</v>
      </c>
      <c r="Q354" s="5">
        <f>VLOOKUP(G354,'CBs RAW'!$E$2:$P$427,12)</f>
        <v>0</v>
      </c>
      <c r="R354" s="17">
        <v>45089</v>
      </c>
      <c r="S354" s="6" t="s">
        <v>225</v>
      </c>
      <c r="T354" s="6" t="s">
        <v>189</v>
      </c>
      <c r="U354" s="6" t="s">
        <v>115</v>
      </c>
      <c r="V354" s="6" t="s">
        <v>53</v>
      </c>
      <c r="W354" s="6" t="s">
        <v>3183</v>
      </c>
      <c r="X354" s="18">
        <f>VLOOKUP(G354,'CBs RAW'!$E$2:$W$427,19)</f>
        <v>-3.7999999999999999E-2</v>
      </c>
      <c r="Y354" s="19">
        <f t="shared" si="0"/>
        <v>-3.7999999999999999E-2</v>
      </c>
      <c r="Z354" s="2" t="str">
        <f t="shared" si="1"/>
        <v>Schneider Electric SECALLABLEFIXEDEURSr Unsecured</v>
      </c>
    </row>
    <row r="355" spans="1:26" x14ac:dyDescent="0.2">
      <c r="A355" s="6">
        <v>354</v>
      </c>
      <c r="B355" s="6" t="s">
        <v>180</v>
      </c>
      <c r="C355" s="6" t="s">
        <v>183</v>
      </c>
      <c r="D355" s="6" t="s">
        <v>57</v>
      </c>
      <c r="E355" s="6" t="str">
        <f>VLOOKUP(G355,'CBs RAW'!$E$2:$H$427,4)</f>
        <v>#N/A N/A</v>
      </c>
      <c r="F355" s="6" t="s">
        <v>185</v>
      </c>
      <c r="G355" s="6" t="s">
        <v>3184</v>
      </c>
      <c r="H355" s="6" t="s">
        <v>3185</v>
      </c>
      <c r="I355" s="6" t="s">
        <v>3186</v>
      </c>
      <c r="J355" s="6" t="s">
        <v>133</v>
      </c>
      <c r="K355" s="6" t="s">
        <v>56</v>
      </c>
      <c r="L355" s="5">
        <v>789877500</v>
      </c>
      <c r="M355" s="6" t="s">
        <v>52</v>
      </c>
      <c r="N355" s="6" t="s">
        <v>1770</v>
      </c>
      <c r="O355" s="6" t="s">
        <v>184</v>
      </c>
      <c r="P355" s="17">
        <v>42074</v>
      </c>
      <c r="Q355" s="5">
        <f>VLOOKUP(G355,'CBs RAW'!$E$2:$P$427,12)</f>
        <v>0.875</v>
      </c>
      <c r="R355" s="17">
        <v>45727</v>
      </c>
      <c r="S355" s="6" t="s">
        <v>225</v>
      </c>
      <c r="T355" s="6" t="s">
        <v>446</v>
      </c>
      <c r="U355" s="6" t="s">
        <v>115</v>
      </c>
      <c r="V355" s="6" t="s">
        <v>53</v>
      </c>
      <c r="W355" s="6" t="s">
        <v>3187</v>
      </c>
      <c r="X355" s="18">
        <f>VLOOKUP(G355,'CBs RAW'!$E$2:$W$427,19)</f>
        <v>0.9</v>
      </c>
      <c r="Y355" s="19">
        <f t="shared" si="0"/>
        <v>0.9</v>
      </c>
      <c r="Z355" s="2" t="str">
        <f t="shared" si="1"/>
        <v>Schneider Electric SECALLABLEFIXEDEURSr Unsecured</v>
      </c>
    </row>
    <row r="356" spans="1:26" x14ac:dyDescent="0.2">
      <c r="A356" s="6">
        <v>355</v>
      </c>
      <c r="B356" s="6" t="s">
        <v>180</v>
      </c>
      <c r="C356" s="6" t="s">
        <v>183</v>
      </c>
      <c r="D356" s="6" t="s">
        <v>57</v>
      </c>
      <c r="E356" s="6" t="str">
        <f>VLOOKUP(G356,'CBs RAW'!$E$2:$H$427,4)</f>
        <v>#N/A N/A</v>
      </c>
      <c r="F356" s="6" t="s">
        <v>185</v>
      </c>
      <c r="G356" s="6" t="s">
        <v>3188</v>
      </c>
      <c r="H356" s="6" t="s">
        <v>3189</v>
      </c>
      <c r="I356" s="6" t="s">
        <v>3190</v>
      </c>
      <c r="J356" s="6" t="s">
        <v>133</v>
      </c>
      <c r="K356" s="6" t="s">
        <v>56</v>
      </c>
      <c r="L356" s="5">
        <v>1121490000</v>
      </c>
      <c r="M356" s="6" t="s">
        <v>52</v>
      </c>
      <c r="N356" s="6" t="s">
        <v>1770</v>
      </c>
      <c r="O356" s="6" t="s">
        <v>184</v>
      </c>
      <c r="P356" s="17">
        <v>42622</v>
      </c>
      <c r="Q356" s="5">
        <f>VLOOKUP(G356,'CBs RAW'!$E$2:$P$427,12)</f>
        <v>0.25</v>
      </c>
      <c r="R356" s="17">
        <v>45544</v>
      </c>
      <c r="S356" s="6" t="s">
        <v>225</v>
      </c>
      <c r="T356" s="6" t="s">
        <v>446</v>
      </c>
      <c r="U356" s="6" t="s">
        <v>115</v>
      </c>
      <c r="V356" s="6" t="s">
        <v>53</v>
      </c>
      <c r="W356" s="6" t="s">
        <v>3191</v>
      </c>
      <c r="X356" s="18">
        <f>VLOOKUP(G356,'CBs RAW'!$E$2:$W$427,19)</f>
        <v>0.40799999999999997</v>
      </c>
      <c r="Y356" s="19">
        <f t="shared" si="0"/>
        <v>0.40799999999999997</v>
      </c>
      <c r="Z356" s="2" t="str">
        <f t="shared" si="1"/>
        <v>Schneider Electric SECALLABLEFIXEDEURSr Unsecured</v>
      </c>
    </row>
    <row r="357" spans="1:26" x14ac:dyDescent="0.2">
      <c r="A357" s="6">
        <v>356</v>
      </c>
      <c r="B357" s="6" t="s">
        <v>180</v>
      </c>
      <c r="C357" s="6" t="s">
        <v>183</v>
      </c>
      <c r="D357" s="6" t="s">
        <v>57</v>
      </c>
      <c r="E357" s="6" t="str">
        <f>VLOOKUP(G357,'CBs RAW'!$E$2:$H$427,4)</f>
        <v>#N/A N/A</v>
      </c>
      <c r="F357" s="6" t="s">
        <v>185</v>
      </c>
      <c r="G357" s="6" t="s">
        <v>3192</v>
      </c>
      <c r="H357" s="6" t="s">
        <v>3193</v>
      </c>
      <c r="I357" s="6" t="s">
        <v>3194</v>
      </c>
      <c r="J357" s="6" t="s">
        <v>133</v>
      </c>
      <c r="K357" s="6" t="s">
        <v>56</v>
      </c>
      <c r="L357" s="5">
        <v>894712000</v>
      </c>
      <c r="M357" s="6" t="s">
        <v>52</v>
      </c>
      <c r="N357" s="6" t="s">
        <v>1770</v>
      </c>
      <c r="O357" s="6" t="s">
        <v>184</v>
      </c>
      <c r="P357" s="17">
        <v>42255</v>
      </c>
      <c r="Q357" s="5">
        <f>VLOOKUP(G357,'CBs RAW'!$E$2:$P$427,12)</f>
        <v>1.5</v>
      </c>
      <c r="R357" s="17">
        <v>45177</v>
      </c>
      <c r="S357" s="6" t="s">
        <v>2171</v>
      </c>
      <c r="T357" s="6" t="s">
        <v>446</v>
      </c>
      <c r="U357" s="6" t="s">
        <v>115</v>
      </c>
      <c r="V357" s="6" t="s">
        <v>53</v>
      </c>
      <c r="W357" s="6" t="s">
        <v>3195</v>
      </c>
      <c r="X357" s="18">
        <f>VLOOKUP(G357,'CBs RAW'!$E$2:$W$427,19)</f>
        <v>1.446</v>
      </c>
      <c r="Y357" s="19">
        <f t="shared" si="0"/>
        <v>1.446</v>
      </c>
      <c r="Z357" s="2" t="str">
        <f t="shared" si="1"/>
        <v>Schneider Electric SECALLABLEFIXEDEURSr Unsecured</v>
      </c>
    </row>
    <row r="358" spans="1:26" x14ac:dyDescent="0.2">
      <c r="A358" s="6">
        <v>357</v>
      </c>
      <c r="B358" s="6" t="s">
        <v>1010</v>
      </c>
      <c r="C358" s="6" t="s">
        <v>1013</v>
      </c>
      <c r="D358" s="6" t="s">
        <v>71</v>
      </c>
      <c r="E358" s="6" t="str">
        <f>VLOOKUP(G358,'CBs RAW'!$E$2:$H$427,4)</f>
        <v>#N/A N/A</v>
      </c>
      <c r="F358" s="6" t="s">
        <v>184</v>
      </c>
      <c r="G358" s="6" t="s">
        <v>3196</v>
      </c>
      <c r="H358" s="6" t="s">
        <v>3197</v>
      </c>
      <c r="I358" s="6" t="s">
        <v>3198</v>
      </c>
      <c r="J358" s="6" t="s">
        <v>55</v>
      </c>
      <c r="K358" s="6" t="s">
        <v>56</v>
      </c>
      <c r="L358" s="5">
        <v>149155840</v>
      </c>
      <c r="M358" s="6" t="s">
        <v>52</v>
      </c>
      <c r="N358" s="6" t="s">
        <v>173</v>
      </c>
      <c r="O358" s="6" t="s">
        <v>184</v>
      </c>
      <c r="P358" s="17">
        <v>43299</v>
      </c>
      <c r="Q358" s="5">
        <f>VLOOKUP(G358,'CBs RAW'!$E$2:$P$427,12)</f>
        <v>3.25</v>
      </c>
      <c r="R358" s="17">
        <v>45856</v>
      </c>
      <c r="S358" s="6" t="s">
        <v>173</v>
      </c>
      <c r="T358" s="6" t="s">
        <v>54</v>
      </c>
      <c r="U358" s="6" t="s">
        <v>115</v>
      </c>
      <c r="V358" s="6" t="s">
        <v>53</v>
      </c>
      <c r="W358" s="6" t="s">
        <v>3199</v>
      </c>
      <c r="X358" s="18" t="str">
        <f>VLOOKUP(G358,'CBs RAW'!$E$2:$W$427,19)</f>
        <v>#N/A N/A</v>
      </c>
      <c r="Y358" s="2" t="str">
        <f t="shared" si="0"/>
        <v>#N/A N/A</v>
      </c>
      <c r="Z358" s="2" t="str">
        <f t="shared" si="1"/>
        <v>Seche Environnement SACALLABLEFIXEDEURSr Unsecured</v>
      </c>
    </row>
    <row r="359" spans="1:26" x14ac:dyDescent="0.2">
      <c r="A359" s="6">
        <v>358</v>
      </c>
      <c r="B359" s="6" t="s">
        <v>1010</v>
      </c>
      <c r="C359" s="6" t="s">
        <v>1013</v>
      </c>
      <c r="D359" s="6" t="s">
        <v>71</v>
      </c>
      <c r="E359" s="6" t="str">
        <f>VLOOKUP(G359,'CBs RAW'!$E$2:$H$427,4)</f>
        <v>#N/A N/A</v>
      </c>
      <c r="F359" s="6" t="s">
        <v>184</v>
      </c>
      <c r="G359" s="6" t="s">
        <v>3200</v>
      </c>
      <c r="H359" s="6" t="s">
        <v>3201</v>
      </c>
      <c r="I359" s="6" t="s">
        <v>3202</v>
      </c>
      <c r="J359" s="6" t="s">
        <v>55</v>
      </c>
      <c r="K359" s="6" t="s">
        <v>56</v>
      </c>
      <c r="L359" s="5">
        <v>2330560</v>
      </c>
      <c r="M359" s="6" t="s">
        <v>52</v>
      </c>
      <c r="N359" s="6" t="s">
        <v>173</v>
      </c>
      <c r="O359" s="6" t="s">
        <v>184</v>
      </c>
      <c r="P359" s="17">
        <v>43299</v>
      </c>
      <c r="Q359" s="5">
        <f>VLOOKUP(G359,'CBs RAW'!$E$2:$P$427,12)</f>
        <v>3</v>
      </c>
      <c r="R359" s="17">
        <v>45491</v>
      </c>
      <c r="S359" s="6" t="s">
        <v>173</v>
      </c>
      <c r="T359" s="6" t="s">
        <v>54</v>
      </c>
      <c r="U359" s="6" t="s">
        <v>115</v>
      </c>
      <c r="V359" s="6" t="s">
        <v>53</v>
      </c>
      <c r="W359" s="6" t="s">
        <v>3203</v>
      </c>
      <c r="X359" s="18" t="str">
        <f>VLOOKUP(G359,'CBs RAW'!$E$2:$W$427,19)</f>
        <v>#N/A N/A</v>
      </c>
      <c r="Y359" s="2" t="str">
        <f t="shared" si="0"/>
        <v>#N/A N/A</v>
      </c>
      <c r="Z359" s="2" t="str">
        <f t="shared" si="1"/>
        <v>Seche Environnement SACALLABLEFIXEDEURSr Unsecured</v>
      </c>
    </row>
    <row r="360" spans="1:26" x14ac:dyDescent="0.2">
      <c r="A360" s="6">
        <v>359</v>
      </c>
      <c r="B360" s="6" t="s">
        <v>1010</v>
      </c>
      <c r="C360" s="6" t="s">
        <v>1013</v>
      </c>
      <c r="D360" s="6" t="s">
        <v>71</v>
      </c>
      <c r="E360" s="6" t="str">
        <f>VLOOKUP(G360,'CBs RAW'!$E$2:$H$427,4)</f>
        <v>#N/A N/A</v>
      </c>
      <c r="F360" s="6" t="s">
        <v>184</v>
      </c>
      <c r="G360" s="6" t="s">
        <v>3204</v>
      </c>
      <c r="H360" s="6" t="s">
        <v>3205</v>
      </c>
      <c r="I360" s="6" t="s">
        <v>3206</v>
      </c>
      <c r="J360" s="6" t="s">
        <v>55</v>
      </c>
      <c r="K360" s="6" t="s">
        <v>56</v>
      </c>
      <c r="L360" s="5">
        <v>66942000</v>
      </c>
      <c r="M360" s="6" t="s">
        <v>52</v>
      </c>
      <c r="N360" s="6" t="s">
        <v>173</v>
      </c>
      <c r="O360" s="6" t="s">
        <v>184</v>
      </c>
      <c r="P360" s="17">
        <v>43607</v>
      </c>
      <c r="Q360" s="5">
        <f>VLOOKUP(G360,'CBs RAW'!$E$2:$P$427,12)</f>
        <v>2.9</v>
      </c>
      <c r="R360" s="17">
        <v>46164</v>
      </c>
      <c r="S360" s="6" t="s">
        <v>173</v>
      </c>
      <c r="T360" s="6" t="s">
        <v>54</v>
      </c>
      <c r="U360" s="6" t="s">
        <v>49</v>
      </c>
      <c r="V360" s="6" t="s">
        <v>53</v>
      </c>
      <c r="W360" s="6" t="s">
        <v>3207</v>
      </c>
      <c r="X360" s="18">
        <f>VLOOKUP(G360,'CBs RAW'!$E$2:$W$427,19)</f>
        <v>2.8170000000000002</v>
      </c>
      <c r="Y360" s="19">
        <f t="shared" si="0"/>
        <v>2.8170000000000002</v>
      </c>
      <c r="Z360" s="2" t="str">
        <f t="shared" si="1"/>
        <v>Seche Environnement SAAT MATURITYFIXEDEURSr Unsecured</v>
      </c>
    </row>
    <row r="361" spans="1:26" x14ac:dyDescent="0.2">
      <c r="A361" s="6">
        <v>360</v>
      </c>
      <c r="B361" s="6" t="s">
        <v>1359</v>
      </c>
      <c r="C361" s="6" t="s">
        <v>1362</v>
      </c>
      <c r="D361" s="6" t="s">
        <v>57</v>
      </c>
      <c r="E361" s="6">
        <f>VLOOKUP(G361,'CBs RAW'!$E$2:$H$427,4)</f>
        <v>1.3180000000000001</v>
      </c>
      <c r="F361" s="6" t="s">
        <v>199</v>
      </c>
      <c r="G361" s="6" t="s">
        <v>3208</v>
      </c>
      <c r="H361" s="6" t="s">
        <v>3209</v>
      </c>
      <c r="I361" s="6" t="s">
        <v>3210</v>
      </c>
      <c r="J361" s="6" t="s">
        <v>117</v>
      </c>
      <c r="K361" s="6" t="s">
        <v>56</v>
      </c>
      <c r="L361" s="5">
        <v>536885000</v>
      </c>
      <c r="M361" s="6" t="s">
        <v>52</v>
      </c>
      <c r="N361" s="6" t="s">
        <v>1770</v>
      </c>
      <c r="O361" s="6" t="s">
        <v>199</v>
      </c>
      <c r="P361" s="17">
        <v>42760</v>
      </c>
      <c r="Q361" s="5">
        <f>VLOOKUP(G361,'CBs RAW'!$E$2:$P$427,12)</f>
        <v>1.25</v>
      </c>
      <c r="R361" s="17">
        <v>45682</v>
      </c>
      <c r="S361" s="6" t="s">
        <v>225</v>
      </c>
      <c r="T361" s="6" t="s">
        <v>174</v>
      </c>
      <c r="U361" s="6" t="s">
        <v>49</v>
      </c>
      <c r="V361" s="6" t="s">
        <v>53</v>
      </c>
      <c r="W361" s="6" t="s">
        <v>3211</v>
      </c>
      <c r="X361" s="18">
        <f>VLOOKUP(G361,'CBs RAW'!$E$2:$W$427,19)</f>
        <v>1.3420000000000001</v>
      </c>
      <c r="Y361" s="19">
        <f t="shared" si="0"/>
        <v>1.3420000000000001</v>
      </c>
      <c r="Z361" s="2" t="str">
        <f t="shared" si="1"/>
        <v>Snam SpAAT MATURITYFIXEDEURSr Unsecured</v>
      </c>
    </row>
    <row r="362" spans="1:26" x14ac:dyDescent="0.2">
      <c r="A362" s="6">
        <v>361</v>
      </c>
      <c r="B362" s="6" t="s">
        <v>1359</v>
      </c>
      <c r="C362" s="6" t="s">
        <v>1362</v>
      </c>
      <c r="D362" s="6" t="s">
        <v>391</v>
      </c>
      <c r="E362" s="6" t="str">
        <f>VLOOKUP(G362,'CBs RAW'!$E$2:$H$427,4)</f>
        <v>#N/A N/A</v>
      </c>
      <c r="F362" s="6" t="s">
        <v>199</v>
      </c>
      <c r="G362" s="6" t="s">
        <v>3212</v>
      </c>
      <c r="H362" s="6" t="s">
        <v>3213</v>
      </c>
      <c r="I362" s="6" t="s">
        <v>3214</v>
      </c>
      <c r="J362" s="6" t="s">
        <v>117</v>
      </c>
      <c r="K362" s="6" t="s">
        <v>70</v>
      </c>
      <c r="L362" s="5">
        <v>415376500</v>
      </c>
      <c r="M362" s="6" t="s">
        <v>52</v>
      </c>
      <c r="N362" s="6" t="s">
        <v>1770</v>
      </c>
      <c r="O362" s="6" t="s">
        <v>199</v>
      </c>
      <c r="P362" s="17">
        <v>42949</v>
      </c>
      <c r="Q362" s="5">
        <f>VLOOKUP(G362,'CBs RAW'!$E$2:$P$427,12)</f>
        <v>0</v>
      </c>
      <c r="R362" s="17">
        <v>45506</v>
      </c>
      <c r="S362" s="6" t="s">
        <v>225</v>
      </c>
      <c r="T362" s="6" t="s">
        <v>174</v>
      </c>
      <c r="U362" s="6" t="s">
        <v>49</v>
      </c>
      <c r="V362" s="6" t="s">
        <v>53</v>
      </c>
      <c r="W362" s="6" t="s">
        <v>3215</v>
      </c>
      <c r="X362" s="18">
        <f>VLOOKUP(G362,'CBs RAW'!$E$2:$W$427,19)</f>
        <v>8.1000000000000003E-2</v>
      </c>
      <c r="Y362" s="19">
        <f t="shared" si="0"/>
        <v>8.1000000000000003E-2</v>
      </c>
      <c r="Z362" s="2" t="str">
        <f t="shared" si="1"/>
        <v>Snam SpAAT MATURITYFLOATINGEURSr Unsecured</v>
      </c>
    </row>
    <row r="363" spans="1:26" x14ac:dyDescent="0.2">
      <c r="A363" s="6">
        <v>362</v>
      </c>
      <c r="B363" s="6" t="s">
        <v>1359</v>
      </c>
      <c r="C363" s="6" t="s">
        <v>1362</v>
      </c>
      <c r="D363" s="6" t="s">
        <v>57</v>
      </c>
      <c r="E363" s="6" t="str">
        <f>VLOOKUP(G363,'CBs RAW'!$E$2:$H$427,4)</f>
        <v>#N/A N/A</v>
      </c>
      <c r="F363" s="6" t="s">
        <v>199</v>
      </c>
      <c r="G363" s="6" t="s">
        <v>3216</v>
      </c>
      <c r="H363" s="6" t="s">
        <v>3217</v>
      </c>
      <c r="I363" s="6" t="s">
        <v>3218</v>
      </c>
      <c r="J363" s="6" t="s">
        <v>117</v>
      </c>
      <c r="K363" s="6" t="s">
        <v>56</v>
      </c>
      <c r="L363" s="5">
        <v>767851500</v>
      </c>
      <c r="M363" s="6" t="s">
        <v>52</v>
      </c>
      <c r="N363" s="6" t="s">
        <v>1775</v>
      </c>
      <c r="O363" s="6" t="s">
        <v>199</v>
      </c>
      <c r="P363" s="17">
        <v>43033</v>
      </c>
      <c r="Q363" s="5">
        <f>VLOOKUP(G363,'CBs RAW'!$E$2:$P$427,12)</f>
        <v>1.375</v>
      </c>
      <c r="R363" s="17">
        <v>46685</v>
      </c>
      <c r="S363" s="6" t="s">
        <v>225</v>
      </c>
      <c r="T363" s="6" t="s">
        <v>174</v>
      </c>
      <c r="U363" s="6" t="s">
        <v>115</v>
      </c>
      <c r="V363" s="6" t="s">
        <v>53</v>
      </c>
      <c r="W363" s="6" t="s">
        <v>3219</v>
      </c>
      <c r="X363" s="18">
        <f>VLOOKUP(G363,'CBs RAW'!$E$2:$W$427,19)</f>
        <v>1.4490000000000001</v>
      </c>
      <c r="Y363" s="19">
        <f t="shared" si="0"/>
        <v>1.4490000000000001</v>
      </c>
      <c r="Z363" s="2" t="str">
        <f t="shared" si="1"/>
        <v>Snam SpACALLABLEFIXEDEURSr Unsecured</v>
      </c>
    </row>
    <row r="364" spans="1:26" x14ac:dyDescent="0.2">
      <c r="A364" s="6">
        <v>363</v>
      </c>
      <c r="B364" s="6" t="s">
        <v>1359</v>
      </c>
      <c r="C364" s="6" t="s">
        <v>1362</v>
      </c>
      <c r="D364" s="6" t="s">
        <v>57</v>
      </c>
      <c r="E364" s="6" t="str">
        <f>VLOOKUP(G364,'CBs RAW'!$E$2:$H$427,4)</f>
        <v>#N/A N/A</v>
      </c>
      <c r="F364" s="6" t="s">
        <v>199</v>
      </c>
      <c r="G364" s="6" t="s">
        <v>3220</v>
      </c>
      <c r="H364" s="6" t="s">
        <v>3221</v>
      </c>
      <c r="I364" s="6" t="s">
        <v>3222</v>
      </c>
      <c r="J364" s="6" t="s">
        <v>117</v>
      </c>
      <c r="K364" s="6" t="s">
        <v>56</v>
      </c>
      <c r="L364" s="5">
        <v>1049355000</v>
      </c>
      <c r="M364" s="6" t="s">
        <v>52</v>
      </c>
      <c r="N364" s="6" t="s">
        <v>1770</v>
      </c>
      <c r="O364" s="6" t="s">
        <v>199</v>
      </c>
      <c r="P364" s="17">
        <v>43361</v>
      </c>
      <c r="Q364" s="5">
        <f>VLOOKUP(G364,'CBs RAW'!$E$2:$P$427,12)</f>
        <v>1</v>
      </c>
      <c r="R364" s="17">
        <v>45187</v>
      </c>
      <c r="S364" s="6" t="s">
        <v>225</v>
      </c>
      <c r="T364" s="6" t="s">
        <v>174</v>
      </c>
      <c r="U364" s="6" t="s">
        <v>115</v>
      </c>
      <c r="V364" s="6" t="s">
        <v>53</v>
      </c>
      <c r="W364" s="6" t="s">
        <v>3223</v>
      </c>
      <c r="X364" s="18">
        <f>VLOOKUP(G364,'CBs RAW'!$E$2:$W$427,19)</f>
        <v>1.139</v>
      </c>
      <c r="Y364" s="19">
        <f t="shared" si="0"/>
        <v>1.139</v>
      </c>
      <c r="Z364" s="2" t="str">
        <f t="shared" si="1"/>
        <v>Snam SpACALLABLEFIXEDEURSr Unsecured</v>
      </c>
    </row>
    <row r="365" spans="1:26" x14ac:dyDescent="0.2">
      <c r="A365" s="6">
        <v>364</v>
      </c>
      <c r="B365" s="6" t="s">
        <v>1359</v>
      </c>
      <c r="C365" s="6" t="s">
        <v>1362</v>
      </c>
      <c r="D365" s="6" t="s">
        <v>57</v>
      </c>
      <c r="E365" s="6" t="str">
        <f>VLOOKUP(G365,'CBs RAW'!$E$2:$H$427,4)</f>
        <v>#N/A N/A</v>
      </c>
      <c r="F365" s="6" t="s">
        <v>199</v>
      </c>
      <c r="G365" s="6" t="s">
        <v>3224</v>
      </c>
      <c r="H365" s="6" t="s">
        <v>3225</v>
      </c>
      <c r="I365" s="6" t="s">
        <v>3226</v>
      </c>
      <c r="J365" s="6" t="s">
        <v>117</v>
      </c>
      <c r="K365" s="6" t="s">
        <v>56</v>
      </c>
      <c r="L365" s="5">
        <v>569100000</v>
      </c>
      <c r="M365" s="6" t="s">
        <v>52</v>
      </c>
      <c r="N365" s="6" t="s">
        <v>173</v>
      </c>
      <c r="O365" s="6" t="s">
        <v>199</v>
      </c>
      <c r="P365" s="17">
        <v>43524</v>
      </c>
      <c r="Q365" s="5">
        <f>VLOOKUP(G365,'CBs RAW'!$E$2:$P$427,12)</f>
        <v>1.25</v>
      </c>
      <c r="R365" s="17">
        <v>45897</v>
      </c>
      <c r="S365" s="6" t="s">
        <v>225</v>
      </c>
      <c r="T365" s="6" t="s">
        <v>174</v>
      </c>
      <c r="U365" s="6" t="s">
        <v>115</v>
      </c>
      <c r="V365" s="6" t="s">
        <v>53</v>
      </c>
      <c r="W365" s="6" t="s">
        <v>3227</v>
      </c>
      <c r="X365" s="18">
        <f>VLOOKUP(G365,'CBs RAW'!$E$2:$W$427,19)</f>
        <v>1.3</v>
      </c>
      <c r="Y365" s="19">
        <f t="shared" si="0"/>
        <v>1.3</v>
      </c>
      <c r="Z365" s="2" t="str">
        <f t="shared" si="1"/>
        <v>Snam SpACALLABLEFIXEDEURSr Unsecured</v>
      </c>
    </row>
    <row r="366" spans="1:26" x14ac:dyDescent="0.2">
      <c r="A366" s="6">
        <v>365</v>
      </c>
      <c r="B366" s="6" t="s">
        <v>1359</v>
      </c>
      <c r="C366" s="6" t="s">
        <v>1362</v>
      </c>
      <c r="D366" s="6" t="s">
        <v>57</v>
      </c>
      <c r="E366" s="6">
        <f>VLOOKUP(G366,'CBs RAW'!$E$2:$H$427,4)</f>
        <v>0.76500000000000001</v>
      </c>
      <c r="F366" s="6" t="s">
        <v>199</v>
      </c>
      <c r="G366" s="6" t="s">
        <v>3228</v>
      </c>
      <c r="H366" s="6" t="s">
        <v>3229</v>
      </c>
      <c r="I366" s="6" t="s">
        <v>3230</v>
      </c>
      <c r="J366" s="6" t="s">
        <v>117</v>
      </c>
      <c r="K366" s="6" t="s">
        <v>56</v>
      </c>
      <c r="L366" s="5">
        <v>842332500</v>
      </c>
      <c r="M366" s="6" t="s">
        <v>52</v>
      </c>
      <c r="N366" s="6" t="s">
        <v>3231</v>
      </c>
      <c r="O366" s="6" t="s">
        <v>199</v>
      </c>
      <c r="P366" s="17">
        <v>43999</v>
      </c>
      <c r="Q366" s="5">
        <f>VLOOKUP(G366,'CBs RAW'!$E$2:$P$427,12)</f>
        <v>0.75</v>
      </c>
      <c r="R366" s="17">
        <v>47651</v>
      </c>
      <c r="S366" s="6" t="s">
        <v>225</v>
      </c>
      <c r="T366" s="6" t="s">
        <v>174</v>
      </c>
      <c r="U366" s="6" t="s">
        <v>115</v>
      </c>
      <c r="V366" s="6" t="s">
        <v>53</v>
      </c>
      <c r="W366" s="6" t="s">
        <v>3232</v>
      </c>
      <c r="X366" s="18">
        <f>VLOOKUP(G366,'CBs RAW'!$E$2:$W$427,19)</f>
        <v>0.66</v>
      </c>
      <c r="Y366" s="19">
        <f t="shared" si="0"/>
        <v>0.66</v>
      </c>
      <c r="Z366" s="2" t="str">
        <f t="shared" si="1"/>
        <v>Snam SpACALLABLEFIXEDEURSr Unsecured</v>
      </c>
    </row>
    <row r="367" spans="1:26" x14ac:dyDescent="0.2">
      <c r="A367" s="6">
        <v>366</v>
      </c>
      <c r="B367" s="6" t="s">
        <v>1359</v>
      </c>
      <c r="C367" s="6" t="s">
        <v>1362</v>
      </c>
      <c r="D367" s="6" t="s">
        <v>57</v>
      </c>
      <c r="E367" s="6" t="str">
        <f>VLOOKUP(G367,'CBs RAW'!$E$2:$H$427,4)</f>
        <v>#N/A N/A</v>
      </c>
      <c r="F367" s="6" t="s">
        <v>199</v>
      </c>
      <c r="G367" s="6" t="s">
        <v>3233</v>
      </c>
      <c r="H367" s="6" t="s">
        <v>3234</v>
      </c>
      <c r="I367" s="6" t="s">
        <v>3235</v>
      </c>
      <c r="J367" s="6" t="s">
        <v>117</v>
      </c>
      <c r="K367" s="6" t="s">
        <v>56</v>
      </c>
      <c r="L367" s="5">
        <v>727986000</v>
      </c>
      <c r="M367" s="6" t="s">
        <v>52</v>
      </c>
      <c r="N367" s="6" t="s">
        <v>1775</v>
      </c>
      <c r="O367" s="6" t="s">
        <v>199</v>
      </c>
      <c r="P367" s="17">
        <v>44172</v>
      </c>
      <c r="Q367" s="5">
        <f>VLOOKUP(G367,'CBs RAW'!$E$2:$P$427,12)</f>
        <v>0</v>
      </c>
      <c r="R367" s="17">
        <v>47094</v>
      </c>
      <c r="S367" s="6" t="s">
        <v>225</v>
      </c>
      <c r="T367" s="6" t="s">
        <v>174</v>
      </c>
      <c r="U367" s="6" t="s">
        <v>115</v>
      </c>
      <c r="V367" s="6" t="s">
        <v>53</v>
      </c>
      <c r="W367" s="6" t="s">
        <v>3236</v>
      </c>
      <c r="X367" s="18">
        <f>VLOOKUP(G367,'CBs RAW'!$E$2:$W$427,19)</f>
        <v>2.9000000000000001E-2</v>
      </c>
      <c r="Y367" s="19">
        <f t="shared" si="0"/>
        <v>2.9000000000000001E-2</v>
      </c>
      <c r="Z367" s="2" t="str">
        <f t="shared" si="1"/>
        <v>Snam SpACALLABLEFIXEDEURSr Unsecured</v>
      </c>
    </row>
    <row r="368" spans="1:26" x14ac:dyDescent="0.2">
      <c r="A368" s="6">
        <v>367</v>
      </c>
      <c r="B368" s="6" t="s">
        <v>1359</v>
      </c>
      <c r="C368" s="6" t="s">
        <v>1362</v>
      </c>
      <c r="D368" s="6" t="s">
        <v>57</v>
      </c>
      <c r="E368" s="6" t="str">
        <f>VLOOKUP(G368,'CBs RAW'!$E$2:$H$427,4)</f>
        <v>#N/A N/A</v>
      </c>
      <c r="F368" s="6" t="s">
        <v>199</v>
      </c>
      <c r="G368" s="6" t="s">
        <v>3237</v>
      </c>
      <c r="H368" s="6" t="s">
        <v>3238</v>
      </c>
      <c r="I368" s="6" t="s">
        <v>3239</v>
      </c>
      <c r="J368" s="6" t="s">
        <v>117</v>
      </c>
      <c r="K368" s="6" t="s">
        <v>56</v>
      </c>
      <c r="L368" s="5">
        <v>606545000</v>
      </c>
      <c r="M368" s="6" t="s">
        <v>52</v>
      </c>
      <c r="N368" s="6" t="s">
        <v>1839</v>
      </c>
      <c r="O368" s="6" t="s">
        <v>199</v>
      </c>
      <c r="P368" s="17">
        <v>44242</v>
      </c>
      <c r="Q368" s="5">
        <f>VLOOKUP(G368,'CBs RAW'!$E$2:$P$427,12)</f>
        <v>0</v>
      </c>
      <c r="R368" s="17">
        <v>45884</v>
      </c>
      <c r="S368" s="6" t="s">
        <v>225</v>
      </c>
      <c r="T368" s="6" t="s">
        <v>174</v>
      </c>
      <c r="U368" s="6" t="s">
        <v>115</v>
      </c>
      <c r="V368" s="6" t="s">
        <v>53</v>
      </c>
      <c r="W368" s="6" t="s">
        <v>3240</v>
      </c>
      <c r="X368" s="18">
        <f>VLOOKUP(G368,'CBs RAW'!$E$2:$W$427,19)</f>
        <v>-5.2999999999999999E-2</v>
      </c>
      <c r="Y368" s="19">
        <f t="shared" si="0"/>
        <v>-5.2999999999999999E-2</v>
      </c>
      <c r="Z368" s="2" t="str">
        <f t="shared" si="1"/>
        <v>Snam SpACALLABLEFIXEDEURSr Unsecured</v>
      </c>
    </row>
    <row r="369" spans="1:26" x14ac:dyDescent="0.2">
      <c r="A369" s="6">
        <v>368</v>
      </c>
      <c r="B369" s="6" t="s">
        <v>1359</v>
      </c>
      <c r="C369" s="6" t="s">
        <v>1362</v>
      </c>
      <c r="D369" s="6" t="s">
        <v>57</v>
      </c>
      <c r="E369" s="6" t="str">
        <f>VLOOKUP(G369,'CBs RAW'!$E$2:$H$427,4)</f>
        <v>#N/A N/A</v>
      </c>
      <c r="F369" s="6" t="s">
        <v>199</v>
      </c>
      <c r="G369" s="6" t="s">
        <v>3241</v>
      </c>
      <c r="H369" s="6" t="s">
        <v>3242</v>
      </c>
      <c r="I369" s="6" t="s">
        <v>3243</v>
      </c>
      <c r="J369" s="6" t="s">
        <v>117</v>
      </c>
      <c r="K369" s="6" t="s">
        <v>56</v>
      </c>
      <c r="L369" s="5">
        <v>592425000</v>
      </c>
      <c r="M369" s="6" t="s">
        <v>52</v>
      </c>
      <c r="N369" s="6" t="s">
        <v>1839</v>
      </c>
      <c r="O369" s="6" t="s">
        <v>199</v>
      </c>
      <c r="P369" s="17">
        <v>44377</v>
      </c>
      <c r="Q369" s="5">
        <f>VLOOKUP(G369,'CBs RAW'!$E$2:$P$427,12)</f>
        <v>0.625</v>
      </c>
      <c r="R369" s="17">
        <v>48029</v>
      </c>
      <c r="S369" s="6" t="s">
        <v>225</v>
      </c>
      <c r="T369" s="6" t="s">
        <v>174</v>
      </c>
      <c r="U369" s="6" t="s">
        <v>115</v>
      </c>
      <c r="V369" s="6" t="s">
        <v>53</v>
      </c>
      <c r="W369" s="6" t="s">
        <v>3244</v>
      </c>
      <c r="X369" s="18">
        <f>VLOOKUP(G369,'CBs RAW'!$E$2:$W$427,19)</f>
        <v>0.69899999999999995</v>
      </c>
      <c r="Y369" s="19">
        <f t="shared" si="0"/>
        <v>0.69899999999999995</v>
      </c>
      <c r="Z369" s="2" t="str">
        <f t="shared" si="1"/>
        <v>Snam SpACALLABLEFIXEDEURSr Unsecured</v>
      </c>
    </row>
    <row r="370" spans="1:26" x14ac:dyDescent="0.2">
      <c r="A370" s="6">
        <v>369</v>
      </c>
      <c r="B370" s="6" t="s">
        <v>1359</v>
      </c>
      <c r="C370" s="6" t="s">
        <v>1362</v>
      </c>
      <c r="D370" s="6" t="s">
        <v>57</v>
      </c>
      <c r="E370" s="6">
        <f>VLOOKUP(G370,'CBs RAW'!$E$2:$H$427,4)</f>
        <v>3.367</v>
      </c>
      <c r="F370" s="6" t="s">
        <v>199</v>
      </c>
      <c r="G370" s="6" t="s">
        <v>3245</v>
      </c>
      <c r="H370" s="6" t="s">
        <v>3246</v>
      </c>
      <c r="I370" s="6" t="s">
        <v>3247</v>
      </c>
      <c r="J370" s="6" t="s">
        <v>117</v>
      </c>
      <c r="K370" s="6" t="s">
        <v>56</v>
      </c>
      <c r="L370" s="5">
        <v>813060000</v>
      </c>
      <c r="M370" s="6" t="s">
        <v>52</v>
      </c>
      <c r="N370" s="6" t="s">
        <v>1770</v>
      </c>
      <c r="O370" s="6" t="s">
        <v>199</v>
      </c>
      <c r="P370" s="17">
        <v>41661</v>
      </c>
      <c r="Q370" s="5">
        <f>VLOOKUP(G370,'CBs RAW'!$E$2:$P$427,12)</f>
        <v>3.25</v>
      </c>
      <c r="R370" s="17">
        <v>45313</v>
      </c>
      <c r="S370" s="6" t="s">
        <v>225</v>
      </c>
      <c r="T370" s="6" t="s">
        <v>174</v>
      </c>
      <c r="U370" s="6" t="s">
        <v>49</v>
      </c>
      <c r="V370" s="6" t="s">
        <v>53</v>
      </c>
      <c r="W370" s="6" t="s">
        <v>3248</v>
      </c>
      <c r="X370" s="18">
        <f>VLOOKUP(G370,'CBs RAW'!$E$2:$W$427,19)</f>
        <v>3.1219999999999999</v>
      </c>
      <c r="Y370" s="19">
        <f t="shared" si="0"/>
        <v>3.1219999999999999</v>
      </c>
      <c r="Z370" s="2" t="str">
        <f t="shared" si="1"/>
        <v>Snam SpAAT MATURITYFIXEDEURSr Unsecured</v>
      </c>
    </row>
    <row r="371" spans="1:26" x14ac:dyDescent="0.2">
      <c r="A371" s="6">
        <v>370</v>
      </c>
      <c r="B371" s="6" t="s">
        <v>1359</v>
      </c>
      <c r="C371" s="6" t="s">
        <v>1362</v>
      </c>
      <c r="D371" s="6" t="s">
        <v>57</v>
      </c>
      <c r="E371" s="6">
        <f>VLOOKUP(G371,'CBs RAW'!$E$2:$H$427,4)</f>
        <v>1.591</v>
      </c>
      <c r="F371" s="6" t="s">
        <v>199</v>
      </c>
      <c r="G371" s="6" t="s">
        <v>3249</v>
      </c>
      <c r="H371" s="6" t="s">
        <v>3250</v>
      </c>
      <c r="I371" s="6" t="s">
        <v>3251</v>
      </c>
      <c r="J371" s="6" t="s">
        <v>117</v>
      </c>
      <c r="K371" s="6" t="s">
        <v>56</v>
      </c>
      <c r="L371" s="5">
        <v>949792500</v>
      </c>
      <c r="M371" s="6" t="s">
        <v>52</v>
      </c>
      <c r="N371" s="6" t="s">
        <v>1770</v>
      </c>
      <c r="O371" s="6" t="s">
        <v>199</v>
      </c>
      <c r="P371" s="17">
        <v>41934</v>
      </c>
      <c r="Q371" s="5">
        <f>VLOOKUP(G371,'CBs RAW'!$E$2:$P$427,12)</f>
        <v>1.5</v>
      </c>
      <c r="R371" s="17">
        <v>45037</v>
      </c>
      <c r="S371" s="6" t="s">
        <v>225</v>
      </c>
      <c r="T371" s="6" t="s">
        <v>174</v>
      </c>
      <c r="U371" s="6" t="s">
        <v>49</v>
      </c>
      <c r="V371" s="6" t="s">
        <v>53</v>
      </c>
      <c r="W371" s="6" t="s">
        <v>3252</v>
      </c>
      <c r="X371" s="18">
        <f>VLOOKUP(G371,'CBs RAW'!$E$2:$W$427,19)</f>
        <v>1.5720000000000001</v>
      </c>
      <c r="Y371" s="19">
        <f t="shared" si="0"/>
        <v>1.5720000000000001</v>
      </c>
      <c r="Z371" s="2" t="str">
        <f t="shared" si="1"/>
        <v>Snam SpAAT MATURITYFIXEDEURSr Unsecured</v>
      </c>
    </row>
    <row r="372" spans="1:26" x14ac:dyDescent="0.2">
      <c r="A372" s="6">
        <v>371</v>
      </c>
      <c r="B372" s="6" t="s">
        <v>1359</v>
      </c>
      <c r="C372" s="6" t="s">
        <v>1362</v>
      </c>
      <c r="D372" s="6" t="s">
        <v>57</v>
      </c>
      <c r="E372" s="6" t="str">
        <f>VLOOKUP(G372,'CBs RAW'!$E$2:$H$427,4)</f>
        <v>#N/A N/A</v>
      </c>
      <c r="F372" s="6" t="s">
        <v>199</v>
      </c>
      <c r="G372" s="6" t="s">
        <v>3253</v>
      </c>
      <c r="H372" s="6" t="s">
        <v>3254</v>
      </c>
      <c r="I372" s="6" t="s">
        <v>3255</v>
      </c>
      <c r="J372" s="6" t="s">
        <v>117</v>
      </c>
      <c r="K372" s="6" t="s">
        <v>56</v>
      </c>
      <c r="L372" s="5">
        <v>804427500</v>
      </c>
      <c r="M372" s="6" t="s">
        <v>52</v>
      </c>
      <c r="N372" s="6" t="s">
        <v>1770</v>
      </c>
      <c r="O372" s="6" t="s">
        <v>199</v>
      </c>
      <c r="P372" s="17">
        <v>42327</v>
      </c>
      <c r="Q372" s="5">
        <f>VLOOKUP(G372,'CBs RAW'!$E$2:$P$427,12)</f>
        <v>1.375</v>
      </c>
      <c r="R372" s="17">
        <v>45249</v>
      </c>
      <c r="S372" s="6" t="s">
        <v>225</v>
      </c>
      <c r="T372" s="6" t="s">
        <v>174</v>
      </c>
      <c r="U372" s="6" t="s">
        <v>49</v>
      </c>
      <c r="V372" s="6" t="s">
        <v>53</v>
      </c>
      <c r="W372" s="6" t="s">
        <v>3256</v>
      </c>
      <c r="X372" s="18">
        <f>VLOOKUP(G372,'CBs RAW'!$E$2:$W$427,19)</f>
        <v>1.2549999999999999</v>
      </c>
      <c r="Y372" s="19">
        <f t="shared" si="0"/>
        <v>1.2549999999999999</v>
      </c>
      <c r="Z372" s="2" t="str">
        <f t="shared" si="1"/>
        <v>Snam SpAAT MATURITYFIXEDEURSr Unsecured</v>
      </c>
    </row>
    <row r="373" spans="1:26" x14ac:dyDescent="0.2">
      <c r="A373" s="6">
        <v>372</v>
      </c>
      <c r="B373" s="6" t="s">
        <v>1359</v>
      </c>
      <c r="C373" s="6" t="s">
        <v>1362</v>
      </c>
      <c r="D373" s="6" t="s">
        <v>57</v>
      </c>
      <c r="E373" s="6" t="str">
        <f>VLOOKUP(G373,'CBs RAW'!$E$2:$H$427,4)</f>
        <v>#N/A N/A</v>
      </c>
      <c r="F373" s="6" t="s">
        <v>199</v>
      </c>
      <c r="G373" s="6" t="s">
        <v>3257</v>
      </c>
      <c r="H373" s="6" t="s">
        <v>3258</v>
      </c>
      <c r="I373" s="6" t="s">
        <v>3259</v>
      </c>
      <c r="J373" s="6" t="s">
        <v>117</v>
      </c>
      <c r="K373" s="6" t="s">
        <v>56</v>
      </c>
      <c r="L373" s="5">
        <v>1361362500</v>
      </c>
      <c r="M373" s="6" t="s">
        <v>52</v>
      </c>
      <c r="N373" s="6" t="s">
        <v>1770</v>
      </c>
      <c r="O373" s="6" t="s">
        <v>199</v>
      </c>
      <c r="P373" s="17">
        <v>42668</v>
      </c>
      <c r="Q373" s="5">
        <f>VLOOKUP(G373,'CBs RAW'!$E$2:$P$427,12)</f>
        <v>0.875</v>
      </c>
      <c r="R373" s="17">
        <v>46320</v>
      </c>
      <c r="S373" s="6" t="s">
        <v>225</v>
      </c>
      <c r="T373" s="6" t="s">
        <v>174</v>
      </c>
      <c r="U373" s="6" t="s">
        <v>49</v>
      </c>
      <c r="V373" s="6" t="s">
        <v>53</v>
      </c>
      <c r="W373" s="6" t="s">
        <v>3260</v>
      </c>
      <c r="X373" s="18">
        <f>VLOOKUP(G373,'CBs RAW'!$E$2:$W$427,19)</f>
        <v>0.86699999999999999</v>
      </c>
      <c r="Y373" s="19">
        <f t="shared" si="0"/>
        <v>0.86699999999999999</v>
      </c>
      <c r="Z373" s="2" t="str">
        <f t="shared" si="1"/>
        <v>Snam SpAAT MATURITYFIXEDEURSr Unsecured</v>
      </c>
    </row>
    <row r="374" spans="1:26" x14ac:dyDescent="0.2">
      <c r="A374" s="6">
        <v>373</v>
      </c>
      <c r="B374" s="6" t="s">
        <v>1359</v>
      </c>
      <c r="C374" s="6" t="s">
        <v>1362</v>
      </c>
      <c r="D374" s="6" t="s">
        <v>57</v>
      </c>
      <c r="E374" s="6" t="str">
        <f>VLOOKUP(G374,'CBs RAW'!$E$2:$H$427,4)</f>
        <v>#N/A N/A</v>
      </c>
      <c r="F374" s="6" t="s">
        <v>199</v>
      </c>
      <c r="G374" s="6" t="s">
        <v>3261</v>
      </c>
      <c r="H374" s="6" t="s">
        <v>3262</v>
      </c>
      <c r="I374" s="6" t="s">
        <v>3263</v>
      </c>
      <c r="J374" s="6" t="s">
        <v>117</v>
      </c>
      <c r="K374" s="6" t="s">
        <v>56</v>
      </c>
      <c r="L374" s="5">
        <v>774753000</v>
      </c>
      <c r="M374" s="6" t="s">
        <v>52</v>
      </c>
      <c r="N374" s="6" t="s">
        <v>1770</v>
      </c>
      <c r="O374" s="6" t="s">
        <v>199</v>
      </c>
      <c r="P374" s="17">
        <v>43720</v>
      </c>
      <c r="Q374" s="5">
        <f>VLOOKUP(G374,'CBs RAW'!$E$2:$P$427,12)</f>
        <v>0</v>
      </c>
      <c r="R374" s="17">
        <v>45424</v>
      </c>
      <c r="S374" s="6" t="s">
        <v>173</v>
      </c>
      <c r="T374" s="6" t="s">
        <v>174</v>
      </c>
      <c r="U374" s="6" t="s">
        <v>115</v>
      </c>
      <c r="V374" s="6" t="s">
        <v>53</v>
      </c>
      <c r="W374" s="6" t="s">
        <v>3264</v>
      </c>
      <c r="X374" s="18">
        <f>VLOOKUP(G374,'CBs RAW'!$E$2:$W$427,19)</f>
        <v>0.14099999999999999</v>
      </c>
      <c r="Y374" s="19">
        <f t="shared" si="0"/>
        <v>0.14099999999999999</v>
      </c>
      <c r="Z374" s="2" t="str">
        <f t="shared" si="1"/>
        <v>Snam SpACALLABLEFIXEDEURSr Unsecured</v>
      </c>
    </row>
    <row r="375" spans="1:26" x14ac:dyDescent="0.2">
      <c r="A375" s="6">
        <v>374</v>
      </c>
      <c r="B375" s="6" t="s">
        <v>1359</v>
      </c>
      <c r="C375" s="6" t="s">
        <v>1362</v>
      </c>
      <c r="D375" s="6" t="s">
        <v>57</v>
      </c>
      <c r="E375" s="6" t="str">
        <f>VLOOKUP(G375,'CBs RAW'!$E$2:$H$427,4)</f>
        <v>#N/A N/A</v>
      </c>
      <c r="F375" s="6" t="s">
        <v>199</v>
      </c>
      <c r="G375" s="6" t="s">
        <v>3265</v>
      </c>
      <c r="H375" s="6" t="s">
        <v>3266</v>
      </c>
      <c r="I375" s="6" t="s">
        <v>3267</v>
      </c>
      <c r="J375" s="6" t="s">
        <v>117</v>
      </c>
      <c r="K375" s="6" t="s">
        <v>56</v>
      </c>
      <c r="L375" s="5">
        <v>664074000</v>
      </c>
      <c r="M375" s="6" t="s">
        <v>52</v>
      </c>
      <c r="N375" s="6" t="s">
        <v>1770</v>
      </c>
      <c r="O375" s="6" t="s">
        <v>199</v>
      </c>
      <c r="P375" s="17">
        <v>43720</v>
      </c>
      <c r="Q375" s="5">
        <f>VLOOKUP(G375,'CBs RAW'!$E$2:$P$427,12)</f>
        <v>1</v>
      </c>
      <c r="R375" s="17">
        <v>49199</v>
      </c>
      <c r="S375" s="6" t="s">
        <v>225</v>
      </c>
      <c r="T375" s="6" t="s">
        <v>174</v>
      </c>
      <c r="U375" s="6" t="s">
        <v>115</v>
      </c>
      <c r="V375" s="6" t="s">
        <v>53</v>
      </c>
      <c r="W375" s="6" t="s">
        <v>3268</v>
      </c>
      <c r="X375" s="18">
        <f>VLOOKUP(G375,'CBs RAW'!$E$2:$W$427,19)</f>
        <v>1.1120000000000001</v>
      </c>
      <c r="Y375" s="19">
        <f t="shared" si="0"/>
        <v>1.1120000000000001</v>
      </c>
      <c r="Z375" s="2" t="str">
        <f t="shared" si="1"/>
        <v>Snam SpACALLABLEFIXEDEURSr Unsecured</v>
      </c>
    </row>
    <row r="376" spans="1:26" x14ac:dyDescent="0.2">
      <c r="A376" s="6">
        <v>375</v>
      </c>
      <c r="B376" s="6" t="s">
        <v>1359</v>
      </c>
      <c r="C376" s="6" t="s">
        <v>1362</v>
      </c>
      <c r="D376" s="6" t="s">
        <v>57</v>
      </c>
      <c r="E376" s="6" t="str">
        <f>VLOOKUP(G376,'CBs RAW'!$E$2:$H$427,4)</f>
        <v>#N/A N/A</v>
      </c>
      <c r="F376" s="6" t="s">
        <v>199</v>
      </c>
      <c r="G376" s="6" t="s">
        <v>3269</v>
      </c>
      <c r="H376" s="6" t="s">
        <v>3270</v>
      </c>
      <c r="I376" s="6" t="s">
        <v>3271</v>
      </c>
      <c r="J376" s="6" t="s">
        <v>117</v>
      </c>
      <c r="K376" s="6" t="s">
        <v>56</v>
      </c>
      <c r="L376" s="5">
        <v>283500000</v>
      </c>
      <c r="M376" s="6" t="s">
        <v>52</v>
      </c>
      <c r="N376" s="6" t="s">
        <v>1770</v>
      </c>
      <c r="O376" s="6" t="s">
        <v>199</v>
      </c>
      <c r="P376" s="17">
        <v>43623</v>
      </c>
      <c r="Q376" s="5">
        <f>VLOOKUP(G376,'CBs RAW'!$E$2:$P$427,12)</f>
        <v>1.625</v>
      </c>
      <c r="R376" s="17">
        <v>47490</v>
      </c>
      <c r="S376" s="6" t="s">
        <v>225</v>
      </c>
      <c r="T376" s="6" t="s">
        <v>174</v>
      </c>
      <c r="U376" s="6" t="s">
        <v>115</v>
      </c>
      <c r="V376" s="6" t="s">
        <v>53</v>
      </c>
      <c r="W376" s="6" t="s">
        <v>3272</v>
      </c>
      <c r="X376" s="18">
        <f>VLOOKUP(G376,'CBs RAW'!$E$2:$W$427,19)</f>
        <v>1.4830000000000001</v>
      </c>
      <c r="Y376" s="19">
        <f t="shared" si="0"/>
        <v>1.4830000000000001</v>
      </c>
      <c r="Z376" s="2" t="str">
        <f t="shared" si="1"/>
        <v>Snam SpACALLABLEFIXEDEURSr Unsecured</v>
      </c>
    </row>
    <row r="377" spans="1:26" x14ac:dyDescent="0.2">
      <c r="A377" s="6">
        <v>376</v>
      </c>
      <c r="B377" s="6" t="s">
        <v>679</v>
      </c>
      <c r="C377" s="6" t="s">
        <v>682</v>
      </c>
      <c r="D377" s="6" t="s">
        <v>57</v>
      </c>
      <c r="E377" s="6" t="str">
        <f>VLOOKUP(G377,'CBs RAW'!$E$2:$H$427,4)</f>
        <v>#N/A N/A</v>
      </c>
      <c r="F377" s="6" t="s">
        <v>367</v>
      </c>
      <c r="G377" s="6" t="s">
        <v>3273</v>
      </c>
      <c r="H377" s="6" t="s">
        <v>3274</v>
      </c>
      <c r="I377" s="6" t="s">
        <v>3275</v>
      </c>
      <c r="J377" s="6" t="s">
        <v>55</v>
      </c>
      <c r="K377" s="6" t="s">
        <v>56</v>
      </c>
      <c r="L377" s="5">
        <v>174369000</v>
      </c>
      <c r="M377" s="6" t="s">
        <v>52</v>
      </c>
      <c r="N377" s="6" t="s">
        <v>1770</v>
      </c>
      <c r="O377" s="6" t="s">
        <v>367</v>
      </c>
      <c r="P377" s="17">
        <v>43349</v>
      </c>
      <c r="Q377" s="5">
        <f>VLOOKUP(G377,'CBs RAW'!$E$2:$P$427,12)</f>
        <v>2.875</v>
      </c>
      <c r="R377" s="17">
        <v>45175</v>
      </c>
      <c r="S377" s="6" t="s">
        <v>225</v>
      </c>
      <c r="T377" s="6" t="s">
        <v>54</v>
      </c>
      <c r="U377" s="6" t="s">
        <v>49</v>
      </c>
      <c r="V377" s="6" t="s">
        <v>53</v>
      </c>
      <c r="W377" s="6" t="s">
        <v>3276</v>
      </c>
      <c r="X377" s="18">
        <f>VLOOKUP(G377,'CBs RAW'!$E$2:$W$427,19)</f>
        <v>2.7959999999999998</v>
      </c>
      <c r="Y377" s="19">
        <f t="shared" si="0"/>
        <v>2.7959999999999998</v>
      </c>
      <c r="Z377" s="2" t="str">
        <f t="shared" si="1"/>
        <v>SSAB ABAT MATURITYFIXEDEURSr Unsecured</v>
      </c>
    </row>
    <row r="378" spans="1:26" x14ac:dyDescent="0.2">
      <c r="A378" s="6">
        <v>377</v>
      </c>
      <c r="B378" s="6" t="s">
        <v>679</v>
      </c>
      <c r="C378" s="6" t="s">
        <v>682</v>
      </c>
      <c r="D378" s="6" t="s">
        <v>57</v>
      </c>
      <c r="E378" s="6" t="str">
        <f>VLOOKUP(G378,'CBs RAW'!$E$2:$H$427,4)</f>
        <v>#N/A N/A</v>
      </c>
      <c r="F378" s="6" t="s">
        <v>367</v>
      </c>
      <c r="G378" s="6" t="s">
        <v>3277</v>
      </c>
      <c r="H378" s="6" t="s">
        <v>3278</v>
      </c>
      <c r="I378" s="6" t="s">
        <v>3279</v>
      </c>
      <c r="J378" s="6" t="s">
        <v>55</v>
      </c>
      <c r="K378" s="6" t="s">
        <v>56</v>
      </c>
      <c r="L378" s="5">
        <v>64815000</v>
      </c>
      <c r="M378" s="6" t="s">
        <v>52</v>
      </c>
      <c r="N378" s="6" t="s">
        <v>173</v>
      </c>
      <c r="O378" s="6" t="s">
        <v>367</v>
      </c>
      <c r="P378" s="17">
        <v>43642</v>
      </c>
      <c r="Q378" s="5">
        <f>VLOOKUP(G378,'CBs RAW'!$E$2:$P$427,12)</f>
        <v>2.75</v>
      </c>
      <c r="R378" s="17">
        <v>45469</v>
      </c>
      <c r="S378" s="6" t="s">
        <v>225</v>
      </c>
      <c r="T378" s="6" t="s">
        <v>54</v>
      </c>
      <c r="U378" s="6" t="s">
        <v>49</v>
      </c>
      <c r="V378" s="6" t="s">
        <v>686</v>
      </c>
      <c r="W378" s="6" t="s">
        <v>3280</v>
      </c>
      <c r="X378" s="18">
        <f>VLOOKUP(G378,'CBs RAW'!$E$2:$W$427,19)</f>
        <v>2.673</v>
      </c>
      <c r="Y378" s="19">
        <f t="shared" si="0"/>
        <v>2.673</v>
      </c>
      <c r="Z378" s="2" t="str">
        <f t="shared" si="1"/>
        <v>SSAB ABAT MATURITYFIXEDSEKSr Unsecured</v>
      </c>
    </row>
    <row r="379" spans="1:26" x14ac:dyDescent="0.2">
      <c r="A379" s="6">
        <v>378</v>
      </c>
      <c r="B379" s="6" t="s">
        <v>679</v>
      </c>
      <c r="C379" s="6" t="s">
        <v>682</v>
      </c>
      <c r="D379" s="6" t="s">
        <v>391</v>
      </c>
      <c r="E379" s="6" t="str">
        <f>VLOOKUP(G379,'CBs RAW'!$E$2:$H$427,4)</f>
        <v>#N/A N/A</v>
      </c>
      <c r="F379" s="6" t="s">
        <v>367</v>
      </c>
      <c r="G379" s="6" t="s">
        <v>3281</v>
      </c>
      <c r="H379" s="6" t="s">
        <v>3282</v>
      </c>
      <c r="I379" s="6" t="s">
        <v>3283</v>
      </c>
      <c r="J379" s="6" t="s">
        <v>55</v>
      </c>
      <c r="K379" s="6" t="s">
        <v>70</v>
      </c>
      <c r="L379" s="5">
        <v>151235000</v>
      </c>
      <c r="M379" s="6" t="s">
        <v>52</v>
      </c>
      <c r="N379" s="6" t="s">
        <v>173</v>
      </c>
      <c r="O379" s="6" t="s">
        <v>367</v>
      </c>
      <c r="P379" s="17">
        <v>43642</v>
      </c>
      <c r="Q379" s="5">
        <f>VLOOKUP(G379,'CBs RAW'!$E$2:$P$427,12)</f>
        <v>2.7629999999999999</v>
      </c>
      <c r="R379" s="17">
        <v>45469</v>
      </c>
      <c r="S379" s="6" t="s">
        <v>225</v>
      </c>
      <c r="T379" s="6" t="s">
        <v>54</v>
      </c>
      <c r="U379" s="6" t="s">
        <v>49</v>
      </c>
      <c r="V379" s="6" t="s">
        <v>686</v>
      </c>
      <c r="W379" s="6" t="s">
        <v>3284</v>
      </c>
      <c r="X379" s="18">
        <f>VLOOKUP(G379,'CBs RAW'!$E$2:$W$427,19)</f>
        <v>2.4889999999999999</v>
      </c>
      <c r="Y379" s="19">
        <f t="shared" si="0"/>
        <v>2.4889999999999999</v>
      </c>
      <c r="Z379" s="2" t="str">
        <f t="shared" si="1"/>
        <v>SSAB ABAT MATURITYFLOATINGSEKSr Unsecured</v>
      </c>
    </row>
    <row r="380" spans="1:26" x14ac:dyDescent="0.2">
      <c r="A380" s="6">
        <v>379</v>
      </c>
      <c r="B380" s="6" t="s">
        <v>679</v>
      </c>
      <c r="C380" s="6" t="s">
        <v>682</v>
      </c>
      <c r="D380" s="6" t="s">
        <v>391</v>
      </c>
      <c r="E380" s="6" t="str">
        <f>VLOOKUP(G380,'CBs RAW'!$E$2:$H$427,4)</f>
        <v>#N/A N/A</v>
      </c>
      <c r="F380" s="6" t="s">
        <v>367</v>
      </c>
      <c r="G380" s="6" t="s">
        <v>3285</v>
      </c>
      <c r="H380" s="6" t="s">
        <v>3286</v>
      </c>
      <c r="I380" s="6" t="s">
        <v>3287</v>
      </c>
      <c r="J380" s="6" t="s">
        <v>55</v>
      </c>
      <c r="K380" s="6" t="s">
        <v>342</v>
      </c>
      <c r="L380" s="5">
        <v>50000000</v>
      </c>
      <c r="M380" s="6" t="s">
        <v>458</v>
      </c>
      <c r="N380" s="6" t="s">
        <v>1770</v>
      </c>
      <c r="O380" s="6" t="s">
        <v>367</v>
      </c>
      <c r="P380" s="17">
        <v>41724</v>
      </c>
      <c r="Q380" s="5" t="str">
        <f>VLOOKUP(G380,'CBs RAW'!$E$2:$P$427,12)</f>
        <v>#N/A N/A</v>
      </c>
      <c r="R380" s="17">
        <v>49035</v>
      </c>
      <c r="S380" s="6" t="s">
        <v>173</v>
      </c>
      <c r="T380" s="6" t="s">
        <v>189</v>
      </c>
      <c r="U380" s="6" t="s">
        <v>49</v>
      </c>
      <c r="V380" s="6" t="s">
        <v>262</v>
      </c>
      <c r="W380" s="6" t="s">
        <v>3288</v>
      </c>
      <c r="X380" s="18" t="str">
        <f>VLOOKUP(G380,'CBs RAW'!$E$2:$W$427,19)</f>
        <v>#N/A N/A</v>
      </c>
      <c r="Y380" s="2" t="str">
        <f t="shared" si="0"/>
        <v>#N/A N/A</v>
      </c>
      <c r="Z380" s="2" t="str">
        <f t="shared" si="1"/>
        <v>SSAB ABAT MATURITYVARIABLEUSDSecured</v>
      </c>
    </row>
    <row r="381" spans="1:26" x14ac:dyDescent="0.2">
      <c r="A381" s="6">
        <v>380</v>
      </c>
      <c r="B381" s="6" t="s">
        <v>679</v>
      </c>
      <c r="C381" s="6" t="s">
        <v>682</v>
      </c>
      <c r="D381" s="6" t="s">
        <v>391</v>
      </c>
      <c r="E381" s="6" t="str">
        <f>VLOOKUP(G381,'CBs RAW'!$E$2:$H$427,4)</f>
        <v>#N/A N/A</v>
      </c>
      <c r="F381" s="6" t="s">
        <v>367</v>
      </c>
      <c r="G381" s="6" t="s">
        <v>3289</v>
      </c>
      <c r="H381" s="6" t="s">
        <v>3290</v>
      </c>
      <c r="I381" s="6" t="s">
        <v>3291</v>
      </c>
      <c r="J381" s="6" t="s">
        <v>55</v>
      </c>
      <c r="K381" s="6" t="s">
        <v>342</v>
      </c>
      <c r="L381" s="5">
        <v>50000000</v>
      </c>
      <c r="M381" s="6" t="s">
        <v>458</v>
      </c>
      <c r="N381" s="6" t="s">
        <v>1770</v>
      </c>
      <c r="O381" s="6" t="s">
        <v>367</v>
      </c>
      <c r="P381" s="17">
        <v>42235</v>
      </c>
      <c r="Q381" s="5" t="str">
        <f>VLOOKUP(G381,'CBs RAW'!$E$2:$P$427,12)</f>
        <v>#N/A N/A</v>
      </c>
      <c r="R381" s="17">
        <v>49522</v>
      </c>
      <c r="S381" s="6" t="s">
        <v>350</v>
      </c>
      <c r="T381" s="6" t="s">
        <v>189</v>
      </c>
      <c r="U381" s="6" t="s">
        <v>3292</v>
      </c>
      <c r="V381" s="6" t="s">
        <v>262</v>
      </c>
      <c r="W381" s="6" t="s">
        <v>3293</v>
      </c>
      <c r="X381" s="18" t="str">
        <f>VLOOKUP(G381,'CBs RAW'!$E$2:$W$427,19)</f>
        <v>#N/A N/A</v>
      </c>
      <c r="Y381" s="2" t="str">
        <f t="shared" si="0"/>
        <v>#N/A N/A</v>
      </c>
      <c r="Z381" s="2" t="str">
        <f t="shared" si="1"/>
        <v>SSAB ABCALL/PUTVARIABLEUSDSecured</v>
      </c>
    </row>
    <row r="382" spans="1:26" x14ac:dyDescent="0.2">
      <c r="A382" s="6">
        <v>381</v>
      </c>
      <c r="B382" s="6" t="s">
        <v>754</v>
      </c>
      <c r="C382" s="6" t="s">
        <v>757</v>
      </c>
      <c r="D382" s="6" t="s">
        <v>71</v>
      </c>
      <c r="E382" s="6">
        <f>VLOOKUP(G382,'CBs RAW'!$E$2:$H$427,4)</f>
        <v>7.375</v>
      </c>
      <c r="F382" s="6" t="s">
        <v>258</v>
      </c>
      <c r="G382" s="6" t="s">
        <v>3294</v>
      </c>
      <c r="H382" s="6" t="s">
        <v>3295</v>
      </c>
      <c r="I382" s="6" t="s">
        <v>3296</v>
      </c>
      <c r="J382" s="6" t="s">
        <v>55</v>
      </c>
      <c r="K382" s="6" t="s">
        <v>56</v>
      </c>
      <c r="L382" s="5">
        <v>1250000000</v>
      </c>
      <c r="M382" s="6" t="s">
        <v>52</v>
      </c>
      <c r="N382" s="6" t="s">
        <v>1775</v>
      </c>
      <c r="O382" s="6" t="s">
        <v>257</v>
      </c>
      <c r="P382" s="17">
        <v>42810</v>
      </c>
      <c r="Q382" s="5">
        <f>VLOOKUP(G382,'CBs RAW'!$E$2:$P$427,12)</f>
        <v>7</v>
      </c>
      <c r="R382" s="17">
        <v>53767</v>
      </c>
      <c r="S382" s="6" t="s">
        <v>261</v>
      </c>
      <c r="T382" s="6" t="s">
        <v>496</v>
      </c>
      <c r="U382" s="6" t="s">
        <v>115</v>
      </c>
      <c r="V382" s="6" t="s">
        <v>262</v>
      </c>
      <c r="W382" s="6" t="s">
        <v>3297</v>
      </c>
      <c r="X382" s="18">
        <f>VLOOKUP(G382,'CBs RAW'!$E$2:$W$427,19)</f>
        <v>7.1769999999999996</v>
      </c>
      <c r="Y382" s="19">
        <f t="shared" si="0"/>
        <v>7.1769999999999996</v>
      </c>
      <c r="Z382" s="2" t="str">
        <f t="shared" si="1"/>
        <v>Suzano Austria GmbHCALLABLEFIXEDUSDSr Unsecured</v>
      </c>
    </row>
    <row r="383" spans="1:26" x14ac:dyDescent="0.2">
      <c r="A383" s="6">
        <v>382</v>
      </c>
      <c r="B383" s="6" t="s">
        <v>754</v>
      </c>
      <c r="C383" s="6" t="s">
        <v>757</v>
      </c>
      <c r="D383" s="6" t="s">
        <v>71</v>
      </c>
      <c r="E383" s="6">
        <f>VLOOKUP(G383,'CBs RAW'!$E$2:$H$427,4)</f>
        <v>7.375</v>
      </c>
      <c r="F383" s="6" t="s">
        <v>258</v>
      </c>
      <c r="G383" s="6" t="s">
        <v>3298</v>
      </c>
      <c r="H383" s="6" t="s">
        <v>3299</v>
      </c>
      <c r="I383" s="6" t="s">
        <v>3300</v>
      </c>
      <c r="J383" s="6" t="s">
        <v>55</v>
      </c>
      <c r="K383" s="6" t="s">
        <v>56</v>
      </c>
      <c r="L383" s="5">
        <v>1250000000</v>
      </c>
      <c r="M383" s="6" t="s">
        <v>52</v>
      </c>
      <c r="N383" s="6" t="s">
        <v>1775</v>
      </c>
      <c r="O383" s="6" t="s">
        <v>257</v>
      </c>
      <c r="P383" s="17">
        <v>42810</v>
      </c>
      <c r="Q383" s="5">
        <f>VLOOKUP(G383,'CBs RAW'!$E$2:$P$427,12)</f>
        <v>7</v>
      </c>
      <c r="R383" s="17">
        <v>53767</v>
      </c>
      <c r="S383" s="6" t="s">
        <v>270</v>
      </c>
      <c r="T383" s="6" t="s">
        <v>496</v>
      </c>
      <c r="U383" s="6" t="s">
        <v>115</v>
      </c>
      <c r="V383" s="6" t="s">
        <v>262</v>
      </c>
      <c r="W383" s="6" t="s">
        <v>3301</v>
      </c>
      <c r="X383" s="18">
        <f>VLOOKUP(G383,'CBs RAW'!$E$2:$W$427,19)</f>
        <v>7.1859999999999999</v>
      </c>
      <c r="Y383" s="19">
        <f t="shared" si="0"/>
        <v>7.1859999999999999</v>
      </c>
      <c r="Z383" s="2" t="str">
        <f t="shared" si="1"/>
        <v>Suzano Austria GmbHCALLABLEFIXEDUSDSr Unsecured</v>
      </c>
    </row>
    <row r="384" spans="1:26" x14ac:dyDescent="0.2">
      <c r="A384" s="6">
        <v>383</v>
      </c>
      <c r="B384" s="6" t="s">
        <v>754</v>
      </c>
      <c r="C384" s="6" t="s">
        <v>757</v>
      </c>
      <c r="D384" s="6" t="s">
        <v>71</v>
      </c>
      <c r="E384" s="6">
        <f>VLOOKUP(G384,'CBs RAW'!$E$2:$H$427,4)</f>
        <v>6.125</v>
      </c>
      <c r="F384" s="6" t="s">
        <v>258</v>
      </c>
      <c r="G384" s="6" t="s">
        <v>3302</v>
      </c>
      <c r="H384" s="6" t="s">
        <v>3303</v>
      </c>
      <c r="I384" s="6" t="s">
        <v>3304</v>
      </c>
      <c r="J384" s="6" t="s">
        <v>55</v>
      </c>
      <c r="K384" s="6" t="s">
        <v>56</v>
      </c>
      <c r="L384" s="5">
        <v>1750000000</v>
      </c>
      <c r="M384" s="6" t="s">
        <v>52</v>
      </c>
      <c r="N384" s="6" t="s">
        <v>1775</v>
      </c>
      <c r="O384" s="6" t="s">
        <v>257</v>
      </c>
      <c r="P384" s="17">
        <v>43363</v>
      </c>
      <c r="Q384" s="5">
        <f>VLOOKUP(G384,'CBs RAW'!$E$2:$P$427,12)</f>
        <v>6</v>
      </c>
      <c r="R384" s="17">
        <v>47133</v>
      </c>
      <c r="S384" s="6" t="s">
        <v>261</v>
      </c>
      <c r="T384" s="6" t="s">
        <v>496</v>
      </c>
      <c r="U384" s="6" t="s">
        <v>115</v>
      </c>
      <c r="V384" s="6" t="s">
        <v>262</v>
      </c>
      <c r="W384" s="6" t="s">
        <v>3305</v>
      </c>
      <c r="X384" s="18" t="str">
        <f>VLOOKUP(G384,'CBs RAW'!$E$2:$W$427,19)</f>
        <v>#N/A N/A</v>
      </c>
      <c r="Y384" s="2">
        <f t="shared" si="0"/>
        <v>6.125</v>
      </c>
      <c r="Z384" s="2" t="str">
        <f t="shared" si="1"/>
        <v>Suzano Austria GmbHCALLABLEFIXEDUSDSr Unsecured</v>
      </c>
    </row>
    <row r="385" spans="1:26" x14ac:dyDescent="0.2">
      <c r="A385" s="6">
        <v>384</v>
      </c>
      <c r="B385" s="6" t="s">
        <v>754</v>
      </c>
      <c r="C385" s="6" t="s">
        <v>757</v>
      </c>
      <c r="D385" s="6" t="s">
        <v>71</v>
      </c>
      <c r="E385" s="6">
        <f>VLOOKUP(G385,'CBs RAW'!$E$2:$H$427,4)</f>
        <v>6.125</v>
      </c>
      <c r="F385" s="6" t="s">
        <v>258</v>
      </c>
      <c r="G385" s="6" t="s">
        <v>3306</v>
      </c>
      <c r="H385" s="6" t="s">
        <v>3307</v>
      </c>
      <c r="I385" s="6" t="s">
        <v>3308</v>
      </c>
      <c r="J385" s="6" t="s">
        <v>55</v>
      </c>
      <c r="K385" s="6" t="s">
        <v>56</v>
      </c>
      <c r="L385" s="5">
        <v>1750000000</v>
      </c>
      <c r="M385" s="6" t="s">
        <v>52</v>
      </c>
      <c r="N385" s="6" t="s">
        <v>1775</v>
      </c>
      <c r="O385" s="6" t="s">
        <v>257</v>
      </c>
      <c r="P385" s="17">
        <v>43363</v>
      </c>
      <c r="Q385" s="5">
        <f>VLOOKUP(G385,'CBs RAW'!$E$2:$P$427,12)</f>
        <v>6</v>
      </c>
      <c r="R385" s="17">
        <v>47133</v>
      </c>
      <c r="S385" s="6" t="s">
        <v>270</v>
      </c>
      <c r="T385" s="6" t="s">
        <v>496</v>
      </c>
      <c r="U385" s="6" t="s">
        <v>115</v>
      </c>
      <c r="V385" s="6" t="s">
        <v>262</v>
      </c>
      <c r="W385" s="6" t="s">
        <v>3309</v>
      </c>
      <c r="X385" s="18" t="str">
        <f>VLOOKUP(G385,'CBs RAW'!$E$2:$W$427,19)</f>
        <v>#N/A N/A</v>
      </c>
      <c r="Y385" s="2">
        <f t="shared" si="0"/>
        <v>6.125</v>
      </c>
      <c r="Z385" s="2" t="str">
        <f t="shared" si="1"/>
        <v>Suzano Austria GmbHCALLABLEFIXEDUSDSr Unsecured</v>
      </c>
    </row>
    <row r="386" spans="1:26" x14ac:dyDescent="0.2">
      <c r="A386" s="6">
        <v>385</v>
      </c>
      <c r="B386" s="6" t="s">
        <v>754</v>
      </c>
      <c r="C386" s="6" t="s">
        <v>757</v>
      </c>
      <c r="D386" s="6" t="s">
        <v>71</v>
      </c>
      <c r="E386" s="6" t="str">
        <f>VLOOKUP(G386,'CBs RAW'!$E$2:$H$427,4)</f>
        <v>#N/A N/A</v>
      </c>
      <c r="F386" s="6" t="s">
        <v>258</v>
      </c>
      <c r="G386" s="6" t="s">
        <v>3310</v>
      </c>
      <c r="H386" s="6" t="s">
        <v>3311</v>
      </c>
      <c r="I386" s="6" t="s">
        <v>3312</v>
      </c>
      <c r="J386" s="6" t="s">
        <v>55</v>
      </c>
      <c r="K386" s="6" t="s">
        <v>56</v>
      </c>
      <c r="L386" s="5">
        <v>1748160000</v>
      </c>
      <c r="M386" s="6" t="s">
        <v>52</v>
      </c>
      <c r="N386" s="6" t="s">
        <v>1775</v>
      </c>
      <c r="O386" s="6" t="s">
        <v>257</v>
      </c>
      <c r="P386" s="17">
        <v>43691</v>
      </c>
      <c r="Q386" s="5">
        <f>VLOOKUP(G386,'CBs RAW'!$E$2:$P$427,12)</f>
        <v>6</v>
      </c>
      <c r="R386" s="17">
        <v>47133</v>
      </c>
      <c r="S386" s="6" t="s">
        <v>173</v>
      </c>
      <c r="T386" s="6" t="s">
        <v>496</v>
      </c>
      <c r="U386" s="6" t="s">
        <v>115</v>
      </c>
      <c r="V386" s="6" t="s">
        <v>262</v>
      </c>
      <c r="W386" s="6" t="s">
        <v>3313</v>
      </c>
      <c r="X386" s="18" t="str">
        <f>VLOOKUP(G386,'CBs RAW'!$E$2:$W$427,19)</f>
        <v>#N/A N/A</v>
      </c>
      <c r="Y386" s="2" t="str">
        <f t="shared" si="0"/>
        <v>#N/A N/A</v>
      </c>
      <c r="Z386" s="2" t="str">
        <f t="shared" si="1"/>
        <v>Suzano Austria GmbHCALLABLEFIXEDUSDSr Unsecured</v>
      </c>
    </row>
    <row r="387" spans="1:26" x14ac:dyDescent="0.2">
      <c r="A387" s="6">
        <v>386</v>
      </c>
      <c r="B387" s="6" t="s">
        <v>754</v>
      </c>
      <c r="C387" s="6" t="s">
        <v>757</v>
      </c>
      <c r="D387" s="6" t="s">
        <v>71</v>
      </c>
      <c r="E387" s="6" t="str">
        <f>VLOOKUP(G387,'CBs RAW'!$E$2:$H$427,4)</f>
        <v>#N/A N/A</v>
      </c>
      <c r="F387" s="6" t="s">
        <v>258</v>
      </c>
      <c r="G387" s="6" t="s">
        <v>3314</v>
      </c>
      <c r="H387" s="6" t="s">
        <v>3315</v>
      </c>
      <c r="I387" s="6" t="s">
        <v>3316</v>
      </c>
      <c r="J387" s="6" t="s">
        <v>55</v>
      </c>
      <c r="K387" s="6" t="s">
        <v>56</v>
      </c>
      <c r="L387" s="5">
        <v>999904000</v>
      </c>
      <c r="M387" s="6" t="s">
        <v>52</v>
      </c>
      <c r="N387" s="6" t="s">
        <v>173</v>
      </c>
      <c r="O387" s="6" t="s">
        <v>257</v>
      </c>
      <c r="P387" s="17">
        <v>43691</v>
      </c>
      <c r="Q387" s="5">
        <f>VLOOKUP(G387,'CBs RAW'!$E$2:$P$427,12)</f>
        <v>5</v>
      </c>
      <c r="R387" s="17">
        <v>47498</v>
      </c>
      <c r="S387" s="6" t="s">
        <v>173</v>
      </c>
      <c r="T387" s="6" t="s">
        <v>496</v>
      </c>
      <c r="U387" s="6" t="s">
        <v>115</v>
      </c>
      <c r="V387" s="6" t="s">
        <v>262</v>
      </c>
      <c r="W387" s="6" t="s">
        <v>3317</v>
      </c>
      <c r="X387" s="18" t="str">
        <f>VLOOKUP(G387,'CBs RAW'!$E$2:$W$427,19)</f>
        <v>#N/A N/A</v>
      </c>
      <c r="Y387" s="2" t="str">
        <f t="shared" si="0"/>
        <v>#N/A N/A</v>
      </c>
      <c r="Z387" s="2" t="str">
        <f t="shared" si="1"/>
        <v>Suzano Austria GmbHCALLABLEFIXEDUSDSr Unsecured</v>
      </c>
    </row>
    <row r="388" spans="1:26" x14ac:dyDescent="0.2">
      <c r="A388" s="6">
        <v>387</v>
      </c>
      <c r="B388" s="6" t="s">
        <v>754</v>
      </c>
      <c r="C388" s="6" t="s">
        <v>757</v>
      </c>
      <c r="D388" s="6" t="s">
        <v>71</v>
      </c>
      <c r="E388" s="6">
        <f>VLOOKUP(G388,'CBs RAW'!$E$2:$H$427,4)</f>
        <v>5.18</v>
      </c>
      <c r="F388" s="6" t="s">
        <v>258</v>
      </c>
      <c r="G388" s="6" t="s">
        <v>3318</v>
      </c>
      <c r="H388" s="6" t="s">
        <v>3319</v>
      </c>
      <c r="I388" s="6" t="s">
        <v>3320</v>
      </c>
      <c r="J388" s="6" t="s">
        <v>55</v>
      </c>
      <c r="K388" s="6" t="s">
        <v>56</v>
      </c>
      <c r="L388" s="5">
        <v>1000000000</v>
      </c>
      <c r="M388" s="6" t="s">
        <v>52</v>
      </c>
      <c r="N388" s="6" t="s">
        <v>1775</v>
      </c>
      <c r="O388" s="6" t="s">
        <v>257</v>
      </c>
      <c r="P388" s="17">
        <v>43614</v>
      </c>
      <c r="Q388" s="5">
        <f>VLOOKUP(G388,'CBs RAW'!$E$2:$P$427,12)</f>
        <v>5</v>
      </c>
      <c r="R388" s="17">
        <v>47498</v>
      </c>
      <c r="S388" s="6" t="s">
        <v>261</v>
      </c>
      <c r="T388" s="6" t="s">
        <v>496</v>
      </c>
      <c r="U388" s="6" t="s">
        <v>115</v>
      </c>
      <c r="V388" s="6" t="s">
        <v>262</v>
      </c>
      <c r="W388" s="6" t="s">
        <v>3321</v>
      </c>
      <c r="X388" s="18">
        <f>VLOOKUP(G388,'CBs RAW'!$E$2:$W$427,19)</f>
        <v>5.2679999999999998</v>
      </c>
      <c r="Y388" s="19">
        <f t="shared" si="0"/>
        <v>5.2679999999999998</v>
      </c>
      <c r="Z388" s="2" t="str">
        <f t="shared" si="1"/>
        <v>Suzano Austria GmbHCALLABLEFIXEDUSDSr Unsecured</v>
      </c>
    </row>
    <row r="389" spans="1:26" x14ac:dyDescent="0.2">
      <c r="A389" s="6">
        <v>388</v>
      </c>
      <c r="B389" s="6" t="s">
        <v>754</v>
      </c>
      <c r="C389" s="6" t="s">
        <v>757</v>
      </c>
      <c r="D389" s="6" t="s">
        <v>71</v>
      </c>
      <c r="E389" s="6">
        <f>VLOOKUP(G389,'CBs RAW'!$E$2:$H$427,4)</f>
        <v>5.18</v>
      </c>
      <c r="F389" s="6" t="s">
        <v>258</v>
      </c>
      <c r="G389" s="6" t="s">
        <v>3322</v>
      </c>
      <c r="H389" s="6" t="s">
        <v>3323</v>
      </c>
      <c r="I389" s="6" t="s">
        <v>3324</v>
      </c>
      <c r="J389" s="6" t="s">
        <v>55</v>
      </c>
      <c r="K389" s="6" t="s">
        <v>56</v>
      </c>
      <c r="L389" s="5">
        <v>1000000000</v>
      </c>
      <c r="M389" s="6" t="s">
        <v>52</v>
      </c>
      <c r="N389" s="6" t="s">
        <v>1775</v>
      </c>
      <c r="O389" s="6" t="s">
        <v>257</v>
      </c>
      <c r="P389" s="17">
        <v>43614</v>
      </c>
      <c r="Q389" s="5">
        <f>VLOOKUP(G389,'CBs RAW'!$E$2:$P$427,12)</f>
        <v>5</v>
      </c>
      <c r="R389" s="17">
        <v>47498</v>
      </c>
      <c r="S389" s="6" t="s">
        <v>270</v>
      </c>
      <c r="T389" s="6" t="s">
        <v>496</v>
      </c>
      <c r="U389" s="6" t="s">
        <v>115</v>
      </c>
      <c r="V389" s="6" t="s">
        <v>262</v>
      </c>
      <c r="W389" s="6" t="s">
        <v>3325</v>
      </c>
      <c r="X389" s="18">
        <f>VLOOKUP(G389,'CBs RAW'!$E$2:$W$427,19)</f>
        <v>5.2709999999999999</v>
      </c>
      <c r="Y389" s="19">
        <f t="shared" si="0"/>
        <v>5.2709999999999999</v>
      </c>
      <c r="Z389" s="2" t="str">
        <f t="shared" si="1"/>
        <v>Suzano Austria GmbHCALLABLEFIXEDUSDSr Unsecured</v>
      </c>
    </row>
    <row r="390" spans="1:26" x14ac:dyDescent="0.2">
      <c r="A390" s="6">
        <v>389</v>
      </c>
      <c r="B390" s="6" t="s">
        <v>108</v>
      </c>
      <c r="C390" s="6" t="s">
        <v>111</v>
      </c>
      <c r="D390" s="6" t="s">
        <v>57</v>
      </c>
      <c r="E390" s="6" t="str">
        <f>VLOOKUP(G390,'CBs RAW'!$E$2:$H$427,4)</f>
        <v>#N/A N/A</v>
      </c>
      <c r="F390" s="6" t="s">
        <v>112</v>
      </c>
      <c r="G390" s="6" t="s">
        <v>3326</v>
      </c>
      <c r="H390" s="6" t="s">
        <v>3327</v>
      </c>
      <c r="I390" s="6" t="s">
        <v>3328</v>
      </c>
      <c r="J390" s="6" t="s">
        <v>55</v>
      </c>
      <c r="K390" s="6" t="s">
        <v>56</v>
      </c>
      <c r="L390" s="5">
        <v>566920000</v>
      </c>
      <c r="M390" s="6" t="s">
        <v>52</v>
      </c>
      <c r="N390" s="6" t="s">
        <v>1775</v>
      </c>
      <c r="O390" s="6" t="s">
        <v>112</v>
      </c>
      <c r="P390" s="17">
        <v>42921</v>
      </c>
      <c r="Q390" s="5">
        <f>VLOOKUP(G390,'CBs RAW'!$E$2:$P$427,12)</f>
        <v>2.375</v>
      </c>
      <c r="R390" s="17">
        <v>46573</v>
      </c>
      <c r="S390" s="6" t="s">
        <v>173</v>
      </c>
      <c r="T390" s="6" t="s">
        <v>189</v>
      </c>
      <c r="U390" s="6" t="s">
        <v>49</v>
      </c>
      <c r="V390" s="6" t="s">
        <v>53</v>
      </c>
      <c r="W390" s="6" t="s">
        <v>3329</v>
      </c>
      <c r="X390" s="18">
        <f>VLOOKUP(G390,'CBs RAW'!$E$2:$W$427,19)</f>
        <v>2.3220000000000001</v>
      </c>
      <c r="Y390" s="19">
        <f t="shared" si="0"/>
        <v>2.3220000000000001</v>
      </c>
      <c r="Z390" s="2" t="str">
        <f t="shared" si="1"/>
        <v>Tauron Polska Energia SAAT MATURITYFIXEDEURSr Unsecured</v>
      </c>
    </row>
    <row r="391" spans="1:26" x14ac:dyDescent="0.2">
      <c r="A391" s="6">
        <v>390</v>
      </c>
      <c r="B391" s="6" t="s">
        <v>1042</v>
      </c>
      <c r="C391" s="6" t="s">
        <v>1045</v>
      </c>
      <c r="D391" s="6" t="s">
        <v>71</v>
      </c>
      <c r="E391" s="6">
        <f>VLOOKUP(G391,'CBs RAW'!$E$2:$H$427,4)</f>
        <v>4.5</v>
      </c>
      <c r="F391" s="6" t="s">
        <v>1046</v>
      </c>
      <c r="G391" s="6" t="s">
        <v>3330</v>
      </c>
      <c r="H391" s="6" t="s">
        <v>3331</v>
      </c>
      <c r="I391" s="6" t="s">
        <v>3332</v>
      </c>
      <c r="J391" s="6" t="s">
        <v>55</v>
      </c>
      <c r="K391" s="6" t="s">
        <v>56</v>
      </c>
      <c r="L391" s="5">
        <v>1113759000</v>
      </c>
      <c r="M391" s="6" t="s">
        <v>52</v>
      </c>
      <c r="N391" s="6" t="s">
        <v>1775</v>
      </c>
      <c r="O391" s="6" t="s">
        <v>366</v>
      </c>
      <c r="P391" s="17">
        <v>43173</v>
      </c>
      <c r="Q391" s="5">
        <f>VLOOKUP(G391,'CBs RAW'!$E$2:$P$427,12)</f>
        <v>4.5</v>
      </c>
      <c r="R391" s="17">
        <v>45717</v>
      </c>
      <c r="S391" s="6" t="s">
        <v>261</v>
      </c>
      <c r="T391" s="6" t="s">
        <v>296</v>
      </c>
      <c r="U391" s="6" t="s">
        <v>115</v>
      </c>
      <c r="V391" s="6" t="s">
        <v>53</v>
      </c>
      <c r="W391" s="6" t="s">
        <v>3333</v>
      </c>
      <c r="X391" s="18">
        <f>VLOOKUP(G391,'CBs RAW'!$E$2:$W$427,19)</f>
        <v>4.282</v>
      </c>
      <c r="Y391" s="19">
        <f t="shared" si="0"/>
        <v>4.282</v>
      </c>
      <c r="Z391" s="2" t="str">
        <f t="shared" si="1"/>
        <v>Teva Pharmaceutical Finance Netherlands II BVCALLABLEFIXEDEURSr Unsecured</v>
      </c>
    </row>
    <row r="392" spans="1:26" x14ac:dyDescent="0.2">
      <c r="A392" s="6">
        <v>391</v>
      </c>
      <c r="B392" s="6" t="s">
        <v>1042</v>
      </c>
      <c r="C392" s="6" t="s">
        <v>1045</v>
      </c>
      <c r="D392" s="6" t="s">
        <v>71</v>
      </c>
      <c r="E392" s="6">
        <f>VLOOKUP(G392,'CBs RAW'!$E$2:$H$427,4)</f>
        <v>4.5</v>
      </c>
      <c r="F392" s="6" t="s">
        <v>1046</v>
      </c>
      <c r="G392" s="6" t="s">
        <v>3334</v>
      </c>
      <c r="H392" s="6" t="s">
        <v>3335</v>
      </c>
      <c r="I392" s="6" t="s">
        <v>3336</v>
      </c>
      <c r="J392" s="6" t="s">
        <v>55</v>
      </c>
      <c r="K392" s="6" t="s">
        <v>56</v>
      </c>
      <c r="L392" s="5">
        <v>1113759000</v>
      </c>
      <c r="M392" s="6" t="s">
        <v>52</v>
      </c>
      <c r="N392" s="6" t="s">
        <v>1775</v>
      </c>
      <c r="O392" s="6" t="s">
        <v>366</v>
      </c>
      <c r="P392" s="17">
        <v>43173</v>
      </c>
      <c r="Q392" s="5">
        <f>VLOOKUP(G392,'CBs RAW'!$E$2:$P$427,12)</f>
        <v>4.5</v>
      </c>
      <c r="R392" s="17">
        <v>45717</v>
      </c>
      <c r="S392" s="6" t="s">
        <v>270</v>
      </c>
      <c r="T392" s="6" t="s">
        <v>296</v>
      </c>
      <c r="U392" s="6" t="s">
        <v>115</v>
      </c>
      <c r="V392" s="6" t="s">
        <v>53</v>
      </c>
      <c r="W392" s="6" t="s">
        <v>3337</v>
      </c>
      <c r="X392" s="18">
        <f>VLOOKUP(G392,'CBs RAW'!$E$2:$W$427,19)</f>
        <v>4.282</v>
      </c>
      <c r="Y392" s="19">
        <f t="shared" si="0"/>
        <v>4.282</v>
      </c>
      <c r="Z392" s="2" t="str">
        <f t="shared" si="1"/>
        <v>Teva Pharmaceutical Finance Netherlands II BVCALLABLEFIXEDEURSr Unsecured</v>
      </c>
    </row>
    <row r="393" spans="1:26" x14ac:dyDescent="0.2">
      <c r="A393" s="6">
        <v>392</v>
      </c>
      <c r="B393" s="6" t="s">
        <v>1042</v>
      </c>
      <c r="C393" s="6" t="s">
        <v>1045</v>
      </c>
      <c r="D393" s="6" t="s">
        <v>71</v>
      </c>
      <c r="E393" s="6" t="str">
        <f>VLOOKUP(G393,'CBs RAW'!$E$2:$H$427,4)</f>
        <v>#N/A N/A</v>
      </c>
      <c r="F393" s="6" t="s">
        <v>1046</v>
      </c>
      <c r="G393" s="6" t="s">
        <v>3338</v>
      </c>
      <c r="H393" s="6" t="s">
        <v>3339</v>
      </c>
      <c r="I393" s="6" t="s">
        <v>3340</v>
      </c>
      <c r="J393" s="6" t="s">
        <v>55</v>
      </c>
      <c r="K393" s="6" t="s">
        <v>56</v>
      </c>
      <c r="L393" s="5">
        <v>1059816988</v>
      </c>
      <c r="M393" s="6" t="s">
        <v>52</v>
      </c>
      <c r="N393" s="6" t="s">
        <v>1775</v>
      </c>
      <c r="O393" s="6" t="s">
        <v>366</v>
      </c>
      <c r="P393" s="17">
        <v>43237</v>
      </c>
      <c r="Q393" s="5">
        <f>VLOOKUP(G393,'CBs RAW'!$E$2:$P$427,12)</f>
        <v>4.5</v>
      </c>
      <c r="R393" s="17">
        <v>45717</v>
      </c>
      <c r="S393" s="6" t="s">
        <v>173</v>
      </c>
      <c r="T393" s="6" t="s">
        <v>296</v>
      </c>
      <c r="U393" s="6" t="s">
        <v>115</v>
      </c>
      <c r="V393" s="6" t="s">
        <v>53</v>
      </c>
      <c r="W393" s="6" t="s">
        <v>3341</v>
      </c>
      <c r="X393" s="18" t="str">
        <f>VLOOKUP(G393,'CBs RAW'!$E$2:$W$427,19)</f>
        <v>#N/A N/A</v>
      </c>
      <c r="Y393" s="2" t="str">
        <f t="shared" si="0"/>
        <v>#N/A N/A</v>
      </c>
      <c r="Z393" s="2" t="str">
        <f t="shared" si="1"/>
        <v>Teva Pharmaceutical Finance Netherlands II BVCALLABLEFIXEDEURSr Unsecured</v>
      </c>
    </row>
    <row r="394" spans="1:26" x14ac:dyDescent="0.2">
      <c r="A394" s="6">
        <v>393</v>
      </c>
      <c r="B394" s="6" t="s">
        <v>1042</v>
      </c>
      <c r="C394" s="6" t="s">
        <v>1045</v>
      </c>
      <c r="D394" s="6" t="s">
        <v>57</v>
      </c>
      <c r="E394" s="6" t="str">
        <f>VLOOKUP(G394,'CBs RAW'!$E$2:$H$427,4)</f>
        <v>#N/A N/A</v>
      </c>
      <c r="F394" s="6" t="s">
        <v>1046</v>
      </c>
      <c r="G394" s="6" t="s">
        <v>3342</v>
      </c>
      <c r="H394" s="6" t="s">
        <v>3343</v>
      </c>
      <c r="I394" s="6" t="s">
        <v>3344</v>
      </c>
      <c r="J394" s="6" t="s">
        <v>55</v>
      </c>
      <c r="K394" s="6" t="s">
        <v>56</v>
      </c>
      <c r="L394" s="5">
        <v>750974000</v>
      </c>
      <c r="M394" s="6" t="s">
        <v>52</v>
      </c>
      <c r="N394" s="6" t="s">
        <v>1770</v>
      </c>
      <c r="O394" s="6" t="s">
        <v>366</v>
      </c>
      <c r="P394" s="17">
        <v>42094</v>
      </c>
      <c r="Q394" s="5">
        <f>VLOOKUP(G394,'CBs RAW'!$E$2:$P$427,12)</f>
        <v>1.875</v>
      </c>
      <c r="R394" s="17">
        <v>46477</v>
      </c>
      <c r="S394" s="6" t="s">
        <v>173</v>
      </c>
      <c r="T394" s="6" t="s">
        <v>296</v>
      </c>
      <c r="U394" s="6" t="s">
        <v>115</v>
      </c>
      <c r="V394" s="6" t="s">
        <v>53</v>
      </c>
      <c r="W394" s="6" t="s">
        <v>3345</v>
      </c>
      <c r="X394" s="18">
        <f>VLOOKUP(G394,'CBs RAW'!$E$2:$W$427,19)</f>
        <v>1.8220000000000001</v>
      </c>
      <c r="Y394" s="19">
        <f t="shared" si="0"/>
        <v>1.8220000000000001</v>
      </c>
      <c r="Z394" s="2" t="str">
        <f t="shared" si="1"/>
        <v>Teva Pharmaceutical Finance Netherlands II BVCALLABLEFIXEDEURSr Unsecured</v>
      </c>
    </row>
    <row r="395" spans="1:26" x14ac:dyDescent="0.2">
      <c r="A395" s="6">
        <v>394</v>
      </c>
      <c r="B395" s="6" t="s">
        <v>1042</v>
      </c>
      <c r="C395" s="6" t="s">
        <v>1045</v>
      </c>
      <c r="D395" s="6" t="s">
        <v>57</v>
      </c>
      <c r="E395" s="6" t="str">
        <f>VLOOKUP(G395,'CBs RAW'!$E$2:$H$427,4)</f>
        <v>#N/A N/A</v>
      </c>
      <c r="F395" s="6" t="s">
        <v>1046</v>
      </c>
      <c r="G395" s="6" t="s">
        <v>3346</v>
      </c>
      <c r="H395" s="6" t="s">
        <v>3347</v>
      </c>
      <c r="I395" s="6" t="s">
        <v>3348</v>
      </c>
      <c r="J395" s="6" t="s">
        <v>55</v>
      </c>
      <c r="K395" s="6" t="s">
        <v>56</v>
      </c>
      <c r="L395" s="5">
        <v>1394666000</v>
      </c>
      <c r="M395" s="6" t="s">
        <v>52</v>
      </c>
      <c r="N395" s="6" t="s">
        <v>1770</v>
      </c>
      <c r="O395" s="6" t="s">
        <v>366</v>
      </c>
      <c r="P395" s="17">
        <v>42094</v>
      </c>
      <c r="Q395" s="5">
        <f>VLOOKUP(G395,'CBs RAW'!$E$2:$P$427,12)</f>
        <v>1.25</v>
      </c>
      <c r="R395" s="17">
        <v>45016</v>
      </c>
      <c r="S395" s="6" t="s">
        <v>173</v>
      </c>
      <c r="T395" s="6" t="s">
        <v>296</v>
      </c>
      <c r="U395" s="6" t="s">
        <v>115</v>
      </c>
      <c r="V395" s="6" t="s">
        <v>53</v>
      </c>
      <c r="W395" s="6" t="s">
        <v>3349</v>
      </c>
      <c r="X395" s="18">
        <f>VLOOKUP(G395,'CBs RAW'!$E$2:$W$427,19)</f>
        <v>1.179</v>
      </c>
      <c r="Y395" s="19">
        <f t="shared" si="0"/>
        <v>1.179</v>
      </c>
      <c r="Z395" s="2" t="str">
        <f t="shared" si="1"/>
        <v>Teva Pharmaceutical Finance Netherlands II BVCALLABLEFIXEDEURSr Unsecured</v>
      </c>
    </row>
    <row r="396" spans="1:26" x14ac:dyDescent="0.2">
      <c r="A396" s="6">
        <v>395</v>
      </c>
      <c r="B396" s="6" t="s">
        <v>1042</v>
      </c>
      <c r="C396" s="6" t="s">
        <v>1045</v>
      </c>
      <c r="D396" s="6" t="s">
        <v>57</v>
      </c>
      <c r="E396" s="6" t="str">
        <f>VLOOKUP(G396,'CBs RAW'!$E$2:$H$427,4)</f>
        <v>#N/A N/A</v>
      </c>
      <c r="F396" s="6" t="s">
        <v>1046</v>
      </c>
      <c r="G396" s="6" t="s">
        <v>3350</v>
      </c>
      <c r="H396" s="6" t="s">
        <v>3351</v>
      </c>
      <c r="I396" s="6" t="s">
        <v>3352</v>
      </c>
      <c r="J396" s="6" t="s">
        <v>55</v>
      </c>
      <c r="K396" s="6" t="s">
        <v>56</v>
      </c>
      <c r="L396" s="5">
        <v>1648080000</v>
      </c>
      <c r="M396" s="6" t="s">
        <v>52</v>
      </c>
      <c r="N396" s="6" t="s">
        <v>2894</v>
      </c>
      <c r="O396" s="6" t="s">
        <v>366</v>
      </c>
      <c r="P396" s="17">
        <v>42576</v>
      </c>
      <c r="Q396" s="5">
        <f>VLOOKUP(G396,'CBs RAW'!$E$2:$P$427,12)</f>
        <v>1.125</v>
      </c>
      <c r="R396" s="17">
        <v>45580</v>
      </c>
      <c r="S396" s="6" t="s">
        <v>173</v>
      </c>
      <c r="T396" s="6" t="s">
        <v>296</v>
      </c>
      <c r="U396" s="6" t="s">
        <v>49</v>
      </c>
      <c r="V396" s="6" t="s">
        <v>53</v>
      </c>
      <c r="W396" s="6" t="s">
        <v>3353</v>
      </c>
      <c r="X396" s="18">
        <f>VLOOKUP(G396,'CBs RAW'!$E$2:$W$427,19)</f>
        <v>0.91900000000000004</v>
      </c>
      <c r="Y396" s="19">
        <f t="shared" si="0"/>
        <v>0.91900000000000004</v>
      </c>
      <c r="Z396" s="2" t="str">
        <f t="shared" si="1"/>
        <v>Teva Pharmaceutical Finance Netherlands II BVAT MATURITYFIXEDEURSr Unsecured</v>
      </c>
    </row>
    <row r="397" spans="1:26" x14ac:dyDescent="0.2">
      <c r="A397" s="6">
        <v>396</v>
      </c>
      <c r="B397" s="6" t="s">
        <v>1042</v>
      </c>
      <c r="C397" s="6" t="s">
        <v>1045</v>
      </c>
      <c r="D397" s="6" t="s">
        <v>57</v>
      </c>
      <c r="E397" s="6" t="str">
        <f>VLOOKUP(G397,'CBs RAW'!$E$2:$H$427,4)</f>
        <v>#N/A N/A</v>
      </c>
      <c r="F397" s="6" t="s">
        <v>1046</v>
      </c>
      <c r="G397" s="6" t="s">
        <v>3354</v>
      </c>
      <c r="H397" s="6" t="s">
        <v>3355</v>
      </c>
      <c r="I397" s="6" t="s">
        <v>3356</v>
      </c>
      <c r="J397" s="6" t="s">
        <v>55</v>
      </c>
      <c r="K397" s="6" t="s">
        <v>56</v>
      </c>
      <c r="L397" s="5">
        <v>824040000</v>
      </c>
      <c r="M397" s="6" t="s">
        <v>52</v>
      </c>
      <c r="N397" s="6" t="s">
        <v>2894</v>
      </c>
      <c r="O397" s="6" t="s">
        <v>366</v>
      </c>
      <c r="P397" s="17">
        <v>42576</v>
      </c>
      <c r="Q397" s="5">
        <f>VLOOKUP(G397,'CBs RAW'!$E$2:$P$427,12)</f>
        <v>1.625</v>
      </c>
      <c r="R397" s="17">
        <v>47041</v>
      </c>
      <c r="S397" s="6" t="s">
        <v>173</v>
      </c>
      <c r="T397" s="6" t="s">
        <v>296</v>
      </c>
      <c r="U397" s="6" t="s">
        <v>49</v>
      </c>
      <c r="V397" s="6" t="s">
        <v>53</v>
      </c>
      <c r="W397" s="6" t="s">
        <v>3357</v>
      </c>
      <c r="X397" s="18">
        <f>VLOOKUP(G397,'CBs RAW'!$E$2:$W$427,19)</f>
        <v>1.466</v>
      </c>
      <c r="Y397" s="19">
        <f t="shared" si="0"/>
        <v>1.466</v>
      </c>
      <c r="Z397" s="2" t="str">
        <f t="shared" si="1"/>
        <v>Teva Pharmaceutical Finance Netherlands II BVAT MATURITYFIXEDEURSr Unsecured</v>
      </c>
    </row>
    <row r="398" spans="1:26" x14ac:dyDescent="0.2">
      <c r="A398" s="6">
        <v>397</v>
      </c>
      <c r="B398" s="6" t="s">
        <v>1042</v>
      </c>
      <c r="C398" s="6" t="s">
        <v>1045</v>
      </c>
      <c r="D398" s="6" t="s">
        <v>71</v>
      </c>
      <c r="E398" s="6" t="str">
        <f>VLOOKUP(G398,'CBs RAW'!$E$2:$H$427,4)</f>
        <v>#N/A N/A</v>
      </c>
      <c r="F398" s="6" t="s">
        <v>1046</v>
      </c>
      <c r="G398" s="6" t="s">
        <v>3358</v>
      </c>
      <c r="H398" s="6" t="s">
        <v>3359</v>
      </c>
      <c r="I398" s="6" t="s">
        <v>3360</v>
      </c>
      <c r="J398" s="6" t="s">
        <v>55</v>
      </c>
      <c r="K398" s="6" t="s">
        <v>56</v>
      </c>
      <c r="L398" s="5">
        <v>1186690000</v>
      </c>
      <c r="M398" s="6" t="s">
        <v>52</v>
      </c>
      <c r="N398" s="6" t="s">
        <v>1775</v>
      </c>
      <c r="O398" s="6" t="s">
        <v>366</v>
      </c>
      <c r="P398" s="17">
        <v>44088</v>
      </c>
      <c r="Q398" s="5">
        <f>VLOOKUP(G398,'CBs RAW'!$E$2:$P$427,12)</f>
        <v>6</v>
      </c>
      <c r="R398" s="17">
        <v>45688</v>
      </c>
      <c r="S398" s="6" t="s">
        <v>173</v>
      </c>
      <c r="T398" s="6" t="s">
        <v>296</v>
      </c>
      <c r="U398" s="6" t="s">
        <v>115</v>
      </c>
      <c r="V398" s="6" t="s">
        <v>53</v>
      </c>
      <c r="W398" s="6" t="s">
        <v>3361</v>
      </c>
      <c r="X398" s="18" t="str">
        <f>VLOOKUP(G398,'CBs RAW'!$E$2:$W$427,19)</f>
        <v>#N/A N/A</v>
      </c>
      <c r="Y398" s="2" t="str">
        <f t="shared" si="0"/>
        <v>#N/A N/A</v>
      </c>
      <c r="Z398" s="2" t="str">
        <f t="shared" si="1"/>
        <v>Teva Pharmaceutical Finance Netherlands II BVCALLABLEFIXEDEURSr Unsecured</v>
      </c>
    </row>
    <row r="399" spans="1:26" x14ac:dyDescent="0.2">
      <c r="A399" s="6">
        <v>398</v>
      </c>
      <c r="B399" s="6" t="s">
        <v>1058</v>
      </c>
      <c r="C399" s="6" t="s">
        <v>1045</v>
      </c>
      <c r="D399" s="6" t="s">
        <v>71</v>
      </c>
      <c r="E399" s="6">
        <f>VLOOKUP(G399,'CBs RAW'!$E$2:$H$427,4)</f>
        <v>6</v>
      </c>
      <c r="F399" s="6" t="s">
        <v>1046</v>
      </c>
      <c r="G399" s="6" t="s">
        <v>3362</v>
      </c>
      <c r="H399" s="6" t="s">
        <v>3363</v>
      </c>
      <c r="I399" s="6" t="s">
        <v>3364</v>
      </c>
      <c r="J399" s="6" t="s">
        <v>55</v>
      </c>
      <c r="K399" s="6" t="s">
        <v>56</v>
      </c>
      <c r="L399" s="5">
        <v>1250000000</v>
      </c>
      <c r="M399" s="6" t="s">
        <v>52</v>
      </c>
      <c r="N399" s="6" t="s">
        <v>1775</v>
      </c>
      <c r="O399" s="6" t="s">
        <v>366</v>
      </c>
      <c r="P399" s="17">
        <v>43173</v>
      </c>
      <c r="Q399" s="5">
        <f>VLOOKUP(G399,'CBs RAW'!$E$2:$P$427,12)</f>
        <v>6</v>
      </c>
      <c r="R399" s="17">
        <v>45397</v>
      </c>
      <c r="S399" s="6" t="s">
        <v>261</v>
      </c>
      <c r="T399" s="6" t="s">
        <v>296</v>
      </c>
      <c r="U399" s="6" t="s">
        <v>115</v>
      </c>
      <c r="V399" s="6" t="s">
        <v>262</v>
      </c>
      <c r="W399" s="6" t="s">
        <v>3365</v>
      </c>
      <c r="X399" s="18">
        <f>VLOOKUP(G399,'CBs RAW'!$E$2:$W$427,19)</f>
        <v>6.26</v>
      </c>
      <c r="Y399" s="19">
        <f t="shared" si="0"/>
        <v>6.26</v>
      </c>
      <c r="Z399" s="2" t="str">
        <f t="shared" si="1"/>
        <v>Teva Pharmaceutical Finance Netherlands III BVCALLABLEFIXEDUSDSr Unsecured</v>
      </c>
    </row>
    <row r="400" spans="1:26" x14ac:dyDescent="0.2">
      <c r="A400" s="6">
        <v>399</v>
      </c>
      <c r="B400" s="6" t="s">
        <v>1058</v>
      </c>
      <c r="C400" s="6" t="s">
        <v>1045</v>
      </c>
      <c r="D400" s="6" t="s">
        <v>71</v>
      </c>
      <c r="E400" s="6">
        <f>VLOOKUP(G400,'CBs RAW'!$E$2:$H$427,4)</f>
        <v>6.75</v>
      </c>
      <c r="F400" s="6" t="s">
        <v>1046</v>
      </c>
      <c r="G400" s="6" t="s">
        <v>3366</v>
      </c>
      <c r="H400" s="6" t="s">
        <v>3367</v>
      </c>
      <c r="I400" s="6" t="s">
        <v>3368</v>
      </c>
      <c r="J400" s="6" t="s">
        <v>55</v>
      </c>
      <c r="K400" s="6" t="s">
        <v>56</v>
      </c>
      <c r="L400" s="5">
        <v>1250000000</v>
      </c>
      <c r="M400" s="6" t="s">
        <v>52</v>
      </c>
      <c r="N400" s="6" t="s">
        <v>1775</v>
      </c>
      <c r="O400" s="6" t="s">
        <v>366</v>
      </c>
      <c r="P400" s="17">
        <v>43173</v>
      </c>
      <c r="Q400" s="5">
        <f>VLOOKUP(G400,'CBs RAW'!$E$2:$P$427,12)</f>
        <v>6.75</v>
      </c>
      <c r="R400" s="17">
        <v>46813</v>
      </c>
      <c r="S400" s="6" t="s">
        <v>261</v>
      </c>
      <c r="T400" s="6" t="s">
        <v>296</v>
      </c>
      <c r="U400" s="6" t="s">
        <v>115</v>
      </c>
      <c r="V400" s="6" t="s">
        <v>262</v>
      </c>
      <c r="W400" s="6" t="s">
        <v>3369</v>
      </c>
      <c r="X400" s="18">
        <f>VLOOKUP(G400,'CBs RAW'!$E$2:$W$427,19)</f>
        <v>6.7039999999999997</v>
      </c>
      <c r="Y400" s="19">
        <f t="shared" si="0"/>
        <v>6.7039999999999997</v>
      </c>
      <c r="Z400" s="2" t="str">
        <f t="shared" si="1"/>
        <v>Teva Pharmaceutical Finance Netherlands III BVCALLABLEFIXEDUSDSr Unsecured</v>
      </c>
    </row>
    <row r="401" spans="1:26" x14ac:dyDescent="0.2">
      <c r="A401" s="6">
        <v>400</v>
      </c>
      <c r="B401" s="6" t="s">
        <v>1058</v>
      </c>
      <c r="C401" s="6" t="s">
        <v>1045</v>
      </c>
      <c r="D401" s="6" t="s">
        <v>71</v>
      </c>
      <c r="E401" s="6">
        <f>VLOOKUP(G401,'CBs RAW'!$E$2:$H$427,4)</f>
        <v>6</v>
      </c>
      <c r="F401" s="6" t="s">
        <v>1046</v>
      </c>
      <c r="G401" s="6" t="s">
        <v>3370</v>
      </c>
      <c r="H401" s="6" t="s">
        <v>3371</v>
      </c>
      <c r="I401" s="6" t="s">
        <v>3372</v>
      </c>
      <c r="J401" s="6" t="s">
        <v>55</v>
      </c>
      <c r="K401" s="6" t="s">
        <v>56</v>
      </c>
      <c r="L401" s="5">
        <v>1250000000</v>
      </c>
      <c r="M401" s="6" t="s">
        <v>52</v>
      </c>
      <c r="N401" s="6" t="s">
        <v>1775</v>
      </c>
      <c r="O401" s="6" t="s">
        <v>366</v>
      </c>
      <c r="P401" s="17">
        <v>43173</v>
      </c>
      <c r="Q401" s="5">
        <f>VLOOKUP(G401,'CBs RAW'!$E$2:$P$427,12)</f>
        <v>6</v>
      </c>
      <c r="R401" s="17">
        <v>45397</v>
      </c>
      <c r="S401" s="6" t="s">
        <v>270</v>
      </c>
      <c r="T401" s="6" t="s">
        <v>296</v>
      </c>
      <c r="U401" s="6" t="s">
        <v>115</v>
      </c>
      <c r="V401" s="6" t="s">
        <v>262</v>
      </c>
      <c r="W401" s="6" t="s">
        <v>3373</v>
      </c>
      <c r="X401" s="18">
        <f>VLOOKUP(G401,'CBs RAW'!$E$2:$W$427,19)</f>
        <v>6.26</v>
      </c>
      <c r="Y401" s="19">
        <f t="shared" si="0"/>
        <v>6.26</v>
      </c>
      <c r="Z401" s="2" t="str">
        <f t="shared" si="1"/>
        <v>Teva Pharmaceutical Finance Netherlands III BVCALLABLEFIXEDUSDSr Unsecured</v>
      </c>
    </row>
    <row r="402" spans="1:26" x14ac:dyDescent="0.2">
      <c r="A402" s="6">
        <v>401</v>
      </c>
      <c r="B402" s="6" t="s">
        <v>1058</v>
      </c>
      <c r="C402" s="6" t="s">
        <v>1045</v>
      </c>
      <c r="D402" s="6" t="s">
        <v>71</v>
      </c>
      <c r="E402" s="6">
        <f>VLOOKUP(G402,'CBs RAW'!$E$2:$H$427,4)</f>
        <v>6.75</v>
      </c>
      <c r="F402" s="6" t="s">
        <v>1046</v>
      </c>
      <c r="G402" s="6" t="s">
        <v>3374</v>
      </c>
      <c r="H402" s="6" t="s">
        <v>3375</v>
      </c>
      <c r="I402" s="6" t="s">
        <v>3376</v>
      </c>
      <c r="J402" s="6" t="s">
        <v>55</v>
      </c>
      <c r="K402" s="6" t="s">
        <v>56</v>
      </c>
      <c r="L402" s="5">
        <v>1250000000</v>
      </c>
      <c r="M402" s="6" t="s">
        <v>52</v>
      </c>
      <c r="N402" s="6" t="s">
        <v>1775</v>
      </c>
      <c r="O402" s="6" t="s">
        <v>366</v>
      </c>
      <c r="P402" s="17">
        <v>43173</v>
      </c>
      <c r="Q402" s="5">
        <f>VLOOKUP(G402,'CBs RAW'!$E$2:$P$427,12)</f>
        <v>6.75</v>
      </c>
      <c r="R402" s="17">
        <v>46813</v>
      </c>
      <c r="S402" s="6" t="s">
        <v>270</v>
      </c>
      <c r="T402" s="6" t="s">
        <v>296</v>
      </c>
      <c r="U402" s="6" t="s">
        <v>115</v>
      </c>
      <c r="V402" s="6" t="s">
        <v>262</v>
      </c>
      <c r="W402" s="6" t="s">
        <v>3377</v>
      </c>
      <c r="X402" s="18">
        <f>VLOOKUP(G402,'CBs RAW'!$E$2:$W$427,19)</f>
        <v>6.7039999999999997</v>
      </c>
      <c r="Y402" s="19">
        <f t="shared" si="0"/>
        <v>6.7039999999999997</v>
      </c>
      <c r="Z402" s="2" t="str">
        <f t="shared" si="1"/>
        <v>Teva Pharmaceutical Finance Netherlands III BVCALLABLEFIXEDUSDSr Unsecured</v>
      </c>
    </row>
    <row r="403" spans="1:26" x14ac:dyDescent="0.2">
      <c r="A403" s="6">
        <v>402</v>
      </c>
      <c r="B403" s="6" t="s">
        <v>1058</v>
      </c>
      <c r="C403" s="6" t="s">
        <v>1045</v>
      </c>
      <c r="D403" s="6" t="s">
        <v>71</v>
      </c>
      <c r="E403" s="6" t="str">
        <f>VLOOKUP(G403,'CBs RAW'!$E$2:$H$427,4)</f>
        <v>#N/A N/A</v>
      </c>
      <c r="F403" s="6" t="s">
        <v>1046</v>
      </c>
      <c r="G403" s="6" t="s">
        <v>3378</v>
      </c>
      <c r="H403" s="6" t="s">
        <v>3379</v>
      </c>
      <c r="I403" s="6" t="s">
        <v>3380</v>
      </c>
      <c r="J403" s="6" t="s">
        <v>55</v>
      </c>
      <c r="K403" s="6" t="s">
        <v>56</v>
      </c>
      <c r="L403" s="5">
        <v>1248206000</v>
      </c>
      <c r="M403" s="6" t="s">
        <v>52</v>
      </c>
      <c r="N403" s="6" t="s">
        <v>1775</v>
      </c>
      <c r="O403" s="6" t="s">
        <v>366</v>
      </c>
      <c r="P403" s="17">
        <v>43237</v>
      </c>
      <c r="Q403" s="5">
        <f>VLOOKUP(G403,'CBs RAW'!$E$2:$P$427,12)</f>
        <v>6</v>
      </c>
      <c r="R403" s="17">
        <v>45397</v>
      </c>
      <c r="S403" s="6" t="s">
        <v>173</v>
      </c>
      <c r="T403" s="6" t="s">
        <v>296</v>
      </c>
      <c r="U403" s="6" t="s">
        <v>115</v>
      </c>
      <c r="V403" s="6" t="s">
        <v>262</v>
      </c>
      <c r="W403" s="6" t="s">
        <v>3381</v>
      </c>
      <c r="X403" s="18" t="str">
        <f>VLOOKUP(G403,'CBs RAW'!$E$2:$W$427,19)</f>
        <v>#N/A N/A</v>
      </c>
      <c r="Y403" s="2" t="str">
        <f t="shared" si="0"/>
        <v>#N/A N/A</v>
      </c>
      <c r="Z403" s="2" t="str">
        <f t="shared" si="1"/>
        <v>Teva Pharmaceutical Finance Netherlands III BVCALLABLEFIXEDUSDSr Unsecured</v>
      </c>
    </row>
    <row r="404" spans="1:26" x14ac:dyDescent="0.2">
      <c r="A404" s="6">
        <v>403</v>
      </c>
      <c r="B404" s="6" t="s">
        <v>1058</v>
      </c>
      <c r="C404" s="6" t="s">
        <v>1045</v>
      </c>
      <c r="D404" s="6" t="s">
        <v>71</v>
      </c>
      <c r="E404" s="6" t="str">
        <f>VLOOKUP(G404,'CBs RAW'!$E$2:$H$427,4)</f>
        <v>#N/A N/A</v>
      </c>
      <c r="F404" s="6" t="s">
        <v>1046</v>
      </c>
      <c r="G404" s="6" t="s">
        <v>3382</v>
      </c>
      <c r="H404" s="6" t="s">
        <v>3383</v>
      </c>
      <c r="I404" s="6" t="s">
        <v>3384</v>
      </c>
      <c r="J404" s="6" t="s">
        <v>55</v>
      </c>
      <c r="K404" s="6" t="s">
        <v>56</v>
      </c>
      <c r="L404" s="5">
        <v>1249745000</v>
      </c>
      <c r="M404" s="6" t="s">
        <v>52</v>
      </c>
      <c r="N404" s="6" t="s">
        <v>1775</v>
      </c>
      <c r="O404" s="6" t="s">
        <v>366</v>
      </c>
      <c r="P404" s="17">
        <v>43237</v>
      </c>
      <c r="Q404" s="5">
        <f>VLOOKUP(G404,'CBs RAW'!$E$2:$P$427,12)</f>
        <v>6.75</v>
      </c>
      <c r="R404" s="17">
        <v>46813</v>
      </c>
      <c r="S404" s="6" t="s">
        <v>173</v>
      </c>
      <c r="T404" s="6" t="s">
        <v>296</v>
      </c>
      <c r="U404" s="6" t="s">
        <v>115</v>
      </c>
      <c r="V404" s="6" t="s">
        <v>262</v>
      </c>
      <c r="W404" s="6" t="s">
        <v>3385</v>
      </c>
      <c r="X404" s="18" t="str">
        <f>VLOOKUP(G404,'CBs RAW'!$E$2:$W$427,19)</f>
        <v>#N/A N/A</v>
      </c>
      <c r="Y404" s="2" t="str">
        <f t="shared" si="0"/>
        <v>#N/A N/A</v>
      </c>
      <c r="Z404" s="2" t="str">
        <f t="shared" si="1"/>
        <v>Teva Pharmaceutical Finance Netherlands III BVCALLABLEFIXEDUSDSr Unsecured</v>
      </c>
    </row>
    <row r="405" spans="1:26" x14ac:dyDescent="0.2">
      <c r="A405" s="6">
        <v>404</v>
      </c>
      <c r="B405" s="6" t="s">
        <v>1058</v>
      </c>
      <c r="C405" s="6" t="s">
        <v>1045</v>
      </c>
      <c r="D405" s="6" t="s">
        <v>71</v>
      </c>
      <c r="E405" s="6">
        <f>VLOOKUP(G405,'CBs RAW'!$E$2:$H$427,4)</f>
        <v>2.8529999999999998</v>
      </c>
      <c r="F405" s="6" t="s">
        <v>1046</v>
      </c>
      <c r="G405" s="6" t="s">
        <v>3386</v>
      </c>
      <c r="H405" s="6" t="s">
        <v>3387</v>
      </c>
      <c r="I405" s="6" t="s">
        <v>3388</v>
      </c>
      <c r="J405" s="6" t="s">
        <v>55</v>
      </c>
      <c r="K405" s="6" t="s">
        <v>56</v>
      </c>
      <c r="L405" s="5">
        <v>3000000000</v>
      </c>
      <c r="M405" s="6" t="s">
        <v>52</v>
      </c>
      <c r="N405" s="6" t="s">
        <v>2894</v>
      </c>
      <c r="O405" s="6" t="s">
        <v>366</v>
      </c>
      <c r="P405" s="17">
        <v>42572</v>
      </c>
      <c r="Q405" s="5">
        <f>VLOOKUP(G405,'CBs RAW'!$E$2:$P$427,12)</f>
        <v>2.8</v>
      </c>
      <c r="R405" s="17">
        <v>45128</v>
      </c>
      <c r="S405" s="6" t="s">
        <v>173</v>
      </c>
      <c r="T405" s="6" t="s">
        <v>296</v>
      </c>
      <c r="U405" s="6" t="s">
        <v>49</v>
      </c>
      <c r="V405" s="6" t="s">
        <v>262</v>
      </c>
      <c r="W405" s="6" t="s">
        <v>3389</v>
      </c>
      <c r="X405" s="18">
        <f>VLOOKUP(G405,'CBs RAW'!$E$2:$W$427,19)</f>
        <v>2.5979999999999999</v>
      </c>
      <c r="Y405" s="19">
        <f t="shared" si="0"/>
        <v>2.5979999999999999</v>
      </c>
      <c r="Z405" s="2" t="str">
        <f t="shared" si="1"/>
        <v>Teva Pharmaceutical Finance Netherlands III BVAT MATURITYFIXEDUSDSr Unsecured</v>
      </c>
    </row>
    <row r="406" spans="1:26" x14ac:dyDescent="0.2">
      <c r="A406" s="6">
        <v>405</v>
      </c>
      <c r="B406" s="6" t="s">
        <v>1058</v>
      </c>
      <c r="C406" s="6" t="s">
        <v>1045</v>
      </c>
      <c r="D406" s="6" t="s">
        <v>71</v>
      </c>
      <c r="E406" s="6">
        <f>VLOOKUP(G406,'CBs RAW'!$E$2:$H$427,4)</f>
        <v>3.1799999999999997</v>
      </c>
      <c r="F406" s="6" t="s">
        <v>1046</v>
      </c>
      <c r="G406" s="6" t="s">
        <v>3390</v>
      </c>
      <c r="H406" s="6" t="s">
        <v>3391</v>
      </c>
      <c r="I406" s="6" t="s">
        <v>3392</v>
      </c>
      <c r="J406" s="6" t="s">
        <v>55</v>
      </c>
      <c r="K406" s="6" t="s">
        <v>56</v>
      </c>
      <c r="L406" s="5">
        <v>3500000000</v>
      </c>
      <c r="M406" s="6" t="s">
        <v>52</v>
      </c>
      <c r="N406" s="6" t="s">
        <v>2894</v>
      </c>
      <c r="O406" s="6" t="s">
        <v>366</v>
      </c>
      <c r="P406" s="17">
        <v>42572</v>
      </c>
      <c r="Q406" s="5">
        <f>VLOOKUP(G406,'CBs RAW'!$E$2:$P$427,12)</f>
        <v>3.15</v>
      </c>
      <c r="R406" s="17">
        <v>46296</v>
      </c>
      <c r="S406" s="6" t="s">
        <v>173</v>
      </c>
      <c r="T406" s="6" t="s">
        <v>296</v>
      </c>
      <c r="U406" s="6" t="s">
        <v>49</v>
      </c>
      <c r="V406" s="6" t="s">
        <v>262</v>
      </c>
      <c r="W406" s="6" t="s">
        <v>3393</v>
      </c>
      <c r="X406" s="18">
        <f>VLOOKUP(G406,'CBs RAW'!$E$2:$W$427,19)</f>
        <v>2.97</v>
      </c>
      <c r="Y406" s="19">
        <f t="shared" si="0"/>
        <v>2.97</v>
      </c>
      <c r="Z406" s="2" t="str">
        <f t="shared" si="1"/>
        <v>Teva Pharmaceutical Finance Netherlands III BVAT MATURITYFIXEDUSDSr Unsecured</v>
      </c>
    </row>
    <row r="407" spans="1:26" x14ac:dyDescent="0.2">
      <c r="A407" s="6">
        <v>406</v>
      </c>
      <c r="B407" s="6" t="s">
        <v>1058</v>
      </c>
      <c r="C407" s="6" t="s">
        <v>1045</v>
      </c>
      <c r="D407" s="6" t="s">
        <v>71</v>
      </c>
      <c r="E407" s="6">
        <f>VLOOKUP(G407,'CBs RAW'!$E$2:$H$427,4)</f>
        <v>4.1479999999999997</v>
      </c>
      <c r="F407" s="6" t="s">
        <v>1046</v>
      </c>
      <c r="G407" s="6" t="s">
        <v>3394</v>
      </c>
      <c r="H407" s="6" t="s">
        <v>3395</v>
      </c>
      <c r="I407" s="6" t="s">
        <v>3396</v>
      </c>
      <c r="J407" s="6" t="s">
        <v>55</v>
      </c>
      <c r="K407" s="6" t="s">
        <v>56</v>
      </c>
      <c r="L407" s="5">
        <v>2000000000</v>
      </c>
      <c r="M407" s="6" t="s">
        <v>52</v>
      </c>
      <c r="N407" s="6" t="s">
        <v>2894</v>
      </c>
      <c r="O407" s="6" t="s">
        <v>366</v>
      </c>
      <c r="P407" s="17">
        <v>42572</v>
      </c>
      <c r="Q407" s="5">
        <f>VLOOKUP(G407,'CBs RAW'!$E$2:$P$427,12)</f>
        <v>4.0999999999999996</v>
      </c>
      <c r="R407" s="17">
        <v>53601</v>
      </c>
      <c r="S407" s="6" t="s">
        <v>173</v>
      </c>
      <c r="T407" s="6" t="s">
        <v>296</v>
      </c>
      <c r="U407" s="6" t="s">
        <v>49</v>
      </c>
      <c r="V407" s="6" t="s">
        <v>262</v>
      </c>
      <c r="W407" s="6" t="s">
        <v>3397</v>
      </c>
      <c r="X407" s="18">
        <f>VLOOKUP(G407,'CBs RAW'!$E$2:$W$427,19)</f>
        <v>3.9820000000000002</v>
      </c>
      <c r="Y407" s="19">
        <f t="shared" si="0"/>
        <v>3.9820000000000002</v>
      </c>
      <c r="Z407" s="2" t="str">
        <f t="shared" si="1"/>
        <v>Teva Pharmaceutical Finance Netherlands III BVAT MATURITYFIXEDUSDSr Unsecured</v>
      </c>
    </row>
    <row r="408" spans="1:26" x14ac:dyDescent="0.2">
      <c r="A408" s="6">
        <v>407</v>
      </c>
      <c r="B408" s="6" t="s">
        <v>1058</v>
      </c>
      <c r="C408" s="6" t="s">
        <v>1045</v>
      </c>
      <c r="D408" s="6" t="s">
        <v>71</v>
      </c>
      <c r="E408" s="6" t="str">
        <f>VLOOKUP(G408,'CBs RAW'!$E$2:$H$427,4)</f>
        <v>#N/A N/A</v>
      </c>
      <c r="F408" s="6" t="s">
        <v>1046</v>
      </c>
      <c r="G408" s="6" t="s">
        <v>3398</v>
      </c>
      <c r="H408" s="6" t="s">
        <v>3399</v>
      </c>
      <c r="I408" s="6" t="s">
        <v>3400</v>
      </c>
      <c r="J408" s="6" t="s">
        <v>55</v>
      </c>
      <c r="K408" s="6" t="s">
        <v>56</v>
      </c>
      <c r="L408" s="5">
        <v>998190000</v>
      </c>
      <c r="M408" s="6" t="s">
        <v>52</v>
      </c>
      <c r="N408" s="6" t="s">
        <v>173</v>
      </c>
      <c r="O408" s="6" t="s">
        <v>366</v>
      </c>
      <c r="P408" s="17">
        <v>44088</v>
      </c>
      <c r="Q408" s="5">
        <f>VLOOKUP(G408,'CBs RAW'!$E$2:$P$427,12)</f>
        <v>7.125</v>
      </c>
      <c r="R408" s="17">
        <v>45688</v>
      </c>
      <c r="S408" s="6" t="s">
        <v>173</v>
      </c>
      <c r="T408" s="6" t="s">
        <v>296</v>
      </c>
      <c r="U408" s="6" t="s">
        <v>115</v>
      </c>
      <c r="V408" s="6" t="s">
        <v>262</v>
      </c>
      <c r="W408" s="6" t="s">
        <v>3401</v>
      </c>
      <c r="X408" s="18" t="str">
        <f>VLOOKUP(G408,'CBs RAW'!$E$2:$W$427,19)</f>
        <v>#N/A N/A</v>
      </c>
      <c r="Y408" s="2" t="str">
        <f t="shared" si="0"/>
        <v>#N/A N/A</v>
      </c>
      <c r="Z408" s="2" t="str">
        <f t="shared" si="1"/>
        <v>Teva Pharmaceutical Finance Netherlands III BVCALLABLEFIXEDUSDSr Unsecured</v>
      </c>
    </row>
    <row r="409" spans="1:26" x14ac:dyDescent="0.2">
      <c r="A409" s="6">
        <v>408</v>
      </c>
      <c r="B409" s="6" t="s">
        <v>1058</v>
      </c>
      <c r="C409" s="6" t="s">
        <v>1045</v>
      </c>
      <c r="D409" s="6" t="s">
        <v>71</v>
      </c>
      <c r="E409" s="6">
        <f>VLOOKUP(G409,'CBs RAW'!$E$2:$H$427,4)</f>
        <v>7.125</v>
      </c>
      <c r="F409" s="6" t="s">
        <v>1046</v>
      </c>
      <c r="G409" s="6" t="s">
        <v>3402</v>
      </c>
      <c r="H409" s="6" t="s">
        <v>3403</v>
      </c>
      <c r="I409" s="6" t="s">
        <v>3404</v>
      </c>
      <c r="J409" s="6" t="s">
        <v>55</v>
      </c>
      <c r="K409" s="6" t="s">
        <v>56</v>
      </c>
      <c r="L409" s="5">
        <v>1000000000</v>
      </c>
      <c r="M409" s="6" t="s">
        <v>52</v>
      </c>
      <c r="N409" s="6" t="s">
        <v>1770</v>
      </c>
      <c r="O409" s="6" t="s">
        <v>366</v>
      </c>
      <c r="P409" s="17">
        <v>43794</v>
      </c>
      <c r="Q409" s="5">
        <f>VLOOKUP(G409,'CBs RAW'!$E$2:$P$427,12)</f>
        <v>7.125</v>
      </c>
      <c r="R409" s="17">
        <v>45688</v>
      </c>
      <c r="S409" s="6" t="s">
        <v>261</v>
      </c>
      <c r="T409" s="6" t="s">
        <v>296</v>
      </c>
      <c r="U409" s="6" t="s">
        <v>115</v>
      </c>
      <c r="V409" s="6" t="s">
        <v>262</v>
      </c>
      <c r="W409" s="6" t="s">
        <v>3405</v>
      </c>
      <c r="X409" s="18">
        <f>VLOOKUP(G409,'CBs RAW'!$E$2:$W$427,19)</f>
        <v>6.75</v>
      </c>
      <c r="Y409" s="19">
        <f t="shared" si="0"/>
        <v>6.75</v>
      </c>
      <c r="Z409" s="2" t="str">
        <f t="shared" si="1"/>
        <v>Teva Pharmaceutical Finance Netherlands III BVCALLABLEFIXEDUSDSr Unsecured</v>
      </c>
    </row>
    <row r="410" spans="1:26" x14ac:dyDescent="0.2">
      <c r="A410" s="6">
        <v>409</v>
      </c>
      <c r="B410" s="6" t="s">
        <v>1058</v>
      </c>
      <c r="C410" s="6" t="s">
        <v>1045</v>
      </c>
      <c r="D410" s="6" t="s">
        <v>71</v>
      </c>
      <c r="E410" s="6">
        <f>VLOOKUP(G410,'CBs RAW'!$E$2:$H$427,4)</f>
        <v>7.125</v>
      </c>
      <c r="F410" s="6" t="s">
        <v>1046</v>
      </c>
      <c r="G410" s="6" t="s">
        <v>3406</v>
      </c>
      <c r="H410" s="6" t="s">
        <v>3407</v>
      </c>
      <c r="I410" s="6" t="s">
        <v>3408</v>
      </c>
      <c r="J410" s="6" t="s">
        <v>55</v>
      </c>
      <c r="K410" s="6" t="s">
        <v>56</v>
      </c>
      <c r="L410" s="5">
        <v>1000000000</v>
      </c>
      <c r="M410" s="6" t="s">
        <v>52</v>
      </c>
      <c r="N410" s="6" t="s">
        <v>1770</v>
      </c>
      <c r="O410" s="6" t="s">
        <v>366</v>
      </c>
      <c r="P410" s="17">
        <v>43794</v>
      </c>
      <c r="Q410" s="5">
        <f>VLOOKUP(G410,'CBs RAW'!$E$2:$P$427,12)</f>
        <v>7.125</v>
      </c>
      <c r="R410" s="17">
        <v>45688</v>
      </c>
      <c r="S410" s="6" t="s">
        <v>270</v>
      </c>
      <c r="T410" s="6" t="s">
        <v>296</v>
      </c>
      <c r="U410" s="6" t="s">
        <v>115</v>
      </c>
      <c r="V410" s="6" t="s">
        <v>262</v>
      </c>
      <c r="W410" s="6" t="s">
        <v>3409</v>
      </c>
      <c r="X410" s="18">
        <f>VLOOKUP(G410,'CBs RAW'!$E$2:$W$427,19)</f>
        <v>6.7460000000000004</v>
      </c>
      <c r="Y410" s="19">
        <f t="shared" si="0"/>
        <v>6.7460000000000004</v>
      </c>
      <c r="Z410" s="2" t="str">
        <f t="shared" si="1"/>
        <v>Teva Pharmaceutical Finance Netherlands III BVCALLABLEFIXEDUSDSr Unsecured</v>
      </c>
    </row>
    <row r="411" spans="1:26" x14ac:dyDescent="0.2">
      <c r="A411" s="6">
        <v>410</v>
      </c>
      <c r="B411" s="6" t="s">
        <v>528</v>
      </c>
      <c r="C411" s="6" t="s">
        <v>531</v>
      </c>
      <c r="D411" s="6" t="s">
        <v>57</v>
      </c>
      <c r="E411" s="6" t="str">
        <f>VLOOKUP(G411,'CBs RAW'!$E$2:$H$427,4)</f>
        <v>#N/A N/A</v>
      </c>
      <c r="F411" s="6" t="s">
        <v>257</v>
      </c>
      <c r="G411" s="6" t="s">
        <v>3410</v>
      </c>
      <c r="H411" s="6" t="s">
        <v>3411</v>
      </c>
      <c r="I411" s="6" t="s">
        <v>3412</v>
      </c>
      <c r="J411" s="6" t="s">
        <v>55</v>
      </c>
      <c r="K411" s="6" t="s">
        <v>56</v>
      </c>
      <c r="L411" s="5">
        <v>177684000</v>
      </c>
      <c r="M411" s="6" t="s">
        <v>118</v>
      </c>
      <c r="N411" s="6" t="s">
        <v>173</v>
      </c>
      <c r="O411" s="6" t="s">
        <v>257</v>
      </c>
      <c r="P411" s="17">
        <v>43019</v>
      </c>
      <c r="Q411" s="5">
        <f>VLOOKUP(G411,'CBs RAW'!$E$2:$P$427,12)</f>
        <v>3.25</v>
      </c>
      <c r="R411" s="17">
        <v>44845</v>
      </c>
      <c r="S411" s="6" t="s">
        <v>173</v>
      </c>
      <c r="T411" s="6" t="s">
        <v>54</v>
      </c>
      <c r="U411" s="6" t="s">
        <v>49</v>
      </c>
      <c r="V411" s="6" t="s">
        <v>53</v>
      </c>
      <c r="W411" s="6" t="s">
        <v>3413</v>
      </c>
      <c r="X411" s="18">
        <f>VLOOKUP(G411,'CBs RAW'!$E$2:$W$427,19)</f>
        <v>2.6970000000000001</v>
      </c>
      <c r="Y411" s="19">
        <f t="shared" si="0"/>
        <v>2.6970000000000001</v>
      </c>
      <c r="Z411" s="2" t="str">
        <f t="shared" si="1"/>
        <v>UBM Development AGAT MATURITYFIXEDEURUnsecured</v>
      </c>
    </row>
    <row r="412" spans="1:26" x14ac:dyDescent="0.2">
      <c r="A412" s="6">
        <v>411</v>
      </c>
      <c r="B412" s="6" t="s">
        <v>528</v>
      </c>
      <c r="C412" s="6" t="s">
        <v>531</v>
      </c>
      <c r="D412" s="6" t="s">
        <v>57</v>
      </c>
      <c r="E412" s="6" t="str">
        <f>VLOOKUP(G412,'CBs RAW'!$E$2:$H$427,4)</f>
        <v>#N/A N/A</v>
      </c>
      <c r="F412" s="6" t="s">
        <v>257</v>
      </c>
      <c r="G412" s="6" t="s">
        <v>3414</v>
      </c>
      <c r="H412" s="6" t="s">
        <v>3415</v>
      </c>
      <c r="I412" s="6" t="s">
        <v>3416</v>
      </c>
      <c r="J412" s="6" t="s">
        <v>55</v>
      </c>
      <c r="K412" s="6" t="s">
        <v>56</v>
      </c>
      <c r="L412" s="5">
        <v>136947600</v>
      </c>
      <c r="M412" s="6" t="s">
        <v>52</v>
      </c>
      <c r="N412" s="6" t="s">
        <v>1839</v>
      </c>
      <c r="O412" s="6" t="s">
        <v>257</v>
      </c>
      <c r="P412" s="17">
        <v>43420</v>
      </c>
      <c r="Q412" s="5">
        <f>VLOOKUP(G412,'CBs RAW'!$E$2:$P$427,12)</f>
        <v>3.125</v>
      </c>
      <c r="R412" s="17">
        <v>45246</v>
      </c>
      <c r="S412" s="6" t="s">
        <v>173</v>
      </c>
      <c r="T412" s="6" t="s">
        <v>54</v>
      </c>
      <c r="U412" s="6" t="s">
        <v>49</v>
      </c>
      <c r="V412" s="6" t="s">
        <v>53</v>
      </c>
      <c r="W412" s="6" t="s">
        <v>3417</v>
      </c>
      <c r="X412" s="18" t="str">
        <f>VLOOKUP(G412,'CBs RAW'!$E$2:$W$427,19)</f>
        <v>#N/A N/A</v>
      </c>
      <c r="Y412" s="2" t="str">
        <f t="shared" si="0"/>
        <v>#N/A N/A</v>
      </c>
      <c r="Z412" s="2" t="str">
        <f t="shared" si="1"/>
        <v>UBM Development AGAT MATURITYFIXEDEURSr Unsecured</v>
      </c>
    </row>
    <row r="413" spans="1:26" x14ac:dyDescent="0.2">
      <c r="A413" s="6">
        <v>412</v>
      </c>
      <c r="B413" s="6" t="s">
        <v>528</v>
      </c>
      <c r="C413" s="6" t="s">
        <v>531</v>
      </c>
      <c r="D413" s="6" t="s">
        <v>57</v>
      </c>
      <c r="E413" s="6" t="str">
        <f>VLOOKUP(G413,'CBs RAW'!$E$2:$H$427,4)</f>
        <v>#N/A N/A</v>
      </c>
      <c r="F413" s="6" t="s">
        <v>257</v>
      </c>
      <c r="G413" s="6" t="s">
        <v>3418</v>
      </c>
      <c r="H413" s="6" t="s">
        <v>3419</v>
      </c>
      <c r="I413" s="6" t="s">
        <v>3420</v>
      </c>
      <c r="J413" s="6" t="s">
        <v>55</v>
      </c>
      <c r="K413" s="6" t="s">
        <v>56</v>
      </c>
      <c r="L413" s="5">
        <v>26972660</v>
      </c>
      <c r="M413" s="6" t="s">
        <v>52</v>
      </c>
      <c r="N413" s="6" t="s">
        <v>1770</v>
      </c>
      <c r="O413" s="6" t="s">
        <v>257</v>
      </c>
      <c r="P413" s="17">
        <v>44182</v>
      </c>
      <c r="Q413" s="5">
        <f>VLOOKUP(G413,'CBs RAW'!$E$2:$P$427,12)</f>
        <v>3</v>
      </c>
      <c r="R413" s="17">
        <v>46008</v>
      </c>
      <c r="S413" s="6" t="s">
        <v>173</v>
      </c>
      <c r="T413" s="6" t="s">
        <v>54</v>
      </c>
      <c r="U413" s="6" t="s">
        <v>49</v>
      </c>
      <c r="V413" s="6" t="s">
        <v>53</v>
      </c>
      <c r="W413" s="6" t="s">
        <v>3421</v>
      </c>
      <c r="X413" s="18" t="str">
        <f>VLOOKUP(G413,'CBs RAW'!$E$2:$W$427,19)</f>
        <v>#N/A N/A</v>
      </c>
      <c r="Y413" s="2" t="str">
        <f t="shared" si="0"/>
        <v>#N/A N/A</v>
      </c>
      <c r="Z413" s="2" t="str">
        <f t="shared" si="1"/>
        <v>UBM Development AGAT MATURITYFIXEDEURSr Unsecured</v>
      </c>
    </row>
    <row r="414" spans="1:26" x14ac:dyDescent="0.2">
      <c r="A414" s="6">
        <v>413</v>
      </c>
      <c r="B414" s="6" t="s">
        <v>528</v>
      </c>
      <c r="C414" s="6" t="s">
        <v>531</v>
      </c>
      <c r="D414" s="6" t="s">
        <v>57</v>
      </c>
      <c r="E414" s="6" t="str">
        <f>VLOOKUP(G414,'CBs RAW'!$E$2:$H$427,4)</f>
        <v>#N/A N/A</v>
      </c>
      <c r="F414" s="6" t="s">
        <v>257</v>
      </c>
      <c r="G414" s="6" t="s">
        <v>3422</v>
      </c>
      <c r="H414" s="6" t="s">
        <v>3423</v>
      </c>
      <c r="I414" s="6" t="s">
        <v>3424</v>
      </c>
      <c r="J414" s="6" t="s">
        <v>55</v>
      </c>
      <c r="K414" s="6" t="s">
        <v>56</v>
      </c>
      <c r="L414" s="5">
        <v>131989200</v>
      </c>
      <c r="M414" s="6" t="s">
        <v>52</v>
      </c>
      <c r="N414" s="6" t="s">
        <v>173</v>
      </c>
      <c r="O414" s="6" t="s">
        <v>257</v>
      </c>
      <c r="P414" s="17">
        <v>43782</v>
      </c>
      <c r="Q414" s="5">
        <f>VLOOKUP(G414,'CBs RAW'!$E$2:$P$427,12)</f>
        <v>2.75</v>
      </c>
      <c r="R414" s="17">
        <v>45974</v>
      </c>
      <c r="S414" s="6" t="s">
        <v>173</v>
      </c>
      <c r="T414" s="6" t="s">
        <v>54</v>
      </c>
      <c r="U414" s="6" t="s">
        <v>49</v>
      </c>
      <c r="V414" s="6" t="s">
        <v>53</v>
      </c>
      <c r="W414" s="6" t="s">
        <v>3425</v>
      </c>
      <c r="X414" s="18">
        <f>VLOOKUP(G414,'CBs RAW'!$E$2:$W$427,19)</f>
        <v>2.1309999999999998</v>
      </c>
      <c r="Y414" s="19">
        <f t="shared" si="0"/>
        <v>2.1309999999999998</v>
      </c>
      <c r="Z414" s="2" t="str">
        <f t="shared" si="1"/>
        <v>UBM Development AGAT MATURITYFIXEDEURSr Unsecured</v>
      </c>
    </row>
    <row r="415" spans="1:26" x14ac:dyDescent="0.2">
      <c r="A415" s="6">
        <v>414</v>
      </c>
      <c r="B415" s="6" t="s">
        <v>813</v>
      </c>
      <c r="C415" s="6" t="s">
        <v>816</v>
      </c>
      <c r="D415" s="6" t="s">
        <v>57</v>
      </c>
      <c r="E415" s="6" t="str">
        <f>VLOOKUP(G415,'CBs RAW'!$E$2:$H$427,4)</f>
        <v>#N/A N/A</v>
      </c>
      <c r="F415" s="6" t="s">
        <v>184</v>
      </c>
      <c r="G415" s="6" t="s">
        <v>3426</v>
      </c>
      <c r="H415" s="6" t="s">
        <v>3427</v>
      </c>
      <c r="I415" s="6" t="s">
        <v>3428</v>
      </c>
      <c r="J415" s="6" t="s">
        <v>133</v>
      </c>
      <c r="K415" s="6" t="s">
        <v>56</v>
      </c>
      <c r="L415" s="5">
        <v>527930000</v>
      </c>
      <c r="M415" s="6" t="s">
        <v>52</v>
      </c>
      <c r="N415" s="6" t="s">
        <v>1770</v>
      </c>
      <c r="O415" s="6" t="s">
        <v>184</v>
      </c>
      <c r="P415" s="17">
        <v>42746</v>
      </c>
      <c r="Q415" s="5">
        <f>VLOOKUP(G415,'CBs RAW'!$E$2:$P$427,12)</f>
        <v>0.625</v>
      </c>
      <c r="R415" s="17">
        <v>44937</v>
      </c>
      <c r="S415" s="6" t="s">
        <v>225</v>
      </c>
      <c r="T415" s="6" t="s">
        <v>263</v>
      </c>
      <c r="U415" s="6" t="s">
        <v>115</v>
      </c>
      <c r="V415" s="6" t="s">
        <v>53</v>
      </c>
      <c r="W415" s="6" t="s">
        <v>3429</v>
      </c>
      <c r="X415" s="18">
        <f>VLOOKUP(G415,'CBs RAW'!$E$2:$W$427,19)</f>
        <v>0.67300000000000004</v>
      </c>
      <c r="Y415" s="19">
        <f t="shared" si="0"/>
        <v>0.67300000000000004</v>
      </c>
      <c r="Z415" s="2" t="str">
        <f t="shared" si="1"/>
        <v>ValeoCALLABLEFIXEDEURSr Unsecured</v>
      </c>
    </row>
    <row r="416" spans="1:26" x14ac:dyDescent="0.2">
      <c r="A416" s="6">
        <v>415</v>
      </c>
      <c r="B416" s="6" t="s">
        <v>813</v>
      </c>
      <c r="C416" s="6" t="s">
        <v>816</v>
      </c>
      <c r="D416" s="6" t="s">
        <v>57</v>
      </c>
      <c r="E416" s="6" t="str">
        <f>VLOOKUP(G416,'CBs RAW'!$E$2:$H$427,4)</f>
        <v>#N/A N/A</v>
      </c>
      <c r="F416" s="6" t="s">
        <v>184</v>
      </c>
      <c r="G416" s="6" t="s">
        <v>3430</v>
      </c>
      <c r="H416" s="6" t="s">
        <v>3431</v>
      </c>
      <c r="I416" s="6" t="s">
        <v>3432</v>
      </c>
      <c r="J416" s="6" t="s">
        <v>133</v>
      </c>
      <c r="K416" s="6" t="s">
        <v>56</v>
      </c>
      <c r="L416" s="5">
        <v>717768000</v>
      </c>
      <c r="M416" s="6" t="s">
        <v>52</v>
      </c>
      <c r="N416" s="6" t="s">
        <v>1770</v>
      </c>
      <c r="O416" s="6" t="s">
        <v>184</v>
      </c>
      <c r="P416" s="17">
        <v>42990</v>
      </c>
      <c r="Q416" s="5">
        <f>VLOOKUP(G416,'CBs RAW'!$E$2:$P$427,12)</f>
        <v>0.375</v>
      </c>
      <c r="R416" s="17">
        <v>44816</v>
      </c>
      <c r="S416" s="6" t="s">
        <v>225</v>
      </c>
      <c r="T416" s="6" t="s">
        <v>263</v>
      </c>
      <c r="U416" s="6" t="s">
        <v>115</v>
      </c>
      <c r="V416" s="6" t="s">
        <v>53</v>
      </c>
      <c r="W416" s="6" t="s">
        <v>3433</v>
      </c>
      <c r="X416" s="18">
        <f>VLOOKUP(G416,'CBs RAW'!$E$2:$W$427,19)</f>
        <v>0.39700000000000002</v>
      </c>
      <c r="Y416" s="19">
        <f t="shared" si="0"/>
        <v>0.39700000000000002</v>
      </c>
      <c r="Z416" s="2" t="str">
        <f t="shared" si="1"/>
        <v>ValeoCALLABLEFIXEDEURSr Unsecured</v>
      </c>
    </row>
    <row r="417" spans="1:26" x14ac:dyDescent="0.2">
      <c r="A417" s="6">
        <v>416</v>
      </c>
      <c r="B417" s="6" t="s">
        <v>813</v>
      </c>
      <c r="C417" s="6" t="s">
        <v>816</v>
      </c>
      <c r="D417" s="6" t="s">
        <v>57</v>
      </c>
      <c r="E417" s="6">
        <f>VLOOKUP(G417,'CBs RAW'!$E$2:$H$427,4)</f>
        <v>1.554</v>
      </c>
      <c r="F417" s="6" t="s">
        <v>184</v>
      </c>
      <c r="G417" s="6" t="s">
        <v>3434</v>
      </c>
      <c r="H417" s="6" t="s">
        <v>3435</v>
      </c>
      <c r="I417" s="6" t="s">
        <v>3436</v>
      </c>
      <c r="J417" s="6" t="s">
        <v>133</v>
      </c>
      <c r="K417" s="6" t="s">
        <v>56</v>
      </c>
      <c r="L417" s="5">
        <v>696276000</v>
      </c>
      <c r="M417" s="6" t="s">
        <v>52</v>
      </c>
      <c r="N417" s="6" t="s">
        <v>1770</v>
      </c>
      <c r="O417" s="6" t="s">
        <v>184</v>
      </c>
      <c r="P417" s="17">
        <v>43269</v>
      </c>
      <c r="Q417" s="5">
        <f>VLOOKUP(G417,'CBs RAW'!$E$2:$P$427,12)</f>
        <v>1.5</v>
      </c>
      <c r="R417" s="17">
        <v>45826</v>
      </c>
      <c r="S417" s="6" t="s">
        <v>2134</v>
      </c>
      <c r="T417" s="6" t="s">
        <v>263</v>
      </c>
      <c r="U417" s="6" t="s">
        <v>115</v>
      </c>
      <c r="V417" s="6" t="s">
        <v>53</v>
      </c>
      <c r="W417" s="6" t="s">
        <v>3437</v>
      </c>
      <c r="X417" s="18">
        <f>VLOOKUP(G417,'CBs RAW'!$E$2:$W$427,19)</f>
        <v>1.306</v>
      </c>
      <c r="Y417" s="19">
        <f t="shared" si="0"/>
        <v>1.306</v>
      </c>
      <c r="Z417" s="2" t="str">
        <f t="shared" si="1"/>
        <v>ValeoCALLABLEFIXEDEURSr Unsecured</v>
      </c>
    </row>
    <row r="418" spans="1:26" x14ac:dyDescent="0.2">
      <c r="A418" s="6">
        <v>417</v>
      </c>
      <c r="B418" s="6" t="s">
        <v>813</v>
      </c>
      <c r="C418" s="6" t="s">
        <v>816</v>
      </c>
      <c r="D418" s="6" t="s">
        <v>71</v>
      </c>
      <c r="E418" s="6" t="str">
        <f>VLOOKUP(G418,'CBs RAW'!$E$2:$H$427,4)</f>
        <v>#N/A N/A</v>
      </c>
      <c r="F418" s="6" t="s">
        <v>184</v>
      </c>
      <c r="G418" s="6" t="s">
        <v>3438</v>
      </c>
      <c r="H418" s="6" t="s">
        <v>173</v>
      </c>
      <c r="I418" s="6" t="s">
        <v>3439</v>
      </c>
      <c r="J418" s="6" t="s">
        <v>133</v>
      </c>
      <c r="K418" s="6" t="s">
        <v>70</v>
      </c>
      <c r="L418" s="5">
        <v>617601480</v>
      </c>
      <c r="M418" s="6" t="s">
        <v>52</v>
      </c>
      <c r="N418" s="6" t="s">
        <v>173</v>
      </c>
      <c r="O418" s="6" t="s">
        <v>184</v>
      </c>
      <c r="P418" s="17">
        <v>43564</v>
      </c>
      <c r="Q418" s="5">
        <f>VLOOKUP(G418,'CBs RAW'!$E$2:$P$427,12)</f>
        <v>0.79499999999999993</v>
      </c>
      <c r="R418" s="17">
        <v>45756</v>
      </c>
      <c r="S418" s="6" t="s">
        <v>1096</v>
      </c>
      <c r="T418" s="6" t="s">
        <v>54</v>
      </c>
      <c r="U418" s="6" t="s">
        <v>49</v>
      </c>
      <c r="V418" s="6" t="s">
        <v>53</v>
      </c>
      <c r="W418" s="6" t="s">
        <v>3440</v>
      </c>
      <c r="X418" s="18" t="str">
        <f>VLOOKUP(G418,'CBs RAW'!$E$2:$W$427,19)</f>
        <v>#N/A N/A</v>
      </c>
      <c r="Y418" s="2" t="str">
        <f t="shared" si="0"/>
        <v>#N/A N/A</v>
      </c>
      <c r="Z418" s="2" t="str">
        <f t="shared" si="1"/>
        <v>ValeoAT MATURITYFLOATINGEURSr Unsecured</v>
      </c>
    </row>
    <row r="419" spans="1:26" x14ac:dyDescent="0.2">
      <c r="A419" s="6">
        <v>418</v>
      </c>
      <c r="B419" s="6" t="s">
        <v>813</v>
      </c>
      <c r="C419" s="6" t="s">
        <v>816</v>
      </c>
      <c r="D419" s="6" t="s">
        <v>71</v>
      </c>
      <c r="E419" s="6" t="str">
        <f>VLOOKUP(G419,'CBs RAW'!$E$2:$H$427,4)</f>
        <v>#N/A N/A</v>
      </c>
      <c r="F419" s="6" t="s">
        <v>184</v>
      </c>
      <c r="G419" s="6" t="s">
        <v>3441</v>
      </c>
      <c r="H419" s="6" t="s">
        <v>173</v>
      </c>
      <c r="I419" s="6" t="s">
        <v>3442</v>
      </c>
      <c r="J419" s="6" t="s">
        <v>133</v>
      </c>
      <c r="K419" s="6" t="s">
        <v>70</v>
      </c>
      <c r="L419" s="5">
        <v>617601480</v>
      </c>
      <c r="M419" s="6" t="s">
        <v>52</v>
      </c>
      <c r="N419" s="6" t="s">
        <v>173</v>
      </c>
      <c r="O419" s="6" t="s">
        <v>184</v>
      </c>
      <c r="P419" s="17">
        <v>43564</v>
      </c>
      <c r="Q419" s="5">
        <f>VLOOKUP(G419,'CBs RAW'!$E$2:$P$427,12)</f>
        <v>0.59499999999999997</v>
      </c>
      <c r="R419" s="17">
        <v>45025</v>
      </c>
      <c r="S419" s="6" t="s">
        <v>1087</v>
      </c>
      <c r="T419" s="6" t="s">
        <v>54</v>
      </c>
      <c r="U419" s="6" t="s">
        <v>49</v>
      </c>
      <c r="V419" s="6" t="s">
        <v>53</v>
      </c>
      <c r="W419" s="6" t="s">
        <v>3443</v>
      </c>
      <c r="X419" s="18" t="str">
        <f>VLOOKUP(G419,'CBs RAW'!$E$2:$W$427,19)</f>
        <v>#N/A N/A</v>
      </c>
      <c r="Y419" s="2" t="str">
        <f t="shared" si="0"/>
        <v>#N/A N/A</v>
      </c>
      <c r="Z419" s="2" t="str">
        <f t="shared" si="1"/>
        <v>ValeoAT MATURITYFLOATINGEURSr Unsecured</v>
      </c>
    </row>
    <row r="420" spans="1:26" x14ac:dyDescent="0.2">
      <c r="A420" s="6">
        <v>419</v>
      </c>
      <c r="B420" s="6" t="s">
        <v>813</v>
      </c>
      <c r="C420" s="6" t="s">
        <v>816</v>
      </c>
      <c r="D420" s="6" t="s">
        <v>57</v>
      </c>
      <c r="E420" s="6" t="str">
        <f>VLOOKUP(G420,'CBs RAW'!$E$2:$H$427,4)</f>
        <v>#N/A N/A</v>
      </c>
      <c r="F420" s="6" t="s">
        <v>184</v>
      </c>
      <c r="G420" s="6" t="s">
        <v>3444</v>
      </c>
      <c r="H420" s="6" t="s">
        <v>3445</v>
      </c>
      <c r="I420" s="6" t="s">
        <v>3446</v>
      </c>
      <c r="J420" s="6" t="s">
        <v>133</v>
      </c>
      <c r="K420" s="6" t="s">
        <v>56</v>
      </c>
      <c r="L420" s="5">
        <v>948570000</v>
      </c>
      <c r="M420" s="6" t="s">
        <v>52</v>
      </c>
      <c r="N420" s="6" t="s">
        <v>1770</v>
      </c>
      <c r="O420" s="6" t="s">
        <v>184</v>
      </c>
      <c r="P420" s="17">
        <v>41661</v>
      </c>
      <c r="Q420" s="5">
        <f>VLOOKUP(G420,'CBs RAW'!$E$2:$P$427,12)</f>
        <v>3.25</v>
      </c>
      <c r="R420" s="17">
        <v>45313</v>
      </c>
      <c r="S420" s="6" t="s">
        <v>225</v>
      </c>
      <c r="T420" s="6" t="s">
        <v>263</v>
      </c>
      <c r="U420" s="6" t="s">
        <v>49</v>
      </c>
      <c r="V420" s="6" t="s">
        <v>53</v>
      </c>
      <c r="W420" s="6" t="s">
        <v>3447</v>
      </c>
      <c r="X420" s="18">
        <f>VLOOKUP(G420,'CBs RAW'!$E$2:$W$427,19)</f>
        <v>3.036</v>
      </c>
      <c r="Y420" s="19">
        <f t="shared" si="0"/>
        <v>3.036</v>
      </c>
      <c r="Z420" s="2" t="str">
        <f t="shared" si="1"/>
        <v>ValeoAT MATURITYFIXEDEURSr Unsecured</v>
      </c>
    </row>
    <row r="421" spans="1:26" x14ac:dyDescent="0.2">
      <c r="A421" s="6">
        <v>420</v>
      </c>
      <c r="B421" s="6" t="s">
        <v>813</v>
      </c>
      <c r="C421" s="6" t="s">
        <v>816</v>
      </c>
      <c r="D421" s="6" t="s">
        <v>57</v>
      </c>
      <c r="E421" s="6" t="str">
        <f>VLOOKUP(G421,'CBs RAW'!$E$2:$H$427,4)</f>
        <v>#N/A N/A</v>
      </c>
      <c r="F421" s="6" t="s">
        <v>184</v>
      </c>
      <c r="G421" s="6" t="s">
        <v>3448</v>
      </c>
      <c r="H421" s="6" t="s">
        <v>3449</v>
      </c>
      <c r="I421" s="6" t="s">
        <v>3450</v>
      </c>
      <c r="J421" s="6" t="s">
        <v>133</v>
      </c>
      <c r="K421" s="6" t="s">
        <v>56</v>
      </c>
      <c r="L421" s="5">
        <v>676494000</v>
      </c>
      <c r="M421" s="6" t="s">
        <v>52</v>
      </c>
      <c r="N421" s="6" t="s">
        <v>2894</v>
      </c>
      <c r="O421" s="6" t="s">
        <v>184</v>
      </c>
      <c r="P421" s="17">
        <v>42447</v>
      </c>
      <c r="Q421" s="5">
        <f>VLOOKUP(G421,'CBs RAW'!$E$2:$P$427,12)</f>
        <v>1.625</v>
      </c>
      <c r="R421" s="17">
        <v>46099</v>
      </c>
      <c r="S421" s="6" t="s">
        <v>225</v>
      </c>
      <c r="T421" s="6" t="s">
        <v>263</v>
      </c>
      <c r="U421" s="6" t="s">
        <v>115</v>
      </c>
      <c r="V421" s="6" t="s">
        <v>53</v>
      </c>
      <c r="W421" s="6" t="s">
        <v>3451</v>
      </c>
      <c r="X421" s="18">
        <f>VLOOKUP(G421,'CBs RAW'!$E$2:$W$427,19)</f>
        <v>1.5129999999999999</v>
      </c>
      <c r="Y421" s="19">
        <f t="shared" si="0"/>
        <v>1.5129999999999999</v>
      </c>
      <c r="Z421" s="2" t="str">
        <f t="shared" si="1"/>
        <v>ValeoCALLABLEFIXEDEURSr Unsecured</v>
      </c>
    </row>
    <row r="422" spans="1:26" x14ac:dyDescent="0.2">
      <c r="A422" s="6">
        <v>421</v>
      </c>
      <c r="B422" s="6" t="s">
        <v>813</v>
      </c>
      <c r="C422" s="6" t="s">
        <v>816</v>
      </c>
      <c r="D422" s="6" t="s">
        <v>57</v>
      </c>
      <c r="E422" s="6" t="str">
        <f>VLOOKUP(G422,'CBs RAW'!$E$2:$H$427,4)</f>
        <v>#N/A N/A</v>
      </c>
      <c r="F422" s="6" t="s">
        <v>184</v>
      </c>
      <c r="G422" s="6" t="s">
        <v>3452</v>
      </c>
      <c r="H422" s="6" t="s">
        <v>173</v>
      </c>
      <c r="I422" s="6" t="s">
        <v>3453</v>
      </c>
      <c r="J422" s="6" t="s">
        <v>133</v>
      </c>
      <c r="K422" s="6" t="s">
        <v>56</v>
      </c>
      <c r="L422" s="5">
        <v>617601480</v>
      </c>
      <c r="M422" s="6" t="s">
        <v>52</v>
      </c>
      <c r="N422" s="6" t="s">
        <v>173</v>
      </c>
      <c r="O422" s="6" t="s">
        <v>184</v>
      </c>
      <c r="P422" s="17">
        <v>43564</v>
      </c>
      <c r="Q422" s="5">
        <f>VLOOKUP(G422,'CBs RAW'!$E$2:$P$427,12)</f>
        <v>1.2909999999999999</v>
      </c>
      <c r="R422" s="17">
        <v>45756</v>
      </c>
      <c r="S422" s="6" t="s">
        <v>1311</v>
      </c>
      <c r="T422" s="6" t="s">
        <v>54</v>
      </c>
      <c r="U422" s="6" t="s">
        <v>49</v>
      </c>
      <c r="V422" s="6" t="s">
        <v>53</v>
      </c>
      <c r="W422" s="6" t="s">
        <v>3454</v>
      </c>
      <c r="X422" s="18" t="str">
        <f>VLOOKUP(G422,'CBs RAW'!$E$2:$W$427,19)</f>
        <v>#N/A N/A</v>
      </c>
      <c r="Y422" s="2" t="str">
        <f t="shared" si="0"/>
        <v>#N/A N/A</v>
      </c>
      <c r="Z422" s="2" t="str">
        <f t="shared" si="1"/>
        <v>ValeoAT MATURITYFIXEDEURSr Unsecured</v>
      </c>
    </row>
    <row r="423" spans="1:26" x14ac:dyDescent="0.2">
      <c r="A423" s="6">
        <v>422</v>
      </c>
      <c r="B423" s="6" t="s">
        <v>813</v>
      </c>
      <c r="C423" s="6" t="s">
        <v>816</v>
      </c>
      <c r="D423" s="6" t="s">
        <v>57</v>
      </c>
      <c r="E423" s="6" t="str">
        <f>VLOOKUP(G423,'CBs RAW'!$E$2:$H$427,4)</f>
        <v>#N/A N/A</v>
      </c>
      <c r="F423" s="6" t="s">
        <v>184</v>
      </c>
      <c r="G423" s="6" t="s">
        <v>3455</v>
      </c>
      <c r="H423" s="6" t="s">
        <v>173</v>
      </c>
      <c r="I423" s="6" t="s">
        <v>3456</v>
      </c>
      <c r="J423" s="6" t="s">
        <v>133</v>
      </c>
      <c r="K423" s="6" t="s">
        <v>56</v>
      </c>
      <c r="L423" s="5">
        <v>617601480</v>
      </c>
      <c r="M423" s="6" t="s">
        <v>52</v>
      </c>
      <c r="N423" s="6" t="s">
        <v>173</v>
      </c>
      <c r="O423" s="6" t="s">
        <v>184</v>
      </c>
      <c r="P423" s="17">
        <v>43564</v>
      </c>
      <c r="Q423" s="5">
        <f>VLOOKUP(G423,'CBs RAW'!$E$2:$P$427,12)</f>
        <v>0.95</v>
      </c>
      <c r="R423" s="17">
        <v>45025</v>
      </c>
      <c r="S423" s="6" t="s">
        <v>1315</v>
      </c>
      <c r="T423" s="6" t="s">
        <v>54</v>
      </c>
      <c r="U423" s="6" t="s">
        <v>49</v>
      </c>
      <c r="V423" s="6" t="s">
        <v>53</v>
      </c>
      <c r="W423" s="6" t="s">
        <v>3457</v>
      </c>
      <c r="X423" s="18" t="str">
        <f>VLOOKUP(G423,'CBs RAW'!$E$2:$W$427,19)</f>
        <v>#N/A N/A</v>
      </c>
      <c r="Y423" s="2" t="str">
        <f t="shared" si="0"/>
        <v>#N/A N/A</v>
      </c>
      <c r="Z423" s="2" t="str">
        <f t="shared" si="1"/>
        <v>ValeoAT MATURITYFIXEDEURSr Unsecured</v>
      </c>
    </row>
    <row r="424" spans="1:26" x14ac:dyDescent="0.2">
      <c r="A424" s="6">
        <v>423</v>
      </c>
      <c r="B424" s="6" t="s">
        <v>335</v>
      </c>
      <c r="C424" s="6" t="s">
        <v>338</v>
      </c>
      <c r="D424" s="6" t="s">
        <v>57</v>
      </c>
      <c r="E424" s="6" t="str">
        <f>VLOOKUP(G424,'CBs RAW'!$E$2:$H$427,4)</f>
        <v>#N/A N/A</v>
      </c>
      <c r="F424" s="6" t="s">
        <v>45</v>
      </c>
      <c r="G424" s="6" t="s">
        <v>3458</v>
      </c>
      <c r="H424" s="6" t="s">
        <v>173</v>
      </c>
      <c r="I424" s="6" t="s">
        <v>3459</v>
      </c>
      <c r="J424" s="6" t="s">
        <v>55</v>
      </c>
      <c r="K424" s="6" t="s">
        <v>56</v>
      </c>
      <c r="L424" s="5">
        <v>28276500</v>
      </c>
      <c r="M424" s="6" t="s">
        <v>52</v>
      </c>
      <c r="N424" s="6" t="s">
        <v>173</v>
      </c>
      <c r="O424" s="6" t="s">
        <v>45</v>
      </c>
      <c r="P424" s="17">
        <v>44558</v>
      </c>
      <c r="Q424" s="5">
        <f>VLOOKUP(G424,'CBs RAW'!$E$2:$P$427,12)</f>
        <v>0.8</v>
      </c>
      <c r="R424" s="17">
        <v>47115</v>
      </c>
      <c r="S424" s="6" t="s">
        <v>69</v>
      </c>
      <c r="T424" s="6" t="s">
        <v>54</v>
      </c>
      <c r="U424" s="6" t="s">
        <v>49</v>
      </c>
      <c r="V424" s="6" t="s">
        <v>53</v>
      </c>
      <c r="W424" s="6" t="s">
        <v>3460</v>
      </c>
      <c r="X424" s="18" t="str">
        <f>VLOOKUP(G424,'CBs RAW'!$E$2:$W$427,19)</f>
        <v>#N/A N/A</v>
      </c>
      <c r="Y424" s="2" t="str">
        <f t="shared" si="0"/>
        <v>#N/A N/A</v>
      </c>
      <c r="Z424" s="2" t="str">
        <f t="shared" si="1"/>
        <v>Vossloh AGAT MATURITYFIXEDEURSr Unsecured</v>
      </c>
    </row>
    <row r="425" spans="1:26" x14ac:dyDescent="0.2">
      <c r="A425" s="6">
        <v>424</v>
      </c>
      <c r="B425" s="6" t="s">
        <v>1413</v>
      </c>
      <c r="C425" s="6" t="s">
        <v>1416</v>
      </c>
      <c r="D425" s="6" t="s">
        <v>57</v>
      </c>
      <c r="E425" s="6" t="str">
        <f>VLOOKUP(G425,'CBs RAW'!$E$2:$H$427,4)</f>
        <v>#N/A N/A</v>
      </c>
      <c r="F425" s="6" t="s">
        <v>199</v>
      </c>
      <c r="G425" s="6" t="s">
        <v>3461</v>
      </c>
      <c r="H425" s="6" t="s">
        <v>3462</v>
      </c>
      <c r="I425" s="6" t="s">
        <v>3463</v>
      </c>
      <c r="J425" s="6" t="s">
        <v>55</v>
      </c>
      <c r="K425" s="6" t="s">
        <v>56</v>
      </c>
      <c r="L425" s="5">
        <v>584115000</v>
      </c>
      <c r="M425" s="6" t="s">
        <v>52</v>
      </c>
      <c r="N425" s="6" t="s">
        <v>1839</v>
      </c>
      <c r="O425" s="6" t="s">
        <v>199</v>
      </c>
      <c r="P425" s="17">
        <v>43034</v>
      </c>
      <c r="Q425" s="5">
        <f>VLOOKUP(G425,'CBs RAW'!$E$2:$P$427,12)</f>
        <v>1.75</v>
      </c>
      <c r="R425" s="17">
        <v>45591</v>
      </c>
      <c r="S425" s="6" t="s">
        <v>173</v>
      </c>
      <c r="T425" s="6" t="s">
        <v>189</v>
      </c>
      <c r="U425" s="6" t="s">
        <v>49</v>
      </c>
      <c r="V425" s="6" t="s">
        <v>53</v>
      </c>
      <c r="W425" s="6" t="s">
        <v>3464</v>
      </c>
      <c r="X425" s="18">
        <f>VLOOKUP(G425,'CBs RAW'!$E$2:$W$427,19)</f>
        <v>1.7649999999999999</v>
      </c>
      <c r="Y425" s="19">
        <f t="shared" si="0"/>
        <v>1.7649999999999999</v>
      </c>
      <c r="Z425" s="2" t="str">
        <f t="shared" si="1"/>
        <v>Webuild SpAAT MATURITYFIXEDEURSr Unsecured</v>
      </c>
    </row>
    <row r="426" spans="1:26" x14ac:dyDescent="0.2">
      <c r="A426" s="6">
        <v>425</v>
      </c>
      <c r="B426" s="6" t="s">
        <v>1413</v>
      </c>
      <c r="C426" s="6" t="s">
        <v>1416</v>
      </c>
      <c r="D426" s="6" t="s">
        <v>57</v>
      </c>
      <c r="E426" s="6" t="str">
        <f>VLOOKUP(G426,'CBs RAW'!$E$2:$H$427,4)</f>
        <v>#N/A N/A</v>
      </c>
      <c r="F426" s="6" t="s">
        <v>199</v>
      </c>
      <c r="G426" s="6" t="s">
        <v>3465</v>
      </c>
      <c r="H426" s="6" t="s">
        <v>3466</v>
      </c>
      <c r="I426" s="6" t="s">
        <v>3467</v>
      </c>
      <c r="J426" s="6" t="s">
        <v>55</v>
      </c>
      <c r="K426" s="6" t="s">
        <v>56</v>
      </c>
      <c r="L426" s="5">
        <v>912075000</v>
      </c>
      <c r="M426" s="6" t="s">
        <v>52</v>
      </c>
      <c r="N426" s="6" t="s">
        <v>1775</v>
      </c>
      <c r="O426" s="6" t="s">
        <v>199</v>
      </c>
      <c r="P426" s="17">
        <v>44180</v>
      </c>
      <c r="Q426" s="5">
        <f>VLOOKUP(G426,'CBs RAW'!$E$2:$P$427,12)</f>
        <v>5.875</v>
      </c>
      <c r="R426" s="17">
        <v>46006</v>
      </c>
      <c r="S426" s="6" t="s">
        <v>173</v>
      </c>
      <c r="T426" s="6" t="s">
        <v>296</v>
      </c>
      <c r="U426" s="6" t="s">
        <v>115</v>
      </c>
      <c r="V426" s="6" t="s">
        <v>53</v>
      </c>
      <c r="W426" s="6" t="s">
        <v>3468</v>
      </c>
      <c r="X426" s="18">
        <f>VLOOKUP(G426,'CBs RAW'!$E$2:$W$427,19)</f>
        <v>5.4269999999999996</v>
      </c>
      <c r="Y426" s="19">
        <f t="shared" si="0"/>
        <v>5.4269999999999996</v>
      </c>
      <c r="Z426" s="2" t="str">
        <f t="shared" si="1"/>
        <v>Webuild SpACALLABLEFIXEDEURSr Unsecured</v>
      </c>
    </row>
    <row r="427" spans="1:26" x14ac:dyDescent="0.2">
      <c r="A427" s="6">
        <v>426</v>
      </c>
      <c r="B427" s="6" t="s">
        <v>1413</v>
      </c>
      <c r="C427" s="6" t="s">
        <v>1416</v>
      </c>
      <c r="D427" s="6" t="s">
        <v>57</v>
      </c>
      <c r="E427" s="6" t="str">
        <f>VLOOKUP(G427,'CBs RAW'!$E$2:$H$427,4)</f>
        <v>#N/A N/A</v>
      </c>
      <c r="F427" s="6" t="s">
        <v>199</v>
      </c>
      <c r="G427" s="6" t="s">
        <v>3469</v>
      </c>
      <c r="H427" s="6" t="s">
        <v>3470</v>
      </c>
      <c r="I427" s="6" t="s">
        <v>3471</v>
      </c>
      <c r="J427" s="6" t="s">
        <v>55</v>
      </c>
      <c r="K427" s="6" t="s">
        <v>56</v>
      </c>
      <c r="L427" s="5">
        <v>275222500</v>
      </c>
      <c r="M427" s="6" t="s">
        <v>52</v>
      </c>
      <c r="N427" s="6" t="s">
        <v>1775</v>
      </c>
      <c r="O427" s="6" t="s">
        <v>199</v>
      </c>
      <c r="P427" s="17">
        <v>43858</v>
      </c>
      <c r="Q427" s="5">
        <f>VLOOKUP(G427,'CBs RAW'!$E$2:$P$427,12)</f>
        <v>3.625</v>
      </c>
      <c r="R427" s="17">
        <v>46415</v>
      </c>
      <c r="S427" s="6" t="s">
        <v>173</v>
      </c>
      <c r="T427" s="6" t="s">
        <v>189</v>
      </c>
      <c r="U427" s="6" t="s">
        <v>49</v>
      </c>
      <c r="V427" s="6" t="s">
        <v>53</v>
      </c>
      <c r="W427" s="6" t="s">
        <v>3472</v>
      </c>
      <c r="X427" s="18">
        <f>VLOOKUP(G427,'CBs RAW'!$E$2:$W$427,19)</f>
        <v>3.9780000000000002</v>
      </c>
      <c r="Y427" s="19">
        <f t="shared" si="0"/>
        <v>3.9780000000000002</v>
      </c>
      <c r="Z427" s="2" t="str">
        <f t="shared" si="1"/>
        <v>Webuild SpAAT MATURITYFIXEDEURSr Unsecured</v>
      </c>
    </row>
  </sheetData>
  <autoFilter ref="A1:Z427" xr:uid="{00000000-0009-0000-0000-000001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55"/>
  <sheetViews>
    <sheetView workbookViewId="0">
      <selection activeCell="O2" sqref="O2"/>
    </sheetView>
  </sheetViews>
  <sheetFormatPr baseColWidth="10" defaultColWidth="14.5" defaultRowHeight="15" customHeight="1" x14ac:dyDescent="0.2"/>
  <sheetData>
    <row r="1" spans="1:16" x14ac:dyDescent="0.2">
      <c r="A1" s="20" t="s">
        <v>3473</v>
      </c>
      <c r="B1" s="21" t="s">
        <v>3474</v>
      </c>
      <c r="C1" s="21" t="s">
        <v>3475</v>
      </c>
      <c r="E1" s="2" t="s">
        <v>3476</v>
      </c>
      <c r="F1" s="2" t="s">
        <v>3477</v>
      </c>
      <c r="H1" s="1" t="s">
        <v>3478</v>
      </c>
      <c r="I1" s="1" t="s">
        <v>3479</v>
      </c>
      <c r="J1" s="2" t="s">
        <v>3480</v>
      </c>
      <c r="K1" s="2" t="s">
        <v>3481</v>
      </c>
      <c r="L1" s="2" t="s">
        <v>3482</v>
      </c>
      <c r="M1" s="2" t="s">
        <v>3483</v>
      </c>
      <c r="O1" s="2" t="s">
        <v>3484</v>
      </c>
      <c r="P1" s="2" t="s">
        <v>3485</v>
      </c>
    </row>
    <row r="2" spans="1:16" x14ac:dyDescent="0.2">
      <c r="A2" s="21">
        <v>0</v>
      </c>
      <c r="B2" s="22">
        <v>2</v>
      </c>
      <c r="C2" s="22">
        <v>2</v>
      </c>
      <c r="E2" s="2">
        <f ca="1">IFERROR(__xludf.DUMMYFUNCTION("unique(B2:B155)"),2)</f>
        <v>2</v>
      </c>
      <c r="F2" s="2">
        <f ca="1">IFERROR(__xludf.DUMMYFUNCTION("unique(C2:C155)"),2)</f>
        <v>2</v>
      </c>
      <c r="H2" s="2">
        <f ca="1">VLOOKUP(E2, SLBs!$A$2:$AN$293, 36, FALSE)</f>
        <v>0</v>
      </c>
      <c r="I2" s="2" t="str">
        <f ca="1">VLOOKUP($E2, SLBs!$A$2:$AN$293, 37, FALSE)</f>
        <v>ENVIRONMENT</v>
      </c>
      <c r="J2" s="2" t="str">
        <f ca="1">VLOOKUP($E2, SLBs!$A$2:$AO$293, 38, FALSE)</f>
        <v>Bookrunner Banco Bilbao Vizcaya Argentari BBVA JLMB Joint Lead Managers-Books 0 1 2022-03-09 Bookrunner Banco Santander SA/London SANTAN JLMB Joint Lead Managers-Books 0 1 2022-03-09 Bookrunner BNP Paribas BNPP JLMB Joint Lead Managers-Books 0 1 2022-03-09 Bookrunner Citigroup Global Markets Ltd CITI JLMB Joint Lead Managers-Books 0 1 2022-03-09 Bookrunner Credit Agricole CIB CACIB JLMB Joint Lead Managers-Books 0 1 2022-03-09 Bookrunner Intesa Sanpaolo SpA/London INTESA JLMB Joint Lead Managers-Books 0 1 2022-03-09 Bookrunner JP Morgan JPM JLMB Joint Lead Managers-Books 0 1 2022-03-09 Bookrunner Mediobanca-Banca di Credito Fi MEDIF JLMB Joint Lead Managers-Books 0 1 2022-03-09 Bookrunner Societe Generale SG JLMB Joint Lead Managers-Books 0 1 2022-03-09 Bookrunner UniCredit Bank AG/London UNICRD JLMB Joint Lead Managers-Books 0 1 2022-03-09 NonBookrunner Citigroup Global Markets Ltd CITI GLCO Global Coordinator(s) 0 1 2022-03-09 NonBookrunner Mediobanca-Banca di Credito Fi MEDIF GLCO Global Coordinator(s) 0 1 2022-03-09 Trustee Bank of New York Mellon/London BNY AGNT Agent(s) 0 7 2022-03-09 Trustee Bank of New York Mellon Luxemb BNYM LIST Listing Agent(s) 0 7 2022-03-09 Trustee Orrick Herrington &amp; Sutcliffe ORRICK LAI Legal Adviser to the Issuer(s) 0 16 2022-03-09 Trustee Allen &amp; Overy/Rome ALOVIT LAM Legal Adviser(s) to the Manage 0 16 2022-03-09 Trustee Allen &amp; Overy/Milan IT LAM Legal Adviser(s) to the Manage 0 16 2022-03-09</v>
      </c>
      <c r="K2" s="2">
        <f t="shared" ref="K2:K57" ca="1" si="0">IF(H2="#N/A N/A",IF(I2="#N/A N/A",J2,I2),H2)</f>
        <v>0</v>
      </c>
      <c r="L2" s="2" t="e">
        <f t="shared" ref="L2:L57" ca="1" si="1">H2-I2</f>
        <v>#VALUE!</v>
      </c>
      <c r="M2" s="2" t="e">
        <f ca="1">AVERAGE(IFERROR(L2:L57,""))</f>
        <v>#VALUE!</v>
      </c>
      <c r="O2" s="2" t="str">
        <f ca="1">VLOOKUP(F2,CBs!$A$2:$Z$427,5)</f>
        <v>#N/A N/A</v>
      </c>
      <c r="P2" s="19">
        <f ca="1">VLOOKUP(F2,CBs!$A$2:$Z$427,24)</f>
        <v>1.68</v>
      </c>
    </row>
    <row r="3" spans="1:16" x14ac:dyDescent="0.2">
      <c r="A3" s="21">
        <v>1</v>
      </c>
      <c r="B3" s="22">
        <v>1</v>
      </c>
      <c r="C3" s="22">
        <v>3</v>
      </c>
      <c r="E3" s="2">
        <f ca="1">IFERROR(__xludf.DUMMYFUNCTION("""COMPUTED_VALUE"""),1)</f>
        <v>1</v>
      </c>
      <c r="F3" s="2">
        <f ca="1">IFERROR(__xludf.DUMMYFUNCTION("""COMPUTED_VALUE"""),3)</f>
        <v>3</v>
      </c>
      <c r="H3" s="2">
        <f ca="1">VLOOKUP(E3, SLBs!$A$2:$AN$293, 36, FALSE)</f>
        <v>0</v>
      </c>
      <c r="I3" s="2" t="str">
        <f ca="1">VLOOKUP($E3, SLBs!$A$2:$AN$293, 37, FALSE)</f>
        <v>ENVIRONMENT</v>
      </c>
      <c r="J3" s="2" t="str">
        <f ca="1">VLOOKUP($E3, SLBs!$A$2:$AO$293, 38, FALSE)</f>
        <v>Bookrunner Banco Bilbao Vizcaya London Br BBV JLMB Joint Lead Managers-Books 0 1 2021-07-07 Bookrunner Banco Santander SA/London SANTAN JLMB Joint Lead Managers-Books 0 1 2021-07-07 Bookrunner BNP Paribas/London BNPPAR JLMB Joint Lead Managers-Books 0 1 2021-07-07 Bookrunner Citigroup Global Markets Ltd CITI JLMB Joint Lead Managers-Books 0 1 2021-07-07 Bookrunner IMI - Intesa Sanpaolo IMI JLMB Joint Lead Managers-Books 0 1 2021-07-07 Bookrunner JP Morgan Securities PLC JPM JLMB Joint Lead Managers-Books 0 1 2021-07-07 Bookrunner Mediobanca MEDBCA JLMB Joint Lead Managers-Books 0 1 2021-07-07 Bookrunner Societe Generale SG JLMB Joint Lead Managers-Books 0 1 2021-07-07 Bookrunner UniCredit Bank AG/London UNICRD JLMB Joint Lead Managers-Books 0 1 2021-07-07 NonBookrunner JP Morgan Securities PLC JPM GLCO Global Coordinator(s) 0 1 2021-07-07 NonBookrunner UniCredit Bank AG/London UNICRD GLCO Global Coordinator(s) 0 1 2021-07-07 NonBookrunner JP Morgan Securities PLC JPM ESGA ESG Agent 0 1 2021-07-07 NonBookrunner UniCredit Bank AG/London UNICRD ESGA ESG Agent 0 1 2021-07-07 Trustee Bank of New York Mellon/London BNY AGNT Agent(s) 0 7 2021-07-07 Trustee Bank of New York Mellon SA-NV/ BANKOF LIST Listing Agent(s) 0 7 2021-07-07 Trustee Orrick Herrington &amp; Sutcliffe ORRICK LAI Legal Adviser to the Issuer(s) 0 16 2021-07-07 Trustee Allen &amp; Overy/Rome ALOVIT LAM Legal Adviser(s) to the Manage 0 16 2021-07-07 Trustee Allen &amp; Overy/Milan IT LAM Legal Adviser(s) to the Manage 0 16 2021-07-07 ESG Assurance Provider Vigeo SASV VIGEO SNPC 2nd Party Consultant 0 30 2021-07-07</v>
      </c>
      <c r="K3" s="2">
        <f t="shared" ca="1" si="0"/>
        <v>0</v>
      </c>
      <c r="L3" s="2" t="e">
        <f t="shared" ca="1" si="1"/>
        <v>#VALUE!</v>
      </c>
      <c r="O3" s="2" t="str">
        <f ca="1">VLOOKUP(F3,CBs!$A$2:$Z$427,5)</f>
        <v>#N/A N/A</v>
      </c>
      <c r="P3" s="19">
        <f ca="1">VLOOKUP(F3,CBs!$A$2:$Z$427,24)</f>
        <v>0.60899999999999999</v>
      </c>
    </row>
    <row r="4" spans="1:16" x14ac:dyDescent="0.2">
      <c r="A4" s="21">
        <v>2</v>
      </c>
      <c r="B4" s="22">
        <v>2</v>
      </c>
      <c r="C4" s="22">
        <v>3</v>
      </c>
      <c r="E4" s="2">
        <f ca="1">IFERROR(__xludf.DUMMYFUNCTION("""COMPUTED_VALUE"""),6)</f>
        <v>6</v>
      </c>
      <c r="F4" s="2">
        <f ca="1">IFERROR(__xludf.DUMMYFUNCTION("""COMPUTED_VALUE"""),7)</f>
        <v>7</v>
      </c>
      <c r="H4" s="2" t="str">
        <f ca="1">VLOOKUP(E4, SLBs!$A$2:$AN$293, 36, FALSE)</f>
        <v>yes</v>
      </c>
      <c r="I4" s="2" t="str">
        <f ca="1">VLOOKUP($E4, SLBs!$A$2:$AN$293, 37, FALSE)</f>
        <v>ENVIRONMENT</v>
      </c>
      <c r="J4" s="2" t="str">
        <f ca="1">VLOOKUP($E4, SLBs!$A$2:$AO$293, 38, FALSE)</f>
        <v>Bookrunner Banco Santander SANT JLMB Joint Lead Managers-Books 0 1 2021-11-18 Bookrunner Commerzbank COBA JLMB Joint Lead Managers-Books 0 1 2021-11-18 Bookrunner Credit Agricole CIB CACIB JLMB Joint Lead Managers-Books 0 1 2021-11-18 Bookrunner HSBC HSBC JLMB Joint Lead Managers-Books 0 1 2021-11-18 Bookrunner MUFG Securities EMEA PLC MUFG JLMB Joint Lead Managers-Books 0 1 2021-11-18 Bookrunner Societe Generale SG JLMB Joint Lead Managers-Books 0 1 2021-11-18 Bookrunner UniCredit UNICRD JLMB Joint Lead Managers-Books 0 1 2021-11-18 NonBookrunner Credit Agricole CIB CACIB GLCO Global Coordinator(s) 0 1 2021-11-18 NonBookrunner HSBC HSBC GLCO Global Coordinator(s) 0 1 2021-11-18 Trustee Allen &amp; Overy LLP ALLOVR LAM Legal Adviser(s) to the Manage 0 16 2021-11-18 ESG Assurance Provider Sustainalytics BV SUSANA SNPC 2nd Party Consultant 0 30 2021-11-18</v>
      </c>
      <c r="K4" s="2" t="str">
        <f t="shared" ca="1" si="0"/>
        <v>yes</v>
      </c>
      <c r="L4" s="2" t="e">
        <f t="shared" ca="1" si="1"/>
        <v>#VALUE!</v>
      </c>
      <c r="O4" s="2" t="str">
        <f ca="1">VLOOKUP(F4,CBs!$A$2:$Z$427,5)</f>
        <v>#N/A N/A</v>
      </c>
      <c r="P4" s="19">
        <f ca="1">VLOOKUP(F4,CBs!$A$2:$Z$427,24)</f>
        <v>2.36</v>
      </c>
    </row>
    <row r="5" spans="1:16" x14ac:dyDescent="0.2">
      <c r="A5" s="21">
        <v>3</v>
      </c>
      <c r="B5" s="22">
        <v>6</v>
      </c>
      <c r="C5" s="22">
        <v>7</v>
      </c>
      <c r="E5" s="2">
        <f ca="1">IFERROR(__xludf.DUMMYFUNCTION("""COMPUTED_VALUE"""),17)</f>
        <v>17</v>
      </c>
      <c r="F5" s="2">
        <f ca="1">IFERROR(__xludf.DUMMYFUNCTION("""COMPUTED_VALUE"""),18)</f>
        <v>18</v>
      </c>
      <c r="H5" s="2">
        <f ca="1">VLOOKUP(E5, SLBs!$A$2:$AN$293, 36, FALSE)</f>
        <v>0</v>
      </c>
      <c r="I5" s="2" t="str">
        <f ca="1">VLOOKUP($E5, SLBs!$A$2:$AN$293, 37, FALSE)</f>
        <v>ENVIRONMENT</v>
      </c>
      <c r="J5" s="2" t="str">
        <f ca="1">VLOOKUP($E5, SLBs!$A$2:$AO$293, 38, FALSE)</f>
        <v>Bookrunner Banco Bilbao Vizcaya Argentari BBVA JLMB Joint Lead Managers-Books 0 1 2021-11-04 Bookrunner Banco Santander SANT JLMB Joint Lead Managers-Books 0 1 2021-11-04 Bookrunner Bank of America BA JLMB Joint Lead Managers-Books 0 1 2021-11-04 Bookrunner BNP Paribas BNPP JLMB Joint Lead Managers-Books 0 1 2021-11-04 Bookrunner CM-CIC Securities SA CMCIC JLMB Joint Lead Managers-Books 0 1 2021-11-04 Bookrunner Commerzbank COBA JLMB Joint Lead Managers-Books 0 1 2021-11-04 Bookrunner Credit Agricole CIB CACIB JLMB Joint Lead Managers-Books 0 1 2021-11-04 Bookrunner Deutsche Bank DB JLMB Joint Lead Managers-Books 0 1 2021-11-04 Bookrunner HSBC HSBC JLMB Joint Lead Managers-Books 0 1 2021-11-04 Bookrunner ING Groep ING JLMB Joint Lead Managers-Books 0 1 2021-11-04 Bookrunner JP Morgan Securities PLC JPM JLMB Joint Lead Managers-Books 0 1 2021-11-04 Bookrunner Morgan Stanley &amp; Co Internatio MS JLMB Joint Lead Managers-Books 0 1 2021-11-04 Bookrunner Natixis NATIX JLMB Joint Lead Managers-Books 0 1 2021-11-04 Bookrunner SMBC Nikko Capital Markets Ltd SMBNIK JLMB Joint Lead Managers-Books 0 1 2021-11-04 Bookrunner Societe Generale SG JLMB Joint Lead Managers-Books 0 1 2021-11-04 Bookrunner UniCredit UNICRD JLMB Joint Lead Managers-Books 0 1 2021-11-04 Bookrunner Wells Fargo WFC JLMB Joint Lead Managers-Books 0 1 2021-11-04 NonBookrunner BNP Paribas BNPP GLCO Global Coordinator(s) 0 1 2021-11-04 NonBookrunner Deutsche Bank DB GLCO Global Coordinator(s) 0 1 2021-11-04 NonBookrunner JP Morgan Securities PLC JPM GLCO Global Coordinator(s) 0 1 2021-11-04 Trustee White &amp; Case LLP W&amp;C LAI Legal Adviser to the Issuer(s) 0 16 2021-11-04 Trustee Linklaters LLP L&amp;A LAM Legal Adviser(s) to the Manage 0 16 2021-11-04 ESG Assurance Provider Sustainalytics BV SUSANA SNPC 2nd Party Consultant 0 30 2021-10-28</v>
      </c>
      <c r="K5" s="2">
        <f t="shared" ca="1" si="0"/>
        <v>0</v>
      </c>
      <c r="L5" s="2" t="e">
        <f t="shared" ca="1" si="1"/>
        <v>#VALUE!</v>
      </c>
      <c r="O5" s="2" t="str">
        <f ca="1">VLOOKUP(F5,CBs!$A$2:$Z$427,5)</f>
        <v>#N/A N/A</v>
      </c>
      <c r="P5" s="19">
        <f ca="1">VLOOKUP(F5,CBs!$A$2:$Z$427,24)</f>
        <v>2.456</v>
      </c>
    </row>
    <row r="6" spans="1:16" x14ac:dyDescent="0.2">
      <c r="A6" s="21">
        <v>4</v>
      </c>
      <c r="B6" s="22">
        <v>17</v>
      </c>
      <c r="C6" s="22">
        <v>18</v>
      </c>
      <c r="E6" s="2">
        <f ca="1">IFERROR(__xludf.DUMMYFUNCTION("""COMPUTED_VALUE"""),32)</f>
        <v>32</v>
      </c>
      <c r="F6" s="2">
        <f ca="1">IFERROR(__xludf.DUMMYFUNCTION("""COMPUTED_VALUE"""),117)</f>
        <v>117</v>
      </c>
      <c r="H6" s="2">
        <f ca="1">VLOOKUP(E6, SLBs!$A$2:$AN$293, 36, FALSE)</f>
        <v>0</v>
      </c>
      <c r="I6" s="2" t="str">
        <f ca="1">VLOOKUP($E6, SLBs!$A$2:$AN$293, 37, FALSE)</f>
        <v>ESG SCORE</v>
      </c>
      <c r="J6" s="2" t="str">
        <f ca="1">VLOOKUP($E6, SLBs!$A$2:$AO$293, 38, FALSE)</f>
        <v>Bookrunner Landesbank Baden-Wuerttemberg LBBW SOLE Sole Manager 0 1 2021-11-10</v>
      </c>
      <c r="K6" s="2">
        <f t="shared" ca="1" si="0"/>
        <v>0</v>
      </c>
      <c r="L6" s="2" t="e">
        <f t="shared" ca="1" si="1"/>
        <v>#VALUE!</v>
      </c>
      <c r="O6" s="2" t="str">
        <f ca="1">VLOOKUP(F6,CBs!$A$2:$Z$427,5)</f>
        <v>#N/A N/A</v>
      </c>
      <c r="P6" s="19" t="str">
        <f ca="1">VLOOKUP(F6,CBs!$A$2:$Z$427,24)</f>
        <v>#N/A N/A</v>
      </c>
    </row>
    <row r="7" spans="1:16" x14ac:dyDescent="0.2">
      <c r="A7" s="21">
        <v>5</v>
      </c>
      <c r="B7" s="22">
        <v>32</v>
      </c>
      <c r="C7" s="22">
        <v>117</v>
      </c>
      <c r="E7" s="2">
        <f ca="1">IFERROR(__xludf.DUMMYFUNCTION("""COMPUTED_VALUE"""),37)</f>
        <v>37</v>
      </c>
      <c r="F7" s="2">
        <f ca="1">IFERROR(__xludf.DUMMYFUNCTION("""COMPUTED_VALUE"""),118)</f>
        <v>118</v>
      </c>
      <c r="H7" s="2" t="str">
        <f ca="1">VLOOKUP(E7, SLBs!$A$2:$AN$293, 36, FALSE)</f>
        <v>yes</v>
      </c>
      <c r="I7" s="2" t="str">
        <f ca="1">VLOOKUP($E7, SLBs!$A$2:$AN$293, 37, FALSE)</f>
        <v>ENVIRONMENT</v>
      </c>
      <c r="J7" s="2" t="str">
        <f ca="1">VLOOKUP($E7, SLBs!$A$2:$AO$293, 38, FALSE)</f>
        <v>Bookrunner OP Corporate Bank PLC OPBANK SOLE Sole Manager 0 1 2022-04-06 Trustee OP Corporate Bank PLC OPBANK PAAG Paying Agent(s) 0 7 2022-04-06 ESG Assurance Provider ISS-oekom ISSOEK SNPC 2nd Party Consultant 0 30 2022-04-06</v>
      </c>
      <c r="K7" s="2" t="str">
        <f t="shared" ca="1" si="0"/>
        <v>yes</v>
      </c>
      <c r="L7" s="2" t="e">
        <f t="shared" ca="1" si="1"/>
        <v>#VALUE!</v>
      </c>
      <c r="O7" s="2" t="str">
        <f ca="1">VLOOKUP(F7,CBs!$A$2:$Z$427,5)</f>
        <v>#N/A N/A</v>
      </c>
      <c r="P7" s="19" t="str">
        <f ca="1">VLOOKUP(F7,CBs!$A$2:$Z$427,24)</f>
        <v>#N/A N/A</v>
      </c>
    </row>
    <row r="8" spans="1:16" x14ac:dyDescent="0.2">
      <c r="A8" s="21">
        <v>6</v>
      </c>
      <c r="B8" s="22">
        <v>32</v>
      </c>
      <c r="C8" s="22">
        <v>118</v>
      </c>
      <c r="E8" s="2">
        <f ca="1">IFERROR(__xludf.DUMMYFUNCTION("""COMPUTED_VALUE"""),38)</f>
        <v>38</v>
      </c>
      <c r="F8" s="2">
        <f ca="1">IFERROR(__xludf.DUMMYFUNCTION("""COMPUTED_VALUE"""),119)</f>
        <v>119</v>
      </c>
      <c r="H8" s="2">
        <f ca="1">VLOOKUP(E8, SLBs!$A$2:$AN$293, 36, FALSE)</f>
        <v>0</v>
      </c>
      <c r="I8" s="2" t="str">
        <f ca="1">VLOOKUP($E8, SLBs!$A$2:$AN$293, 37, FALSE)</f>
        <v>ENVIRONMENT</v>
      </c>
      <c r="J8" s="2" t="str">
        <f ca="1">VLOOKUP($E8, SLBs!$A$2:$AO$293, 38, FALSE)</f>
        <v>Bookrunner Banco Bilbao Vizcaya Argentari BBVA JLMB Joint Lead Managers-Books 0 1 2022-03-23 Bookrunner BNP Paribas BNPP JLMB Joint Lead Managers-Books 0 1 2022-03-23 Bookrunner BofA Securities Europe SA BOFAS JLMB Joint Lead Managers-Books 0 1 2022-03-23 Bookrunner Credit Agricole CIB CACIB JLMB Joint Lead Managers-Books 0 1 2022-03-23 Bookrunner Helaba Frankfurt HELABA JLMB Joint Lead Managers-Books 0 1 2022-03-23 Bookrunner HSBC Bank PLC HSBC JLMB Joint Lead Managers-Books 0 1 2022-03-23 Bookrunner Societe Generale SG JLMB Joint Lead Managers-Books 0 1 2022-03-23 Bookrunner UniCredit UNICRD JLMB Joint Lead Managers-Books 0 1 2022-03-23 NonBookrunner BNP Paribas BNPP GLCO Global Coordinator(s) 0 1 2022-03-23 NonBookrunner BofA Securities Europe SA BOFAS GLCO Global Coordinator(s) 0 1 2022-03-23 NonBookrunner Credit Agricole CIB CACIB GLCO Global Coordinator(s) 0 1 2022-03-23 NonBookrunner Societe Generale SG GLCO Global Coordinator(s) 0 1 2022-03-23</v>
      </c>
      <c r="K8" s="2">
        <f t="shared" ca="1" si="0"/>
        <v>0</v>
      </c>
      <c r="L8" s="2" t="e">
        <f t="shared" ca="1" si="1"/>
        <v>#VALUE!</v>
      </c>
      <c r="O8" s="2" t="str">
        <f ca="1">VLOOKUP(F8,CBs!$A$2:$Z$427,5)</f>
        <v>#N/A N/A</v>
      </c>
      <c r="P8" s="19" t="str">
        <f ca="1">VLOOKUP(F8,CBs!$A$2:$Z$427,24)</f>
        <v>#N/A N/A</v>
      </c>
    </row>
    <row r="9" spans="1:16" x14ac:dyDescent="0.2">
      <c r="A9" s="21">
        <v>7</v>
      </c>
      <c r="B9" s="22">
        <v>37</v>
      </c>
      <c r="C9" s="22">
        <v>119</v>
      </c>
      <c r="E9" s="2">
        <f ca="1">IFERROR(__xludf.DUMMYFUNCTION("""COMPUTED_VALUE"""),39)</f>
        <v>39</v>
      </c>
      <c r="F9" s="2">
        <f ca="1">IFERROR(__xludf.DUMMYFUNCTION("""COMPUTED_VALUE"""),123)</f>
        <v>123</v>
      </c>
      <c r="H9" s="2">
        <f ca="1">VLOOKUP(E9, SLBs!$A$2:$AN$293, 36, FALSE)</f>
        <v>0</v>
      </c>
      <c r="I9" s="2" t="str">
        <f ca="1">VLOOKUP($E9, SLBs!$A$2:$AN$293, 37, FALSE)</f>
        <v>ENVIRONMENT</v>
      </c>
      <c r="J9" s="2" t="str">
        <f ca="1">VLOOKUP($E9, SLBs!$A$2:$AO$293, 38, FALSE)</f>
        <v>Bookrunner Banco Bilbao Vizcaya Argentari BBVA JLMB Joint Lead Managers-Books 0 1 2022-03-23 Bookrunner BNP Paribas BNPP JLMB Joint Lead Managers-Books 0 1 2022-03-23 Bookrunner BofA Securities Europe SA BOFAS JLMB Joint Lead Managers-Books 0 1 2022-03-23 Bookrunner Credit Agricole CIB CACIB JLMB Joint Lead Managers-Books 0 1 2022-03-23 Bookrunner Helaba Frankfurt HELABA JLMB Joint Lead Managers-Books 0 1 2022-03-23 Bookrunner HSBC Bank PLC HSBC JLMB Joint Lead Managers-Books 0 1 2022-03-23 Bookrunner Societe Generale SG JLMB Joint Lead Managers-Books 0 1 2022-03-23 Bookrunner UniCredit UNICRD JLMB Joint Lead Managers-Books 0 1 2022-03-23 NonBookrunner BNP Paribas BNPP GLCO Global Coordinator(s) 0 1 2022-03-23 NonBookrunner BofA Securities Europe SA BOFAS GLCO Global Coordinator(s) 0 1 2022-03-23 NonBookrunner Credit Agricole CIB CACIB GLCO Global Coordinator(s) 0 1 2022-03-23 NonBookrunner Societe Generale SG GLCO Global Coordinator(s) 0 1 2022-03-23 Trustee BNP Paribas Securities Service BNPPAR PAAG Paying Agent(s) 0 7 2022-03-23 Trustee BNP Paribas Securities Service BNPPAR CALC Calculation Agent(s) 0 7 2022-03-23 Trustee BNP Paribas Securities Service BNPPAR FISC Fiscal Agent(s) 0 7 2022-03-23 Trustee Clifford Chance Europe LLP CLIFCH LAI Legal Adviser to the Issuer(s) 0 16 2022-03-23 Trustee Allen &amp; Overy ALLOVR LAM Legal Adviser(s) to the Manage 0 16 2022-03-23</v>
      </c>
      <c r="K9" s="2">
        <f t="shared" ca="1" si="0"/>
        <v>0</v>
      </c>
      <c r="L9" s="2" t="e">
        <f t="shared" ca="1" si="1"/>
        <v>#VALUE!</v>
      </c>
      <c r="O9" s="2" t="str">
        <f ca="1">VLOOKUP(F9,CBs!$A$2:$Z$427,5)</f>
        <v>#N/A N/A</v>
      </c>
      <c r="P9" s="19">
        <f ca="1">VLOOKUP(F9,CBs!$A$2:$Z$427,24)</f>
        <v>1.74</v>
      </c>
    </row>
    <row r="10" spans="1:16" x14ac:dyDescent="0.2">
      <c r="A10" s="21">
        <v>8</v>
      </c>
      <c r="B10" s="22">
        <v>38</v>
      </c>
      <c r="C10" s="22">
        <v>123</v>
      </c>
      <c r="E10" s="2">
        <f ca="1">IFERROR(__xludf.DUMMYFUNCTION("""COMPUTED_VALUE"""),46)</f>
        <v>46</v>
      </c>
      <c r="F10" s="2">
        <f ca="1">IFERROR(__xludf.DUMMYFUNCTION("""COMPUTED_VALUE"""),124)</f>
        <v>124</v>
      </c>
      <c r="H10" s="2">
        <f ca="1">VLOOKUP(E10, SLBs!$A$2:$AN$293, 36, FALSE)</f>
        <v>0</v>
      </c>
      <c r="I10" s="2" t="str">
        <f ca="1">VLOOKUP($E10, SLBs!$A$2:$AN$293, 37, FALSE)</f>
        <v>ENVIRONMENT</v>
      </c>
      <c r="J10" s="2" t="str">
        <f ca="1">VLOOKUP($E10, SLBs!$A$2:$AO$293, 38, FALSE)</f>
        <v>Bookrunner Barclays Capital BCLY JLMB Joint Lead Managers-Books 0 1 2021-02-09 Bookrunner BNP Paribas/New York BNPPAR JLMB Joint Lead Managers-Books 0 1 2021-02-09 Bookrunner Citigroup Global Markets Inc CITI JLMB Joint Lead Managers-Books 0 1 2021-02-09 Bookrunner Credit Suisse CS JLMB Joint Lead Managers-Books 0 1 2021-02-09 Bookrunner Deutsche Bank Securities Inc DB JLMB Joint Lead Managers-Books 0 1 2021-02-09 Bookrunner Goldman Sachs GS JLMB Joint Lead Managers-Books 0 1 2021-02-09 Bookrunner Societe Generale SG JLMB Joint Lead Managers-Books 0 1 2021-02-09 Bookrunner Wells Fargo Securities LLC WFS JLMB Joint Lead Managers-Books 0 1 2021-02-09 NonBookrunner IMI - Intesa Sanpaolo IMI CM Co-Manager(s) 0 1 2021-02-09 NonBookrunner Ramirez &amp; Co Inc RAM CM Co-Manager(s) 0 1 2021-02-09 Bookrunner Deutsche Bank Securities Inc DB LEFT Left Lead 0 1 2021-02-09 Trustee Deutsche Bank Trust Company Am DB PAAG Paying Agent(s) 0 7 2021-02-09 Trustee Deutsche Bank Trust Company Am DB TRST Trustee(s) 0 7 2021-02-09 Trustee Deutsche Bank Trust Company Am DB RGST Registrar(s) 0 7 2021-02-09 Trustee Clifford Chance LLP CHANCE LAI Legal Adviser to the Issuer(s) 0 16 2021-02-09 Trustee Wachtell Lipton Rosen &amp; Katz WLR&amp;K LAI Legal Adviser to the Issuer(s) 0 16 2021-02-09 Trustee Walder Wyss &amp; Partner AG WALDER LAI Legal Adviser to the Issuer(s) 0 16 2021-02-09 Trustee Latham &amp; Watkins LLP LATHAM LAM Legal Adviser(s) to the Manage 0 16 2021-02-09 ESG Assurance Provider Sustainalytics BV SUSANA SNPC 2nd Party Consultant 0 30 2021-02-09</v>
      </c>
      <c r="K10" s="2">
        <f t="shared" ca="1" si="0"/>
        <v>0</v>
      </c>
      <c r="L10" s="2" t="e">
        <f t="shared" ca="1" si="1"/>
        <v>#VALUE!</v>
      </c>
      <c r="O10" s="2" t="str">
        <f ca="1">VLOOKUP(F10,CBs!$A$2:$Z$427,5)</f>
        <v>#N/A N/A</v>
      </c>
      <c r="P10" s="19">
        <f ca="1">VLOOKUP(F10,CBs!$A$2:$Z$427,24)</f>
        <v>2.1389999999999998</v>
      </c>
    </row>
    <row r="11" spans="1:16" x14ac:dyDescent="0.2">
      <c r="A11" s="21">
        <v>9</v>
      </c>
      <c r="B11" s="22">
        <v>38</v>
      </c>
      <c r="C11" s="22">
        <v>124</v>
      </c>
      <c r="E11" s="2">
        <f ca="1">IFERROR(__xludf.DUMMYFUNCTION("""COMPUTED_VALUE"""),47)</f>
        <v>47</v>
      </c>
      <c r="F11" s="2">
        <f ca="1">IFERROR(__xludf.DUMMYFUNCTION("""COMPUTED_VALUE"""),128)</f>
        <v>128</v>
      </c>
      <c r="H11" s="2">
        <f ca="1">VLOOKUP(E11, SLBs!$A$2:$AN$293, 36, FALSE)</f>
        <v>0</v>
      </c>
      <c r="I11" s="2" t="str">
        <f ca="1">VLOOKUP($E11, SLBs!$A$2:$AN$293, 37, FALSE)</f>
        <v>ENVIRONMENT</v>
      </c>
      <c r="J11" s="2" t="str">
        <f ca="1">VLOOKUP($E11, SLBs!$A$2:$AO$293, 38, FALSE)</f>
        <v>Bookrunner Barclays Capital BCLY JLMB Joint Lead Managers-Books 0 1 2021-02-09 Bookrunner BNP Paribas/New York BNPPAR JLMB Joint Lead Managers-Books 0 1 2021-02-09 Bookrunner Citigroup Global Markets Inc CITI JLMB Joint Lead Managers-Books 0 1 2021-02-09 Bookrunner Credit Suisse CS JLMB Joint Lead Managers-Books 0 1 2021-02-09 Bookrunner Deutsche Bank Securities Inc DB JLMB Joint Lead Managers-Books 0 1 2021-02-09 Bookrunner Goldman Sachs GS JLMB Joint Lead Managers-Books 0 1 2021-02-09 Bookrunner Societe Generale SG JLMB Joint Lead Managers-Books 0 1 2021-02-09 Bookrunner Wells Fargo Securities LLC WFS JLMB Joint Lead Managers-Books 0 1 2021-02-09 NonBookrunner IMI - Intesa Sanpaolo IMI CM Co-Manager(s) 0 1 2021-02-09 NonBookrunner Ramirez &amp; Co Inc RAM CM Co-Manager(s) 0 1 2021-02-09 Bookrunner Deutsche Bank Securities Inc DB LEFT Left Lead 0 1 2021-02-09 Trustee Deutsche Bank Trust Company Am DB PAAG Paying Agent(s) 0 7 2021-02-09 Trustee Deutsche Bank Trust Company Am DB TRST Trustee(s) 0 7 2021-02-09 Trustee Deutsche Bank Trust Company Am DB RGST Registrar(s) 0 7 2021-02-09 Trustee Clifford Chance LLP CHANCE LAI Legal Adviser to the Issuer(s) 0 16 2021-02-09 Trustee Wachtell Lipton Rosen &amp; Katz WLR&amp;K LAI Legal Adviser to the Issuer(s) 0 16 2021-02-09 Trustee Walder Wyss &amp; Partner AG WALDER LAI Legal Adviser to the Issuer(s) 0 16 2021-02-09 Trustee Latham &amp; Watkins LLP LATHAM LAM Legal Adviser(s) to the Manage 0 16 2021-02-09</v>
      </c>
      <c r="K11" s="2">
        <f t="shared" ca="1" si="0"/>
        <v>0</v>
      </c>
      <c r="L11" s="2" t="e">
        <f t="shared" ca="1" si="1"/>
        <v>#VALUE!</v>
      </c>
      <c r="O11" s="2" t="str">
        <f ca="1">VLOOKUP(F11,CBs!$A$2:$Z$427,5)</f>
        <v>#N/A N/A</v>
      </c>
      <c r="P11" s="19">
        <f ca="1">VLOOKUP(F11,CBs!$A$2:$Z$427,24)</f>
        <v>1.032</v>
      </c>
    </row>
    <row r="12" spans="1:16" x14ac:dyDescent="0.2">
      <c r="A12" s="21">
        <v>10</v>
      </c>
      <c r="B12" s="22">
        <v>39</v>
      </c>
      <c r="C12" s="22">
        <v>124</v>
      </c>
      <c r="E12" s="2">
        <f ca="1">IFERROR(__xludf.DUMMYFUNCTION("""COMPUTED_VALUE"""),35)</f>
        <v>35</v>
      </c>
      <c r="F12" s="2">
        <f ca="1">IFERROR(__xludf.DUMMYFUNCTION("""COMPUTED_VALUE"""),135)</f>
        <v>135</v>
      </c>
      <c r="H12" s="2">
        <f ca="1">VLOOKUP(E12, SLBs!$A$2:$AN$293, 36, FALSE)</f>
        <v>0</v>
      </c>
      <c r="I12" s="2" t="str">
        <f ca="1">VLOOKUP($E12, SLBs!$A$2:$AN$293, 37, FALSE)</f>
        <v>ENVIRONMENT</v>
      </c>
      <c r="J12" s="2" t="str">
        <f ca="1">VLOOKUP($E12, SLBs!$A$2:$AO$293, 38, FALSE)</f>
        <v>Bookrunner Bank of China International (U BCHINA JLMB Joint Lead Managers-Books 0 1 2022-01-10 Bookrunner Barclays BARCS JLMB Joint Lead Managers-Books 0 1 2022-01-10 Bookrunner Goldman Sachs International GSI JLMB Joint Lead Managers-Books 0 1 2022-01-10 Bookrunner HSBC HSBC JLMB Joint Lead Managers-Books 0 1 2022-01-10 Bookrunner Societe Generale SG JLMB Joint Lead Managers-Books 0 1 2022-01-10 Bookrunner UniCredit UNICRD JLMB Joint Lead Managers-Books 0 1 2022-01-10 NonBookrunner Goldman Sachs International GSI GLCO Global Coordinator(s) 0 1 2022-01-10 NonBookrunner HSBC HSBC GLCO Global Coordinator(s) 0 1 2022-01-10 NonBookrunner Societe Generale SG GLCO Global Coordinator(s) 0 1 2022-01-10 NonBookrunner UniCredit UNICRD GLCO Global Coordinator(s) 0 1 2022-01-10 Trustee Linklaters LLP L&amp;A LAM Legal Adviser(s) to the Manage 0 16 2022-01-10 ESG Assurance Provider Sustainalytics BV SUSANA SNPC 2nd Party Consultant 0 30 2022-01-10</v>
      </c>
      <c r="K12" s="2">
        <f t="shared" ca="1" si="0"/>
        <v>0</v>
      </c>
      <c r="L12" s="2" t="e">
        <f t="shared" ca="1" si="1"/>
        <v>#VALUE!</v>
      </c>
      <c r="O12" s="2">
        <f ca="1">VLOOKUP(F12,CBs!$A$2:$Z$427,5)</f>
        <v>5.625</v>
      </c>
      <c r="P12" s="19">
        <f ca="1">VLOOKUP(F12,CBs!$A$2:$Z$427,24)</f>
        <v>5.702</v>
      </c>
    </row>
    <row r="13" spans="1:16" x14ac:dyDescent="0.2">
      <c r="A13" s="21">
        <v>11</v>
      </c>
      <c r="B13" s="22">
        <v>38</v>
      </c>
      <c r="C13" s="22">
        <v>128</v>
      </c>
      <c r="E13" s="2">
        <f ca="1">IFERROR(__xludf.DUMMYFUNCTION("""COMPUTED_VALUE"""),73)</f>
        <v>73</v>
      </c>
      <c r="F13" s="2">
        <f ca="1">IFERROR(__xludf.DUMMYFUNCTION("""COMPUTED_VALUE"""),136)</f>
        <v>136</v>
      </c>
      <c r="H13" s="2">
        <f ca="1">VLOOKUP(E13, SLBs!$A$2:$AN$293, 36, FALSE)</f>
        <v>0</v>
      </c>
      <c r="I13" s="2" t="str">
        <f ca="1">VLOOKUP($E13, SLBs!$A$2:$AN$293, 37, FALSE)</f>
        <v>ENVIRONMENT</v>
      </c>
      <c r="J13" s="2" t="str">
        <f ca="1">VLOOKUP($E13, SLBs!$A$2:$AO$293, 38, FALSE)</f>
        <v>Bookrunner Danske Bank DANBNK JLMB Joint Lead Managers-Books 575000 1 2021-12-02 Bookrunner Skandinaviska Enskilda Banken SEB JLMB Joint Lead Managers-Books 575000 1 2021-12-02</v>
      </c>
      <c r="K13" s="2">
        <f t="shared" ca="1" si="0"/>
        <v>0</v>
      </c>
      <c r="L13" s="2" t="e">
        <f t="shared" ca="1" si="1"/>
        <v>#VALUE!</v>
      </c>
      <c r="O13" s="2">
        <f ca="1">VLOOKUP(F13,CBs!$A$2:$Z$427,5)</f>
        <v>5.625</v>
      </c>
      <c r="P13" s="19">
        <f ca="1">VLOOKUP(F13,CBs!$A$2:$Z$427,24)</f>
        <v>5.6520000000000001</v>
      </c>
    </row>
    <row r="14" spans="1:16" x14ac:dyDescent="0.2">
      <c r="A14" s="21">
        <v>12</v>
      </c>
      <c r="B14" s="22">
        <v>39</v>
      </c>
      <c r="C14" s="22">
        <v>128</v>
      </c>
      <c r="E14" s="2">
        <f ca="1">IFERROR(__xludf.DUMMYFUNCTION("""COMPUTED_VALUE"""),91)</f>
        <v>91</v>
      </c>
      <c r="F14" s="2">
        <f ca="1">IFERROR(__xludf.DUMMYFUNCTION("""COMPUTED_VALUE"""),141)</f>
        <v>141</v>
      </c>
      <c r="H14" s="2">
        <f ca="1">VLOOKUP(E14, SLBs!$A$2:$AN$293, 36, FALSE)</f>
        <v>0</v>
      </c>
      <c r="I14" s="2" t="str">
        <f ca="1">VLOOKUP($E14, SLBs!$A$2:$AN$293, 37, FALSE)</f>
        <v>ENVIRONMENT</v>
      </c>
      <c r="J14" s="2" t="str">
        <f ca="1">VLOOKUP($E14, SLBs!$A$2:$AO$293, 38, FALSE)</f>
        <v>Bookrunner Bank of America Merrill Lynch BofAML JLMB Joint Lead Managers-Books 0 1 2019-09-05 Bookrunner BNP Paribas/New York BNPPAR JLMB Joint Lead Managers-Books 0 1 2019-09-05 Bookrunner Citigroup Global Markets Inc CITI JLMB Joint Lead Managers-Books 0 1 2019-09-05 Bookrunner Credit Agricole Securities USA CASECS JLMB Joint Lead Managers-Books 0 1 2019-09-05 Bookrunner Goldman Sachs GS JLMB Joint Lead Managers-Books 0 1 2019-09-05 Bookrunner JP Morgan JPM JLMB Joint Lead Managers-Books 0 1 2019-09-05 Bookrunner Morgan Stanley MS JLMB Joint Lead Managers-Books 0 1 2019-09-05 Bookrunner Societe Generale SG JLMB Joint Lead Managers-Books 0 1 2019-09-05 ESG Assurance Provider Vigeo SASV VIGEO SNPC 2nd Party Consultant 0 30 2019-09-05</v>
      </c>
      <c r="K14" s="2">
        <f t="shared" ca="1" si="0"/>
        <v>0</v>
      </c>
      <c r="L14" s="2" t="e">
        <f t="shared" ca="1" si="1"/>
        <v>#VALUE!</v>
      </c>
      <c r="O14" s="2" t="str">
        <f ca="1">VLOOKUP(F14,CBs!$A$2:$Z$427,5)</f>
        <v>#N/A N/A</v>
      </c>
      <c r="P14" s="19">
        <f ca="1">VLOOKUP(F14,CBs!$A$2:$Z$427,24)</f>
        <v>1.5720000000000001</v>
      </c>
    </row>
    <row r="15" spans="1:16" x14ac:dyDescent="0.2">
      <c r="A15" s="21">
        <v>13</v>
      </c>
      <c r="B15" s="22">
        <v>46</v>
      </c>
      <c r="C15" s="22">
        <v>135</v>
      </c>
      <c r="E15" s="2">
        <f ca="1">IFERROR(__xludf.DUMMYFUNCTION("""COMPUTED_VALUE"""),92)</f>
        <v>92</v>
      </c>
      <c r="F15" s="2">
        <f ca="1">IFERROR(__xludf.DUMMYFUNCTION("""COMPUTED_VALUE"""),156)</f>
        <v>156</v>
      </c>
      <c r="H15" s="2">
        <f ca="1">VLOOKUP(E15, SLBs!$A$2:$AN$293, 36, FALSE)</f>
        <v>0</v>
      </c>
      <c r="I15" s="2" t="str">
        <f ca="1">VLOOKUP($E15, SLBs!$A$2:$AN$293, 37, FALSE)</f>
        <v>ENVIRONMENT</v>
      </c>
      <c r="J15" s="2" t="str">
        <f ca="1">VLOOKUP($E15, SLBs!$A$2:$AO$293, 38, FALSE)</f>
        <v>Bookrunner Bank of America Merrill Lynch BofAML JLMB Joint Lead Managers-Books 0 1 2019-09-05 Bookrunner BNP Paribas/New York BNPPAR JLMB Joint Lead Managers-Books 0 1 2019-09-05 Bookrunner Citigroup Global Markets Inc CITI JLMB Joint Lead Managers-Books 0 1 2019-09-05 Bookrunner Credit Agricole Securities USA CASECS JLMB Joint Lead Managers-Books 0 1 2019-09-05 Bookrunner Goldman Sachs GS JLMB Joint Lead Managers-Books 0 1 2019-09-05 Bookrunner JP Morgan JPM JLMB Joint Lead Managers-Books 0 1 2019-09-05 Bookrunner Morgan Stanley MS JLMB Joint Lead Managers-Books 0 1 2019-09-05 Bookrunner Societe Generale SG JLMB Joint Lead Managers-Books 0 1 2019-09-05</v>
      </c>
      <c r="K15" s="2">
        <f t="shared" ca="1" si="0"/>
        <v>0</v>
      </c>
      <c r="L15" s="2" t="e">
        <f t="shared" ca="1" si="1"/>
        <v>#VALUE!</v>
      </c>
      <c r="O15" s="2" t="str">
        <f ca="1">VLOOKUP(F15,CBs!$A$2:$Z$427,5)</f>
        <v>#N/A N/A</v>
      </c>
      <c r="P15" s="19" t="str">
        <f ca="1">VLOOKUP(F15,CBs!$A$2:$Z$427,24)</f>
        <v>#N/A N/A</v>
      </c>
    </row>
    <row r="16" spans="1:16" x14ac:dyDescent="0.2">
      <c r="A16" s="21">
        <v>14</v>
      </c>
      <c r="B16" s="22">
        <v>47</v>
      </c>
      <c r="C16" s="22">
        <v>135</v>
      </c>
      <c r="E16" s="2">
        <f ca="1">IFERROR(__xludf.DUMMYFUNCTION("""COMPUTED_VALUE"""),99)</f>
        <v>99</v>
      </c>
      <c r="F16" s="2">
        <f ca="1">IFERROR(__xludf.DUMMYFUNCTION("""COMPUTED_VALUE"""),158)</f>
        <v>158</v>
      </c>
      <c r="H16" s="2">
        <f ca="1">VLOOKUP(E16, SLBs!$A$2:$AN$293, 36, FALSE)</f>
        <v>0</v>
      </c>
      <c r="I16" s="2" t="str">
        <f ca="1">VLOOKUP($E16, SLBs!$A$2:$AN$293, 37, FALSE)</f>
        <v>ENVIRONMENT</v>
      </c>
      <c r="J16" s="2" t="str">
        <f ca="1">VLOOKUP($E16, SLBs!$A$2:$AO$293, 38, FALSE)</f>
        <v>Bookrunner BNP Paribas/London BNPPAR JLMB Joint Lead Managers-Books 0 1 2021-06-07 Bookrunner BofA Securities BofA JLMB Joint Lead Managers-Books 0 1 2021-06-07 Bookrunner Credit Agricole CIB CACIB JLMB Joint Lead Managers-Books 0 1 2021-06-07 Bookrunner Goldman Sachs International GSI JLMB Joint Lead Managers-Books 0 1 2021-06-07 Bookrunner JP Morgan Securities PLC JPM JLMB Joint Lead Managers-Books 0 1 2021-06-07 Bookrunner Morgan Stanley MS JLMB Joint Lead Managers-Books 0 1 2021-06-07 Bookrunner UniCredit UNICRD JLMB Joint Lead Managers-Books 0 1 2021-06-07 NonBookrunner Credit Agricole CIB CACIB ESGA ESG Agent 0 1 2021-06-07 NonBookrunner Goldman Sachs International GSI ESGA ESG Agent 0 1 2021-06-07 NonBookrunner UniCredit UNICRD ESGA ESG Agent 0 1 2021-06-07 Trustee Bank of New York Mellon/London BNY PAAG Paying Agent(s) 0 7 2021-06-07 Trustee Bank of New York Mellon SA-NV/ BANKOF PAAG Paying Agent(s) 0 7 2021-06-07 Trustee Banque Eni SA BANENI PAAG Paying Agent(s) 0 7 2021-06-07 Trustee Bank of New York Mellon/London BNY CALC Calculation Agent(s) 0 7 2021-06-07 Trustee Bank of New York Mellon/London BNY FISC Fiscal Agent(s) 0 7 2021-06-07 Trustee Bank of New York Mellon/London BNY TRNS Transfer Agent(s) 0 7 2021-06-07 Trustee Bank of New York Mellon SA-NV/ BANKOF TRNS Transfer Agent(s) 0 7 2021-06-07 Trustee Banque Internationale a Luxemb BIL LIST Listing Agent(s) 0 7 2021-06-07 Trustee Bank of New York Mellon SA-NV/ BANKOF RGST Registrar(s) 0 7 2021-06-07 Trustee Simmons &amp; Simmons/Rome S&amp;S LAI Legal Adviser to the Issuer(s) 0 16 2021-06-07 Trustee Simmons &amp; Simmons SISSON LAI Legal Adviser to the Issuer(s) 0 16 2021-06-07 Trustee Simmons &amp; Simmons/Brussels S&amp;S LAI Legal Adviser to the Issuer(s) 0 16 2021-06-07 Trustee Linklaters LLP/Belgium LINLAT LAM Legal Adviser(s) to the Manage 0 16 2021-06-07 Trustee Studio Legale Associato assoc LINKLA LAM Legal Adviser(s) to the Manage 0 16 2021-06-07 Trustee Clifford Chance Studio Legale CLFLEG LATX Legal Adviser(s) to Tax 0 16 2021-06-07 ESG Assurance Provider Vigeo SASV VIGEO SNPC 2nd Party Consultant 0 30 2021-06-07</v>
      </c>
      <c r="K16" s="2">
        <f t="shared" ca="1" si="0"/>
        <v>0</v>
      </c>
      <c r="L16" s="2" t="e">
        <f t="shared" ca="1" si="1"/>
        <v>#VALUE!</v>
      </c>
      <c r="O16" s="2">
        <f ca="1">VLOOKUP(F16,CBs!$A$2:$Z$427,5)</f>
        <v>4.7600000000000007</v>
      </c>
      <c r="P16" s="19">
        <f ca="1">VLOOKUP(F16,CBs!$A$2:$Z$427,24)</f>
        <v>4.72</v>
      </c>
    </row>
    <row r="17" spans="1:16" x14ac:dyDescent="0.2">
      <c r="A17" s="21">
        <v>15</v>
      </c>
      <c r="B17" s="22">
        <v>46</v>
      </c>
      <c r="C17" s="22">
        <v>136</v>
      </c>
      <c r="E17" s="2">
        <f ca="1">IFERROR(__xludf.DUMMYFUNCTION("""COMPUTED_VALUE"""),104)</f>
        <v>104</v>
      </c>
      <c r="F17" s="2">
        <f ca="1">IFERROR(__xludf.DUMMYFUNCTION("""COMPUTED_VALUE"""),159)</f>
        <v>159</v>
      </c>
      <c r="H17" s="2">
        <f ca="1">VLOOKUP(E17, SLBs!$A$2:$AN$293, 36, FALSE)</f>
        <v>0</v>
      </c>
      <c r="I17" s="2" t="str">
        <f ca="1">VLOOKUP($E17, SLBs!$A$2:$AN$293, 37, FALSE)</f>
        <v>ENVIRONMENT</v>
      </c>
      <c r="J17" s="2" t="str">
        <f ca="1">VLOOKUP($E17, SLBs!$A$2:$AO$293, 38, FALSE)</f>
        <v>Bookrunner Banca IMI B.IMI JLMB Joint Lead Managers-Books 0 1 2021-11-03 Bookrunner Commerzbank COBA JLMB Joint Lead Managers-Books 0 1 2021-11-03 Bookrunner Credit Agricole CIB CACIB JLMB Joint Lead Managers-Books 0 1 2021-11-03 Bookrunner Deutsche Bank DB JLMB Joint Lead Managers-Books 0 1 2021-11-03 Bookrunner SMBC Nikko Capital Markets Ltd SMBNIK JLMB Joint Lead Managers-Books 0 1 2021-11-03 Bookrunner Societe Generale SG JLMB Joint Lead Managers-Books 0 1 2021-11-03 Bookrunner UniCredit UNICRD JLMB Joint Lead Managers-Books 0 1 2021-11-03 NonBookrunner Banco Sabadell SABADL CM Co-Manager(s) 0 1 2021-11-03 NonBookrunner Credit Industriel et Commercia CIC CM Co-Manager(s) 0 1 2021-11-03 NonBookrunner MUFG Securities EMEA PLC MUFG CM Co-Manager(s) 0 1 2021-11-03 NonBookrunner Commerzbank COBA GLCO Global Coordinator(s) 0 1 2021-11-03 NonBookrunner Credit Agricole CIB CACIB GLCO Global Coordinator(s) 0 1 2021-11-03 NonBookrunner Societe Generale SG GLCO Global Coordinator(s) 0 1 2021-11-03 Trustee White &amp; Case LLP W&amp;C LAI Legal Adviser to the Issuer(s) 0 16 2021-11-03 Trustee Latham &amp; Watkins LLP LATHAM LAM Legal Adviser(s) to the Manage 0 16 2021-11-03 ESG Assurance Provider ISS-oekom ISSOEK SNPC 2nd Party Consultant 0 30 2021-11-03</v>
      </c>
      <c r="K17" s="2">
        <f t="shared" ca="1" si="0"/>
        <v>0</v>
      </c>
      <c r="L17" s="2" t="e">
        <f t="shared" ca="1" si="1"/>
        <v>#VALUE!</v>
      </c>
      <c r="O17" s="2">
        <f ca="1">VLOOKUP(F17,CBs!$A$2:$Z$427,5)</f>
        <v>4.7600000000000007</v>
      </c>
      <c r="P17" s="19">
        <f ca="1">VLOOKUP(F17,CBs!$A$2:$Z$427,24)</f>
        <v>4.7149999999999999</v>
      </c>
    </row>
    <row r="18" spans="1:16" x14ac:dyDescent="0.2">
      <c r="A18" s="21">
        <v>16</v>
      </c>
      <c r="B18" s="22">
        <v>47</v>
      </c>
      <c r="C18" s="22">
        <v>136</v>
      </c>
      <c r="E18" s="2">
        <f ca="1">IFERROR(__xludf.DUMMYFUNCTION("""COMPUTED_VALUE"""),110)</f>
        <v>110</v>
      </c>
      <c r="F18" s="2">
        <f ca="1">IFERROR(__xludf.DUMMYFUNCTION("""COMPUTED_VALUE"""),160)</f>
        <v>160</v>
      </c>
      <c r="H18" s="2">
        <f ca="1">VLOOKUP(E18, SLBs!$A$2:$AN$293, 36, FALSE)</f>
        <v>0</v>
      </c>
      <c r="I18" s="2" t="str">
        <f ca="1">VLOOKUP($E18, SLBs!$A$2:$AN$293, 37, FALSE)</f>
        <v>ENVIRONMENT</v>
      </c>
      <c r="J18" s="2" t="str">
        <f ca="1">VLOOKUP($E18, SLBs!$A$2:$AO$293, 38, FALSE)</f>
        <v>Bookrunner Commerzbank COBA JLMB Joint Lead Managers-Books 0 4 2022-01-12 Bookrunner Landesbank Hessen-Thuringen Gi HELABA JLMB Joint Lead Managers-Books 0 4 2022-01-12 NonBookrunner Australia &amp; New Zealand Bankin ANZ COAR Co-Arranger(s) 0 4 2022-01-12 NonBookrunner Bankinter BKINT COAR Co-Arranger(s) 0 4 2022-01-12 NonBookrunner Intesa Sanpaolo INTES COAR Co-Arranger(s) 0 4 2022-01-12 NonBookrunner Raiffeisen Bank International RAIINT COAR Co-Arranger(s) 0 4 2022-01-12 Bookrunner Commerzbank COBA JLMB Joint Lead Managers-Books 0 1 2021-12-22 Bookrunner Landesbank Hessen-Thuringen Gi HELABA JLMB Joint Lead Managers-Books 0 1 2021-12-22 NonBookrunner Australia &amp; New Zealand Bankin ANZ COAR Co-Arranger(s) 0 1 2021-12-22 NonBookrunner Bankinter BKINT COAR Co-Arranger(s) 0 1 2021-12-22 NonBookrunner Intesa Sanpaolo INTES COAR Co-Arranger(s) 0 1 2021-12-22 NonBookrunner Raiffeisen Bank International RAIINT COAR Co-Arranger(s) 0 1 2021-12-22 ESG Assurance Provider ISS-oekom ISSOEK SNPC 2nd Party Consultant 0 30 2021-12-22</v>
      </c>
      <c r="K18" s="2">
        <f t="shared" ca="1" si="0"/>
        <v>0</v>
      </c>
      <c r="L18" s="2" t="e">
        <f t="shared" ca="1" si="1"/>
        <v>#VALUE!</v>
      </c>
      <c r="O18" s="2">
        <f ca="1">VLOOKUP(F18,CBs!$A$2:$Z$427,5)</f>
        <v>3.7470000000000003</v>
      </c>
      <c r="P18" s="19">
        <f ca="1">VLOOKUP(F18,CBs!$A$2:$Z$427,24)</f>
        <v>3.742</v>
      </c>
    </row>
    <row r="19" spans="1:16" x14ac:dyDescent="0.2">
      <c r="A19" s="21">
        <v>17</v>
      </c>
      <c r="B19" s="22">
        <v>35</v>
      </c>
      <c r="C19" s="22">
        <v>141</v>
      </c>
      <c r="E19" s="2">
        <f ca="1">IFERROR(__xludf.DUMMYFUNCTION("""COMPUTED_VALUE"""),106)</f>
        <v>106</v>
      </c>
      <c r="F19" s="2">
        <f ca="1">IFERROR(__xludf.DUMMYFUNCTION("""COMPUTED_VALUE"""),161)</f>
        <v>161</v>
      </c>
      <c r="H19" s="2">
        <f ca="1">VLOOKUP(E19, SLBs!$A$2:$AN$293, 36, FALSE)</f>
        <v>0</v>
      </c>
      <c r="I19" s="2" t="str">
        <f ca="1">VLOOKUP($E19, SLBs!$A$2:$AN$293, 37, FALSE)</f>
        <v>ENVIRONMENT</v>
      </c>
      <c r="J19" s="2" t="str">
        <f ca="1">VLOOKUP($E19, SLBs!$A$2:$AO$293, 38, FALSE)</f>
        <v>Bookrunner Commerzbank COBA JLMB Joint Lead Managers-Books 0 4 2022-01-12 Bookrunner Landesbank Hessen-Thuringen Gi HELABA JLMB Joint Lead Managers-Books 0 4 2022-01-12 NonBookrunner Australia &amp; New Zealand Bankin ANZ COAR Co-Arranger(s) 0 4 2022-01-12 NonBookrunner Bankinter BKINT COAR Co-Arranger(s) 0 4 2022-01-12 NonBookrunner Intesa Sanpaolo INTES COAR Co-Arranger(s) 0 4 2022-01-12 NonBookrunner Raiffeisen Bank International RAIINT COAR Co-Arranger(s) 0 4 2022-01-12 Bookrunner Commerzbank COBA JLMB Joint Lead Managers-Books 0 1 2021-12-22 Bookrunner Landesbank Hessen-Thuringen Gi HELABA JLMB Joint Lead Managers-Books 0 1 2021-12-22 NonBookrunner Australia &amp; New Zealand Bankin ANZ COAR Co-Arranger(s) 0 1 2021-12-22 NonBookrunner Bankinter BKINT COAR Co-Arranger(s) 0 1 2021-12-22 NonBookrunner Intesa Sanpaolo INTES COAR Co-Arranger(s) 0 1 2021-12-22 NonBookrunner Raiffeisen Bank International RAIINT COAR Co-Arranger(s) 0 1 2021-12-22 ESG Assurance Provider ISS-oekom ISSOEK SNPC 2nd Party Consultant 0 30 2021-12-22</v>
      </c>
      <c r="K19" s="2">
        <f t="shared" ca="1" si="0"/>
        <v>0</v>
      </c>
      <c r="L19" s="2" t="e">
        <f t="shared" ca="1" si="1"/>
        <v>#VALUE!</v>
      </c>
      <c r="O19" s="2">
        <f ca="1">VLOOKUP(F19,CBs!$A$2:$Z$427,5)</f>
        <v>3.7470000000000003</v>
      </c>
      <c r="P19" s="19">
        <f ca="1">VLOOKUP(F19,CBs!$A$2:$Z$427,24)</f>
        <v>3.74</v>
      </c>
    </row>
    <row r="20" spans="1:16" x14ac:dyDescent="0.2">
      <c r="A20" s="21">
        <v>18</v>
      </c>
      <c r="B20" s="22">
        <v>73</v>
      </c>
      <c r="C20" s="22">
        <v>156</v>
      </c>
      <c r="E20" s="2">
        <f ca="1">IFERROR(__xludf.DUMMYFUNCTION("""COMPUTED_VALUE"""),131)</f>
        <v>131</v>
      </c>
      <c r="F20" s="2">
        <f ca="1">IFERROR(__xludf.DUMMYFUNCTION("""COMPUTED_VALUE"""),162)</f>
        <v>162</v>
      </c>
      <c r="H20" s="2">
        <f ca="1">VLOOKUP(E20, SLBs!$A$2:$AN$293, 36, FALSE)</f>
        <v>0</v>
      </c>
      <c r="I20" s="2" t="str">
        <f ca="1">VLOOKUP($E20, SLBs!$A$2:$AN$293, 37, FALSE)</f>
        <v>ENVIRONMENT</v>
      </c>
      <c r="J20" s="2" t="str">
        <f ca="1">VLOOKUP($E20, SLBs!$A$2:$AO$293, 38, FALSE)</f>
        <v>Bookrunner Banco Bilbao Vizcaya Argentari BBVA JLMB Joint Lead Managers-Books 0 1 2020-11-17 Bookrunner Banco Santander SANT JLMB Joint Lead Managers-Books 0 1 2020-11-17 Bookrunner BNP Paribas BNPP JLMB Joint Lead Managers-Books 0 1 2020-11-17 Bookrunner Credit Agricole CIB CACIB JLMB Joint Lead Managers-Books 0 1 2020-11-17 Bookrunner HSBC HSBC JLMB Joint Lead Managers-Books 0 1 2020-11-17 Bookrunner ING Groep ING JLMB Joint Lead Managers-Books 0 1 2020-11-17 Bookrunner Societe Generale SG JLMB Joint Lead Managers-Books 0 1 2020-11-17 Bookrunner UniCredit UNICRD JLMB Joint Lead Managers-Books 0 1 2020-11-17 Trustee Homburger AG HOMBRE LAI Legal Adviser to the Issuer(s) 0 16 2020-11-17 Trustee Linklaters LLP L&amp;A LAI Legal Adviser to the Issuer(s) 0 16 2020-11-17 Trustee Clifford Chance LLP CHANCE LAM Legal Adviser(s) to the Manage 0 16 2020-11-17 ESG Assurance Provider ISS-oekom ISSOEK SNPC 2nd Party Consultant 0 30 2020-11-17</v>
      </c>
      <c r="K20" s="2">
        <f t="shared" ca="1" si="0"/>
        <v>0</v>
      </c>
      <c r="L20" s="2" t="e">
        <f t="shared" ca="1" si="1"/>
        <v>#VALUE!</v>
      </c>
      <c r="O20" s="2">
        <f ca="1">VLOOKUP(F20,CBs!$A$2:$Z$427,5)</f>
        <v>3.6430000000000002</v>
      </c>
      <c r="P20" s="19">
        <f ca="1">VLOOKUP(F20,CBs!$A$2:$Z$427,24)</f>
        <v>3.621</v>
      </c>
    </row>
    <row r="21" spans="1:16" x14ac:dyDescent="0.2">
      <c r="A21" s="21">
        <v>19</v>
      </c>
      <c r="B21" s="22">
        <v>91</v>
      </c>
      <c r="C21" s="22">
        <v>158</v>
      </c>
      <c r="E21" s="2">
        <f ca="1">IFERROR(__xludf.DUMMYFUNCTION("""COMPUTED_VALUE"""),132)</f>
        <v>132</v>
      </c>
      <c r="F21" s="2">
        <f ca="1">IFERROR(__xludf.DUMMYFUNCTION("""COMPUTED_VALUE"""),163)</f>
        <v>163</v>
      </c>
      <c r="H21" s="2" t="str">
        <f ca="1">VLOOKUP(E21, SLBs!$A$2:$AN$293, 36, FALSE)</f>
        <v>yes</v>
      </c>
      <c r="I21" s="2" t="str">
        <f ca="1">VLOOKUP($E21, SLBs!$A$2:$AN$293, 37, FALSE)</f>
        <v>ENVIRONMENT</v>
      </c>
      <c r="J21" s="2" t="str">
        <f ca="1">VLOOKUP($E21, SLBs!$A$2:$AO$293, 38, FALSE)</f>
        <v>Bookrunner NatWest Markets NWM SOLE Sole Manager 150000 1 2022-03-23 Trustee Citibank NA/London CITI PAAG Paying Agent(s) 0 7 2022-03-23 Trustee Citibank NA/London CITI FISC Fiscal Agent(s) 0 7 2022-03-23 Trustee Citibank NA/London CITI TRNS Transfer Agent(s) 0 7 2022-03-23 Trustee Citibank Europe PLC CITIFS RGST Registrar(s) 0 7 2022-03-23 Trustee Homburger AG HOMBRE LAI Legal Adviser to the Issuer(s) 0 16 2022-03-23 Trustee Linklaters LLP L&amp;A LAI Legal Adviser to the Issuer(s) 0 16 2022-03-23 Trustee Linklaters LLP/Luxembourg LINKLS LAI Legal Adviser to the Issuer(s) 0 16 2022-03-23 Trustee Linklaters L&amp;A LAI Legal Adviser to the Issuer(s) 0 16 2022-03-23 Trustee Clifford Chance LLP CHANCE LAM Legal Adviser(s) to the Manage 0 16 2022-03-23</v>
      </c>
      <c r="K21" s="2" t="str">
        <f t="shared" ca="1" si="0"/>
        <v>yes</v>
      </c>
      <c r="L21" s="2" t="e">
        <f t="shared" ca="1" si="1"/>
        <v>#VALUE!</v>
      </c>
      <c r="O21" s="2">
        <f ca="1">VLOOKUP(F21,CBs!$A$2:$Z$427,5)</f>
        <v>3.6430000000000002</v>
      </c>
      <c r="P21" s="19">
        <f ca="1">VLOOKUP(F21,CBs!$A$2:$Z$427,24)</f>
        <v>3.6230000000000002</v>
      </c>
    </row>
    <row r="22" spans="1:16" x14ac:dyDescent="0.2">
      <c r="A22" s="21">
        <v>20</v>
      </c>
      <c r="B22" s="22">
        <v>92</v>
      </c>
      <c r="C22" s="22">
        <v>158</v>
      </c>
      <c r="E22" s="2">
        <f ca="1">IFERROR(__xludf.DUMMYFUNCTION("""COMPUTED_VALUE"""),137)</f>
        <v>137</v>
      </c>
      <c r="F22" s="2">
        <f ca="1">IFERROR(__xludf.DUMMYFUNCTION("""COMPUTED_VALUE"""),164)</f>
        <v>164</v>
      </c>
      <c r="H22" s="2">
        <f ca="1">VLOOKUP(E22, SLBs!$A$2:$AN$293, 36, FALSE)</f>
        <v>0</v>
      </c>
      <c r="I22" s="2" t="str">
        <f ca="1">VLOOKUP($E22, SLBs!$A$2:$AN$293, 37, FALSE)</f>
        <v>ESG SCORE</v>
      </c>
      <c r="J22" s="2" t="str">
        <f ca="1">VLOOKUP($E22, SLBs!$A$2:$AO$293, 38, FALSE)</f>
        <v>Bookrunner Landesbank Hessen-Thuringen Gi HELABA LMGR Lead Manager(s) 0 1 2020-09-15</v>
      </c>
      <c r="K22" s="2">
        <f t="shared" ca="1" si="0"/>
        <v>0</v>
      </c>
      <c r="L22" s="2" t="e">
        <f t="shared" ca="1" si="1"/>
        <v>#VALUE!</v>
      </c>
      <c r="O22" s="2">
        <f ca="1">VLOOKUP(F22,CBs!$A$2:$Z$427,5)</f>
        <v>4.9740000000000002</v>
      </c>
      <c r="P22" s="19" t="str">
        <f ca="1">VLOOKUP(F22,CBs!$A$2:$Z$427,24)</f>
        <v>#N/A N/A</v>
      </c>
    </row>
    <row r="23" spans="1:16" x14ac:dyDescent="0.2">
      <c r="A23" s="21">
        <v>21</v>
      </c>
      <c r="B23" s="22">
        <v>91</v>
      </c>
      <c r="C23" s="22">
        <v>159</v>
      </c>
      <c r="E23" s="2">
        <f ca="1">IFERROR(__xludf.DUMMYFUNCTION("""COMPUTED_VALUE"""),139)</f>
        <v>139</v>
      </c>
      <c r="F23" s="2">
        <f ca="1">IFERROR(__xludf.DUMMYFUNCTION("""COMPUTED_VALUE"""),165)</f>
        <v>165</v>
      </c>
      <c r="H23" s="2">
        <f ca="1">VLOOKUP(E23, SLBs!$A$2:$AN$293, 36, FALSE)</f>
        <v>0</v>
      </c>
      <c r="I23" s="2" t="str">
        <f ca="1">VLOOKUP($E23, SLBs!$A$2:$AN$293, 37, FALSE)</f>
        <v>ESG SCORE</v>
      </c>
      <c r="J23" s="2" t="str">
        <f ca="1">VLOOKUP($E23, SLBs!$A$2:$AO$293, 38, FALSE)</f>
        <v>Bookrunner Landesbank Hessen-Thuringen Gi HELABA LMGR Lead Manager(s) 0 1 2020-09-15</v>
      </c>
      <c r="K23" s="2">
        <f t="shared" ca="1" si="0"/>
        <v>0</v>
      </c>
      <c r="L23" s="2" t="e">
        <f t="shared" ca="1" si="1"/>
        <v>#VALUE!</v>
      </c>
      <c r="O23" s="2">
        <f ca="1">VLOOKUP(F23,CBs!$A$2:$Z$427,5)</f>
        <v>4.9740000000000002</v>
      </c>
      <c r="P23" s="19" t="str">
        <f ca="1">VLOOKUP(F23,CBs!$A$2:$Z$427,24)</f>
        <v>#N/A N/A</v>
      </c>
    </row>
    <row r="24" spans="1:16" x14ac:dyDescent="0.2">
      <c r="A24" s="21">
        <v>22</v>
      </c>
      <c r="B24" s="22">
        <v>92</v>
      </c>
      <c r="C24" s="22">
        <v>159</v>
      </c>
      <c r="E24" s="2">
        <f ca="1">IFERROR(__xludf.DUMMYFUNCTION("""COMPUTED_VALUE"""),138)</f>
        <v>138</v>
      </c>
      <c r="F24" s="2">
        <f ca="1">IFERROR(__xludf.DUMMYFUNCTION("""COMPUTED_VALUE"""),168)</f>
        <v>168</v>
      </c>
      <c r="H24" s="2">
        <f ca="1">VLOOKUP(E24, SLBs!$A$2:$AN$293, 36, FALSE)</f>
        <v>0</v>
      </c>
      <c r="I24" s="2" t="str">
        <f ca="1">VLOOKUP($E24, SLBs!$A$2:$AN$293, 37, FALSE)</f>
        <v>ESG SCORE</v>
      </c>
      <c r="J24" s="2" t="str">
        <f ca="1">VLOOKUP($E24, SLBs!$A$2:$AO$293, 38, FALSE)</f>
        <v>Bookrunner Landesbank Hessen-Thuringen Gi HELABA LMGR Lead Manager(s) 0 1 2020-09-15</v>
      </c>
      <c r="K24" s="2">
        <f t="shared" ca="1" si="0"/>
        <v>0</v>
      </c>
      <c r="L24" s="2" t="e">
        <f t="shared" ca="1" si="1"/>
        <v>#VALUE!</v>
      </c>
      <c r="O24" s="2">
        <f ca="1">VLOOKUP(F24,CBs!$A$2:$Z$427,5)</f>
        <v>1.5840000000000001</v>
      </c>
      <c r="P24" s="19">
        <f ca="1">VLOOKUP(F24,CBs!$A$2:$Z$427,24)</f>
        <v>1.554</v>
      </c>
    </row>
    <row r="25" spans="1:16" x14ac:dyDescent="0.2">
      <c r="A25" s="21">
        <v>23</v>
      </c>
      <c r="B25" s="22">
        <v>91</v>
      </c>
      <c r="C25" s="22">
        <v>160</v>
      </c>
      <c r="E25" s="2">
        <f ca="1">IFERROR(__xludf.DUMMYFUNCTION("""COMPUTED_VALUE"""),142)</f>
        <v>142</v>
      </c>
      <c r="F25" s="2">
        <f ca="1">IFERROR(__xludf.DUMMYFUNCTION("""COMPUTED_VALUE"""),180)</f>
        <v>180</v>
      </c>
      <c r="H25" s="2">
        <f ca="1">VLOOKUP(E25, SLBs!$A$2:$AN$293, 36, FALSE)</f>
        <v>0</v>
      </c>
      <c r="I25" s="2" t="str">
        <f ca="1">VLOOKUP($E25, SLBs!$A$2:$AN$293, 37, FALSE)</f>
        <v>ESG</v>
      </c>
      <c r="J25" s="2" t="str">
        <f ca="1">VLOOKUP($E25, SLBs!$A$2:$AO$293, 38, FALSE)</f>
        <v>Bookrunner Banco Santander (US) SANTAN JLMB Joint Lead Managers-Books 0 1 2022-04-05 Bookrunner BMO Capital Markets Corp BMO JLMB Joint Lead Managers-Books 0 1 2022-04-05 Bookrunner BNP Paribas/New York BNPPAR JLMB Joint Lead Managers-Books 0 1 2022-04-05 Bookrunner BofA Securities BofA JLMB Joint Lead Managers-Books 0 1 2022-04-05 Bookrunner Citigroup Global Markets Inc CITI JLMB Joint Lead Managers-Books 0 1 2022-04-05 Bookrunner Credit Agricole Securities USA CASECS JLMB Joint Lead Managers-Books 0 1 2022-04-05 Bookrunner HSBC Securities HSBC JLMB Joint Lead Managers-Books 0 1 2022-04-05 Bookrunner JP Morgan JPM JLMB Joint Lead Managers-Books 0 1 2022-04-05 Bookrunner MUFG Securities Americas Inc MUFG JLMB Joint Lead Managers-Books 0 1 2022-04-05 Bookrunner Rabo Securities USA Inc RABO JLMB Joint Lead Managers-Books 0 1 2022-04-05 Bookrunner Skandinaviska Enskilda Banken SEB JLMB Joint Lead Managers-Books 0 1 2022-04-05 Bookrunner SMBC Nikko Securities America SMBC JLMB Joint Lead Managers-Books 0 1 2022-04-05 Bookrunner TD Securities USA LLC TDSEC JLMB Joint Lead Managers-Books 0 1 2022-04-05 Bookrunner UniCredit Capital Markets Inc UNICRE JLMB Joint Lead Managers-Books 0 1 2022-04-05 ESG Assurance Provider Sustainalytics BV SUSANA SNPC 2nd Party Consultant 0 30 2022-04-05</v>
      </c>
      <c r="K25" s="2">
        <f t="shared" ca="1" si="0"/>
        <v>0</v>
      </c>
      <c r="L25" s="2" t="e">
        <f t="shared" ca="1" si="1"/>
        <v>#VALUE!</v>
      </c>
      <c r="O25" s="2" t="str">
        <f ca="1">VLOOKUP(F25,CBs!$A$2:$Z$427,5)</f>
        <v>#N/A N/A</v>
      </c>
      <c r="P25" s="19">
        <f ca="1">VLOOKUP(F25,CBs!$A$2:$Z$427,24)</f>
        <v>1.3819999999999999</v>
      </c>
    </row>
    <row r="26" spans="1:16" x14ac:dyDescent="0.2">
      <c r="A26" s="21">
        <v>24</v>
      </c>
      <c r="B26" s="22">
        <v>92</v>
      </c>
      <c r="C26" s="22">
        <v>160</v>
      </c>
      <c r="E26" s="2">
        <f ca="1">IFERROR(__xludf.DUMMYFUNCTION("""COMPUTED_VALUE"""),143)</f>
        <v>143</v>
      </c>
      <c r="F26" s="2">
        <f ca="1">IFERROR(__xludf.DUMMYFUNCTION("""COMPUTED_VALUE"""),181)</f>
        <v>181</v>
      </c>
      <c r="H26" s="2">
        <f ca="1">VLOOKUP(E26, SLBs!$A$2:$AN$293, 36, FALSE)</f>
        <v>0</v>
      </c>
      <c r="I26" s="2" t="str">
        <f ca="1">VLOOKUP($E26, SLBs!$A$2:$AN$293, 37, FALSE)</f>
        <v>ESG</v>
      </c>
      <c r="J26" s="2" t="str">
        <f ca="1">VLOOKUP($E26, SLBs!$A$2:$AO$293, 38, FALSE)</f>
        <v>Bookrunner Banco Santander (US) SANTAN JLMB Joint Lead Managers-Books 0 1 2022-04-05 Bookrunner BMO Capital Markets Corp BMO JLMB Joint Lead Managers-Books 0 1 2022-04-05 Bookrunner BNP Paribas/New York BNPPAR JLMB Joint Lead Managers-Books 0 1 2022-04-05 Bookrunner BofA Securities BofA JLMB Joint Lead Managers-Books 0 1 2022-04-05 Bookrunner Citigroup Global Markets Inc CITI JLMB Joint Lead Managers-Books 0 1 2022-04-05 Bookrunner Credit Agricole Securities USA CASECS JLMB Joint Lead Managers-Books 0 1 2022-04-05 Bookrunner HSBC Securities HSBC JLMB Joint Lead Managers-Books 0 1 2022-04-05 Bookrunner JP Morgan JPM JLMB Joint Lead Managers-Books 0 1 2022-04-05 Bookrunner MUFG Securities Americas Inc MUFG JLMB Joint Lead Managers-Books 0 1 2022-04-05 Bookrunner Rabo Securities USA Inc RABO JLMB Joint Lead Managers-Books 0 1 2022-04-05 Bookrunner Skandinaviska Enskilda Banken SEB JLMB Joint Lead Managers-Books 0 1 2022-04-05 Bookrunner SMBC Nikko Securities America SMBC JLMB Joint Lead Managers-Books 0 1 2022-04-05 Bookrunner TD Securities USA LLC TDSEC JLMB Joint Lead Managers-Books 0 1 2022-04-05 Bookrunner UniCredit Capital Markets Inc UNICRE JLMB Joint Lead Managers-Books 0 1 2022-04-05 ESG Assurance Provider Sustainalytics BV SUSANA SNPC 2nd Party Consultant 0 30 2022-04-05</v>
      </c>
      <c r="K26" s="2">
        <f t="shared" ca="1" si="0"/>
        <v>0</v>
      </c>
      <c r="L26" s="2" t="e">
        <f t="shared" ca="1" si="1"/>
        <v>#VALUE!</v>
      </c>
      <c r="O26" s="2" t="str">
        <f ca="1">VLOOKUP(F26,CBs!$A$2:$Z$427,5)</f>
        <v>#N/A N/A</v>
      </c>
      <c r="P26" s="19">
        <f ca="1">VLOOKUP(F26,CBs!$A$2:$Z$427,24)</f>
        <v>1.9770000000000001</v>
      </c>
    </row>
    <row r="27" spans="1:16" x14ac:dyDescent="0.2">
      <c r="A27" s="21">
        <v>25</v>
      </c>
      <c r="B27" s="22">
        <v>91</v>
      </c>
      <c r="C27" s="22">
        <v>161</v>
      </c>
      <c r="E27" s="2">
        <f ca="1">IFERROR(__xludf.DUMMYFUNCTION("""COMPUTED_VALUE"""),154)</f>
        <v>154</v>
      </c>
      <c r="F27" s="2">
        <f ca="1">IFERROR(__xludf.DUMMYFUNCTION("""COMPUTED_VALUE"""),189)</f>
        <v>189</v>
      </c>
      <c r="H27" s="2" t="str">
        <f ca="1">VLOOKUP(E27, SLBs!$A$2:$AN$293, 36, FALSE)</f>
        <v>yes</v>
      </c>
      <c r="I27" s="2" t="str">
        <f ca="1">VLOOKUP($E27, SLBs!$A$2:$AN$293, 37, FALSE)</f>
        <v>ENVIRONMENT</v>
      </c>
      <c r="J27" s="2" t="str">
        <f ca="1">VLOOKUP($E27, SLBs!$A$2:$AO$293, 38, FALSE)</f>
        <v>Bookrunner Allied Irish Banks AIB JLMB Joint Lead Managers-Books 0 1 2021-11-24 Bookrunner Bank of Ireland BKIREL JLMB Joint Lead Managers-Books 0 1 2021-11-24 Bookrunner Barclays BARCS JLMB Joint Lead Managers-Books 0 1 2021-11-24 Bookrunner BNP Paribas/London BNPPAR JLMB Joint Lead Managers-Books 0 1 2021-11-24 Bookrunner BofA Securities BofA JLMB Joint Lead Managers-Books 0 1 2021-11-24 Bookrunner Citi CITI JLMB Joint Lead Managers-Books 0 1 2021-11-24 Bookrunner Cooperatieve Rabobank UA RABONL JLMB Joint Lead Managers-Books 0 1 2021-11-24 Bookrunner Danske Bank DANBNK JLMB Joint Lead Managers-Books 0 1 2021-11-24 Bookrunner Deutsche Bank AG London DB JLMB Joint Lead Managers-Books 0 1 2021-11-24 Bookrunner Goldman Sachs International GSI JLMB Joint Lead Managers-Books 0 1 2021-11-24 Bookrunner HSBC HSBC JLMB Joint Lead Managers-Books 0 1 2021-11-24 Bookrunner JP Morgan Securities PLC JPM JLMB Joint Lead Managers-Books 0 1 2021-11-24 Bookrunner NatWest Markets NWM JLMB Joint Lead Managers-Books 0 1 2021-11-24 Bookrunner Standard Chartered Bank STAN JLMB Joint Lead Managers-Books 0 1 2021-11-24 Trustee Clifford Chance LLP CHANCE LAI Legal Adviser to the Issuer(s) 0 16 2021-11-24 Trustee Freshfields Bruckhaus Deringer FSHFLD LAM Legal Adviser(s) to the Manage 0 16 2021-11-24 ESG Assurance Provider ISS-oekom ISSOEK SNPC 2nd Party Consultant 0 30 2021-11-24</v>
      </c>
      <c r="K27" s="2" t="str">
        <f t="shared" ca="1" si="0"/>
        <v>yes</v>
      </c>
      <c r="L27" s="2" t="e">
        <f t="shared" ca="1" si="1"/>
        <v>#VALUE!</v>
      </c>
      <c r="O27" s="2" t="str">
        <f ca="1">VLOOKUP(F27,CBs!$A$2:$Z$427,5)</f>
        <v>#N/A N/A</v>
      </c>
      <c r="P27" s="19">
        <f ca="1">VLOOKUP(F27,CBs!$A$2:$Z$427,24)</f>
        <v>1.244</v>
      </c>
    </row>
    <row r="28" spans="1:16" x14ac:dyDescent="0.2">
      <c r="A28" s="21">
        <v>26</v>
      </c>
      <c r="B28" s="22">
        <v>92</v>
      </c>
      <c r="C28" s="22">
        <v>161</v>
      </c>
      <c r="E28" s="2">
        <f ca="1">IFERROR(__xludf.DUMMYFUNCTION("""COMPUTED_VALUE"""),155)</f>
        <v>155</v>
      </c>
      <c r="F28" s="2">
        <f ca="1">IFERROR(__xludf.DUMMYFUNCTION("""COMPUTED_VALUE"""),191)</f>
        <v>191</v>
      </c>
      <c r="H28" s="2" t="str">
        <f ca="1">VLOOKUP(E28, SLBs!$A$2:$AN$293, 36, FALSE)</f>
        <v>yes</v>
      </c>
      <c r="I28" s="2" t="str">
        <f ca="1">VLOOKUP($E28, SLBs!$A$2:$AN$293, 37, FALSE)</f>
        <v>ESG</v>
      </c>
      <c r="J28" s="2" t="str">
        <f ca="1">VLOOKUP($E28, SLBs!$A$2:$AO$293, 38, FALSE)</f>
        <v>Bookrunner Nordea NORDEA JLMB Joint Lead Managers-Books 0 1 2021-11-15 Bookrunner SEB SEB JLMB Joint Lead Managers-Books 0 1 2021-11-15</v>
      </c>
      <c r="K28" s="2" t="str">
        <f t="shared" ca="1" si="0"/>
        <v>yes</v>
      </c>
      <c r="L28" s="2" t="e">
        <f t="shared" ca="1" si="1"/>
        <v>#VALUE!</v>
      </c>
      <c r="O28" s="2" t="str">
        <f ca="1">VLOOKUP(F28,CBs!$A$2:$Z$427,5)</f>
        <v>#N/A N/A</v>
      </c>
      <c r="P28" s="19">
        <f ca="1">VLOOKUP(F28,CBs!$A$2:$Z$427,24)</f>
        <v>0.54200000000000004</v>
      </c>
    </row>
    <row r="29" spans="1:16" x14ac:dyDescent="0.2">
      <c r="A29" s="21">
        <v>27</v>
      </c>
      <c r="B29" s="22">
        <v>91</v>
      </c>
      <c r="C29" s="22">
        <v>162</v>
      </c>
      <c r="E29" s="2">
        <f ca="1">IFERROR(__xludf.DUMMYFUNCTION("""COMPUTED_VALUE"""),157)</f>
        <v>157</v>
      </c>
      <c r="F29" s="2">
        <f ca="1">IFERROR(__xludf.DUMMYFUNCTION("""COMPUTED_VALUE"""),192)</f>
        <v>192</v>
      </c>
      <c r="H29" s="2" t="str">
        <f ca="1">VLOOKUP(E29, SLBs!$A$2:$AN$293, 36, FALSE)</f>
        <v>yes</v>
      </c>
      <c r="I29" s="2" t="str">
        <f ca="1">VLOOKUP($E29, SLBs!$A$2:$AN$293, 37, FALSE)</f>
        <v>ENVIRONMENT</v>
      </c>
      <c r="J29" s="2" t="str">
        <f ca="1">VLOOKUP($E29, SLBs!$A$2:$AO$293, 38, FALSE)</f>
        <v>Bookrunner Banco Itau SA ITAU JLMB Joint Lead Managers-Books 83333 1 2021-01-06 Bookrunner BofA Securities BofA JLMB Joint Lead Managers-Books 83334 1 2021-01-06 Bookrunner Bradesco BBI SA BRADSC JLMB Joint Lead Managers-Books 83334 1 2021-01-06 Bookrunner Citigroup Global Markets Inc CITI JLMB Joint Lead Managers-Books 83333 1 2021-01-06 Bookrunner JP Morgan JPM JLMB Joint Lead Managers-Books 83333 1 2021-01-06 Bookrunner Morgan Stanley MS JLMB Joint Lead Managers-Books 83333 1 2021-01-06 NonBookrunner JP Morgan JPM ESGA ESG Agent 0 1 2021-01-06 Trustee Bank of New York Mellon BNYM PAAG Paying Agent(s) 0 7 2021-01-06 Trustee Bank of New York Mellon BNYM TRST Trustee(s) 0 7 2021-01-06 Trustee Bank of New York Mellon BNYM TRNS Transfer Agent(s) 0 7 2021-01-06 Trustee Bank of New York Mellon BNYM RGST Registrar(s) 0 7 2021-01-06 Trustee Cerha Hempel Spiegelfeld Hlawa CHSH LAI Legal Adviser to the Issuer(s) 0 16 2021-01-06 Trustee Clifford Chance LLP CHANCE LAI Legal Adviser to the Issuer(s) 0 16 2021-01-06 Trustee Mattos Filho Veiga Filho Marre MATTOS LAI Legal Adviser to the Issuer(s) 0 16 2021-01-06 Trustee Milbank LLP MILLLP LAM Legal Adviser(s) to the Manage 0 16 2021-01-06 Trustee Tozzini Freire Teixeira e Silv TOZZIN LAM Legal Adviser(s) to the Manage 0 16 2021-01-06</v>
      </c>
      <c r="K29" s="2" t="str">
        <f t="shared" ca="1" si="0"/>
        <v>yes</v>
      </c>
      <c r="L29" s="2" t="e">
        <f t="shared" ca="1" si="1"/>
        <v>#VALUE!</v>
      </c>
      <c r="O29" s="2" t="str">
        <f ca="1">VLOOKUP(F29,CBs!$A$2:$Z$427,5)</f>
        <v>#N/A N/A</v>
      </c>
      <c r="P29" s="19">
        <f ca="1">VLOOKUP(F29,CBs!$A$2:$Z$427,24)</f>
        <v>1.054</v>
      </c>
    </row>
    <row r="30" spans="1:16" x14ac:dyDescent="0.2">
      <c r="A30" s="21">
        <v>28</v>
      </c>
      <c r="B30" s="22">
        <v>92</v>
      </c>
      <c r="C30" s="22">
        <v>162</v>
      </c>
      <c r="E30" s="2">
        <f ca="1">IFERROR(__xludf.DUMMYFUNCTION("""COMPUTED_VALUE"""),158)</f>
        <v>158</v>
      </c>
      <c r="F30" s="2">
        <f ca="1">IFERROR(__xludf.DUMMYFUNCTION("""COMPUTED_VALUE"""),196)</f>
        <v>196</v>
      </c>
      <c r="H30" s="2" t="str">
        <f ca="1">VLOOKUP(E30, SLBs!$A$2:$AN$293, 36, FALSE)</f>
        <v>yes</v>
      </c>
      <c r="I30" s="2" t="str">
        <f ca="1">VLOOKUP($E30, SLBs!$A$2:$AN$293, 37, FALSE)</f>
        <v>ENVIRONMENT</v>
      </c>
      <c r="J30" s="2" t="str">
        <f ca="1">VLOOKUP($E30, SLBs!$A$2:$AO$293, 38, FALSE)</f>
        <v>Bookrunner Banco Itau SA ITAU JLMB Joint Lead Managers-Books 83334 1 2021-01-06 Bookrunner BofA Securities BofA JLMB Joint Lead Managers-Books 83334 1 2021-01-06 Bookrunner Bradesco BBI SA BRADSC JLMB Joint Lead Managers-Books 83333 1 2021-01-06 Bookrunner Citigroup Global Markets Inc CITI JLMB Joint Lead Managers-Books 83333 1 2021-01-06 Bookrunner JP Morgan JPM JLMB Joint Lead Managers-Books 83333 1 2021-01-06 Bookrunner Morgan Stanley MS JLMB Joint Lead Managers-Books 83333 1 2021-01-06 Trustee Bank of New York Mellon BNYM PAAG Paying Agent(s) 0 7 2021-01-06 Trustee Bank of New York Mellon BNYM TRST Trustee(s) 0 7 2021-01-06 Trustee Bank of New York Mellon BNYM TRNS Transfer Agent(s) 0 7 2021-01-06 Trustee Bank of New York Mellon BNYM RGST Registrar(s) 0 7 2021-01-06 Trustee Cerha Hempel Spiegelfeld Hlawa CHSH LAI Legal Adviser to the Issuer(s) 0 16 2021-01-06 Trustee Clifford Chance LLP CHANCE LAI Legal Adviser to the Issuer(s) 0 16 2021-01-06 Trustee Mattos Filho Veiga Filho Marre MATTOS LAI Legal Adviser to the Issuer(s) 0 16 2021-01-06 Trustee Milbank LLP MILLLP LAM Legal Adviser(s) to the Manage 0 16 2021-01-06 Trustee Tozzini Freire Teixeira e Silv TOZZIN LAM Legal Adviser(s) to the Manage 0 16 2021-01-06 ESG Assurance Provider Sustainalytics BV SUSANA SNPC 2nd Party Consultant 0 30 2021-01-06</v>
      </c>
      <c r="K30" s="2" t="str">
        <f t="shared" ca="1" si="0"/>
        <v>yes</v>
      </c>
      <c r="L30" s="2" t="e">
        <f t="shared" ca="1" si="1"/>
        <v>#VALUE!</v>
      </c>
      <c r="O30" s="2">
        <f ca="1">VLOOKUP(F30,CBs!$A$2:$Z$427,5)</f>
        <v>2.625</v>
      </c>
      <c r="P30" s="19">
        <f ca="1">VLOOKUP(F30,CBs!$A$2:$Z$427,24)</f>
        <v>2.4670000000000001</v>
      </c>
    </row>
    <row r="31" spans="1:16" x14ac:dyDescent="0.2">
      <c r="A31" s="21">
        <v>29</v>
      </c>
      <c r="B31" s="22">
        <v>91</v>
      </c>
      <c r="C31" s="22">
        <v>163</v>
      </c>
      <c r="E31" s="2">
        <f ca="1">IFERROR(__xludf.DUMMYFUNCTION("""COMPUTED_VALUE"""),159)</f>
        <v>159</v>
      </c>
      <c r="F31" s="2">
        <f ca="1">IFERROR(__xludf.DUMMYFUNCTION("""COMPUTED_VALUE"""),197)</f>
        <v>197</v>
      </c>
      <c r="H31" s="2">
        <f ca="1">VLOOKUP(E31, SLBs!$A$2:$AN$293, 36, FALSE)</f>
        <v>0</v>
      </c>
      <c r="I31" s="2" t="str">
        <f ca="1">VLOOKUP($E31, SLBs!$A$2:$AN$293, 37, FALSE)</f>
        <v>ENVIRONMENT</v>
      </c>
      <c r="J31" s="2" t="str">
        <f ca="1">VLOOKUP($E31, SLBs!$A$2:$AO$293, 38, FALSE)</f>
        <v>Bookrunner BNP Paribas BNPP JLMB Joint Lead Managers-Books 0 1 2021-03-11 Bookrunner BofA Securities BofA JLMB Joint Lead Managers-Books 0 1 2021-03-11 Bookrunner Deutsche Bank DB JLMB Joint Lead Managers-Books 0 1 2021-03-11 Bookrunner Goldman Sachs Bank Europe Plc GOLEUR JLMB Joint Lead Managers-Books 0 1 2021-03-11 Bookrunner JP Morgan JPM JLMB Joint Lead Managers-Books 0 1 2021-03-11 Bookrunner Societe Generale SG JLMB Joint Lead Managers-Books 0 1 2021-03-11 Trustee Allen &amp; Overy LLP ALLOVR LAI Legal Adviser to the Issuer(s) 0 16 2021-03-11 ESG Assurance Provider Sustainalytics BV SUSANA SNPC 2nd Party Consultant 0 30 2021-03-11</v>
      </c>
      <c r="K31" s="2">
        <f t="shared" ca="1" si="0"/>
        <v>0</v>
      </c>
      <c r="L31" s="2" t="e">
        <f t="shared" ca="1" si="1"/>
        <v>#VALUE!</v>
      </c>
      <c r="O31" s="2" t="str">
        <f ca="1">VLOOKUP(F31,CBs!$A$2:$Z$427,5)</f>
        <v>#N/A N/A</v>
      </c>
      <c r="P31" s="19" t="str">
        <f ca="1">VLOOKUP(F31,CBs!$A$2:$Z$427,24)</f>
        <v>#N/A N/A</v>
      </c>
    </row>
    <row r="32" spans="1:16" x14ac:dyDescent="0.2">
      <c r="A32" s="21">
        <v>30</v>
      </c>
      <c r="B32" s="22">
        <v>92</v>
      </c>
      <c r="C32" s="22">
        <v>163</v>
      </c>
      <c r="E32" s="2">
        <f ca="1">IFERROR(__xludf.DUMMYFUNCTION("""COMPUTED_VALUE"""),160)</f>
        <v>160</v>
      </c>
      <c r="F32" s="2">
        <f ca="1">IFERROR(__xludf.DUMMYFUNCTION("""COMPUTED_VALUE"""),198)</f>
        <v>198</v>
      </c>
      <c r="H32" s="2">
        <f ca="1">VLOOKUP(E32, SLBs!$A$2:$AN$293, 36, FALSE)</f>
        <v>0</v>
      </c>
      <c r="I32" s="2" t="str">
        <f ca="1">VLOOKUP($E32, SLBs!$A$2:$AN$293, 37, FALSE)</f>
        <v>ENVIRONMENT</v>
      </c>
      <c r="J32" s="2" t="str">
        <f ca="1">VLOOKUP($E32, SLBs!$A$2:$AO$293, 38, FALSE)</f>
        <v>Bookrunner Barclays BARCS JLMB Joint Lead Managers-Books 0 1 2021-11-08 Bookrunner BNP Paribas BNPP JLMB Joint Lead Managers-Books 0 1 2021-11-08 Bookrunner Deutsche Bank DB JLMB Joint Lead Managers-Books 0 1 2021-11-08 Bookrunner ING Groep ING JLMB Joint Lead Managers-Books 0 1 2021-11-08 Bookrunner SMBC Nikko Capital Markets Ltd SMBNIK JLMB Joint Lead Managers-Books 0 1 2021-11-08 Trustee Citibank NA/London CITI PAAG Paying Agent(s) 0 7 2021-11-08 Trustee Citibank NA/London CITI TRNS Transfer Agent(s) 0 7 2021-11-08 Trustee Arthur Cox Listing Services ARTHUR LIST Listing Agent(s) 0 7 2021-11-08 Trustee Citigroup Global Markets Europ CITI RGST Registrar(s) 0 7 2021-11-08 Trustee Allen &amp; Overy LLP ALLOVR LAI Legal Adviser to the Issuer(s) 0 16 2021-11-08 Trustee Allen &amp; Overy AONETH LAI Legal Adviser to the Issuer(s) 0 16 2021-11-08 Trustee Linklaters L&amp;A LAM Legal Adviser(s) to the Manage 0 16 2021-11-08 ESG Assurance Provider Sustainalytics BV SUSANA SNPC 2nd Party Consultant 0 30 2021-11-08</v>
      </c>
      <c r="K32" s="2">
        <f t="shared" ca="1" si="0"/>
        <v>0</v>
      </c>
      <c r="L32" s="2" t="e">
        <f t="shared" ca="1" si="1"/>
        <v>#VALUE!</v>
      </c>
      <c r="O32" s="2" t="str">
        <f ca="1">VLOOKUP(F32,CBs!$A$2:$Z$427,5)</f>
        <v>#N/A N/A</v>
      </c>
      <c r="P32" s="19" t="str">
        <f ca="1">VLOOKUP(F32,CBs!$A$2:$Z$427,24)</f>
        <v>#N/A N/A</v>
      </c>
    </row>
    <row r="33" spans="1:16" x14ac:dyDescent="0.2">
      <c r="A33" s="21">
        <v>31</v>
      </c>
      <c r="B33" s="22">
        <v>91</v>
      </c>
      <c r="C33" s="22">
        <v>164</v>
      </c>
      <c r="E33" s="2">
        <f ca="1">IFERROR(__xludf.DUMMYFUNCTION("""COMPUTED_VALUE"""),161)</f>
        <v>161</v>
      </c>
      <c r="F33" s="2">
        <f ca="1">IFERROR(__xludf.DUMMYFUNCTION("""COMPUTED_VALUE"""),200)</f>
        <v>200</v>
      </c>
      <c r="H33" s="2" t="str">
        <f ca="1">VLOOKUP(E33, SLBs!$A$2:$AN$293, 36, FALSE)</f>
        <v>yes</v>
      </c>
      <c r="I33" s="2" t="str">
        <f ca="1">VLOOKUP($E33, SLBs!$A$2:$AN$293, 37, FALSE)</f>
        <v>ENVIRONMENT</v>
      </c>
      <c r="J33" s="2" t="str">
        <f ca="1">VLOOKUP($E33, SLBs!$A$2:$AO$293, 38, FALSE)</f>
        <v>Bookrunner Banco Santander SANTAN JLMB Joint Lead Managers-Books 0 1 2022-03-22 Bookrunner BNP Paribas BNPP JLMB Joint Lead Managers-Books 0 1 2022-03-22 Bookrunner BofA Securities Europe SA BOFAS JLMB Joint Lead Managers-Books 0 1 2022-03-22 Bookrunner Citi CITI JLMB Joint Lead Managers-Books 0 1 2022-03-22 Bookrunner Credit Agricole CIB CACIB JLMB Joint Lead Managers-Books 0 1 2022-03-22 Bookrunner Deutsche Bank DB JLMB Joint Lead Managers-Books 0 1 2022-03-22 Bookrunner Goldman Sachs GS JLMB Joint Lead Managers-Books 0 1 2022-03-22 Bookrunner HSBC HSBC JLMB Joint Lead Managers-Books 0 1 2022-03-22 Bookrunner JP Morgan JPM JLMB Joint Lead Managers-Books 0 1 2022-03-22 Bookrunner Natixis NATIX JLMB Joint Lead Managers-Books 0 1 2022-03-22 Bookrunner Societe Generale SG JLMB Joint Lead Managers-Books 0 1 2022-03-22 Bookrunner Standard Chartered Bank STAN JLMB Joint Lead Managers-Books 0 1 2022-03-22 NonBookrunner BNP Paribas BNPP GLCO Global Coordinator(s) 0 1 2022-03-22 NonBookrunner JP Morgan JPM GLCO Global Coordinator(s) 0 1 2022-03-22 Trustee Allen &amp; Overy LLP ALLOVR LAM Legal Adviser(s) to the Manage 0 16 2022-03-22</v>
      </c>
      <c r="K33" s="2" t="str">
        <f t="shared" ca="1" si="0"/>
        <v>yes</v>
      </c>
      <c r="L33" s="2" t="e">
        <f t="shared" ca="1" si="1"/>
        <v>#VALUE!</v>
      </c>
      <c r="O33" s="2" t="str">
        <f ca="1">VLOOKUP(F33,CBs!$A$2:$Z$427,5)</f>
        <v>#N/A N/A</v>
      </c>
      <c r="P33" s="19">
        <f ca="1">VLOOKUP(F33,CBs!$A$2:$Z$427,24)</f>
        <v>2.9540000000000002</v>
      </c>
    </row>
    <row r="34" spans="1:16" x14ac:dyDescent="0.2">
      <c r="A34" s="21">
        <v>32</v>
      </c>
      <c r="B34" s="22">
        <v>92</v>
      </c>
      <c r="C34" s="22">
        <v>164</v>
      </c>
      <c r="E34" s="2">
        <f ca="1">IFERROR(__xludf.DUMMYFUNCTION("""COMPUTED_VALUE"""),162)</f>
        <v>162</v>
      </c>
      <c r="F34" s="2">
        <f ca="1">IFERROR(__xludf.DUMMYFUNCTION("""COMPUTED_VALUE"""),201)</f>
        <v>201</v>
      </c>
      <c r="H34" s="2">
        <f ca="1">VLOOKUP(E34, SLBs!$A$2:$AN$293, 36, FALSE)</f>
        <v>0</v>
      </c>
      <c r="I34" s="2" t="str">
        <f ca="1">VLOOKUP($E34, SLBs!$A$2:$AN$293, 37, FALSE)</f>
        <v>ENVIRONMENT</v>
      </c>
      <c r="J34" s="2" t="str">
        <f ca="1">VLOOKUP($E34, SLBs!$A$2:$AO$293, 38, FALSE)</f>
        <v>Bookrunner Bank of America Securities Ltd BASL JLMB Joint Lead Managers-Books 0 1 2022-03-14 Bookrunner Barclays BARCS JLMB Joint Lead Managers-Books 0 1 2022-03-14 Bookrunner Commerzbank COBA JLMB Joint Lead Managers-Books 0 1 2022-03-14 Bookrunner JP Morgan Securities PLC JPM JLMB Joint Lead Managers-Books 0 1 2022-03-14 Bookrunner Standard Chartered PLC SCB JLMB Joint Lead Managers-Books 0 1 2022-03-14 Trustee Deutsche Bank AG DB PAAG Paying Agent(s) 0 7 2022-03-14 Trustee Deutsche Bank AG DB FISC Fiscal Agent(s) 0 7 2022-03-14 Trustee Deutsche Bank Luxembourg SA DB LIST Listing Agent(s) 0 7 2022-03-14 Trustee Internal Adviser IA LAI Legal Adviser to the Issuer(s) 0 16 2022-03-14 Trustee Hengeler Mueller HMWW LAM Legal Adviser(s) to the Manage 0 16 2022-03-14</v>
      </c>
      <c r="K34" s="2">
        <f t="shared" ca="1" si="0"/>
        <v>0</v>
      </c>
      <c r="L34" s="2" t="e">
        <f t="shared" ca="1" si="1"/>
        <v>#VALUE!</v>
      </c>
      <c r="O34" s="2">
        <f ca="1">VLOOKUP(F34,CBs!$A$2:$Z$427,5)</f>
        <v>3.75</v>
      </c>
      <c r="P34" s="19">
        <f ca="1">VLOOKUP(F34,CBs!$A$2:$Z$427,24)</f>
        <v>3.6909999999999998</v>
      </c>
    </row>
    <row r="35" spans="1:16" x14ac:dyDescent="0.2">
      <c r="A35" s="21">
        <v>33</v>
      </c>
      <c r="B35" s="22">
        <v>91</v>
      </c>
      <c r="C35" s="22">
        <v>165</v>
      </c>
      <c r="E35" s="2">
        <f ca="1">IFERROR(__xludf.DUMMYFUNCTION("""COMPUTED_VALUE"""),163)</f>
        <v>163</v>
      </c>
      <c r="F35" s="2">
        <f ca="1">IFERROR(__xludf.DUMMYFUNCTION("""COMPUTED_VALUE"""),202)</f>
        <v>202</v>
      </c>
      <c r="H35" s="2">
        <f ca="1">VLOOKUP(E35, SLBs!$A$2:$AN$293, 36, FALSE)</f>
        <v>0</v>
      </c>
      <c r="I35" s="2" t="str">
        <f ca="1">VLOOKUP($E35, SLBs!$A$2:$AN$293, 37, FALSE)</f>
        <v>ENVIRONMENT</v>
      </c>
      <c r="J35" s="2" t="str">
        <f ca="1">VLOOKUP($E35, SLBs!$A$2:$AO$293, 38, FALSE)</f>
        <v>Bookrunner Banco Bilbao Vizcaya London Br BBV JLMB Joint Lead Managers-Books 0 1 2021-11-23 Bookrunner Citigroup Global Markets Ltd CITI JLMB Joint Lead Managers-Books 0 1 2021-11-23 Bookrunner Deutsche Bank DB JLMB Joint Lead Managers-Books 0 1 2021-11-23 Bookrunner DZ Bank DZBK JLMB Joint Lead Managers-Books 0 1 2021-11-23 Bookrunner JP Morgan AG JPM JLMB Joint Lead Managers-Books 0 1 2021-11-23 Bookrunner Mizuho Securities Europe GmbH MIZUHO JLMB Joint Lead Managers-Books 0 1 2021-11-23 Trustee Deutsche Bank AG DB PAAG Paying Agent(s) 0 7 2021-11-23 Trustee Deutsche Bank AG DB FISC Fiscal Agent(s) 0 7 2021-11-23 Trustee Deutsche Bank Luxembourg SA DB LIST Listing Agent(s) 0 7 2021-11-23 Trustee Internal Adviser IA LAI Legal Adviser to the Issuer(s) 0 16 2021-11-23 Trustee Hengeler Mueller HMWW LAM Legal Adviser(s) to the Manage 0 16 2021-11-23 ESG Assurance Provider ISS-oekom ISSOEK SNPC 2nd Party Consultant 0 30 2021-11-23</v>
      </c>
      <c r="K35" s="2">
        <f t="shared" ca="1" si="0"/>
        <v>0</v>
      </c>
      <c r="L35" s="2" t="e">
        <f t="shared" ca="1" si="1"/>
        <v>#VALUE!</v>
      </c>
      <c r="O35" s="2" t="str">
        <f ca="1">VLOOKUP(F35,CBs!$A$2:$Z$427,5)</f>
        <v>#N/A N/A</v>
      </c>
      <c r="P35" s="19">
        <f ca="1">VLOOKUP(F35,CBs!$A$2:$Z$427,24)</f>
        <v>2.1680000000000001</v>
      </c>
    </row>
    <row r="36" spans="1:16" x14ac:dyDescent="0.2">
      <c r="A36" s="21">
        <v>34</v>
      </c>
      <c r="B36" s="22">
        <v>92</v>
      </c>
      <c r="C36" s="22">
        <v>165</v>
      </c>
      <c r="E36" s="2">
        <f ca="1">IFERROR(__xludf.DUMMYFUNCTION("""COMPUTED_VALUE"""),165)</f>
        <v>165</v>
      </c>
      <c r="F36" s="2">
        <f ca="1">IFERROR(__xludf.DUMMYFUNCTION("""COMPUTED_VALUE"""),216)</f>
        <v>216</v>
      </c>
      <c r="H36" s="2" t="str">
        <f ca="1">VLOOKUP(E36, SLBs!$A$2:$AN$293, 36, FALSE)</f>
        <v>yes</v>
      </c>
      <c r="I36" s="2" t="str">
        <f ca="1">VLOOKUP($E36, SLBs!$A$2:$AN$293, 37, FALSE)</f>
        <v>ENVIRONMENT</v>
      </c>
      <c r="J36" s="2" t="str">
        <f ca="1">VLOOKUP($E36, SLBs!$A$2:$AO$293, 38, FALSE)</f>
        <v>Bookrunner BNP Paribas BNPP JLMB Joint Lead Managers-Books 0 1 2021-09-29 Bookrunner CM-CIC Securities SA CMCIC JLMB Joint Lead Managers-Books 0 1 2021-09-29 Bookrunner Credit Agricole CIB CACIB JLMB Joint Lead Managers-Books 0 1 2021-09-29 Bookrunner Goldman Sachs Bank Europe SE GS JLMB Joint Lead Managers-Books 0 1 2021-09-29 Bookrunner HSBC HSBC JLMB Joint Lead Managers-Books 0 1 2021-09-29 Bookrunner JP Morgan JPM JLMB Joint Lead Managers-Books 0 1 2021-09-29 Bookrunner Natixis NATIX JLMB Joint Lead Managers-Books 0 1 2021-09-29 Bookrunner Societe Generale SG JLMB Joint Lead Managers-Books 0 1 2021-09-29 NonBookrunner BNP Paribas BNPP GLCO Global Coordinator(s) 0 1 2021-09-29 NonBookrunner Credit Agricole CIB CACIB GLCO Global Coordinator(s) 0 1 2021-09-29 NonBookrunner Societe Generale SG GLCO Global Coordinator(s) 0 1 2021-09-29 Trustee Credit Agricole CIB CACIB ESGA ESG Agent 0 7 2021-09-29 Trustee Linklaters LLP L&amp;A LAI Legal Adviser to the Issuer(s) 0 16 2021-09-29 Trustee Allen &amp; Overy LLP ALLOVR LAM Legal Adviser(s) to the Manage 0 16 2021-09-29</v>
      </c>
      <c r="K36" s="2" t="str">
        <f t="shared" ca="1" si="0"/>
        <v>yes</v>
      </c>
      <c r="L36" s="2" t="e">
        <f t="shared" ca="1" si="1"/>
        <v>#VALUE!</v>
      </c>
      <c r="O36" s="2" t="str">
        <f ca="1">VLOOKUP(F36,CBs!$A$2:$Z$427,5)</f>
        <v>#N/A N/A</v>
      </c>
      <c r="P36" s="19">
        <f ca="1">VLOOKUP(F36,CBs!$A$2:$Z$427,24)</f>
        <v>1.7869999999999999</v>
      </c>
    </row>
    <row r="37" spans="1:16" x14ac:dyDescent="0.2">
      <c r="A37" s="21">
        <v>35</v>
      </c>
      <c r="B37" s="22">
        <v>99</v>
      </c>
      <c r="C37" s="22">
        <v>168</v>
      </c>
      <c r="E37" s="8">
        <f ca="1">IFERROR(__xludf.DUMMYFUNCTION("""COMPUTED_VALUE"""),182)</f>
        <v>182</v>
      </c>
      <c r="F37" s="2">
        <f ca="1">IFERROR(__xludf.DUMMYFUNCTION("""COMPUTED_VALUE"""),219)</f>
        <v>219</v>
      </c>
      <c r="H37" s="2">
        <f ca="1">VLOOKUP(E37, SLBs!$A$2:$AN$293, 36, FALSE)</f>
        <v>0</v>
      </c>
      <c r="I37" s="2" t="str">
        <f ca="1">VLOOKUP($E37, SLBs!$A$2:$AN$293, 37, FALSE)</f>
        <v>SOCIAL</v>
      </c>
      <c r="J37" s="2" t="str">
        <f ca="1">VLOOKUP($E37, SLBs!$A$2:$AO$293, 38, FALSE)</f>
        <v>Bookrunner Banco Finantia BANFIN JLMB Joint Lead Managers-Books 0 4 2021-12-15 Bookrunner Caixa Banco de Investimento SA CXBI JLMB Joint Lead Managers-Books 0 4 2021-12-15 Bookrunner Haitong Bank SA HAITIB JLMB Joint Lead Managers-Books 0 4 2021-12-15 Bookrunner Banco Finantia BANFIN JLMB Joint Lead Managers-Books 0 1 2021-11-17 Bookrunner Caixa Banco de Investimento SA CXBI JLMB Joint Lead Managers-Books 0 1 2021-11-17 Bookrunner Haitong Bank SA HAITIB JLMB Joint Lead Managers-Books 0 1 2021-11-17 Bookrunner Novo Banco SA NOVBNC JLMB Joint Lead Managers-Books 0 1 2021-11-17 NonBookrunner Banco Finantia BANFIN GLCO Global Coordinator(s) 0 1 2021-11-17 NonBookrunner Caixa Banco de Investimento SA CXBI GLCO Global Coordinator(s) 0 1 2021-11-17 NonBookrunner Haitong Bank SA HAITIB GLCO Global Coordinator(s) 0 1 2021-11-17 NonBookrunner Novo Banco SA NOVBNC GLCO Global Coordinator(s) 0 1 2021-11-17 ESG Assurance Provider S&amp;P Global Inc SPGI SNPC 2nd Party Consultant 0 30 2021-11-17</v>
      </c>
      <c r="K37" s="2">
        <f t="shared" ca="1" si="0"/>
        <v>0</v>
      </c>
      <c r="L37" s="2" t="e">
        <f t="shared" ca="1" si="1"/>
        <v>#VALUE!</v>
      </c>
      <c r="O37" s="2" t="str">
        <f ca="1">VLOOKUP(F37,CBs!$A$2:$Z$427,5)</f>
        <v>#N/A N/A</v>
      </c>
      <c r="P37" s="19">
        <f ca="1">VLOOKUP(F37,CBs!$A$2:$Z$427,24)</f>
        <v>0.58099999999999996</v>
      </c>
    </row>
    <row r="38" spans="1:16" x14ac:dyDescent="0.2">
      <c r="A38" s="21">
        <v>36</v>
      </c>
      <c r="B38" s="22">
        <v>99</v>
      </c>
      <c r="C38" s="22">
        <v>180</v>
      </c>
      <c r="E38" s="2">
        <f ca="1">IFERROR(__xludf.DUMMYFUNCTION("""COMPUTED_VALUE"""),188)</f>
        <v>188</v>
      </c>
      <c r="F38" s="2">
        <f ca="1">IFERROR(__xludf.DUMMYFUNCTION("""COMPUTED_VALUE"""),220)</f>
        <v>220</v>
      </c>
      <c r="H38" s="2">
        <f ca="1">VLOOKUP(E38, SLBs!$A$2:$AN$293, 36, FALSE)</f>
        <v>0</v>
      </c>
      <c r="I38" s="2" t="str">
        <f ca="1">VLOOKUP($E38, SLBs!$A$2:$AN$293, 37, FALSE)</f>
        <v>SOCIAL</v>
      </c>
      <c r="J38" s="2" t="str">
        <f ca="1">VLOOKUP($E38, SLBs!$A$2:$AO$293, 38, FALSE)</f>
        <v>Bookrunner Barclays BARCS JLMB Joint Lead Managers-Books 0 1 2020-09-16 Bookrunner HSBC HSBC JLMB Joint Lead Managers-Books 0 1 2020-09-16 Bookrunner JP Morgan Securities PLC JPM JLMB Joint Lead Managers-Books 0 1 2020-09-16 Bookrunner Societe Generale SG JLMB Joint Lead Managers-Books 0 1 2020-09-16 NonBookrunner BNP Paribas BNPP CM Co-Manager(s) 0 1 2020-09-16 NonBookrunner Credit Suisse Securities (Euro CS CM Co-Manager(s) 0 1 2020-09-16 NonBookrunner Deutsche Bank AG DB CM Co-Manager(s) 0 1 2020-09-16 NonBookrunner Mizuho Securities Europe GmbH MIZUHO CM Co-Manager(s) 0 1 2020-09-16 Trustee Linklaters LLP L&amp;A LAM Legal Adviser(s) to the Manage 0 16 2020-09-16 ESG Assurance Provider Sustainalytics BV SUSANA SNPC 2nd Party Consultant 0 30 2020-09-16</v>
      </c>
      <c r="K38" s="2">
        <f t="shared" ca="1" si="0"/>
        <v>0</v>
      </c>
      <c r="L38" s="2" t="e">
        <f t="shared" ca="1" si="1"/>
        <v>#VALUE!</v>
      </c>
      <c r="O38" s="2" t="str">
        <f ca="1">VLOOKUP(F38,CBs!$A$2:$Z$427,5)</f>
        <v>#N/A N/A</v>
      </c>
      <c r="P38" s="19">
        <f ca="1">VLOOKUP(F38,CBs!$A$2:$Z$427,24)</f>
        <v>0.61299999999999999</v>
      </c>
    </row>
    <row r="39" spans="1:16" x14ac:dyDescent="0.2">
      <c r="A39" s="21">
        <v>37</v>
      </c>
      <c r="B39" s="22">
        <v>99</v>
      </c>
      <c r="C39" s="22">
        <v>181</v>
      </c>
      <c r="E39" s="2">
        <f ca="1">IFERROR(__xludf.DUMMYFUNCTION("""COMPUTED_VALUE"""),194)</f>
        <v>194</v>
      </c>
      <c r="F39" s="2">
        <f ca="1">IFERROR(__xludf.DUMMYFUNCTION("""COMPUTED_VALUE"""),221)</f>
        <v>221</v>
      </c>
      <c r="H39" s="2">
        <f ca="1">VLOOKUP(E39, SLBs!$A$2:$AN$293, 36, FALSE)</f>
        <v>0</v>
      </c>
      <c r="I39" s="2" t="str">
        <f ca="1">VLOOKUP($E39, SLBs!$A$2:$AN$293, 37, FALSE)</f>
        <v>ENVIRONMENT</v>
      </c>
      <c r="J39" s="2" t="str">
        <f ca="1">VLOOKUP($E39, SLBs!$A$2:$AO$293, 38, FALSE)</f>
        <v>Bookrunner Barclays BARCS JLMB Joint Lead Managers-Books 0 1 2022-03-31 Bookrunner BNP Paribas BNPP JLMB Joint Lead Managers-Books 0 1 2022-03-31 Bookrunner Deutsche Bank DB JLMB Joint Lead Managers-Books 0 1 2022-03-31 Bookrunner HSBC HSBC JLMB Joint Lead Managers-Books 0 1 2022-03-31 Bookrunner Natixis NATIX JLMB Joint Lead Managers-Books 0 1 2022-03-31 Bookrunner Societe Generale SG JLMB Joint Lead Managers-Books 0 1 2022-03-31</v>
      </c>
      <c r="K39" s="2">
        <f t="shared" ca="1" si="0"/>
        <v>0</v>
      </c>
      <c r="L39" s="2" t="e">
        <f t="shared" ca="1" si="1"/>
        <v>#VALUE!</v>
      </c>
      <c r="O39" s="2">
        <f ca="1">VLOOKUP(F39,CBs!$A$2:$Z$427,5)</f>
        <v>0.60399999999999998</v>
      </c>
      <c r="P39" s="19">
        <f ca="1">VLOOKUP(F39,CBs!$A$2:$Z$427,24)</f>
        <v>0.60099999999999998</v>
      </c>
    </row>
    <row r="40" spans="1:16" x14ac:dyDescent="0.2">
      <c r="A40" s="21">
        <v>38</v>
      </c>
      <c r="B40" s="22">
        <v>99</v>
      </c>
      <c r="C40" s="22">
        <v>189</v>
      </c>
      <c r="E40" s="2">
        <f ca="1">IFERROR(__xludf.DUMMYFUNCTION("""COMPUTED_VALUE"""),204)</f>
        <v>204</v>
      </c>
      <c r="F40" s="2">
        <f ca="1">IFERROR(__xludf.DUMMYFUNCTION("""COMPUTED_VALUE"""),222)</f>
        <v>222</v>
      </c>
      <c r="H40" s="2" t="str">
        <f ca="1">VLOOKUP(E40, SLBs!$A$2:$AN$293, 36, FALSE)</f>
        <v/>
      </c>
      <c r="I40" s="2" t="str">
        <f ca="1">VLOOKUP($E40, SLBs!$A$2:$AN$293, 37, FALSE)</f>
        <v>N/A</v>
      </c>
      <c r="J40" s="2" t="str">
        <f ca="1">VLOOKUP($E40, SLBs!$A$2:$AO$293, 38, FALSE)</f>
        <v>Bookrunner BNP Paribas/Frankfurt BNP JLMB Joint Lead Managers-Books 0 4 2021-01-12 Bookrunner HSBC Trinkaus &amp; Burkhardt AG H-TRNK JLMB Joint Lead Managers-Books 0 4 2021-01-12 Bookrunner ING Bank NV Niederlassung ING JLMB Joint Lead Managers-Books 0 4 2021-01-12 Bookrunner BNP Paribas/Frankfurt BNP JLMB Joint Lead Managers-Books 0 1 2020-12-16 Bookrunner HSBC Trinkaus &amp; Burkhardt AG H-TRNK JLMB Joint Lead Managers-Books 0 1 2020-12-16 Bookrunner ING Bank NV Niederlassung ING JLMB Joint Lead Managers-Books 0 1 2020-12-16</v>
      </c>
      <c r="K40" s="2" t="str">
        <f t="shared" ca="1" si="0"/>
        <v/>
      </c>
      <c r="L40" s="2" t="e">
        <f t="shared" ca="1" si="1"/>
        <v>#VALUE!</v>
      </c>
      <c r="O40" s="2" t="str">
        <f ca="1">VLOOKUP(F40,CBs!$A$2:$Z$427,5)</f>
        <v>#N/A N/A</v>
      </c>
      <c r="P40" s="19">
        <f ca="1">VLOOKUP(F40,CBs!$A$2:$Z$427,24)</f>
        <v>1.1859999999999999</v>
      </c>
    </row>
    <row r="41" spans="1:16" x14ac:dyDescent="0.2">
      <c r="A41" s="21">
        <v>39</v>
      </c>
      <c r="B41" s="22">
        <v>99</v>
      </c>
      <c r="C41" s="22">
        <v>191</v>
      </c>
      <c r="E41" s="2">
        <f ca="1">IFERROR(__xludf.DUMMYFUNCTION("""COMPUTED_VALUE"""),205)</f>
        <v>205</v>
      </c>
      <c r="F41" s="2">
        <f ca="1">IFERROR(__xludf.DUMMYFUNCTION("""COMPUTED_VALUE"""),223)</f>
        <v>223</v>
      </c>
      <c r="H41" s="2">
        <f ca="1">VLOOKUP(E41, SLBs!$A$2:$AN$293, 36, FALSE)</f>
        <v>0</v>
      </c>
      <c r="I41" s="2" t="str">
        <f ca="1">VLOOKUP($E41, SLBs!$A$2:$AN$293, 37, FALSE)</f>
        <v>N/A</v>
      </c>
      <c r="J41" s="2" t="str">
        <f ca="1">VLOOKUP($E41, SLBs!$A$2:$AO$293, 38, FALSE)</f>
        <v>Bookrunner BNP Paribas/Frankfurt BNP JLMB Joint Lead Managers-Books 0 4 2021-01-12 Bookrunner HSBC Trinkaus &amp; Burkhardt AG H-TRNK JLMB Joint Lead Managers-Books 0 4 2021-01-12 Bookrunner ING Bank NV Niederlassung ING JLMB Joint Lead Managers-Books 0 4 2021-01-12 Bookrunner BNP Paribas/Frankfurt BNP JLMB Joint Lead Managers-Books 0 1 2020-12-16 Bookrunner HSBC Trinkaus &amp; Burkhardt AG H-TRNK JLMB Joint Lead Managers-Books 0 1 2020-12-16 Bookrunner ING Bank NV Niederlassung ING JLMB Joint Lead Managers-Books 0 1 2020-12-16</v>
      </c>
      <c r="K41" s="2">
        <f t="shared" ca="1" si="0"/>
        <v>0</v>
      </c>
      <c r="L41" s="2" t="e">
        <f t="shared" ca="1" si="1"/>
        <v>#VALUE!</v>
      </c>
      <c r="O41" s="2" t="str">
        <f ca="1">VLOOKUP(F41,CBs!$A$2:$Z$427,5)</f>
        <v>#N/A N/A</v>
      </c>
      <c r="P41" s="19" t="str">
        <f ca="1">VLOOKUP(F41,CBs!$A$2:$Z$427,24)</f>
        <v>#N/A N/A</v>
      </c>
    </row>
    <row r="42" spans="1:16" x14ac:dyDescent="0.2">
      <c r="A42" s="21">
        <v>40</v>
      </c>
      <c r="B42" s="22">
        <v>99</v>
      </c>
      <c r="C42" s="22">
        <v>192</v>
      </c>
      <c r="E42" s="2">
        <f ca="1">IFERROR(__xludf.DUMMYFUNCTION("""COMPUTED_VALUE"""),231)</f>
        <v>231</v>
      </c>
      <c r="F42" s="2">
        <f ca="1">IFERROR(__xludf.DUMMYFUNCTION("""COMPUTED_VALUE"""),226)</f>
        <v>226</v>
      </c>
      <c r="H42" s="2">
        <f ca="1">VLOOKUP(E42, SLBs!$A$2:$AN$293, 36, FALSE)</f>
        <v>0</v>
      </c>
      <c r="I42" s="2" t="str">
        <f ca="1">VLOOKUP($E42, SLBs!$A$2:$AN$293, 37, FALSE)</f>
        <v>SOCIAL</v>
      </c>
      <c r="J42" s="2" t="str">
        <f ca="1">VLOOKUP($E42, SLBs!$A$2:$AO$293, 38, FALSE)</f>
        <v>Bookrunner Barclays BARCS JLMB Joint Lead Managers-Books 0 1 2022-03-30 Bookrunner Morgan Stanley MS JLMB Joint Lead Managers-Books 0 1 2022-03-30 Bookrunner MUFG Securities EMEA PLC MUFG JLMB Joint Lead Managers-Books 0 1 2022-03-30 Bookrunner Natixis NATIX JLMB Joint Lead Managers-Books 0 1 2022-03-30 Bookrunner RBC Capital Markets RBCCM JLMB Joint Lead Managers-Books 0 1 2022-03-30 ESG Assurance Provider ISS-oekom ISSOEK SNPC 2nd Party Consultant 0 30 2022-03-30</v>
      </c>
      <c r="K42" s="2">
        <f t="shared" ca="1" si="0"/>
        <v>0</v>
      </c>
      <c r="L42" s="2" t="e">
        <f t="shared" ca="1" si="1"/>
        <v>#VALUE!</v>
      </c>
      <c r="O42" s="2" t="str">
        <f ca="1">VLOOKUP(F42,CBs!$A$2:$Z$427,5)</f>
        <v>#N/A N/A</v>
      </c>
      <c r="P42" s="19">
        <f ca="1">VLOOKUP(F42,CBs!$A$2:$Z$427,24)</f>
        <v>2.0659999999999998</v>
      </c>
    </row>
    <row r="43" spans="1:16" x14ac:dyDescent="0.2">
      <c r="A43" s="21">
        <v>41</v>
      </c>
      <c r="B43" s="22">
        <v>104</v>
      </c>
      <c r="C43" s="22">
        <v>196</v>
      </c>
      <c r="E43" s="2">
        <f ca="1">IFERROR(__xludf.DUMMYFUNCTION("""COMPUTED_VALUE"""),232)</f>
        <v>232</v>
      </c>
      <c r="F43" s="2">
        <f ca="1">IFERROR(__xludf.DUMMYFUNCTION("""COMPUTED_VALUE"""),232)</f>
        <v>232</v>
      </c>
      <c r="H43" s="2">
        <f ca="1">VLOOKUP(E43, SLBs!$A$2:$AN$293, 36, FALSE)</f>
        <v>0</v>
      </c>
      <c r="I43" s="2" t="str">
        <f ca="1">VLOOKUP($E43, SLBs!$A$2:$AN$293, 37, FALSE)</f>
        <v>ESG SCORE</v>
      </c>
      <c r="J43" s="2" t="str">
        <f ca="1">VLOOKUP($E43, SLBs!$A$2:$AO$293, 38, FALSE)</f>
        <v>Bookrunner Landesbank Baden-Wuerttemberg LBBW JLMB Joint Lead Managers-Books 0 1 2020-11-30 Bookrunner UniCredit Bank AG UNICRD JLMB Joint Lead Managers-Books 0 1 2020-11-30</v>
      </c>
      <c r="K43" s="2">
        <f t="shared" ca="1" si="0"/>
        <v>0</v>
      </c>
      <c r="L43" s="2" t="e">
        <f t="shared" ca="1" si="1"/>
        <v>#VALUE!</v>
      </c>
      <c r="O43" s="2" t="str">
        <f ca="1">VLOOKUP(F43,CBs!$A$2:$Z$427,5)</f>
        <v>#N/A N/A</v>
      </c>
      <c r="P43" s="19" t="str">
        <f ca="1">VLOOKUP(F43,CBs!$A$2:$Z$427,24)</f>
        <v>#N/A N/A</v>
      </c>
    </row>
    <row r="44" spans="1:16" x14ac:dyDescent="0.2">
      <c r="A44" s="21">
        <v>42</v>
      </c>
      <c r="B44" s="22">
        <v>110</v>
      </c>
      <c r="C44" s="22">
        <v>197</v>
      </c>
      <c r="E44" s="2">
        <f ca="1">IFERROR(__xludf.DUMMYFUNCTION("""COMPUTED_VALUE"""),235)</f>
        <v>235</v>
      </c>
      <c r="F44" s="2">
        <f ca="1">IFERROR(__xludf.DUMMYFUNCTION("""COMPUTED_VALUE"""),233)</f>
        <v>233</v>
      </c>
      <c r="H44" s="2">
        <f ca="1">VLOOKUP(E44, SLBs!$A$2:$AN$293, 36, FALSE)</f>
        <v>0</v>
      </c>
      <c r="I44" s="2" t="str">
        <f ca="1">VLOOKUP($E44, SLBs!$A$2:$AN$293, 37, FALSE)</f>
        <v>ESG SCORE</v>
      </c>
      <c r="J44" s="2" t="str">
        <f ca="1">VLOOKUP($E44, SLBs!$A$2:$AO$293, 38, FALSE)</f>
        <v>Bookrunner Landesbank Baden-Wuerttemberg LBBW JLMB Joint Lead Managers-Books 0 1 2020-11-30 Bookrunner UniCredit Bank AG UNICRD JLMB Joint Lead Managers-Books 0 1 2020-11-30</v>
      </c>
      <c r="K44" s="2">
        <f t="shared" ca="1" si="0"/>
        <v>0</v>
      </c>
      <c r="L44" s="2" t="e">
        <f t="shared" ca="1" si="1"/>
        <v>#VALUE!</v>
      </c>
      <c r="O44" s="2" t="str">
        <f ca="1">VLOOKUP(F44,CBs!$A$2:$Z$427,5)</f>
        <v>#N/A N/A</v>
      </c>
      <c r="P44" s="19" t="str">
        <f ca="1">VLOOKUP(F44,CBs!$A$2:$Z$427,24)</f>
        <v>#N/A N/A</v>
      </c>
    </row>
    <row r="45" spans="1:16" x14ac:dyDescent="0.2">
      <c r="A45" s="21">
        <v>43</v>
      </c>
      <c r="B45" s="22">
        <v>106</v>
      </c>
      <c r="C45" s="22">
        <v>198</v>
      </c>
      <c r="E45" s="2">
        <f ca="1">IFERROR(__xludf.DUMMYFUNCTION("""COMPUTED_VALUE"""),233)</f>
        <v>233</v>
      </c>
      <c r="F45" s="2">
        <f ca="1">IFERROR(__xludf.DUMMYFUNCTION("""COMPUTED_VALUE"""),235)</f>
        <v>235</v>
      </c>
      <c r="H45" s="2">
        <f ca="1">VLOOKUP(E45, SLBs!$A$2:$AN$293, 36, FALSE)</f>
        <v>0</v>
      </c>
      <c r="I45" s="2" t="str">
        <f ca="1">VLOOKUP($E45, SLBs!$A$2:$AN$293, 37, FALSE)</f>
        <v>ESG SCORE</v>
      </c>
      <c r="J45" s="2" t="str">
        <f ca="1">VLOOKUP($E45, SLBs!$A$2:$AO$293, 38, FALSE)</f>
        <v>Bookrunner Landesbank Baden-Wuerttemberg LBBW JLMB Joint Lead Managers-Books 0 1 2020-11-30 Bookrunner UniCredit Bank AG UNICRD JLMB Joint Lead Managers-Books 0 1 2020-11-30</v>
      </c>
      <c r="K45" s="2">
        <f t="shared" ca="1" si="0"/>
        <v>0</v>
      </c>
      <c r="L45" s="2" t="e">
        <f t="shared" ca="1" si="1"/>
        <v>#VALUE!</v>
      </c>
      <c r="O45" s="2" t="str">
        <f ca="1">VLOOKUP(F45,CBs!$A$2:$Z$427,5)</f>
        <v>#N/A N/A</v>
      </c>
      <c r="P45" s="19" t="str">
        <f ca="1">VLOOKUP(F45,CBs!$A$2:$Z$427,24)</f>
        <v>#N/A N/A</v>
      </c>
    </row>
    <row r="46" spans="1:16" x14ac:dyDescent="0.2">
      <c r="A46" s="21">
        <v>44</v>
      </c>
      <c r="B46" s="22">
        <v>110</v>
      </c>
      <c r="C46" s="22">
        <v>198</v>
      </c>
      <c r="E46" s="2">
        <f ca="1">IFERROR(__xludf.DUMMYFUNCTION("""COMPUTED_VALUE"""),234)</f>
        <v>234</v>
      </c>
      <c r="F46" s="2">
        <f ca="1">IFERROR(__xludf.DUMMYFUNCTION("""COMPUTED_VALUE"""),236)</f>
        <v>236</v>
      </c>
      <c r="H46" s="2">
        <f ca="1">VLOOKUP(E46, SLBs!$A$2:$AN$293, 36, FALSE)</f>
        <v>0</v>
      </c>
      <c r="I46" s="2" t="str">
        <f ca="1">VLOOKUP($E46, SLBs!$A$2:$AN$293, 37, FALSE)</f>
        <v>ESG SCORE</v>
      </c>
      <c r="J46" s="2" t="str">
        <f ca="1">VLOOKUP($E46, SLBs!$A$2:$AO$293, 38, FALSE)</f>
        <v>Bookrunner Landesbank Baden-Wuerttemberg LBBW JLMB Joint Lead Managers-Books 0 1 2020-11-30 Bookrunner UniCredit Bank AG UNICRD JLMB Joint Lead Managers-Books 0 1 2020-11-30</v>
      </c>
      <c r="K46" s="2">
        <f t="shared" ca="1" si="0"/>
        <v>0</v>
      </c>
      <c r="L46" s="2" t="e">
        <f t="shared" ca="1" si="1"/>
        <v>#VALUE!</v>
      </c>
      <c r="O46" s="2" t="str">
        <f ca="1">VLOOKUP(F46,CBs!$A$2:$Z$427,5)</f>
        <v>#N/A N/A</v>
      </c>
      <c r="P46" s="19" t="str">
        <f ca="1">VLOOKUP(F46,CBs!$A$2:$Z$427,24)</f>
        <v>#N/A N/A</v>
      </c>
    </row>
    <row r="47" spans="1:16" x14ac:dyDescent="0.2">
      <c r="A47" s="21">
        <v>45</v>
      </c>
      <c r="B47" s="22">
        <v>104</v>
      </c>
      <c r="C47" s="22">
        <v>200</v>
      </c>
      <c r="E47" s="2">
        <f ca="1">IFERROR(__xludf.DUMMYFUNCTION("""COMPUTED_VALUE"""),240)</f>
        <v>240</v>
      </c>
      <c r="F47" s="2">
        <f ca="1">IFERROR(__xludf.DUMMYFUNCTION("""COMPUTED_VALUE"""),237)</f>
        <v>237</v>
      </c>
      <c r="H47" s="2">
        <f ca="1">VLOOKUP(E47, SLBs!$A$2:$AN$293, 36, FALSE)</f>
        <v>0</v>
      </c>
      <c r="I47" s="2" t="str">
        <f ca="1">VLOOKUP($E47, SLBs!$A$2:$AN$293, 37, FALSE)</f>
        <v>ENVIRONMENT</v>
      </c>
      <c r="J47" s="2" t="str">
        <f ca="1">VLOOKUP($E47, SLBs!$A$2:$AO$293, 38, FALSE)</f>
        <v>Bookrunner Barclays BARCS JLMB Joint Lead Managers-Books 0 1 2022-01-12 Bookrunner BNP Paribas BNPP JLMB Joint Lead Managers-Books 0 1 2022-01-12 Bookrunner Goldman Sachs International GSI JLMB Joint Lead Managers-Books 0 1 2022-01-12 Bookrunner IMI - Intesa Sanpaolo IMI JLMB Joint Lead Managers-Books 0 1 2022-01-12 Bookrunner Mediobanca MEDBCA JLMB Joint Lead Managers-Books 0 1 2022-01-12 Bookrunner Morgan Stanley &amp; Co Internatio MS JLMB Joint Lead Managers-Books 0 1 2022-01-12 Bookrunner Societe Generale SG JLMB Joint Lead Managers-Books 0 1 2022-01-12 Bookrunner UniCredit UNICRD JLMB Joint Lead Managers-Books 0 1 2022-01-12 NonBookrunner Barclays BARCS GLCO Global Coordinator(s) 0 1 2022-01-12 NonBookrunner BNP Paribas BNPP GLCO Global Coordinator(s) 0 1 2022-01-12 NonBookrunner Goldman Sachs International GSI GLCO Global Coordinator(s) 0 1 2022-01-12 Trustee BNP Paribas Securities Service BNPSEC PAAG Paying Agent(s) 0 7 2022-01-12 Trustee BNP Paribas Securities Service BNPSEC LIST Listing Agent(s) 0 7 2022-01-12 Trustee BNP Paribas Securities Service BNPSEC ISAG Issuing Agent(s) 0 7 2022-01-12 Trustee Orrick Herrington &amp; Sutcliffe ORRICK LAI Legal Adviser to the Issuer(s) 0 16 2022-01-12 Trustee Linklaters LLP L&amp;A LAM Legal Adviser(s) to the Manage 0 16 2022-01-12 Trustee Studio Legale Associato assoc LINKLA LAM Legal Adviser(s) to the Manage 0 16 2022-01-12 ESG Assurance Provider ISS-oekom ISSOEK SNPC 2nd Party Consultant 0 30 2022-01-12</v>
      </c>
      <c r="K47" s="2">
        <f t="shared" ca="1" si="0"/>
        <v>0</v>
      </c>
      <c r="L47" s="2" t="e">
        <f t="shared" ca="1" si="1"/>
        <v>#VALUE!</v>
      </c>
      <c r="O47" s="2" t="str">
        <f ca="1">VLOOKUP(F47,CBs!$A$2:$Z$427,5)</f>
        <v>#N/A N/A</v>
      </c>
      <c r="P47" s="19" t="str">
        <f ca="1">VLOOKUP(F47,CBs!$A$2:$Z$427,24)</f>
        <v>#N/A N/A</v>
      </c>
    </row>
    <row r="48" spans="1:16" x14ac:dyDescent="0.2">
      <c r="A48" s="21">
        <v>46</v>
      </c>
      <c r="B48" s="22">
        <v>104</v>
      </c>
      <c r="C48" s="22">
        <v>201</v>
      </c>
      <c r="E48" s="2">
        <f ca="1">IFERROR(__xludf.DUMMYFUNCTION("""COMPUTED_VALUE"""),241)</f>
        <v>241</v>
      </c>
      <c r="F48" s="2">
        <f ca="1">IFERROR(__xludf.DUMMYFUNCTION("""COMPUTED_VALUE"""),248)</f>
        <v>248</v>
      </c>
      <c r="H48" s="2">
        <f ca="1">VLOOKUP(E48, SLBs!$A$2:$AN$293, 36, FALSE)</f>
        <v>0</v>
      </c>
      <c r="I48" s="2" t="str">
        <f ca="1">VLOOKUP($E48, SLBs!$A$2:$AN$293, 37, FALSE)</f>
        <v>ENVIRONMENT</v>
      </c>
      <c r="J48" s="2" t="str">
        <f ca="1">VLOOKUP($E48, SLBs!$A$2:$AO$293, 38, FALSE)</f>
        <v>Bookrunner Barclays Bank Ireland PLC BARCBK JLMB Joint Lead Managers-Books 0 1 2022-01-12 Bookrunner BNP Paribas BNPP JLMB Joint Lead Managers-Books 0 1 2022-01-12 Bookrunner BofA Securities Europe SA BOFAS JLMB Joint Lead Managers-Books 0 1 2022-01-12 Bookrunner Goldman Sachs International GSI JLMB Joint Lead Managers-Books 0 1 2022-01-12 Bookrunner Mizuho Securities Europe GmbH MIZUHO JLMB Joint Lead Managers-Books 0 1 2022-01-12 Bookrunner Morgan Stanley &amp; Co Internatio MS JLMB Joint Lead Managers-Books 0 1 2022-01-12 Bookrunner Societe Generale SG JLMB Joint Lead Managers-Books 0 1 2022-01-12 Bookrunner UniCredit UNICRD JLMB Joint Lead Managers-Books 0 1 2022-01-12 NonBookrunner Barclays BARCS GLCO Global Coordinator(s) 0 1 2022-01-12 NonBookrunner BNP Paribas BNPP GLCO Global Coordinator(s) 0 1 2022-01-12 NonBookrunner Goldman Sachs International GSI GLCO Global Coordinator(s) 0 1 2022-01-12 Trustee BNP Paribas Securities Service BNPSEC PAAG Paying Agent(s) 0 7 2022-01-12 Trustee BNP Paribas Securities Service BNPSEC LIST Listing Agent(s) 0 7 2022-01-12 Trustee BNP Paribas Securities Service BNPSEC ISAG Issuing Agent(s) 0 7 2022-01-12 Trustee Orrick Herrington &amp; Sutcliffe ORRICK LAI Legal Adviser to the Issuer(s) 0 16 2022-01-12 Trustee Linklaters LLP L&amp;A LAM Legal Adviser(s) to the Manage 0 16 2022-01-12 Trustee Studio Legale Associato assoc LINKLA LAM Legal Adviser(s) to the Manage 0 16 2022-01-12 ESG Assurance Provider ISS-oekom ISSOEK SNPC 2nd Party Consultant 0 30 2022-01-12</v>
      </c>
      <c r="K48" s="2">
        <f t="shared" ca="1" si="0"/>
        <v>0</v>
      </c>
      <c r="L48" s="2" t="e">
        <f t="shared" ca="1" si="1"/>
        <v>#VALUE!</v>
      </c>
      <c r="O48" s="2">
        <f ca="1">VLOOKUP(F48,CBs!$A$2:$Z$427,5)</f>
        <v>3.7810000000000001</v>
      </c>
      <c r="P48" s="19" t="str">
        <f ca="1">VLOOKUP(F48,CBs!$A$2:$Z$427,24)</f>
        <v>#N/A N/A</v>
      </c>
    </row>
    <row r="49" spans="1:16" x14ac:dyDescent="0.2">
      <c r="A49" s="21">
        <v>47</v>
      </c>
      <c r="B49" s="22">
        <v>104</v>
      </c>
      <c r="C49" s="22">
        <v>202</v>
      </c>
      <c r="E49" s="2">
        <f ca="1">IFERROR(__xludf.DUMMYFUNCTION("""COMPUTED_VALUE"""),230)</f>
        <v>230</v>
      </c>
      <c r="F49" s="2">
        <f ca="1">IFERROR(__xludf.DUMMYFUNCTION("""COMPUTED_VALUE"""),249)</f>
        <v>249</v>
      </c>
      <c r="H49" s="2">
        <f ca="1">VLOOKUP(E49, SLBs!$A$2:$AN$293, 36, FALSE)</f>
        <v>0</v>
      </c>
      <c r="I49" s="2" t="str">
        <f ca="1">VLOOKUP($E49, SLBs!$A$2:$AN$293, 37, FALSE)</f>
        <v>ENVIRONMENT</v>
      </c>
      <c r="J49" s="2" t="str">
        <f ca="1">VLOOKUP($E49, SLBs!$A$2:$AO$293, 38, FALSE)</f>
        <v>Bookrunner DNB Markets DNB JLMB Joint Lead Managers-Books 0 1 2021-06-09 Bookrunner SEB SEB JLMB Joint Lead Managers-Books 0 1 2021-06-09 Trustee White &amp; Case LLP W&amp;C LAI Legal Adviser to the Issuer(s) 0 16 2021-06-09</v>
      </c>
      <c r="K49" s="2">
        <f t="shared" ca="1" si="0"/>
        <v>0</v>
      </c>
      <c r="L49" s="2" t="e">
        <f t="shared" ca="1" si="1"/>
        <v>#VALUE!</v>
      </c>
      <c r="O49" s="2">
        <f ca="1">VLOOKUP(F49,CBs!$A$2:$Z$427,5)</f>
        <v>3.7810000000000001</v>
      </c>
      <c r="P49" s="19" t="str">
        <f ca="1">VLOOKUP(F49,CBs!$A$2:$Z$427,24)</f>
        <v>#N/A N/A</v>
      </c>
    </row>
    <row r="50" spans="1:16" x14ac:dyDescent="0.2">
      <c r="A50" s="21">
        <v>48</v>
      </c>
      <c r="B50" s="22">
        <v>131</v>
      </c>
      <c r="C50" s="22">
        <v>216</v>
      </c>
      <c r="E50" s="2">
        <f ca="1">IFERROR(__xludf.DUMMYFUNCTION("""COMPUTED_VALUE"""),242)</f>
        <v>242</v>
      </c>
      <c r="F50" s="2">
        <f ca="1">IFERROR(__xludf.DUMMYFUNCTION("""COMPUTED_VALUE"""),264)</f>
        <v>264</v>
      </c>
      <c r="H50" s="2">
        <f ca="1">VLOOKUP(E50, SLBs!$A$2:$AN$293, 36, FALSE)</f>
        <v>0</v>
      </c>
      <c r="I50" s="2" t="str">
        <f ca="1">VLOOKUP($E50, SLBs!$A$2:$AN$293, 37, FALSE)</f>
        <v>ENVIRONMENT</v>
      </c>
      <c r="J50" s="2" t="str">
        <f ca="1">VLOOKUP($E50, SLBs!$A$2:$AO$293, 38, FALSE)</f>
        <v>Bookrunner BNP Paribas/New York BNPPAR JLMB Joint Lead Managers-Books 54054 1 2021-09-08 Bookrunner BofA Securities BofA JLMB Joint Lead Managers-Books 54054 1 2021-09-08 Bookrunner Bradesco BBI SA BRADSC JLMB Joint Lead Managers-Books 13514 1 2021-09-08 Bookrunner Credit Agricole Securities USA CASECS JLMB Joint Lead Managers-Books 54054 1 2021-09-08 Bookrunner JP Morgan JPM JLMB Joint Lead Managers-Books 54054 1 2021-09-08 Bookrunner Mizuho Securities USA Inc MIZ JLMB Joint Lead Managers-Books 54054 1 2021-09-08 Bookrunner MUFG Securities Americas Inc MUFG JLMB Joint Lead Managers-Books 54054 1 2021-09-08 Bookrunner Rabo Securities USA Inc RABO JLMB Joint Lead Managers-Books 54054 1 2021-09-08 Bookrunner Scotia Capital USA Inc SCOTIA JLMB Joint Lead Managers-Books 54054 1 2021-09-08 Bookrunner SMBC Nikko Securities America SMBC JLMB Joint Lead Managers-Books 54054 1 2021-09-08 NonBookrunner BNP Paribas/New York BNPPAR GLCO Global Coordinator(s) 0 1 2021-09-08 NonBookrunner BofA Securities BofA GLCO Global Coordinator(s) 0 1 2021-09-08 NonBookrunner JP Morgan JPM GLCO Global Coordinator(s) 0 1 2021-09-08 NonBookrunner Mizuho Securities USA Inc MIZ GLCO Global Coordinator(s) 0 1 2021-09-08 NonBookrunner Rabo Securities USA Inc RABO GLCO Global Coordinator(s) 0 1 2021-09-08 NonBookrunner Scotia Capital USA Inc SCOTIA GLCO Global Coordinator(s) 0 1 2021-09-08 Trustee Deutsche Bank Trust Company Am DB PAAG Paying Agent(s) 0 7 2021-09-08 Trustee Deutsche Bank Trust Company Am DB TRST Trustee(s) 0 7 2021-09-08 Trustee Deutsche Bank Trust Company Am DB TRNS Transfer Agent(s) 0 7 2021-09-08 Trustee Deutsche Bank Trust Company Am DB RGST Registrar(s) 0 7 2021-09-08 Trustee Cleary Gottlieb Steen &amp; Hamilt CGS&amp;H LAI Legal Adviser to the Issuer(s) 0 16 2021-09-08 Trustee Internal Adviser IA LAI Legal Adviser to the Issuer(s) 0 16 2021-09-08 Trustee Weber Rechtsanwalte GmbH WEBERR LAI Legal Adviser to the Issuer(s) 0 16 2021-09-08 Trustee Allen &amp; Overy LLP ALLOVR LAM Legal Adviser(s) to the Manage 0 16 2021-09-08 Trustee Pinheiro &amp; Guimaraes Ltda PIGULT LAM Legal Adviser(s) to the Manage 0 16 2021-09-08 ESG Assurance Provider ISS-oekom ISSOEK SNPC 2nd Party Consultant 0 30 2021-09-08</v>
      </c>
      <c r="K50" s="2">
        <f t="shared" ca="1" si="0"/>
        <v>0</v>
      </c>
      <c r="L50" s="2" t="e">
        <f t="shared" ca="1" si="1"/>
        <v>#VALUE!</v>
      </c>
      <c r="O50" s="2" t="str">
        <f ca="1">VLOOKUP(F50,CBs!$A$2:$Z$427,5)</f>
        <v>#N/A N/A</v>
      </c>
      <c r="P50" s="19">
        <f ca="1">VLOOKUP(F50,CBs!$A$2:$Z$427,24)</f>
        <v>0.68799999999999994</v>
      </c>
    </row>
    <row r="51" spans="1:16" x14ac:dyDescent="0.2">
      <c r="A51" s="21">
        <v>49</v>
      </c>
      <c r="B51" s="22">
        <v>131</v>
      </c>
      <c r="C51" s="22">
        <v>219</v>
      </c>
      <c r="E51" s="2">
        <f ca="1">IFERROR(__xludf.DUMMYFUNCTION("""COMPUTED_VALUE"""),243)</f>
        <v>243</v>
      </c>
      <c r="F51" s="2">
        <f ca="1">IFERROR(__xludf.DUMMYFUNCTION("""COMPUTED_VALUE"""),265)</f>
        <v>265</v>
      </c>
      <c r="H51" s="2" t="str">
        <f ca="1">VLOOKUP(E51, SLBs!$A$2:$AN$293, 36, FALSE)</f>
        <v>yes</v>
      </c>
      <c r="I51" s="2" t="str">
        <f ca="1">VLOOKUP($E51, SLBs!$A$2:$AN$293, 37, FALSE)</f>
        <v>ESG</v>
      </c>
      <c r="J51" s="2" t="str">
        <f ca="1">VLOOKUP($E51, SLBs!$A$2:$AO$293, 38, FALSE)</f>
        <v>Bookrunner BNP Paribas Securities Corp BNPPAR JLMB Joint Lead Managers-Books 100000 1 2021-06-28 Bookrunner BofA Securities BofA JLMB Joint Lead Managers-Books 100000 1 2021-06-28 Bookrunner Credit Agricole Securities USA CASECS JLMB Joint Lead Managers-Books 100000 1 2021-06-28 Bookrunner Goldman Sachs Bank Europe SE GS JLMB Joint Lead Managers-Books 100000 1 2021-06-28 Bookrunner JP Morgan Securities LLC JPM JLMB Joint Lead Managers-Books 100000 1 2021-06-28 Bookrunner Mizuho Securities USA LLC MIZ JLMB Joint Lead Managers-Books 100000 1 2021-06-28 Bookrunner MUFG Securities Americas Inc MUFG JLMB Joint Lead Managers-Books 100000 1 2021-06-28 Bookrunner Rabo Securities USA Inc RABO JLMB Joint Lead Managers-Books 100000 1 2021-06-28 Bookrunner Scotia Capital USA Inc SCOTIA JLMB Joint Lead Managers-Books 100000 1 2021-06-28 Bookrunner SMBC Nikko Securities America SMBC JLMB Joint Lead Managers-Books 100000 1 2021-06-28 Trustee Deutsche Bank Trust Co America DB PAAG Paying Agent(s) 0 7 2021-06-28 Trustee Deutsche Bank Trust Co America DB TRST Trustee(s) 0 7 2021-06-28 Trustee Deutsche Bank Trust Co America DB RGST Registrar(s) 0 7 2021-06-28 Trustee Cleary Gottlieb Steen &amp; Hamilt CGS&amp;H LAI Legal Adviser to the Issuer(s) 0 16 2021-06-28 Trustee Internal Adviser IA LAI Legal Adviser to the Issuer(s) 0 16 2021-06-28 Trustee Weber Rechtsanwalte GmbH WEBERR LAI Legal Adviser to the Issuer(s) 0 16 2021-06-28 Trustee Paul Hastings LLP PAULHS LAM Legal Adviser(s) to the Manage 0 16 2021-06-28 ESG Assurance Provider ISS-oekom ISSOEK SNPC 2nd Party Consultant 0 30 2021-06-28</v>
      </c>
      <c r="K51" s="2" t="str">
        <f t="shared" ca="1" si="0"/>
        <v>yes</v>
      </c>
      <c r="L51" s="2" t="e">
        <f t="shared" ca="1" si="1"/>
        <v>#VALUE!</v>
      </c>
      <c r="O51" s="2" t="str">
        <f ca="1">VLOOKUP(F51,CBs!$A$2:$Z$427,5)</f>
        <v>#N/A N/A</v>
      </c>
      <c r="P51" s="19">
        <f ca="1">VLOOKUP(F51,CBs!$A$2:$Z$427,24)</f>
        <v>0.88700000000000001</v>
      </c>
    </row>
    <row r="52" spans="1:16" x14ac:dyDescent="0.2">
      <c r="A52" s="21">
        <v>50</v>
      </c>
      <c r="B52" s="22">
        <v>131</v>
      </c>
      <c r="C52" s="22">
        <v>220</v>
      </c>
      <c r="E52" s="2">
        <f ca="1">IFERROR(__xludf.DUMMYFUNCTION("""COMPUTED_VALUE"""),244)</f>
        <v>244</v>
      </c>
      <c r="F52" s="2">
        <f ca="1">IFERROR(__xludf.DUMMYFUNCTION("""COMPUTED_VALUE"""),267)</f>
        <v>267</v>
      </c>
      <c r="H52" s="2">
        <f ca="1">VLOOKUP(E52, SLBs!$A$2:$AN$293, 36, FALSE)</f>
        <v>0</v>
      </c>
      <c r="I52" s="2" t="str">
        <f ca="1">VLOOKUP($E52, SLBs!$A$2:$AN$293, 37, FALSE)</f>
        <v>SOCIAL</v>
      </c>
      <c r="J52" s="2" t="str">
        <f ca="1">VLOOKUP($E52, SLBs!$A$2:$AO$293, 38, FALSE)</f>
        <v>Bookrunner Banco Bradesco BBI SA BBBBI JLMB Joint Lead Managers-Books 9615 4 2020-11-16 Bookrunner Banco Safra SA SAFRA JLMB Joint Lead Managers-Books 9615 4 2020-11-16 Bookrunner BNP Paribas Securities Corp BNPPAR JLMB Joint Lead Managers-Books 38461 4 2020-11-16 Bookrunner BofA Securities BofA JLMB Joint Lead Managers-Books 38465 4 2020-11-16 Bookrunner Credit Agricole Securities USA CASECS JLMB Joint Lead Managers-Books 38461 4 2020-11-16 Bookrunner Goldman Sachs GS JLMB Joint Lead Managers-Books 38461 4 2020-11-16 Bookrunner Itau BBA USA Securities Inc ITAU JLMB Joint Lead Managers-Books 9615 4 2020-11-16 Bookrunner JP Morgan JPM JLMB Joint Lead Managers-Books 38465 4 2020-11-16 Bookrunner Mizuho Securities USA LLC MIZ JLMB Joint Lead Managers-Books 38461 4 2020-11-16 Bookrunner Morgan Stanley &amp; Co LLC MS JLMB Joint Lead Managers-Books 38461 4 2020-11-16 Bookrunner MUFG Securities Americas Inc MUFG JLMB Joint Lead Managers-Books 38461 4 2020-11-16 Bookrunner Rabo Securities USA Inc RABO JLMB Joint Lead Managers-Books 38461 4 2020-11-16 Bookrunner Santander Investment Securitie SANTAN JLMB Joint Lead Managers-Books 38461 4 2020-11-16 Bookrunner Scotia Capital USA Inc SCOTIA JLMB Joint Lead Managers-Books 38461 4 2020-11-16 Bookrunner SMBC Nikko Securities America SMBC JLMB Joint Lead Managers-Books 38461 4 2020-11-16 Bookrunner XP Investimentos CCTVM SA XPINVE JLMB Joint Lead Managers-Books 9615 4 2020-11-16 #N/A N/A Cleary Gottlieb Steen &amp; Hamilt CGS&amp;H LAI Legal Adviser to the Issuer(s) 0 17 2020-11-16 #N/A N/A Internal Adviser IA LAI Legal Adviser to the Issuer(s) 0 17 2020-11-16 #N/A N/A Weber Rechtsanwalte GmbH WEBERR LAI Legal Adviser to the Issuer(s) 0 17 2020-11-16 #N/A N/A Linklaters LLP L&amp;A LAM Legal Adviser(s) to the Manage 0 17 2020-11-16 #N/A N/A Pinheiro &amp; Guimaraes Ltda PIGULT LAM Legal Adviser(s) to the Manage 0 17 2020-11-16 Bookrunner BNP Paribas Securities Corp BNPPAR JLMB Joint Lead Managers-Books 62500 1 2020-09-10 Bookrunner BofA Securities BofA JLMB Joint Lead Managers-Books 62500 1 2020-09-10 Bookrunner Credit Agricole Securities USA CASECS JLMB Joint Lead Managers-Books 62500 1 2020-09-10 Bookrunner Goldman Sachs GS JLMB Joint Lead Managers-Books 62500 1 2020-09-10 Bookrunner JP Morgan Securities LLC JPM JLMB Joint Lead Managers-Books 62500 1 2020-09-10 Bookrunner Mizuho Securities USA LLC MIZ JLMB Joint Lead Managers-Books 62500 1 2020-09-10 Bookrunner Morgan Stanley &amp; Co LLC MS JLMB Joint Lead Managers-Books 62500 1 2020-09-10 Bookrunner MUFG Securities Americas Inc MUFG JLMB Joint Lead Managers-Books 62500 1 2020-09-10 Bookrunner Rabo Securities USA Inc RABO JLMB Joint Lead Managers-Books 62500 1 2020-09-10 Bookrunner Santander Investment Securitie SANTAN JLMB Joint Lead Managers-Books 62500 1 2020-09-10 Bookrunner Scotia Capital USA Inc SCOTIA JLMB Joint Lead Managers-Books 62500 1 2020-09-10 Bookrunner SMBC Nikko Securities America SMBC JLMB Joint Lead Managers-Books 62500 1 2020-09-10 NonBookrunner BNP Paribas/New York BNPPAR GLCO Global Coordinator(s) 0 1 2020-09-10 NonBookrunner BofA Securities BofA GLCO Global Coordinator(s) 0 1 2020-09-10 NonBookrunner Credit Agricole Securities USA CASECS GLCO Global Coordinator(s) 0 1 2020-09-10 NonBookrunner JP Morgan JPM GLCO Global Coordinator(s) 0 1 2020-09-10 NonBookrunner Mizuho Securities USA Inc MIZ GLCO Global Coordinator(s) 0 1 2020-09-10 NonBookrunner Rabo Securities USA Inc RABO GLCO Global Coordinator(s) 0 1 2020-09-10 NonBookrunner Scotia Capital Inc SCOTIA GLCO Global Coordinator(s) 0 1 2020-09-10 Trustee Deutsche Bank Trust Company Am DB PAAG Paying Agent(s) 0 7 2020-09-10 Trustee Deutsche Bank Trust Company Am DB TRST Trustee(s) 0 7 2020-09-10 Trustee Deutsche Bank Trust Company Am DB TRNS Transfer Agent(s) 0 7 2020-09-10 Trustee Deutsche Bank Trust Company Am DB RGST Registrar(s) 0 7 2020-09-10 Trustee Cleary Gottlieb Steen &amp; Hamilt CGS&amp;H LAI Legal Adviser to the Issuer(s) 0 16 2020-09-10 Trustee Internal Adviser IA LAI Legal Adviser to the Issuer(s) 0 16 2020-09-10 Trustee Weber Rechtsanwalte GmbH WEBERR LAI Legal Adviser to the Issuer(s) 0 16 2020-09-10 Trustee Linklaters LLP L&amp;A LAM Legal Adviser(s) to the Manage 0 16 2020-09-10 Trustee Pinheiro &amp; Guimaraes Ltda PIGULT LAM Legal Adviser(s) to the Manage 0 16 2020-09-10 ESG Assurance Provider ISS-oekom ISSOEK SNPC 2nd Party Consultant 0 30 2020-09-10</v>
      </c>
      <c r="K52" s="2">
        <f t="shared" ca="1" si="0"/>
        <v>0</v>
      </c>
      <c r="L52" s="2" t="e">
        <f t="shared" ca="1" si="1"/>
        <v>#VALUE!</v>
      </c>
      <c r="O52" s="2">
        <f ca="1">VLOOKUP(F52,CBs!$A$2:$Z$427,5)</f>
        <v>5.8000000000000007</v>
      </c>
      <c r="P52" s="19">
        <f ca="1">VLOOKUP(F52,CBs!$A$2:$Z$427,24)</f>
        <v>5.7039999999999997</v>
      </c>
    </row>
    <row r="53" spans="1:16" x14ac:dyDescent="0.2">
      <c r="A53" s="21">
        <v>51</v>
      </c>
      <c r="B53" s="22">
        <v>131</v>
      </c>
      <c r="C53" s="22">
        <v>221</v>
      </c>
      <c r="E53" s="2">
        <f ca="1">IFERROR(__xludf.DUMMYFUNCTION("""COMPUTED_VALUE"""),246)</f>
        <v>246</v>
      </c>
      <c r="F53" s="2">
        <f ca="1">IFERROR(__xludf.DUMMYFUNCTION("""COMPUTED_VALUE"""),268)</f>
        <v>268</v>
      </c>
      <c r="H53" s="2">
        <f ca="1">VLOOKUP(E53, SLBs!$A$2:$AN$293, 36, FALSE)</f>
        <v>0</v>
      </c>
      <c r="I53" s="2" t="str">
        <f ca="1">VLOOKUP($E53, SLBs!$A$2:$AN$293, 37, FALSE)</f>
        <v>ESG</v>
      </c>
      <c r="J53" s="2" t="str">
        <f ca="1">VLOOKUP($E53, SLBs!$A$2:$AO$293, 38, FALSE)</f>
        <v>Bookrunner BNP Paribas/New York BNPPAR JLMB Joint Lead Managers-Books 154000 1 2021-11-02 Bookrunner BofA Securities BofA JLMB Joint Lead Managers-Books 154000 1 2021-11-02 Bookrunner Citigroup Global Markets Europ CITI JLMB Joint Lead Managers-Books 154000 1 2021-11-02 Bookrunner Goldman Sachs Bank Europe SE GS JLMB Joint Lead Managers-Books 154000 1 2021-11-02 Bookrunner HSBC Securities HSBC JLMB Joint Lead Managers-Books 112750 1 2021-11-02 Bookrunner JP Morgan AG JPM JLMB Joint Lead Managers-Books 112750 1 2021-11-02 Bookrunner Mizuho Securities Europe GmbH MIZUHO JLMB Joint Lead Managers-Books 112750 1 2021-11-02 Bookrunner MUFG Securities Europe NV MUFG JLMB Joint Lead Managers-Books 112750 1 2021-11-02 NonBookrunner Intesa Sanpaolo/NY INTESA CM Co-Manager(s) 16500 1 2021-11-02 NonBookrunner PNC Capital Markets LLC PNC CM Co-Manager(s) 16500 1 2021-11-02 Trustee Bank of New York Mellon BNYM PAAG Paying Agent(s) 0 7 2021-11-02 Trustee Bank of New York Mellon BNYM TRST Trustee(s) 0 7 2021-11-02 Trustee Kirkland &amp; Ellis K&amp;E LAI Legal Adviser to the Issuer(s) 0 16 2021-11-02 Trustee Tulchinsky Marciano Cohen Levi TUMACO LAI Legal Adviser to the Issuer(s) 0 16 2021-11-02 Trustee Van Doorne NV VANDOO LAI Legal Adviser to the Issuer(s) 0 16 2021-11-02 Trustee Baker McKenzie/London BKLNDN LAM Legal Adviser(s) to the Manage 0 16 2021-11-02 Trustee Herzog Fox &amp; Neeman HERZOG LAM Legal Adviser(s) to the Manage 0 16 2021-11-02 ESG Assurance Provider ISS-oekom ISSOEK SNPC 2nd Party Consultant 0 30 2021-11-02</v>
      </c>
      <c r="K53" s="2">
        <f t="shared" ca="1" si="0"/>
        <v>0</v>
      </c>
      <c r="L53" s="2" t="e">
        <f t="shared" ca="1" si="1"/>
        <v>#VALUE!</v>
      </c>
      <c r="O53" s="2">
        <f ca="1">VLOOKUP(F53,CBs!$A$2:$Z$427,5)</f>
        <v>5.8000000000000007</v>
      </c>
      <c r="P53" s="19">
        <f ca="1">VLOOKUP(F53,CBs!$A$2:$Z$427,24)</f>
        <v>5.63</v>
      </c>
    </row>
    <row r="54" spans="1:16" x14ac:dyDescent="0.2">
      <c r="A54" s="21">
        <v>52</v>
      </c>
      <c r="B54" s="22">
        <v>132</v>
      </c>
      <c r="C54" s="22">
        <v>222</v>
      </c>
      <c r="E54" s="2">
        <f ca="1">IFERROR(__xludf.DUMMYFUNCTION("""COMPUTED_VALUE"""),248)</f>
        <v>248</v>
      </c>
      <c r="F54" s="2">
        <f ca="1">IFERROR(__xludf.DUMMYFUNCTION("""COMPUTED_VALUE"""),273)</f>
        <v>273</v>
      </c>
      <c r="H54" s="2" t="str">
        <f ca="1">VLOOKUP(E54, SLBs!$A$2:$AN$293, 36, FALSE)</f>
        <v>yes</v>
      </c>
      <c r="I54" s="2" t="str">
        <f ca="1">VLOOKUP($E54, SLBs!$A$2:$AN$293, 37, FALSE)</f>
        <v>ESG</v>
      </c>
      <c r="J54" s="2" t="str">
        <f ca="1">VLOOKUP($E54, SLBs!$A$2:$AO$293, 38, FALSE)</f>
        <v>Bookrunner BNP Paribas/New York BNPPAR JLMB Joint Lead Managers-Books 140000 1 2021-11-02 Bookrunner BofA Securities BofA JLMB Joint Lead Managers-Books 140000 1 2021-11-02 Bookrunner Citigroup Global Markets Inc CITI JLMB Joint Lead Managers-Books 140000 1 2021-11-02 Bookrunner Goldman Sachs Bank Europe SE GS JLMB Joint Lead Managers-Books 140000 1 2021-11-02 Bookrunner HSBC Securities HSBC JLMB Joint Lead Managers-Books 102500 1 2021-11-02 Bookrunner JP Morgan JPM JLMB Joint Lead Managers-Books 102500 1 2021-11-02 Bookrunner Mizuho Securities USA Inc MIZ JLMB Joint Lead Managers-Books 102500 1 2021-11-02 Bookrunner MUFG Securities Americas Inc MUFG JLMB Joint Lead Managers-Books 102500 1 2021-11-02 NonBookrunner IMI - Intesa Sanpaolo IMI CM Co-Manager(s) 15000 1 2021-11-02 NonBookrunner PNC Capital Markets LLC PNC CM Co-Manager(s) 15000 1 2021-11-02 Trustee Bank of New York Mellon BNYM PAAG Paying Agent(s) 0 7 2021-11-02 Trustee Bank of New York Mellon BNYM TRST Trustee(s) 0 7 2021-11-02 Trustee Kirkland &amp; Ellis K&amp;E LAI Legal Adviser to the Issuer(s) 0 16 2021-11-02 Trustee Tulchinsky Marciano Cohen Levi TUMACO LAI Legal Adviser to the Issuer(s) 0 16 2021-11-02 Trustee Van Doorne NV VANDOO LAI Legal Adviser to the Issuer(s) 0 16 2021-11-02 Trustee Baker McKenzie/London BKLNDN LAM Legal Adviser(s) to the Manage 0 16 2021-11-02 Trustee Herzog Fox &amp; Neeman HERZOG LAM Legal Adviser(s) to the Manage 0 16 2021-11-02 ESG Assurance Provider ISS-oekom ISSOEK SNPC 2nd Party Consultant 0 30 2021-11-02</v>
      </c>
      <c r="K54" s="2" t="str">
        <f t="shared" ca="1" si="0"/>
        <v>yes</v>
      </c>
      <c r="L54" s="2" t="e">
        <f t="shared" ca="1" si="1"/>
        <v>#VALUE!</v>
      </c>
      <c r="O54" s="2" t="str">
        <f ca="1">VLOOKUP(F54,CBs!$A$2:$Z$427,5)</f>
        <v>#N/A N/A</v>
      </c>
      <c r="P54" s="19">
        <f ca="1">VLOOKUP(F54,CBs!$A$2:$Z$427,24)</f>
        <v>1.506</v>
      </c>
    </row>
    <row r="55" spans="1:16" x14ac:dyDescent="0.2">
      <c r="A55" s="21">
        <v>53</v>
      </c>
      <c r="B55" s="22">
        <v>132</v>
      </c>
      <c r="C55" s="22">
        <v>223</v>
      </c>
      <c r="E55" s="2">
        <f ca="1">IFERROR(__xludf.DUMMYFUNCTION("""COMPUTED_VALUE"""),249)</f>
        <v>249</v>
      </c>
      <c r="F55" s="2">
        <f ca="1">IFERROR(__xludf.DUMMYFUNCTION("""COMPUTED_VALUE"""),276)</f>
        <v>276</v>
      </c>
      <c r="H55" s="2" t="str">
        <f ca="1">VLOOKUP(E55, SLBs!$A$2:$AN$293, 36, FALSE)</f>
        <v>yes</v>
      </c>
      <c r="I55" s="2" t="str">
        <f ca="1">VLOOKUP($E55, SLBs!$A$2:$AN$293, 37, FALSE)</f>
        <v>ESG</v>
      </c>
      <c r="J55" s="2" t="str">
        <f ca="1">VLOOKUP($E55, SLBs!$A$2:$AO$293, 38, FALSE)</f>
        <v>Bookrunner BNP Paribas/New York BNPPAR JLMB Joint Lead Managers-Books 140000 1 2021-11-02 Bookrunner BofA Securities BofA JLMB Joint Lead Managers-Books 140000 1 2021-11-02 Bookrunner Citigroup Global Markets Inc CITI JLMB Joint Lead Managers-Books 140000 1 2021-11-02 Bookrunner Goldman Sachs Bank Europe SE GS JLMB Joint Lead Managers-Books 140000 1 2021-11-02 Bookrunner HSBC Securities HSBC JLMB Joint Lead Managers-Books 102500 1 2021-11-02 Bookrunner JP Morgan JPM JLMB Joint Lead Managers-Books 102500 1 2021-11-02 Bookrunner Mizuho Securities USA Inc MIZ JLMB Joint Lead Managers-Books 102500 1 2021-11-02 Bookrunner MUFG Securities Americas Inc MUFG JLMB Joint Lead Managers-Books 102500 1 2021-11-02 NonBookrunner IMI - Intesa Sanpaolo IMI CM Co-Manager(s) 15000 1 2021-11-02 NonBookrunner PNC Capital Markets LLC PNC CM Co-Manager(s) 15000 1 2021-11-02 Trustee Bank of New York Mellon BNYM PAAG Paying Agent(s) 0 7 2021-11-02 Trustee Bank of New York Mellon BNYM TRST Trustee(s) 0 7 2021-11-02 Trustee Kirkland &amp; Ellis K&amp;E LAI Legal Adviser to the Issuer(s) 0 16 2021-11-02 Trustee Tulchinsky Marciano Cohen Levi TUMACO LAI Legal Adviser to the Issuer(s) 0 16 2021-11-02 Trustee Van Doorne NV VANDOO LAI Legal Adviser to the Issuer(s) 0 16 2021-11-02 Trustee Baker McKenzie/London BKLNDN LAM Legal Adviser(s) to the Manage 0 16 2021-11-02 Trustee Herzog Fox &amp; Neeman HERZOG LAM Legal Adviser(s) to the Manage 0 16 2021-11-02 ESG Assurance Provider ISS-oekom ISSOEK SNPC 2nd Party Consultant 0 30 2021-11-02</v>
      </c>
      <c r="K55" s="2" t="str">
        <f t="shared" ca="1" si="0"/>
        <v>yes</v>
      </c>
      <c r="L55" s="2" t="e">
        <f t="shared" ca="1" si="1"/>
        <v>#VALUE!</v>
      </c>
      <c r="O55" s="2" t="str">
        <f ca="1">VLOOKUP(F55,CBs!$A$2:$Z$427,5)</f>
        <v>#N/A N/A</v>
      </c>
      <c r="P55" s="19">
        <f ca="1">VLOOKUP(F55,CBs!$A$2:$Z$427,24)</f>
        <v>0.90800000000000003</v>
      </c>
    </row>
    <row r="56" spans="1:16" x14ac:dyDescent="0.2">
      <c r="A56" s="21">
        <v>54</v>
      </c>
      <c r="B56" s="22">
        <v>131</v>
      </c>
      <c r="C56" s="22">
        <v>226</v>
      </c>
      <c r="E56" s="2">
        <f ca="1">IFERROR(__xludf.DUMMYFUNCTION("""COMPUTED_VALUE"""),257)</f>
        <v>257</v>
      </c>
      <c r="F56" s="2">
        <f ca="1">IFERROR(__xludf.DUMMYFUNCTION("""COMPUTED_VALUE"""),277)</f>
        <v>277</v>
      </c>
      <c r="H56" s="2">
        <f ca="1">VLOOKUP(E56, SLBs!$A$2:$AN$293, 36, FALSE)</f>
        <v>0</v>
      </c>
      <c r="I56" s="2" t="str">
        <f ca="1">VLOOKUP($E56, SLBs!$A$2:$AN$293, 37, FALSE)</f>
        <v>ESG SCORE</v>
      </c>
      <c r="J56" s="2" t="str">
        <f ca="1">VLOOKUP($E56, SLBs!$A$2:$AO$293, 38, FALSE)</f>
        <v>Bookrunner MM Warburg &amp; CO KGaA MMWARB JLMB Joint Lead Managers-Books 0 1 2021-05-11 Bookrunner Raiffeisen Bank International RAIINT JLMB Joint Lead Managers-Books 0 1 2021-05-11 NonBookrunner Raiffeisen Bank International RAIINT GLCO Global Coordinator(s) 0 1 2021-05-11 Trustee MM Warburg &amp; CO KGaA MMWARB ESGA ESG Agent 0 7 2021-05-11 Trustee Raiffeisen Bank International RAIINT ESGA ESG Agent 0 7 2021-05-11 #N/A N/A Not Available N/A DLR Dealer(s) 0 27 2021-04-27 #N/A N/A Not Available N/A EXCH Exchange Agent(s) 0 27 2021-04-27</v>
      </c>
      <c r="K56" s="2">
        <f t="shared" ca="1" si="0"/>
        <v>0</v>
      </c>
      <c r="L56" s="2" t="e">
        <f t="shared" ca="1" si="1"/>
        <v>#VALUE!</v>
      </c>
      <c r="O56" s="2">
        <f ca="1">VLOOKUP(F56,CBs!$A$2:$Z$427,5)</f>
        <v>0.45400000000000001</v>
      </c>
      <c r="P56" s="19">
        <f ca="1">VLOOKUP(F56,CBs!$A$2:$Z$427,24)</f>
        <v>0.35499999999999998</v>
      </c>
    </row>
    <row r="57" spans="1:16" x14ac:dyDescent="0.2">
      <c r="A57" s="21">
        <v>55</v>
      </c>
      <c r="B57" s="22">
        <v>137</v>
      </c>
      <c r="C57" s="22">
        <v>232</v>
      </c>
      <c r="E57" s="2">
        <f ca="1">IFERROR(__xludf.DUMMYFUNCTION("""COMPUTED_VALUE"""),277)</f>
        <v>277</v>
      </c>
      <c r="F57" s="2">
        <f ca="1">IFERROR(__xludf.DUMMYFUNCTION("""COMPUTED_VALUE"""),279)</f>
        <v>279</v>
      </c>
      <c r="H57" s="2">
        <f ca="1">VLOOKUP(E57, SLBs!$A$2:$AN$293, 36, FALSE)</f>
        <v>0</v>
      </c>
      <c r="I57" s="2" t="str">
        <f ca="1">VLOOKUP($E57, SLBs!$A$2:$AN$293, 37, FALSE)</f>
        <v>ENVIRONMENT</v>
      </c>
      <c r="J57" s="2" t="str">
        <f ca="1">VLOOKUP($E57, SLBs!$A$2:$AO$293, 38, FALSE)</f>
        <v>Bookrunner BofA Securities BofA JLMB Joint Lead Managers-Books 0 1 2022-01-19 Bookrunner Goldman Sachs International GSI JLMB Joint Lead Managers-Books 0 1 2022-01-19 Bookrunner IMI - Intesa Sanpaolo IMI JLMB Joint Lead Managers-Books 0 1 2022-01-19 Bookrunner Natixis NATIX JLMB Joint Lead Managers-Books 0 1 2022-01-19 Bookrunner UniCredit UNICRD JLMB Joint Lead Managers-Books 0 1 2022-01-19 NonBookrunner Banca Akros SpA AKROS CLM Co-Lead Manager(s) 0 1 2022-01-19 NonBookrunner Banco Bilbao Vizcaya Argentari BBVA CLM Co-Lead Manager(s) 0 1 2022-01-19 NonBookrunner BNP Paribas BNPP CLM Co-Lead Manager(s) 0 1 2022-01-19 Trustee Bank of New York Mellon/London BNY PAAG Paying Agent(s) 0 7 2022-01-19 Trustee BNY Mellon Corporate Trustee S BNYMEL TRST Trustee(s) 0 7 2022-01-19 Trustee Walkers Listing Services Ltd WALLIS LIST Listing Agent(s) 0 7 2022-01-19 Trustee Bonelli Erede Lombardi P BONELL LAI Legal Adviser to the Issuer(s) 0 16 2022-01-19 Trustee Linklaters LLP L&amp;A LAT Legal Adviser(s) to the Truste 0 16 2022-01-19 Trustee Linklaters LLP L&amp;A LAM Legal Adviser(s) to the Manage 0 16 2022-01-19 Trustee Studio Legale Associato assoc LINKLA LAM Legal Adviser(s) to the Manage 0 16 2022-01-19 ESG Assurance Provider Vigeo SASV VIGEO SNPC 2nd Party Consultant 0 30 2022-01-19</v>
      </c>
      <c r="K57" s="2">
        <f t="shared" ca="1" si="0"/>
        <v>0</v>
      </c>
      <c r="L57" s="2" t="e">
        <f t="shared" ca="1" si="1"/>
        <v>#VALUE!</v>
      </c>
      <c r="O57" s="2" t="str">
        <f ca="1">VLOOKUP(F57,CBs!$A$2:$Z$427,5)</f>
        <v>#N/A N/A</v>
      </c>
      <c r="P57" s="19">
        <f ca="1">VLOOKUP(F57,CBs!$A$2:$Z$427,24)</f>
        <v>1.403</v>
      </c>
    </row>
    <row r="58" spans="1:16" x14ac:dyDescent="0.2">
      <c r="A58" s="21">
        <v>56</v>
      </c>
      <c r="B58" s="22">
        <v>137</v>
      </c>
      <c r="C58" s="22">
        <v>233</v>
      </c>
      <c r="F58" s="2">
        <f ca="1">IFERROR(__xludf.DUMMYFUNCTION("""COMPUTED_VALUE"""),280)</f>
        <v>280</v>
      </c>
      <c r="O58" s="2" t="str">
        <f ca="1">VLOOKUP(F58,CBs!$A$2:$Z$427,5)</f>
        <v>#N/A N/A</v>
      </c>
      <c r="P58" s="19">
        <f ca="1">VLOOKUP(F58,CBs!$A$2:$Z$427,24)</f>
        <v>0.128</v>
      </c>
    </row>
    <row r="59" spans="1:16" x14ac:dyDescent="0.2">
      <c r="A59" s="21">
        <v>57</v>
      </c>
      <c r="B59" s="22">
        <v>139</v>
      </c>
      <c r="C59" s="22">
        <v>233</v>
      </c>
      <c r="F59" s="2">
        <f ca="1">IFERROR(__xludf.DUMMYFUNCTION("""COMPUTED_VALUE"""),282)</f>
        <v>282</v>
      </c>
      <c r="O59" s="2" t="str">
        <f ca="1">VLOOKUP(F59,CBs!$A$2:$Z$427,5)</f>
        <v>#N/A N/A</v>
      </c>
      <c r="P59" s="19">
        <f ca="1">VLOOKUP(F59,CBs!$A$2:$Z$427,24)</f>
        <v>1.879</v>
      </c>
    </row>
    <row r="60" spans="1:16" x14ac:dyDescent="0.2">
      <c r="A60" s="21">
        <v>58</v>
      </c>
      <c r="B60" s="22">
        <v>137</v>
      </c>
      <c r="C60" s="22">
        <v>235</v>
      </c>
      <c r="F60" s="2">
        <f ca="1">IFERROR(__xludf.DUMMYFUNCTION("""COMPUTED_VALUE"""),287)</f>
        <v>287</v>
      </c>
      <c r="O60" s="2" t="str">
        <f ca="1">VLOOKUP(F60,CBs!$A$2:$Z$427,5)</f>
        <v>#N/A N/A</v>
      </c>
      <c r="P60" s="19">
        <f ca="1">VLOOKUP(F60,CBs!$A$2:$Z$427,24)</f>
        <v>0.76600000000000001</v>
      </c>
    </row>
    <row r="61" spans="1:16" x14ac:dyDescent="0.2">
      <c r="A61" s="21">
        <v>59</v>
      </c>
      <c r="B61" s="22">
        <v>138</v>
      </c>
      <c r="C61" s="22">
        <v>235</v>
      </c>
      <c r="F61" s="2">
        <f ca="1">IFERROR(__xludf.DUMMYFUNCTION("""COMPUTED_VALUE"""),296)</f>
        <v>296</v>
      </c>
      <c r="O61" s="2" t="str">
        <f ca="1">VLOOKUP(F61,CBs!$A$2:$Z$427,5)</f>
        <v>#N/A N/A</v>
      </c>
      <c r="P61" s="19" t="str">
        <f ca="1">VLOOKUP(F61,CBs!$A$2:$Z$427,24)</f>
        <v>#N/A N/A</v>
      </c>
    </row>
    <row r="62" spans="1:16" x14ac:dyDescent="0.2">
      <c r="A62" s="21">
        <v>60</v>
      </c>
      <c r="B62" s="22">
        <v>139</v>
      </c>
      <c r="C62" s="22">
        <v>235</v>
      </c>
      <c r="F62" s="2">
        <f ca="1">IFERROR(__xludf.DUMMYFUNCTION("""COMPUTED_VALUE"""),300)</f>
        <v>300</v>
      </c>
      <c r="O62" s="2" t="str">
        <f ca="1">VLOOKUP(F62,CBs!$A$2:$Z$427,5)</f>
        <v>#N/A N/A</v>
      </c>
      <c r="P62" s="19">
        <f ca="1">VLOOKUP(F62,CBs!$A$2:$Z$427,24)</f>
        <v>1.0169999999999999</v>
      </c>
    </row>
    <row r="63" spans="1:16" x14ac:dyDescent="0.2">
      <c r="A63" s="21">
        <v>61</v>
      </c>
      <c r="B63" s="22">
        <v>137</v>
      </c>
      <c r="C63" s="22">
        <v>236</v>
      </c>
      <c r="F63" s="2">
        <f ca="1">IFERROR(__xludf.DUMMYFUNCTION("""COMPUTED_VALUE"""),302)</f>
        <v>302</v>
      </c>
      <c r="O63" s="2" t="str">
        <f ca="1">VLOOKUP(F63,CBs!$A$2:$Z$427,5)</f>
        <v>#N/A N/A</v>
      </c>
      <c r="P63" s="19">
        <f ca="1">VLOOKUP(F63,CBs!$A$2:$Z$427,24)</f>
        <v>1.4450000000000001</v>
      </c>
    </row>
    <row r="64" spans="1:16" x14ac:dyDescent="0.2">
      <c r="A64" s="21">
        <v>62</v>
      </c>
      <c r="B64" s="22">
        <v>138</v>
      </c>
      <c r="C64" s="22">
        <v>236</v>
      </c>
      <c r="F64" s="2">
        <f ca="1">IFERROR(__xludf.DUMMYFUNCTION("""COMPUTED_VALUE"""),303)</f>
        <v>303</v>
      </c>
      <c r="O64" s="2" t="str">
        <f ca="1">VLOOKUP(F64,CBs!$A$2:$Z$427,5)</f>
        <v>#N/A N/A</v>
      </c>
      <c r="P64" s="19">
        <f ca="1">VLOOKUP(F64,CBs!$A$2:$Z$427,24)</f>
        <v>1.827</v>
      </c>
    </row>
    <row r="65" spans="1:16" x14ac:dyDescent="0.2">
      <c r="A65" s="21">
        <v>63</v>
      </c>
      <c r="B65" s="22">
        <v>139</v>
      </c>
      <c r="C65" s="22">
        <v>236</v>
      </c>
      <c r="F65" s="2">
        <f ca="1">IFERROR(__xludf.DUMMYFUNCTION("""COMPUTED_VALUE"""),308)</f>
        <v>308</v>
      </c>
      <c r="O65" s="2" t="str">
        <f ca="1">VLOOKUP(F65,CBs!$A$2:$Z$427,5)</f>
        <v>#N/A N/A</v>
      </c>
      <c r="P65" s="19">
        <f ca="1">VLOOKUP(F65,CBs!$A$2:$Z$427,24)</f>
        <v>1.752</v>
      </c>
    </row>
    <row r="66" spans="1:16" x14ac:dyDescent="0.2">
      <c r="A66" s="21">
        <v>64</v>
      </c>
      <c r="B66" s="22">
        <v>137</v>
      </c>
      <c r="C66" s="22">
        <v>237</v>
      </c>
      <c r="F66" s="2">
        <f ca="1">IFERROR(__xludf.DUMMYFUNCTION("""COMPUTED_VALUE"""),309)</f>
        <v>309</v>
      </c>
      <c r="O66" s="2" t="str">
        <f ca="1">VLOOKUP(F66,CBs!$A$2:$Z$427,5)</f>
        <v>#N/A N/A</v>
      </c>
      <c r="P66" s="19">
        <f ca="1">VLOOKUP(F66,CBs!$A$2:$Z$427,24)</f>
        <v>0.29499999999999998</v>
      </c>
    </row>
    <row r="67" spans="1:16" x14ac:dyDescent="0.2">
      <c r="A67" s="21">
        <v>65</v>
      </c>
      <c r="B67" s="22">
        <v>139</v>
      </c>
      <c r="C67" s="22">
        <v>237</v>
      </c>
      <c r="F67" s="2">
        <f ca="1">IFERROR(__xludf.DUMMYFUNCTION("""COMPUTED_VALUE"""),316)</f>
        <v>316</v>
      </c>
      <c r="O67" s="2" t="str">
        <f ca="1">VLOOKUP(F67,CBs!$A$2:$Z$427,5)</f>
        <v>#N/A N/A</v>
      </c>
      <c r="P67" s="19">
        <f ca="1">VLOOKUP(F67,CBs!$A$2:$Z$427,24)</f>
        <v>0.38</v>
      </c>
    </row>
    <row r="68" spans="1:16" x14ac:dyDescent="0.2">
      <c r="A68" s="21">
        <v>66</v>
      </c>
      <c r="B68" s="22">
        <v>142</v>
      </c>
      <c r="C68" s="22">
        <v>248</v>
      </c>
      <c r="F68" s="2">
        <f ca="1">IFERROR(__xludf.DUMMYFUNCTION("""COMPUTED_VALUE"""),317)</f>
        <v>317</v>
      </c>
      <c r="O68" s="2" t="str">
        <f ca="1">VLOOKUP(F68,CBs!$A$2:$Z$427,5)</f>
        <v>#N/A N/A</v>
      </c>
      <c r="P68" s="19">
        <f ca="1">VLOOKUP(F68,CBs!$A$2:$Z$427,24)</f>
        <v>0.78100000000000003</v>
      </c>
    </row>
    <row r="69" spans="1:16" x14ac:dyDescent="0.2">
      <c r="A69" s="21">
        <v>67</v>
      </c>
      <c r="B69" s="22">
        <v>143</v>
      </c>
      <c r="C69" s="22">
        <v>248</v>
      </c>
      <c r="F69" s="2">
        <f ca="1">IFERROR(__xludf.DUMMYFUNCTION("""COMPUTED_VALUE"""),324)</f>
        <v>324</v>
      </c>
      <c r="O69" s="2" t="str">
        <f ca="1">VLOOKUP(F69,CBs!$A$2:$Z$427,5)</f>
        <v>#N/A N/A</v>
      </c>
      <c r="P69" s="19" t="str">
        <f ca="1">VLOOKUP(F69,CBs!$A$2:$Z$427,24)</f>
        <v>#N/A N/A</v>
      </c>
    </row>
    <row r="70" spans="1:16" x14ac:dyDescent="0.2">
      <c r="A70" s="21">
        <v>68</v>
      </c>
      <c r="B70" s="22">
        <v>142</v>
      </c>
      <c r="C70" s="22">
        <v>249</v>
      </c>
      <c r="F70" s="2">
        <f ca="1">IFERROR(__xludf.DUMMYFUNCTION("""COMPUTED_VALUE"""),326)</f>
        <v>326</v>
      </c>
      <c r="O70" s="2" t="str">
        <f ca="1">VLOOKUP(F70,CBs!$A$2:$Z$427,5)</f>
        <v>#N/A N/A</v>
      </c>
      <c r="P70" s="19" t="str">
        <f ca="1">VLOOKUP(F70,CBs!$A$2:$Z$427,24)</f>
        <v>#N/A N/A</v>
      </c>
    </row>
    <row r="71" spans="1:16" x14ac:dyDescent="0.2">
      <c r="A71" s="21">
        <v>69</v>
      </c>
      <c r="B71" s="22">
        <v>143</v>
      </c>
      <c r="C71" s="22">
        <v>249</v>
      </c>
      <c r="F71" s="2">
        <f ca="1">IFERROR(__xludf.DUMMYFUNCTION("""COMPUTED_VALUE"""),328)</f>
        <v>328</v>
      </c>
      <c r="O71" s="2" t="str">
        <f ca="1">VLOOKUP(F71,CBs!$A$2:$Z$427,5)</f>
        <v>#N/A N/A</v>
      </c>
      <c r="P71" s="19">
        <f ca="1">VLOOKUP(F71,CBs!$A$2:$Z$427,24)</f>
        <v>1.889</v>
      </c>
    </row>
    <row r="72" spans="1:16" x14ac:dyDescent="0.2">
      <c r="A72" s="21">
        <v>70</v>
      </c>
      <c r="B72" s="22">
        <v>154</v>
      </c>
      <c r="C72" s="22">
        <v>264</v>
      </c>
      <c r="F72" s="2">
        <f ca="1">IFERROR(__xludf.DUMMYFUNCTION("""COMPUTED_VALUE"""),329)</f>
        <v>329</v>
      </c>
      <c r="O72" s="2" t="str">
        <f ca="1">VLOOKUP(F72,CBs!$A$2:$Z$427,5)</f>
        <v>#N/A N/A</v>
      </c>
      <c r="P72" s="19">
        <f ca="1">VLOOKUP(F72,CBs!$A$2:$Z$427,24)</f>
        <v>1.472</v>
      </c>
    </row>
    <row r="73" spans="1:16" x14ac:dyDescent="0.2">
      <c r="A73" s="21">
        <v>71</v>
      </c>
      <c r="B73" s="22">
        <v>155</v>
      </c>
      <c r="C73" s="22">
        <v>265</v>
      </c>
      <c r="F73" s="2">
        <f ca="1">IFERROR(__xludf.DUMMYFUNCTION("""COMPUTED_VALUE"""),333)</f>
        <v>333</v>
      </c>
      <c r="O73" s="2" t="str">
        <f ca="1">VLOOKUP(F73,CBs!$A$2:$Z$427,5)</f>
        <v>#N/A N/A</v>
      </c>
      <c r="P73" s="19">
        <f ca="1">VLOOKUP(F73,CBs!$A$2:$Z$427,24)</f>
        <v>0.84899999999999998</v>
      </c>
    </row>
    <row r="74" spans="1:16" x14ac:dyDescent="0.2">
      <c r="A74" s="21">
        <v>72</v>
      </c>
      <c r="B74" s="22">
        <v>157</v>
      </c>
      <c r="C74" s="22">
        <v>267</v>
      </c>
      <c r="F74" s="2">
        <f ca="1">IFERROR(__xludf.DUMMYFUNCTION("""COMPUTED_VALUE"""),334)</f>
        <v>334</v>
      </c>
      <c r="O74" s="2" t="str">
        <f ca="1">VLOOKUP(F74,CBs!$A$2:$Z$427,5)</f>
        <v>#N/A N/A</v>
      </c>
      <c r="P74" s="19">
        <f ca="1">VLOOKUP(F74,CBs!$A$2:$Z$427,24)</f>
        <v>1.2929999999999999</v>
      </c>
    </row>
    <row r="75" spans="1:16" x14ac:dyDescent="0.2">
      <c r="A75" s="21">
        <v>73</v>
      </c>
      <c r="B75" s="22">
        <v>158</v>
      </c>
      <c r="C75" s="22">
        <v>267</v>
      </c>
      <c r="F75" s="2">
        <f ca="1">IFERROR(__xludf.DUMMYFUNCTION("""COMPUTED_VALUE"""),336)</f>
        <v>336</v>
      </c>
      <c r="O75" s="2" t="str">
        <f ca="1">VLOOKUP(F75,CBs!$A$2:$Z$427,5)</f>
        <v>#N/A N/A</v>
      </c>
      <c r="P75" s="19">
        <f ca="1">VLOOKUP(F75,CBs!$A$2:$Z$427,24)</f>
        <v>0.78</v>
      </c>
    </row>
    <row r="76" spans="1:16" x14ac:dyDescent="0.2">
      <c r="A76" s="21">
        <v>74</v>
      </c>
      <c r="B76" s="22">
        <v>157</v>
      </c>
      <c r="C76" s="22">
        <v>268</v>
      </c>
      <c r="F76" s="2">
        <f ca="1">IFERROR(__xludf.DUMMYFUNCTION("""COMPUTED_VALUE"""),345)</f>
        <v>345</v>
      </c>
      <c r="O76" s="2" t="str">
        <f ca="1">VLOOKUP(F76,CBs!$A$2:$Z$427,5)</f>
        <v>#N/A N/A</v>
      </c>
      <c r="P76" s="19" t="str">
        <f ca="1">VLOOKUP(F76,CBs!$A$2:$Z$427,24)</f>
        <v>#N/A N/A</v>
      </c>
    </row>
    <row r="77" spans="1:16" x14ac:dyDescent="0.2">
      <c r="A77" s="21">
        <v>75</v>
      </c>
      <c r="B77" s="22">
        <v>158</v>
      </c>
      <c r="C77" s="22">
        <v>268</v>
      </c>
      <c r="F77" s="2">
        <f ca="1">IFERROR(__xludf.DUMMYFUNCTION("""COMPUTED_VALUE"""),346)</f>
        <v>346</v>
      </c>
      <c r="O77" s="2" t="str">
        <f ca="1">VLOOKUP(F77,CBs!$A$2:$Z$427,5)</f>
        <v>#N/A N/A</v>
      </c>
      <c r="P77" s="19" t="str">
        <f ca="1">VLOOKUP(F77,CBs!$A$2:$Z$427,24)</f>
        <v>#N/A N/A</v>
      </c>
    </row>
    <row r="78" spans="1:16" x14ac:dyDescent="0.2">
      <c r="A78" s="21">
        <v>76</v>
      </c>
      <c r="B78" s="22">
        <v>159</v>
      </c>
      <c r="C78" s="22">
        <v>273</v>
      </c>
      <c r="F78" s="2">
        <f ca="1">IFERROR(__xludf.DUMMYFUNCTION("""COMPUTED_VALUE"""),347)</f>
        <v>347</v>
      </c>
      <c r="O78" s="2" t="str">
        <f ca="1">VLOOKUP(F78,CBs!$A$2:$Z$427,5)</f>
        <v>#N/A N/A</v>
      </c>
      <c r="P78" s="19" t="str">
        <f ca="1">VLOOKUP(F78,CBs!$A$2:$Z$427,24)</f>
        <v>#N/A N/A</v>
      </c>
    </row>
    <row r="79" spans="1:16" x14ac:dyDescent="0.2">
      <c r="A79" s="21">
        <v>77</v>
      </c>
      <c r="B79" s="22">
        <v>160</v>
      </c>
      <c r="C79" s="22">
        <v>276</v>
      </c>
      <c r="F79" s="2">
        <f ca="1">IFERROR(__xludf.DUMMYFUNCTION("""COMPUTED_VALUE"""),362)</f>
        <v>362</v>
      </c>
      <c r="O79" s="2" t="str">
        <f ca="1">VLOOKUP(F79,CBs!$A$2:$Z$427,5)</f>
        <v>#N/A N/A</v>
      </c>
      <c r="P79" s="19">
        <f ca="1">VLOOKUP(F79,CBs!$A$2:$Z$427,24)</f>
        <v>1.4490000000000001</v>
      </c>
    </row>
    <row r="80" spans="1:16" x14ac:dyDescent="0.2">
      <c r="A80" s="21">
        <v>78</v>
      </c>
      <c r="B80" s="22">
        <v>161</v>
      </c>
      <c r="C80" s="22">
        <v>277</v>
      </c>
      <c r="F80" s="2">
        <f ca="1">IFERROR(__xludf.DUMMYFUNCTION("""COMPUTED_VALUE"""),365)</f>
        <v>365</v>
      </c>
      <c r="O80" s="2">
        <f ca="1">VLOOKUP(F80,CBs!$A$2:$Z$427,5)</f>
        <v>0.76500000000000001</v>
      </c>
      <c r="P80" s="19">
        <f ca="1">VLOOKUP(F80,CBs!$A$2:$Z$427,24)</f>
        <v>0.66</v>
      </c>
    </row>
    <row r="81" spans="1:16" x14ac:dyDescent="0.2">
      <c r="A81" s="21">
        <v>79</v>
      </c>
      <c r="B81" s="22">
        <v>162</v>
      </c>
      <c r="C81" s="22">
        <v>279</v>
      </c>
      <c r="F81" s="2">
        <f ca="1">IFERROR(__xludf.DUMMYFUNCTION("""COMPUTED_VALUE"""),366)</f>
        <v>366</v>
      </c>
      <c r="O81" s="2" t="str">
        <f ca="1">VLOOKUP(F81,CBs!$A$2:$Z$427,5)</f>
        <v>#N/A N/A</v>
      </c>
      <c r="P81" s="19">
        <f ca="1">VLOOKUP(F81,CBs!$A$2:$Z$427,24)</f>
        <v>2.9000000000000001E-2</v>
      </c>
    </row>
    <row r="82" spans="1:16" x14ac:dyDescent="0.2">
      <c r="A82" s="21">
        <v>80</v>
      </c>
      <c r="B82" s="22">
        <v>162</v>
      </c>
      <c r="C82" s="22">
        <v>280</v>
      </c>
      <c r="F82" s="2">
        <f ca="1">IFERROR(__xludf.DUMMYFUNCTION("""COMPUTED_VALUE"""),368)</f>
        <v>368</v>
      </c>
      <c r="O82" s="2" t="str">
        <f ca="1">VLOOKUP(F82,CBs!$A$2:$Z$427,5)</f>
        <v>#N/A N/A</v>
      </c>
      <c r="P82" s="19">
        <f ca="1">VLOOKUP(F82,CBs!$A$2:$Z$427,24)</f>
        <v>0.69899999999999995</v>
      </c>
    </row>
    <row r="83" spans="1:16" x14ac:dyDescent="0.2">
      <c r="A83" s="21">
        <v>81</v>
      </c>
      <c r="B83" s="22">
        <v>163</v>
      </c>
      <c r="C83" s="22">
        <v>280</v>
      </c>
      <c r="F83" s="2">
        <f ca="1">IFERROR(__xludf.DUMMYFUNCTION("""COMPUTED_VALUE"""),374)</f>
        <v>374</v>
      </c>
      <c r="O83" s="2" t="str">
        <f ca="1">VLOOKUP(F83,CBs!$A$2:$Z$427,5)</f>
        <v>#N/A N/A</v>
      </c>
      <c r="P83" s="19">
        <f ca="1">VLOOKUP(F83,CBs!$A$2:$Z$427,24)</f>
        <v>1.1120000000000001</v>
      </c>
    </row>
    <row r="84" spans="1:16" x14ac:dyDescent="0.2">
      <c r="A84" s="21">
        <v>82</v>
      </c>
      <c r="B84" s="22">
        <v>165</v>
      </c>
      <c r="C84" s="22">
        <v>282</v>
      </c>
      <c r="F84" s="2">
        <f ca="1">IFERROR(__xludf.DUMMYFUNCTION("""COMPUTED_VALUE"""),375)</f>
        <v>375</v>
      </c>
      <c r="O84" s="2" t="str">
        <f ca="1">VLOOKUP(F84,CBs!$A$2:$Z$427,5)</f>
        <v>#N/A N/A</v>
      </c>
      <c r="P84" s="19">
        <f ca="1">VLOOKUP(F84,CBs!$A$2:$Z$427,24)</f>
        <v>1.4830000000000001</v>
      </c>
    </row>
    <row r="85" spans="1:16" x14ac:dyDescent="0.2">
      <c r="A85" s="21">
        <v>83</v>
      </c>
      <c r="B85" s="22">
        <v>165</v>
      </c>
      <c r="C85" s="22">
        <v>287</v>
      </c>
      <c r="F85" s="2">
        <f ca="1">IFERROR(__xludf.DUMMYFUNCTION("""COMPUTED_VALUE"""),378)</f>
        <v>378</v>
      </c>
      <c r="O85" s="2" t="str">
        <f ca="1">VLOOKUP(F85,CBs!$A$2:$Z$427,5)</f>
        <v>#N/A N/A</v>
      </c>
      <c r="P85" s="19">
        <f ca="1">VLOOKUP(F85,CBs!$A$2:$Z$427,24)</f>
        <v>2.4889999999999999</v>
      </c>
    </row>
    <row r="86" spans="1:16" x14ac:dyDescent="0.2">
      <c r="A86" s="21">
        <v>84</v>
      </c>
      <c r="B86" s="22">
        <v>182</v>
      </c>
      <c r="C86" s="22">
        <v>296</v>
      </c>
      <c r="F86" s="2">
        <f ca="1">IFERROR(__xludf.DUMMYFUNCTION("""COMPUTED_VALUE"""),381)</f>
        <v>381</v>
      </c>
      <c r="O86" s="2">
        <f ca="1">VLOOKUP(F86,CBs!$A$2:$Z$427,5)</f>
        <v>7.375</v>
      </c>
      <c r="P86" s="19">
        <f ca="1">VLOOKUP(F86,CBs!$A$2:$Z$427,24)</f>
        <v>7.1769999999999996</v>
      </c>
    </row>
    <row r="87" spans="1:16" x14ac:dyDescent="0.2">
      <c r="A87" s="21">
        <v>85</v>
      </c>
      <c r="B87" s="22">
        <v>188</v>
      </c>
      <c r="C87" s="22">
        <v>300</v>
      </c>
      <c r="F87" s="2">
        <f ca="1">IFERROR(__xludf.DUMMYFUNCTION("""COMPUTED_VALUE"""),382)</f>
        <v>382</v>
      </c>
      <c r="O87" s="2">
        <f ca="1">VLOOKUP(F87,CBs!$A$2:$Z$427,5)</f>
        <v>7.375</v>
      </c>
      <c r="P87" s="19">
        <f ca="1">VLOOKUP(F87,CBs!$A$2:$Z$427,24)</f>
        <v>7.1859999999999999</v>
      </c>
    </row>
    <row r="88" spans="1:16" x14ac:dyDescent="0.2">
      <c r="A88" s="21">
        <v>86</v>
      </c>
      <c r="B88" s="22">
        <v>188</v>
      </c>
      <c r="C88" s="22">
        <v>302</v>
      </c>
      <c r="F88" s="2">
        <f ca="1">IFERROR(__xludf.DUMMYFUNCTION("""COMPUTED_VALUE"""),383)</f>
        <v>383</v>
      </c>
      <c r="O88" s="2">
        <f ca="1">VLOOKUP(F88,CBs!$A$2:$Z$427,5)</f>
        <v>6.125</v>
      </c>
      <c r="P88" s="19" t="str">
        <f ca="1">VLOOKUP(F88,CBs!$A$2:$Z$427,24)</f>
        <v>#N/A N/A</v>
      </c>
    </row>
    <row r="89" spans="1:16" x14ac:dyDescent="0.2">
      <c r="A89" s="21">
        <v>87</v>
      </c>
      <c r="B89" s="22">
        <v>188</v>
      </c>
      <c r="C89" s="22">
        <v>303</v>
      </c>
      <c r="F89" s="2">
        <f ca="1">IFERROR(__xludf.DUMMYFUNCTION("""COMPUTED_VALUE"""),384)</f>
        <v>384</v>
      </c>
      <c r="O89" s="2">
        <f ca="1">VLOOKUP(F89,CBs!$A$2:$Z$427,5)</f>
        <v>6.125</v>
      </c>
      <c r="P89" s="19" t="str">
        <f ca="1">VLOOKUP(F89,CBs!$A$2:$Z$427,24)</f>
        <v>#N/A N/A</v>
      </c>
    </row>
    <row r="90" spans="1:16" x14ac:dyDescent="0.2">
      <c r="A90" s="21">
        <v>88</v>
      </c>
      <c r="B90" s="22">
        <v>194</v>
      </c>
      <c r="C90" s="22">
        <v>308</v>
      </c>
      <c r="F90" s="2">
        <f ca="1">IFERROR(__xludf.DUMMYFUNCTION("""COMPUTED_VALUE"""),385)</f>
        <v>385</v>
      </c>
      <c r="O90" s="2" t="str">
        <f ca="1">VLOOKUP(F90,CBs!$A$2:$Z$427,5)</f>
        <v>#N/A N/A</v>
      </c>
      <c r="P90" s="19" t="str">
        <f ca="1">VLOOKUP(F90,CBs!$A$2:$Z$427,24)</f>
        <v>#N/A N/A</v>
      </c>
    </row>
    <row r="91" spans="1:16" x14ac:dyDescent="0.2">
      <c r="A91" s="21">
        <v>89</v>
      </c>
      <c r="B91" s="22">
        <v>194</v>
      </c>
      <c r="C91" s="22">
        <v>309</v>
      </c>
      <c r="F91" s="2">
        <f ca="1">IFERROR(__xludf.DUMMYFUNCTION("""COMPUTED_VALUE"""),386)</f>
        <v>386</v>
      </c>
      <c r="O91" s="2" t="str">
        <f ca="1">VLOOKUP(F91,CBs!$A$2:$Z$427,5)</f>
        <v>#N/A N/A</v>
      </c>
      <c r="P91" s="19" t="str">
        <f ca="1">VLOOKUP(F91,CBs!$A$2:$Z$427,24)</f>
        <v>#N/A N/A</v>
      </c>
    </row>
    <row r="92" spans="1:16" x14ac:dyDescent="0.2">
      <c r="A92" s="21">
        <v>90</v>
      </c>
      <c r="B92" s="22">
        <v>194</v>
      </c>
      <c r="C92" s="22">
        <v>316</v>
      </c>
      <c r="F92" s="2">
        <f ca="1">IFERROR(__xludf.DUMMYFUNCTION("""COMPUTED_VALUE"""),387)</f>
        <v>387</v>
      </c>
      <c r="O92" s="2">
        <f ca="1">VLOOKUP(F92,CBs!$A$2:$Z$427,5)</f>
        <v>5.18</v>
      </c>
      <c r="P92" s="19">
        <f ca="1">VLOOKUP(F92,CBs!$A$2:$Z$427,24)</f>
        <v>5.2679999999999998</v>
      </c>
    </row>
    <row r="93" spans="1:16" x14ac:dyDescent="0.2">
      <c r="A93" s="21">
        <v>91</v>
      </c>
      <c r="B93" s="22">
        <v>194</v>
      </c>
      <c r="C93" s="22">
        <v>317</v>
      </c>
      <c r="F93" s="2">
        <f ca="1">IFERROR(__xludf.DUMMYFUNCTION("""COMPUTED_VALUE"""),388)</f>
        <v>388</v>
      </c>
      <c r="O93" s="2">
        <f ca="1">VLOOKUP(F93,CBs!$A$2:$Z$427,5)</f>
        <v>5.18</v>
      </c>
      <c r="P93" s="19">
        <f ca="1">VLOOKUP(F93,CBs!$A$2:$Z$427,24)</f>
        <v>5.2709999999999999</v>
      </c>
    </row>
    <row r="94" spans="1:16" x14ac:dyDescent="0.2">
      <c r="A94" s="21">
        <v>92</v>
      </c>
      <c r="B94" s="22">
        <v>204</v>
      </c>
      <c r="C94" s="22">
        <v>324</v>
      </c>
      <c r="F94" s="2">
        <f ca="1">IFERROR(__xludf.DUMMYFUNCTION("""COMPUTED_VALUE"""),390)</f>
        <v>390</v>
      </c>
      <c r="O94" s="2">
        <f ca="1">VLOOKUP(F94,CBs!$A$2:$Z$427,5)</f>
        <v>4.5</v>
      </c>
      <c r="P94" s="19">
        <f ca="1">VLOOKUP(F94,CBs!$A$2:$Z$427,24)</f>
        <v>4.282</v>
      </c>
    </row>
    <row r="95" spans="1:16" x14ac:dyDescent="0.2">
      <c r="A95" s="21">
        <v>93</v>
      </c>
      <c r="B95" s="22">
        <v>205</v>
      </c>
      <c r="C95" s="22">
        <v>324</v>
      </c>
      <c r="F95" s="2">
        <f ca="1">IFERROR(__xludf.DUMMYFUNCTION("""COMPUTED_VALUE"""),391)</f>
        <v>391</v>
      </c>
      <c r="O95" s="2">
        <f ca="1">VLOOKUP(F95,CBs!$A$2:$Z$427,5)</f>
        <v>4.5</v>
      </c>
      <c r="P95" s="19">
        <f ca="1">VLOOKUP(F95,CBs!$A$2:$Z$427,24)</f>
        <v>4.282</v>
      </c>
    </row>
    <row r="96" spans="1:16" x14ac:dyDescent="0.2">
      <c r="A96" s="21">
        <v>94</v>
      </c>
      <c r="B96" s="22">
        <v>204</v>
      </c>
      <c r="C96" s="22">
        <v>326</v>
      </c>
      <c r="F96" s="2">
        <f ca="1">IFERROR(__xludf.DUMMYFUNCTION("""COMPUTED_VALUE"""),392)</f>
        <v>392</v>
      </c>
      <c r="O96" s="2" t="str">
        <f ca="1">VLOOKUP(F96,CBs!$A$2:$Z$427,5)</f>
        <v>#N/A N/A</v>
      </c>
      <c r="P96" s="19" t="str">
        <f ca="1">VLOOKUP(F96,CBs!$A$2:$Z$427,24)</f>
        <v>#N/A N/A</v>
      </c>
    </row>
    <row r="97" spans="1:16" x14ac:dyDescent="0.2">
      <c r="A97" s="21">
        <v>95</v>
      </c>
      <c r="B97" s="22">
        <v>205</v>
      </c>
      <c r="C97" s="22">
        <v>326</v>
      </c>
      <c r="F97" s="2">
        <f ca="1">IFERROR(__xludf.DUMMYFUNCTION("""COMPUTED_VALUE"""),397)</f>
        <v>397</v>
      </c>
      <c r="O97" s="2" t="str">
        <f ca="1">VLOOKUP(F97,CBs!$A$2:$Z$427,5)</f>
        <v>#N/A N/A</v>
      </c>
      <c r="P97" s="19" t="str">
        <f ca="1">VLOOKUP(F97,CBs!$A$2:$Z$427,24)</f>
        <v>#N/A N/A</v>
      </c>
    </row>
    <row r="98" spans="1:16" x14ac:dyDescent="0.2">
      <c r="A98" s="21">
        <v>96</v>
      </c>
      <c r="B98" s="22">
        <v>231</v>
      </c>
      <c r="C98" s="22">
        <v>328</v>
      </c>
      <c r="F98" s="2">
        <f ca="1">IFERROR(__xludf.DUMMYFUNCTION("""COMPUTED_VALUE"""),399)</f>
        <v>399</v>
      </c>
      <c r="O98" s="2">
        <f ca="1">VLOOKUP(F98,CBs!$A$2:$Z$427,5)</f>
        <v>6.75</v>
      </c>
      <c r="P98" s="19">
        <f ca="1">VLOOKUP(F98,CBs!$A$2:$Z$427,24)</f>
        <v>6.7039999999999997</v>
      </c>
    </row>
    <row r="99" spans="1:16" x14ac:dyDescent="0.2">
      <c r="A99" s="21">
        <v>97</v>
      </c>
      <c r="B99" s="22">
        <v>231</v>
      </c>
      <c r="C99" s="22">
        <v>329</v>
      </c>
      <c r="F99" s="2">
        <f ca="1">IFERROR(__xludf.DUMMYFUNCTION("""COMPUTED_VALUE"""),401)</f>
        <v>401</v>
      </c>
      <c r="O99" s="2">
        <f ca="1">VLOOKUP(F99,CBs!$A$2:$Z$427,5)</f>
        <v>6.75</v>
      </c>
      <c r="P99" s="19">
        <f ca="1">VLOOKUP(F99,CBs!$A$2:$Z$427,24)</f>
        <v>6.7039999999999997</v>
      </c>
    </row>
    <row r="100" spans="1:16" x14ac:dyDescent="0.2">
      <c r="A100" s="21">
        <v>98</v>
      </c>
      <c r="B100" s="22">
        <v>231</v>
      </c>
      <c r="C100" s="22">
        <v>333</v>
      </c>
      <c r="F100" s="2">
        <f ca="1">IFERROR(__xludf.DUMMYFUNCTION("""COMPUTED_VALUE"""),403)</f>
        <v>403</v>
      </c>
      <c r="O100" s="2" t="str">
        <f ca="1">VLOOKUP(F100,CBs!$A$2:$Z$427,5)</f>
        <v>#N/A N/A</v>
      </c>
      <c r="P100" s="19" t="str">
        <f ca="1">VLOOKUP(F100,CBs!$A$2:$Z$427,24)</f>
        <v>#N/A N/A</v>
      </c>
    </row>
    <row r="101" spans="1:16" x14ac:dyDescent="0.2">
      <c r="A101" s="21">
        <v>99</v>
      </c>
      <c r="B101" s="22">
        <v>231</v>
      </c>
      <c r="C101" s="22">
        <v>334</v>
      </c>
      <c r="F101" s="2">
        <f ca="1">IFERROR(__xludf.DUMMYFUNCTION("""COMPUTED_VALUE"""),407)</f>
        <v>407</v>
      </c>
      <c r="O101" s="2" t="str">
        <f ca="1">VLOOKUP(F101,CBs!$A$2:$Z$427,5)</f>
        <v>#N/A N/A</v>
      </c>
      <c r="P101" s="19" t="str">
        <f ca="1">VLOOKUP(F101,CBs!$A$2:$Z$427,24)</f>
        <v>#N/A N/A</v>
      </c>
    </row>
    <row r="102" spans="1:16" x14ac:dyDescent="0.2">
      <c r="A102" s="21">
        <v>100</v>
      </c>
      <c r="B102" s="22">
        <v>231</v>
      </c>
      <c r="C102" s="22">
        <v>336</v>
      </c>
      <c r="F102" s="2">
        <f ca="1">IFERROR(__xludf.DUMMYFUNCTION("""COMPUTED_VALUE"""),408)</f>
        <v>408</v>
      </c>
      <c r="O102" s="2">
        <f ca="1">VLOOKUP(F102,CBs!$A$2:$Z$427,5)</f>
        <v>7.125</v>
      </c>
      <c r="P102" s="19">
        <f ca="1">VLOOKUP(F102,CBs!$A$2:$Z$427,24)</f>
        <v>6.75</v>
      </c>
    </row>
    <row r="103" spans="1:16" x14ac:dyDescent="0.2">
      <c r="A103" s="21">
        <v>101</v>
      </c>
      <c r="B103" s="22">
        <v>232</v>
      </c>
      <c r="C103" s="22">
        <v>345</v>
      </c>
      <c r="F103" s="2">
        <f ca="1">IFERROR(__xludf.DUMMYFUNCTION("""COMPUTED_VALUE"""),409)</f>
        <v>409</v>
      </c>
      <c r="O103" s="2">
        <f ca="1">VLOOKUP(F103,CBs!$A$2:$Z$427,5)</f>
        <v>7.125</v>
      </c>
      <c r="P103" s="19">
        <f ca="1">VLOOKUP(F103,CBs!$A$2:$Z$427,24)</f>
        <v>6.7460000000000004</v>
      </c>
    </row>
    <row r="104" spans="1:16" x14ac:dyDescent="0.2">
      <c r="A104" s="21">
        <v>102</v>
      </c>
      <c r="B104" s="22">
        <v>232</v>
      </c>
      <c r="C104" s="22">
        <v>346</v>
      </c>
      <c r="F104" s="2">
        <f ca="1">IFERROR(__xludf.DUMMYFUNCTION("""COMPUTED_VALUE"""),411)</f>
        <v>411</v>
      </c>
      <c r="O104" s="2" t="str">
        <f ca="1">VLOOKUP(F104,CBs!$A$2:$Z$427,5)</f>
        <v>#N/A N/A</v>
      </c>
      <c r="P104" s="19" t="str">
        <f ca="1">VLOOKUP(F104,CBs!$A$2:$Z$427,24)</f>
        <v>#N/A N/A</v>
      </c>
    </row>
    <row r="105" spans="1:16" x14ac:dyDescent="0.2">
      <c r="A105" s="21">
        <v>103</v>
      </c>
      <c r="B105" s="22">
        <v>235</v>
      </c>
      <c r="C105" s="22">
        <v>346</v>
      </c>
      <c r="F105" s="2">
        <f ca="1">IFERROR(__xludf.DUMMYFUNCTION("""COMPUTED_VALUE"""),413)</f>
        <v>413</v>
      </c>
      <c r="O105" s="2" t="str">
        <f ca="1">VLOOKUP(F105,CBs!$A$2:$Z$427,5)</f>
        <v>#N/A N/A</v>
      </c>
      <c r="P105" s="19">
        <f ca="1">VLOOKUP(F105,CBs!$A$2:$Z$427,24)</f>
        <v>2.1309999999999998</v>
      </c>
    </row>
    <row r="106" spans="1:16" x14ac:dyDescent="0.2">
      <c r="A106" s="21">
        <v>104</v>
      </c>
      <c r="B106" s="22">
        <v>232</v>
      </c>
      <c r="C106" s="22">
        <v>347</v>
      </c>
      <c r="F106" s="2">
        <f ca="1">IFERROR(__xludf.DUMMYFUNCTION("""COMPUTED_VALUE"""),425)</f>
        <v>425</v>
      </c>
      <c r="O106" s="2" t="str">
        <f ca="1">VLOOKUP(F106,CBs!$A$2:$Z$427,5)</f>
        <v>#N/A N/A</v>
      </c>
      <c r="P106" s="19">
        <f ca="1">VLOOKUP(F106,CBs!$A$2:$Z$427,24)</f>
        <v>5.4269999999999996</v>
      </c>
    </row>
    <row r="107" spans="1:16" x14ac:dyDescent="0.2">
      <c r="A107" s="21">
        <v>105</v>
      </c>
      <c r="B107" s="22">
        <v>233</v>
      </c>
      <c r="C107" s="22">
        <v>347</v>
      </c>
    </row>
    <row r="108" spans="1:16" x14ac:dyDescent="0.2">
      <c r="A108" s="21">
        <v>106</v>
      </c>
      <c r="B108" s="22">
        <v>234</v>
      </c>
      <c r="C108" s="22">
        <v>347</v>
      </c>
    </row>
    <row r="109" spans="1:16" x14ac:dyDescent="0.2">
      <c r="A109" s="21">
        <v>107</v>
      </c>
      <c r="B109" s="22">
        <v>235</v>
      </c>
      <c r="C109" s="22">
        <v>347</v>
      </c>
    </row>
    <row r="110" spans="1:16" x14ac:dyDescent="0.2">
      <c r="A110" s="21">
        <v>108</v>
      </c>
      <c r="B110" s="22">
        <v>240</v>
      </c>
      <c r="C110" s="22">
        <v>362</v>
      </c>
    </row>
    <row r="111" spans="1:16" x14ac:dyDescent="0.2">
      <c r="A111" s="21">
        <v>109</v>
      </c>
      <c r="B111" s="22">
        <v>240</v>
      </c>
      <c r="C111" s="22">
        <v>365</v>
      </c>
    </row>
    <row r="112" spans="1:16" x14ac:dyDescent="0.2">
      <c r="A112" s="21">
        <v>110</v>
      </c>
      <c r="B112" s="22">
        <v>240</v>
      </c>
      <c r="C112" s="22">
        <v>366</v>
      </c>
    </row>
    <row r="113" spans="1:3" x14ac:dyDescent="0.2">
      <c r="A113" s="21">
        <v>111</v>
      </c>
      <c r="B113" s="22">
        <v>240</v>
      </c>
      <c r="C113" s="22">
        <v>368</v>
      </c>
    </row>
    <row r="114" spans="1:3" x14ac:dyDescent="0.2">
      <c r="A114" s="21">
        <v>112</v>
      </c>
      <c r="B114" s="22">
        <v>241</v>
      </c>
      <c r="C114" s="22">
        <v>368</v>
      </c>
    </row>
    <row r="115" spans="1:3" x14ac:dyDescent="0.2">
      <c r="A115" s="21">
        <v>113</v>
      </c>
      <c r="B115" s="22">
        <v>240</v>
      </c>
      <c r="C115" s="22">
        <v>374</v>
      </c>
    </row>
    <row r="116" spans="1:3" x14ac:dyDescent="0.2">
      <c r="A116" s="21">
        <v>114</v>
      </c>
      <c r="B116" s="22">
        <v>241</v>
      </c>
      <c r="C116" s="22">
        <v>374</v>
      </c>
    </row>
    <row r="117" spans="1:3" x14ac:dyDescent="0.2">
      <c r="A117" s="21">
        <v>115</v>
      </c>
      <c r="B117" s="22">
        <v>240</v>
      </c>
      <c r="C117" s="22">
        <v>375</v>
      </c>
    </row>
    <row r="118" spans="1:3" x14ac:dyDescent="0.2">
      <c r="A118" s="21">
        <v>116</v>
      </c>
      <c r="B118" s="22">
        <v>230</v>
      </c>
      <c r="C118" s="22">
        <v>378</v>
      </c>
    </row>
    <row r="119" spans="1:3" x14ac:dyDescent="0.2">
      <c r="A119" s="21">
        <v>117</v>
      </c>
      <c r="B119" s="22">
        <v>242</v>
      </c>
      <c r="C119" s="22">
        <v>381</v>
      </c>
    </row>
    <row r="120" spans="1:3" x14ac:dyDescent="0.2">
      <c r="A120" s="21">
        <v>118</v>
      </c>
      <c r="B120" s="22">
        <v>243</v>
      </c>
      <c r="C120" s="22">
        <v>381</v>
      </c>
    </row>
    <row r="121" spans="1:3" x14ac:dyDescent="0.2">
      <c r="A121" s="21">
        <v>119</v>
      </c>
      <c r="B121" s="22">
        <v>244</v>
      </c>
      <c r="C121" s="22">
        <v>381</v>
      </c>
    </row>
    <row r="122" spans="1:3" x14ac:dyDescent="0.2">
      <c r="A122" s="21">
        <v>120</v>
      </c>
      <c r="B122" s="22">
        <v>242</v>
      </c>
      <c r="C122" s="22">
        <v>382</v>
      </c>
    </row>
    <row r="123" spans="1:3" x14ac:dyDescent="0.2">
      <c r="A123" s="21">
        <v>121</v>
      </c>
      <c r="B123" s="22">
        <v>243</v>
      </c>
      <c r="C123" s="22">
        <v>382</v>
      </c>
    </row>
    <row r="124" spans="1:3" x14ac:dyDescent="0.2">
      <c r="A124" s="21">
        <v>122</v>
      </c>
      <c r="B124" s="22">
        <v>244</v>
      </c>
      <c r="C124" s="22">
        <v>382</v>
      </c>
    </row>
    <row r="125" spans="1:3" x14ac:dyDescent="0.2">
      <c r="A125" s="21">
        <v>123</v>
      </c>
      <c r="B125" s="22">
        <v>242</v>
      </c>
      <c r="C125" s="22">
        <v>383</v>
      </c>
    </row>
    <row r="126" spans="1:3" x14ac:dyDescent="0.2">
      <c r="A126" s="21">
        <v>124</v>
      </c>
      <c r="B126" s="22">
        <v>244</v>
      </c>
      <c r="C126" s="22">
        <v>383</v>
      </c>
    </row>
    <row r="127" spans="1:3" x14ac:dyDescent="0.2">
      <c r="A127" s="21">
        <v>125</v>
      </c>
      <c r="B127" s="22">
        <v>242</v>
      </c>
      <c r="C127" s="22">
        <v>384</v>
      </c>
    </row>
    <row r="128" spans="1:3" x14ac:dyDescent="0.2">
      <c r="A128" s="21">
        <v>126</v>
      </c>
      <c r="B128" s="22">
        <v>244</v>
      </c>
      <c r="C128" s="22">
        <v>384</v>
      </c>
    </row>
    <row r="129" spans="1:3" x14ac:dyDescent="0.2">
      <c r="A129" s="21">
        <v>127</v>
      </c>
      <c r="B129" s="22">
        <v>242</v>
      </c>
      <c r="C129" s="22">
        <v>385</v>
      </c>
    </row>
    <row r="130" spans="1:3" x14ac:dyDescent="0.2">
      <c r="A130" s="21">
        <v>128</v>
      </c>
      <c r="B130" s="22">
        <v>244</v>
      </c>
      <c r="C130" s="22">
        <v>385</v>
      </c>
    </row>
    <row r="131" spans="1:3" x14ac:dyDescent="0.2">
      <c r="A131" s="21">
        <v>129</v>
      </c>
      <c r="B131" s="22">
        <v>242</v>
      </c>
      <c r="C131" s="22">
        <v>386</v>
      </c>
    </row>
    <row r="132" spans="1:3" x14ac:dyDescent="0.2">
      <c r="A132" s="21">
        <v>130</v>
      </c>
      <c r="B132" s="22">
        <v>243</v>
      </c>
      <c r="C132" s="22">
        <v>386</v>
      </c>
    </row>
    <row r="133" spans="1:3" x14ac:dyDescent="0.2">
      <c r="A133" s="21">
        <v>131</v>
      </c>
      <c r="B133" s="22">
        <v>244</v>
      </c>
      <c r="C133" s="22">
        <v>386</v>
      </c>
    </row>
    <row r="134" spans="1:3" x14ac:dyDescent="0.2">
      <c r="A134" s="21">
        <v>132</v>
      </c>
      <c r="B134" s="22">
        <v>242</v>
      </c>
      <c r="C134" s="22">
        <v>387</v>
      </c>
    </row>
    <row r="135" spans="1:3" x14ac:dyDescent="0.2">
      <c r="A135" s="21">
        <v>133</v>
      </c>
      <c r="B135" s="22">
        <v>243</v>
      </c>
      <c r="C135" s="22">
        <v>387</v>
      </c>
    </row>
    <row r="136" spans="1:3" x14ac:dyDescent="0.2">
      <c r="A136" s="21">
        <v>134</v>
      </c>
      <c r="B136" s="22">
        <v>244</v>
      </c>
      <c r="C136" s="22">
        <v>387</v>
      </c>
    </row>
    <row r="137" spans="1:3" x14ac:dyDescent="0.2">
      <c r="A137" s="21">
        <v>135</v>
      </c>
      <c r="B137" s="22">
        <v>242</v>
      </c>
      <c r="C137" s="22">
        <v>388</v>
      </c>
    </row>
    <row r="138" spans="1:3" x14ac:dyDescent="0.2">
      <c r="A138" s="21">
        <v>136</v>
      </c>
      <c r="B138" s="22">
        <v>243</v>
      </c>
      <c r="C138" s="22">
        <v>388</v>
      </c>
    </row>
    <row r="139" spans="1:3" x14ac:dyDescent="0.2">
      <c r="A139" s="21">
        <v>137</v>
      </c>
      <c r="B139" s="22">
        <v>244</v>
      </c>
      <c r="C139" s="22">
        <v>388</v>
      </c>
    </row>
    <row r="140" spans="1:3" x14ac:dyDescent="0.2">
      <c r="A140" s="21">
        <v>138</v>
      </c>
      <c r="B140" s="22">
        <v>246</v>
      </c>
      <c r="C140" s="22">
        <v>390</v>
      </c>
    </row>
    <row r="141" spans="1:3" x14ac:dyDescent="0.2">
      <c r="A141" s="21">
        <v>139</v>
      </c>
      <c r="B141" s="22">
        <v>246</v>
      </c>
      <c r="C141" s="22">
        <v>391</v>
      </c>
    </row>
    <row r="142" spans="1:3" x14ac:dyDescent="0.2">
      <c r="A142" s="21">
        <v>140</v>
      </c>
      <c r="B142" s="22">
        <v>246</v>
      </c>
      <c r="C142" s="22">
        <v>392</v>
      </c>
    </row>
    <row r="143" spans="1:3" x14ac:dyDescent="0.2">
      <c r="A143" s="21">
        <v>141</v>
      </c>
      <c r="B143" s="22">
        <v>246</v>
      </c>
      <c r="C143" s="22">
        <v>397</v>
      </c>
    </row>
    <row r="144" spans="1:3" x14ac:dyDescent="0.2">
      <c r="A144" s="21">
        <v>142</v>
      </c>
      <c r="B144" s="22">
        <v>248</v>
      </c>
      <c r="C144" s="22">
        <v>399</v>
      </c>
    </row>
    <row r="145" spans="1:3" x14ac:dyDescent="0.2">
      <c r="A145" s="21">
        <v>143</v>
      </c>
      <c r="B145" s="22">
        <v>249</v>
      </c>
      <c r="C145" s="22">
        <v>399</v>
      </c>
    </row>
    <row r="146" spans="1:3" x14ac:dyDescent="0.2">
      <c r="A146" s="21">
        <v>144</v>
      </c>
      <c r="B146" s="22">
        <v>248</v>
      </c>
      <c r="C146" s="22">
        <v>401</v>
      </c>
    </row>
    <row r="147" spans="1:3" x14ac:dyDescent="0.2">
      <c r="A147" s="21">
        <v>145</v>
      </c>
      <c r="B147" s="22">
        <v>249</v>
      </c>
      <c r="C147" s="22">
        <v>401</v>
      </c>
    </row>
    <row r="148" spans="1:3" x14ac:dyDescent="0.2">
      <c r="A148" s="21">
        <v>146</v>
      </c>
      <c r="B148" s="22">
        <v>248</v>
      </c>
      <c r="C148" s="22">
        <v>403</v>
      </c>
    </row>
    <row r="149" spans="1:3" x14ac:dyDescent="0.2">
      <c r="A149" s="21">
        <v>147</v>
      </c>
      <c r="B149" s="22">
        <v>249</v>
      </c>
      <c r="C149" s="22">
        <v>403</v>
      </c>
    </row>
    <row r="150" spans="1:3" x14ac:dyDescent="0.2">
      <c r="A150" s="21">
        <v>148</v>
      </c>
      <c r="B150" s="22">
        <v>249</v>
      </c>
      <c r="C150" s="22">
        <v>407</v>
      </c>
    </row>
    <row r="151" spans="1:3" x14ac:dyDescent="0.2">
      <c r="A151" s="21">
        <v>149</v>
      </c>
      <c r="B151" s="22">
        <v>249</v>
      </c>
      <c r="C151" s="22">
        <v>408</v>
      </c>
    </row>
    <row r="152" spans="1:3" x14ac:dyDescent="0.2">
      <c r="A152" s="21">
        <v>150</v>
      </c>
      <c r="B152" s="22">
        <v>249</v>
      </c>
      <c r="C152" s="22">
        <v>409</v>
      </c>
    </row>
    <row r="153" spans="1:3" x14ac:dyDescent="0.2">
      <c r="A153" s="21">
        <v>151</v>
      </c>
      <c r="B153" s="22">
        <v>257</v>
      </c>
      <c r="C153" s="22">
        <v>411</v>
      </c>
    </row>
    <row r="154" spans="1:3" x14ac:dyDescent="0.2">
      <c r="A154" s="21">
        <v>152</v>
      </c>
      <c r="B154" s="22">
        <v>257</v>
      </c>
      <c r="C154" s="22">
        <v>413</v>
      </c>
    </row>
    <row r="155" spans="1:3" x14ac:dyDescent="0.2">
      <c r="A155" s="21">
        <v>153</v>
      </c>
      <c r="B155" s="22">
        <v>277</v>
      </c>
      <c r="C155" s="22">
        <v>425</v>
      </c>
    </row>
  </sheetData>
  <autoFilter ref="H1:M57" xr:uid="{00000000-0001-0000-0200-000000000000}"/>
  <conditionalFormatting sqref="N13">
    <cfRule type="cellIs" dxfId="8" priority="1" operator="equal">
      <formula>"#N/A N/A"</formula>
    </cfRule>
  </conditionalFormatting>
  <conditionalFormatting sqref="N8:N12">
    <cfRule type="cellIs" dxfId="7" priority="2" operator="equal">
      <formula>"#N/A N/A"</formula>
    </cfRule>
  </conditionalFormatting>
  <conditionalFormatting sqref="N7">
    <cfRule type="cellIs" dxfId="6" priority="3" operator="equal">
      <formula>"#N/A N/A"</formula>
    </cfRule>
  </conditionalFormatting>
  <conditionalFormatting sqref="N6">
    <cfRule type="cellIs" dxfId="5" priority="4" operator="equal">
      <formula>"#N/A N/A"</formula>
    </cfRule>
  </conditionalFormatting>
  <conditionalFormatting sqref="N5">
    <cfRule type="cellIs" dxfId="4" priority="5" operator="equal">
      <formula>"#N/A N/A"</formula>
    </cfRule>
  </conditionalFormatting>
  <conditionalFormatting sqref="N4">
    <cfRule type="cellIs" dxfId="3" priority="6" operator="equal">
      <formula>"#N/A N/A"</formula>
    </cfRule>
  </conditionalFormatting>
  <conditionalFormatting sqref="N3">
    <cfRule type="cellIs" dxfId="2" priority="7" operator="equal">
      <formula>"#N/A N/A"</formula>
    </cfRule>
  </conditionalFormatting>
  <conditionalFormatting sqref="N2">
    <cfRule type="cellIs" dxfId="1" priority="8" operator="equal">
      <formula>"#N/A N/A"</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N112"/>
  <sheetViews>
    <sheetView showGridLines="0" zoomScale="120" zoomScaleNormal="120" workbookViewId="0"/>
  </sheetViews>
  <sheetFormatPr baseColWidth="10" defaultColWidth="14.5" defaultRowHeight="15" customHeight="1" x14ac:dyDescent="0.2"/>
  <cols>
    <col min="4" max="4" width="24.5" customWidth="1"/>
    <col min="5" max="5" width="21.1640625" customWidth="1"/>
    <col min="8" max="8" width="12.83203125" customWidth="1"/>
  </cols>
  <sheetData>
    <row r="2" spans="1:13" ht="15" customHeight="1" x14ac:dyDescent="0.2">
      <c r="A2" s="75"/>
      <c r="B2" s="75"/>
    </row>
    <row r="3" spans="1:13" ht="15" customHeight="1" x14ac:dyDescent="0.2">
      <c r="A3" s="75"/>
      <c r="B3" s="75"/>
    </row>
    <row r="5" spans="1:13" x14ac:dyDescent="0.2">
      <c r="D5" s="20" t="s">
        <v>17</v>
      </c>
      <c r="E5" s="25" t="s">
        <v>3487</v>
      </c>
      <c r="H5" s="26" t="s">
        <v>3488</v>
      </c>
      <c r="I5" s="27">
        <v>2.7749638554216864</v>
      </c>
    </row>
    <row r="6" spans="1:13" x14ac:dyDescent="0.2">
      <c r="D6" s="28" t="s">
        <v>53</v>
      </c>
      <c r="E6" s="28">
        <v>227</v>
      </c>
      <c r="H6" s="28" t="s">
        <v>3489</v>
      </c>
      <c r="I6" s="29">
        <f>_xlfn.VAR.S(SLBs!AN2:AN293)</f>
        <v>3.963960915094336</v>
      </c>
    </row>
    <row r="7" spans="1:13" x14ac:dyDescent="0.2">
      <c r="D7" s="28" t="s">
        <v>1547</v>
      </c>
      <c r="E7" s="28">
        <v>2</v>
      </c>
      <c r="H7" s="28" t="s">
        <v>3490</v>
      </c>
      <c r="I7" s="28">
        <v>-1.472</v>
      </c>
    </row>
    <row r="8" spans="1:13" x14ac:dyDescent="0.2">
      <c r="D8" s="28" t="s">
        <v>975</v>
      </c>
      <c r="E8" s="28">
        <v>1</v>
      </c>
      <c r="H8" s="32" t="s">
        <v>3491</v>
      </c>
      <c r="I8" s="32">
        <v>9.7260000000000009</v>
      </c>
    </row>
    <row r="9" spans="1:13" x14ac:dyDescent="0.2">
      <c r="D9" s="28" t="s">
        <v>609</v>
      </c>
      <c r="E9" s="28">
        <v>1</v>
      </c>
      <c r="M9" s="33"/>
    </row>
    <row r="10" spans="1:13" x14ac:dyDescent="0.2">
      <c r="D10" s="28" t="s">
        <v>119</v>
      </c>
      <c r="E10" s="28">
        <v>3</v>
      </c>
    </row>
    <row r="11" spans="1:13" x14ac:dyDescent="0.2">
      <c r="D11" s="28" t="s">
        <v>686</v>
      </c>
      <c r="E11" s="28">
        <v>12</v>
      </c>
    </row>
    <row r="12" spans="1:13" x14ac:dyDescent="0.2">
      <c r="D12" s="32" t="s">
        <v>262</v>
      </c>
      <c r="E12" s="32">
        <v>46</v>
      </c>
    </row>
    <row r="15" spans="1:13" x14ac:dyDescent="0.2">
      <c r="D15" s="20" t="s">
        <v>7</v>
      </c>
      <c r="E15" s="20" t="s">
        <v>3487</v>
      </c>
      <c r="F15" s="20" t="s">
        <v>3493</v>
      </c>
    </row>
    <row r="16" spans="1:13" x14ac:dyDescent="0.2">
      <c r="D16" s="28" t="s">
        <v>45</v>
      </c>
      <c r="E16" s="28">
        <v>96</v>
      </c>
      <c r="F16" s="29">
        <v>3.0762499999999995</v>
      </c>
      <c r="G16" s="34">
        <f t="shared" ref="G16:G29" si="0">E16/$B$27</f>
        <v>0.32876712328767121</v>
      </c>
    </row>
    <row r="17" spans="2:14" x14ac:dyDescent="0.2">
      <c r="D17" s="28" t="s">
        <v>366</v>
      </c>
      <c r="E17" s="28">
        <v>48</v>
      </c>
      <c r="F17" s="29">
        <v>2.3560888888888893</v>
      </c>
      <c r="G17" s="34">
        <f t="shared" si="0"/>
        <v>0.16438356164383561</v>
      </c>
    </row>
    <row r="18" spans="2:14" x14ac:dyDescent="0.2">
      <c r="D18" s="28" t="s">
        <v>184</v>
      </c>
      <c r="E18" s="28">
        <v>39</v>
      </c>
      <c r="F18" s="29">
        <v>1.744230769230769</v>
      </c>
      <c r="G18" s="34">
        <f t="shared" si="0"/>
        <v>0.13356164383561644</v>
      </c>
    </row>
    <row r="19" spans="2:14" ht="15" customHeight="1" x14ac:dyDescent="0.2">
      <c r="D19" s="28" t="s">
        <v>169</v>
      </c>
      <c r="E19" s="28">
        <v>31</v>
      </c>
      <c r="F19" s="29">
        <v>4.0470666666666668</v>
      </c>
      <c r="G19" s="34">
        <f t="shared" si="0"/>
        <v>0.10616438356164383</v>
      </c>
    </row>
    <row r="20" spans="2:14" x14ac:dyDescent="0.2">
      <c r="D20" s="28" t="s">
        <v>257</v>
      </c>
      <c r="E20" s="28">
        <v>26</v>
      </c>
      <c r="F20" s="29">
        <v>3.4402499999999994</v>
      </c>
      <c r="G20" s="34">
        <f t="shared" si="0"/>
        <v>8.9041095890410954E-2</v>
      </c>
    </row>
    <row r="21" spans="2:14" x14ac:dyDescent="0.2">
      <c r="D21" s="28" t="s">
        <v>199</v>
      </c>
      <c r="E21" s="28">
        <v>21</v>
      </c>
      <c r="F21" s="29">
        <v>2.749222222222222</v>
      </c>
      <c r="G21" s="34">
        <f t="shared" si="0"/>
        <v>7.1917808219178078E-2</v>
      </c>
    </row>
    <row r="22" spans="2:14" x14ac:dyDescent="0.2">
      <c r="D22" s="28" t="s">
        <v>367</v>
      </c>
      <c r="E22" s="28">
        <v>16</v>
      </c>
      <c r="F22" s="29">
        <v>2.7462307692307695</v>
      </c>
      <c r="G22" s="34">
        <f t="shared" si="0"/>
        <v>5.4794520547945202E-2</v>
      </c>
    </row>
    <row r="23" spans="2:14" x14ac:dyDescent="0.2">
      <c r="D23" s="28" t="s">
        <v>222</v>
      </c>
      <c r="E23" s="28">
        <v>3</v>
      </c>
      <c r="F23" s="35" t="s">
        <v>3494</v>
      </c>
      <c r="G23" s="34">
        <f t="shared" si="0"/>
        <v>1.0273972602739725E-2</v>
      </c>
    </row>
    <row r="24" spans="2:14" x14ac:dyDescent="0.2">
      <c r="D24" s="28" t="s">
        <v>407</v>
      </c>
      <c r="E24" s="28">
        <v>3</v>
      </c>
      <c r="F24" s="29">
        <v>2.9683333333333337</v>
      </c>
      <c r="G24" s="34">
        <f t="shared" si="0"/>
        <v>1.0273972602739725E-2</v>
      </c>
    </row>
    <row r="25" spans="2:14" ht="15" customHeight="1" x14ac:dyDescent="0.2">
      <c r="D25" s="28" t="s">
        <v>594</v>
      </c>
      <c r="E25" s="28">
        <v>3</v>
      </c>
      <c r="F25" s="29">
        <v>1.5863333333333332</v>
      </c>
      <c r="G25" s="34">
        <f t="shared" si="0"/>
        <v>1.0273972602739725E-2</v>
      </c>
    </row>
    <row r="26" spans="2:14" x14ac:dyDescent="0.2">
      <c r="D26" s="28" t="s">
        <v>112</v>
      </c>
      <c r="E26" s="28">
        <v>3</v>
      </c>
      <c r="F26" s="29">
        <v>2.012</v>
      </c>
      <c r="G26" s="34">
        <f t="shared" si="0"/>
        <v>1.0273972602739725E-2</v>
      </c>
    </row>
    <row r="27" spans="2:14" x14ac:dyDescent="0.2">
      <c r="B27" s="36">
        <f>SUM(E16:E29)</f>
        <v>292</v>
      </c>
      <c r="D27" s="28" t="s">
        <v>1339</v>
      </c>
      <c r="E27" s="28">
        <v>1</v>
      </c>
      <c r="F27" s="29">
        <v>2.2850000000000001</v>
      </c>
      <c r="G27" s="34">
        <f t="shared" si="0"/>
        <v>3.4246575342465752E-3</v>
      </c>
    </row>
    <row r="28" spans="2:14" x14ac:dyDescent="0.2">
      <c r="D28" s="28" t="s">
        <v>1554</v>
      </c>
      <c r="E28" s="28">
        <v>1</v>
      </c>
      <c r="F28" s="29">
        <v>4.5</v>
      </c>
      <c r="G28" s="34">
        <f t="shared" si="0"/>
        <v>3.4246575342465752E-3</v>
      </c>
    </row>
    <row r="29" spans="2:14" x14ac:dyDescent="0.2">
      <c r="D29" s="32" t="s">
        <v>1202</v>
      </c>
      <c r="E29" s="32">
        <v>1</v>
      </c>
      <c r="F29" s="37" t="s">
        <v>3494</v>
      </c>
      <c r="G29" s="34">
        <f t="shared" si="0"/>
        <v>3.4246575342465752E-3</v>
      </c>
    </row>
    <row r="31" spans="2:14" x14ac:dyDescent="0.2">
      <c r="D31" s="20" t="s">
        <v>3495</v>
      </c>
      <c r="E31" s="20" t="s">
        <v>3487</v>
      </c>
      <c r="F31" s="20" t="s">
        <v>3496</v>
      </c>
    </row>
    <row r="32" spans="2:14" x14ac:dyDescent="0.2">
      <c r="D32" s="30" t="s">
        <v>58</v>
      </c>
      <c r="E32" s="31">
        <v>70</v>
      </c>
      <c r="F32" s="38">
        <v>2.7535909090909083</v>
      </c>
      <c r="H32" s="36" t="s">
        <v>7</v>
      </c>
      <c r="I32" s="2" t="s">
        <v>3493</v>
      </c>
      <c r="M32" s="36" t="s">
        <v>3495</v>
      </c>
      <c r="N32" s="36" t="s">
        <v>3496</v>
      </c>
    </row>
    <row r="33" spans="4:14" x14ac:dyDescent="0.2">
      <c r="D33" s="30" t="s">
        <v>85</v>
      </c>
      <c r="E33" s="31">
        <v>57</v>
      </c>
      <c r="F33" s="38">
        <v>3.5011142857142854</v>
      </c>
      <c r="H33" s="36" t="s">
        <v>222</v>
      </c>
      <c r="I33" s="36" t="s">
        <v>3494</v>
      </c>
      <c r="M33" s="36" t="s">
        <v>377</v>
      </c>
      <c r="N33" s="36">
        <v>5.0054999999999996</v>
      </c>
    </row>
    <row r="34" spans="4:14" x14ac:dyDescent="0.2">
      <c r="D34" s="30" t="s">
        <v>120</v>
      </c>
      <c r="E34" s="31">
        <v>43</v>
      </c>
      <c r="F34" s="38">
        <v>1.6892307692307691</v>
      </c>
      <c r="H34" s="36" t="s">
        <v>1202</v>
      </c>
      <c r="I34" s="36" t="s">
        <v>3494</v>
      </c>
      <c r="M34" s="36" t="s">
        <v>134</v>
      </c>
      <c r="N34" s="36">
        <v>3.9722352941176475</v>
      </c>
    </row>
    <row r="35" spans="4:14" x14ac:dyDescent="0.2">
      <c r="D35" s="30" t="s">
        <v>134</v>
      </c>
      <c r="E35" s="31">
        <v>37</v>
      </c>
      <c r="F35" s="38">
        <v>3.9722352941176475</v>
      </c>
      <c r="H35" s="36" t="s">
        <v>1554</v>
      </c>
      <c r="I35" s="36">
        <v>4.5</v>
      </c>
      <c r="M35" s="36" t="s">
        <v>308</v>
      </c>
      <c r="N35" s="36">
        <v>3.7256</v>
      </c>
    </row>
    <row r="36" spans="4:14" x14ac:dyDescent="0.2">
      <c r="D36" s="30" t="s">
        <v>484</v>
      </c>
      <c r="E36" s="31">
        <v>25</v>
      </c>
      <c r="F36" s="38">
        <v>2.281166666666667</v>
      </c>
      <c r="H36" s="36" t="s">
        <v>169</v>
      </c>
      <c r="I36" s="36">
        <v>4.0470666666666668</v>
      </c>
      <c r="M36" s="36" t="s">
        <v>85</v>
      </c>
      <c r="N36" s="36">
        <v>3.5011142857142854</v>
      </c>
    </row>
    <row r="37" spans="4:14" ht="15" customHeight="1" x14ac:dyDescent="0.2">
      <c r="D37" s="30" t="s">
        <v>421</v>
      </c>
      <c r="E37" s="31">
        <v>23</v>
      </c>
      <c r="F37" s="38">
        <v>2.7004374999999996</v>
      </c>
      <c r="H37" s="36" t="s">
        <v>257</v>
      </c>
      <c r="I37" s="36">
        <v>3.4402499999999994</v>
      </c>
      <c r="M37" s="36" t="s">
        <v>58</v>
      </c>
      <c r="N37" s="36">
        <v>2.7535909090909083</v>
      </c>
    </row>
    <row r="38" spans="4:14" x14ac:dyDescent="0.2">
      <c r="D38" s="30" t="s">
        <v>213</v>
      </c>
      <c r="E38" s="31">
        <v>11</v>
      </c>
      <c r="F38" s="38">
        <v>2.3110000000000004</v>
      </c>
      <c r="H38" s="36" t="s">
        <v>45</v>
      </c>
      <c r="I38" s="36">
        <v>3.0762499999999995</v>
      </c>
      <c r="M38" s="36" t="s">
        <v>1049</v>
      </c>
      <c r="N38" s="36">
        <v>2.7235</v>
      </c>
    </row>
    <row r="39" spans="4:14" x14ac:dyDescent="0.2">
      <c r="D39" s="30" t="s">
        <v>1049</v>
      </c>
      <c r="E39" s="31">
        <v>10</v>
      </c>
      <c r="F39" s="38">
        <v>2.7235</v>
      </c>
      <c r="H39" s="36" t="s">
        <v>407</v>
      </c>
      <c r="I39" s="36">
        <v>2.9683333333333337</v>
      </c>
      <c r="M39" s="36" t="s">
        <v>421</v>
      </c>
      <c r="N39" s="36">
        <v>2.7004374999999996</v>
      </c>
    </row>
    <row r="40" spans="4:14" x14ac:dyDescent="0.2">
      <c r="D40" s="30" t="s">
        <v>308</v>
      </c>
      <c r="E40" s="31">
        <v>9</v>
      </c>
      <c r="F40" s="38">
        <v>3.7256</v>
      </c>
      <c r="H40" s="36" t="s">
        <v>199</v>
      </c>
      <c r="I40" s="36">
        <v>2.749222222222222</v>
      </c>
      <c r="M40" s="36" t="s">
        <v>213</v>
      </c>
      <c r="N40" s="36">
        <v>2.3110000000000004</v>
      </c>
    </row>
    <row r="41" spans="4:14" x14ac:dyDescent="0.2">
      <c r="D41" s="39" t="s">
        <v>377</v>
      </c>
      <c r="E41" s="40">
        <v>7</v>
      </c>
      <c r="F41" s="41">
        <v>5.0054999999999996</v>
      </c>
      <c r="H41" s="36" t="s">
        <v>367</v>
      </c>
      <c r="I41" s="36">
        <v>2.7462307692307695</v>
      </c>
      <c r="M41" s="36" t="s">
        <v>484</v>
      </c>
      <c r="N41" s="36">
        <v>2.281166666666667</v>
      </c>
    </row>
    <row r="42" spans="4:14" ht="16" thickBot="1" x14ac:dyDescent="0.25">
      <c r="D42" s="130"/>
      <c r="E42" s="130"/>
      <c r="H42" s="36" t="s">
        <v>366</v>
      </c>
      <c r="I42" s="36">
        <v>2.3560888888888893</v>
      </c>
      <c r="M42" s="36" t="s">
        <v>120</v>
      </c>
      <c r="N42" s="36">
        <v>1.6892307692307691</v>
      </c>
    </row>
    <row r="43" spans="4:14" x14ac:dyDescent="0.2">
      <c r="D43" s="131" t="s">
        <v>19</v>
      </c>
      <c r="E43" s="131" t="s">
        <v>3496</v>
      </c>
      <c r="H43" s="36" t="s">
        <v>1339</v>
      </c>
      <c r="I43" s="36">
        <v>2.2850000000000001</v>
      </c>
    </row>
    <row r="44" spans="4:14" x14ac:dyDescent="0.2">
      <c r="D44" s="126" t="s">
        <v>133</v>
      </c>
      <c r="E44" s="127">
        <v>0.442</v>
      </c>
      <c r="H44" s="36" t="s">
        <v>112</v>
      </c>
      <c r="I44" s="36">
        <v>2.012</v>
      </c>
    </row>
    <row r="45" spans="4:14" x14ac:dyDescent="0.2">
      <c r="D45" s="126" t="s">
        <v>420</v>
      </c>
      <c r="E45" s="127">
        <v>1.2092142857142858</v>
      </c>
      <c r="H45" s="36" t="s">
        <v>184</v>
      </c>
      <c r="I45" s="36">
        <v>1.744230769230769</v>
      </c>
    </row>
    <row r="46" spans="4:14" x14ac:dyDescent="0.2">
      <c r="D46" s="126" t="s">
        <v>117</v>
      </c>
      <c r="E46" s="127">
        <v>1.4604285714285712</v>
      </c>
      <c r="H46" s="36" t="s">
        <v>594</v>
      </c>
      <c r="I46" s="36">
        <v>1.5863333333333332</v>
      </c>
    </row>
    <row r="47" spans="4:14" ht="15" customHeight="1" x14ac:dyDescent="0.2">
      <c r="D47" s="126" t="s">
        <v>884</v>
      </c>
      <c r="E47" s="127">
        <v>2.3980000000000001</v>
      </c>
    </row>
    <row r="48" spans="4:14" ht="15" customHeight="1" x14ac:dyDescent="0.2">
      <c r="D48" s="126" t="s">
        <v>174</v>
      </c>
      <c r="E48" s="127">
        <v>2.6572499999999999</v>
      </c>
    </row>
    <row r="49" spans="4:14" ht="15" customHeight="1" thickBot="1" x14ac:dyDescent="0.25">
      <c r="D49" s="128" t="s">
        <v>55</v>
      </c>
      <c r="E49" s="129">
        <v>3.0981851851851854</v>
      </c>
    </row>
    <row r="50" spans="4:14" ht="15" customHeight="1" x14ac:dyDescent="0.2">
      <c r="D50" s="77" t="s">
        <v>5502</v>
      </c>
    </row>
    <row r="51" spans="4:14" ht="15" customHeight="1" x14ac:dyDescent="0.2">
      <c r="E51" s="76"/>
    </row>
    <row r="52" spans="4:14" ht="15" customHeight="1" x14ac:dyDescent="0.2">
      <c r="D52" s="74" t="s">
        <v>38</v>
      </c>
      <c r="E52" s="75" t="s">
        <v>5500</v>
      </c>
    </row>
    <row r="53" spans="4:14" ht="15" customHeight="1" x14ac:dyDescent="0.2">
      <c r="D53" s="74" t="s">
        <v>40</v>
      </c>
      <c r="E53" s="75" t="s">
        <v>5501</v>
      </c>
    </row>
    <row r="54" spans="4:14" ht="15" customHeight="1" x14ac:dyDescent="0.2">
      <c r="N54" s="59" t="s">
        <v>5503</v>
      </c>
    </row>
    <row r="55" spans="4:14" ht="15" customHeight="1" x14ac:dyDescent="0.2">
      <c r="D55" s="66" t="s">
        <v>13</v>
      </c>
      <c r="E55" s="67" t="s">
        <v>3496</v>
      </c>
    </row>
    <row r="56" spans="4:14" ht="15" customHeight="1" x14ac:dyDescent="0.2">
      <c r="D56" s="68" t="s">
        <v>49</v>
      </c>
      <c r="E56" s="69">
        <v>1.5776250000000001</v>
      </c>
    </row>
    <row r="57" spans="4:14" ht="15" customHeight="1" x14ac:dyDescent="0.2">
      <c r="D57" s="70" t="s">
        <v>115</v>
      </c>
      <c r="E57" s="71">
        <v>2.2980857142857141</v>
      </c>
    </row>
    <row r="58" spans="4:14" ht="15" customHeight="1" x14ac:dyDescent="0.2">
      <c r="D58" s="72" t="s">
        <v>3492</v>
      </c>
      <c r="E58" s="73">
        <v>2.1640465116279071</v>
      </c>
    </row>
    <row r="60" spans="4:14" ht="15" customHeight="1" x14ac:dyDescent="0.2">
      <c r="D60" s="42" t="s">
        <v>20</v>
      </c>
      <c r="E60" s="43" t="s">
        <v>3496</v>
      </c>
    </row>
    <row r="61" spans="4:14" ht="15" customHeight="1" x14ac:dyDescent="0.2">
      <c r="D61" s="44" t="s">
        <v>56</v>
      </c>
      <c r="E61" s="45">
        <v>2.6146232876712334</v>
      </c>
    </row>
    <row r="62" spans="4:14" ht="15" customHeight="1" x14ac:dyDescent="0.2">
      <c r="D62" s="46" t="s">
        <v>70</v>
      </c>
      <c r="E62" s="47">
        <v>3.5920000000000005</v>
      </c>
    </row>
    <row r="63" spans="4:14" ht="15" customHeight="1" x14ac:dyDescent="0.2">
      <c r="D63" s="46" t="s">
        <v>342</v>
      </c>
      <c r="E63" s="47">
        <v>9.0815000000000001</v>
      </c>
    </row>
    <row r="64" spans="4:14" ht="15" customHeight="1" x14ac:dyDescent="0.2">
      <c r="D64" s="48" t="s">
        <v>675</v>
      </c>
      <c r="E64" s="49">
        <v>-0.318</v>
      </c>
    </row>
    <row r="67" spans="4:5" ht="15" customHeight="1" x14ac:dyDescent="0.2">
      <c r="D67" s="42" t="s">
        <v>23</v>
      </c>
      <c r="E67" s="43" t="s">
        <v>3497</v>
      </c>
    </row>
    <row r="68" spans="4:5" ht="15" customHeight="1" x14ac:dyDescent="0.2">
      <c r="D68" s="44" t="s">
        <v>308</v>
      </c>
      <c r="E68" s="45">
        <v>11.944444444444445</v>
      </c>
    </row>
    <row r="69" spans="4:5" ht="15" customHeight="1" x14ac:dyDescent="0.2">
      <c r="D69" s="46" t="s">
        <v>134</v>
      </c>
      <c r="E69" s="47">
        <v>19.739130434782609</v>
      </c>
    </row>
    <row r="70" spans="4:5" ht="15" customHeight="1" x14ac:dyDescent="0.2">
      <c r="D70" s="46" t="s">
        <v>421</v>
      </c>
      <c r="E70" s="47">
        <v>22.045454545454547</v>
      </c>
    </row>
    <row r="71" spans="4:5" ht="15" customHeight="1" x14ac:dyDescent="0.2">
      <c r="D71" s="46" t="s">
        <v>213</v>
      </c>
      <c r="E71" s="47">
        <v>48.611111111111114</v>
      </c>
    </row>
    <row r="72" spans="4:5" ht="15" customHeight="1" x14ac:dyDescent="0.2">
      <c r="D72" s="46" t="s">
        <v>484</v>
      </c>
      <c r="E72" s="47">
        <v>18.181818181818183</v>
      </c>
    </row>
    <row r="73" spans="4:5" ht="15" customHeight="1" x14ac:dyDescent="0.2">
      <c r="D73" s="46" t="s">
        <v>1049</v>
      </c>
      <c r="E73" s="47">
        <v>25</v>
      </c>
    </row>
    <row r="74" spans="4:5" ht="15" customHeight="1" x14ac:dyDescent="0.2">
      <c r="D74" s="46" t="s">
        <v>58</v>
      </c>
      <c r="E74" s="47">
        <v>13.928571428571429</v>
      </c>
    </row>
    <row r="75" spans="4:5" ht="15" customHeight="1" x14ac:dyDescent="0.2">
      <c r="D75" s="46" t="s">
        <v>85</v>
      </c>
      <c r="E75" s="47">
        <v>15.833333333333334</v>
      </c>
    </row>
    <row r="76" spans="4:5" ht="15" customHeight="1" x14ac:dyDescent="0.2">
      <c r="D76" s="46" t="s">
        <v>377</v>
      </c>
      <c r="E76" s="47">
        <v>75</v>
      </c>
    </row>
    <row r="77" spans="4:5" ht="15" customHeight="1" x14ac:dyDescent="0.2">
      <c r="D77" s="48" t="s">
        <v>120</v>
      </c>
      <c r="E77" s="49">
        <v>28.235294117647058</v>
      </c>
    </row>
    <row r="80" spans="4:5" ht="15" customHeight="1" x14ac:dyDescent="0.2">
      <c r="D80" s="23" t="s">
        <v>30</v>
      </c>
      <c r="E80" s="24" t="s">
        <v>3498</v>
      </c>
    </row>
    <row r="81" spans="4:5" ht="15" customHeight="1" x14ac:dyDescent="0.2">
      <c r="D81" s="42">
        <v>1.5</v>
      </c>
      <c r="E81" s="50" t="s">
        <v>3494</v>
      </c>
    </row>
    <row r="82" spans="4:5" ht="15" customHeight="1" x14ac:dyDescent="0.2">
      <c r="D82" s="46">
        <v>2</v>
      </c>
      <c r="E82" s="51" t="s">
        <v>3494</v>
      </c>
    </row>
    <row r="83" spans="4:5" ht="15" customHeight="1" x14ac:dyDescent="0.2">
      <c r="D83" s="46">
        <v>2.5</v>
      </c>
      <c r="E83" s="51" t="s">
        <v>3494</v>
      </c>
    </row>
    <row r="84" spans="4:5" ht="15" customHeight="1" x14ac:dyDescent="0.2">
      <c r="D84" s="46">
        <v>3</v>
      </c>
      <c r="E84" s="52">
        <v>0.157</v>
      </c>
    </row>
    <row r="85" spans="4:5" ht="15" customHeight="1" x14ac:dyDescent="0.2">
      <c r="D85" s="46">
        <v>5</v>
      </c>
      <c r="E85" s="51" t="s">
        <v>3494</v>
      </c>
    </row>
    <row r="86" spans="4:5" ht="15" customHeight="1" x14ac:dyDescent="0.2">
      <c r="D86" s="46">
        <v>7.5</v>
      </c>
      <c r="E86" s="52">
        <v>0.63200000000000001</v>
      </c>
    </row>
    <row r="87" spans="4:5" ht="15" customHeight="1" x14ac:dyDescent="0.2">
      <c r="D87" s="46">
        <v>10</v>
      </c>
      <c r="E87" s="51" t="s">
        <v>3494</v>
      </c>
    </row>
    <row r="88" spans="4:5" ht="15" customHeight="1" x14ac:dyDescent="0.2">
      <c r="D88" s="46">
        <v>12.5</v>
      </c>
      <c r="E88" s="52">
        <v>3.7232105263157895</v>
      </c>
    </row>
    <row r="89" spans="4:5" ht="15" customHeight="1" x14ac:dyDescent="0.2">
      <c r="D89" s="46">
        <v>15</v>
      </c>
      <c r="E89" s="52">
        <v>3.5205000000000002</v>
      </c>
    </row>
    <row r="90" spans="4:5" ht="15" customHeight="1" x14ac:dyDescent="0.2">
      <c r="D90" s="46">
        <v>20</v>
      </c>
      <c r="E90" s="52">
        <v>2.6470000000000002</v>
      </c>
    </row>
    <row r="91" spans="4:5" ht="15" customHeight="1" x14ac:dyDescent="0.2">
      <c r="D91" s="46">
        <v>25</v>
      </c>
      <c r="E91" s="52">
        <v>2.2764714285714285</v>
      </c>
    </row>
    <row r="92" spans="4:5" ht="15" customHeight="1" x14ac:dyDescent="0.2">
      <c r="D92" s="46">
        <v>35</v>
      </c>
      <c r="E92" s="52">
        <v>1.843</v>
      </c>
    </row>
    <row r="93" spans="4:5" ht="15" customHeight="1" x14ac:dyDescent="0.2">
      <c r="D93" s="46">
        <v>37.5</v>
      </c>
      <c r="E93" s="52">
        <v>0.90966666666666673</v>
      </c>
    </row>
    <row r="94" spans="4:5" ht="15" customHeight="1" x14ac:dyDescent="0.2">
      <c r="D94" s="46">
        <v>50</v>
      </c>
      <c r="E94" s="52">
        <v>2.1194444444444445</v>
      </c>
    </row>
    <row r="95" spans="4:5" ht="15" customHeight="1" x14ac:dyDescent="0.2">
      <c r="D95" s="46">
        <v>75</v>
      </c>
      <c r="E95" s="52">
        <v>3.9536250000000002</v>
      </c>
    </row>
    <row r="96" spans="4:5" ht="15" customHeight="1" x14ac:dyDescent="0.2">
      <c r="D96" s="46" t="s">
        <v>193</v>
      </c>
      <c r="E96" s="52">
        <v>2.7246666666666672</v>
      </c>
    </row>
    <row r="97" spans="4:6" ht="15" customHeight="1" x14ac:dyDescent="0.2">
      <c r="D97" s="46" t="s">
        <v>124</v>
      </c>
      <c r="E97" s="52">
        <v>2.9362142857142852</v>
      </c>
    </row>
    <row r="98" spans="4:6" ht="15" customHeight="1" x14ac:dyDescent="0.2">
      <c r="D98" s="46" t="s">
        <v>139</v>
      </c>
      <c r="E98" s="52">
        <v>5.3646250000000002</v>
      </c>
    </row>
    <row r="99" spans="4:6" ht="15" customHeight="1" x14ac:dyDescent="0.2">
      <c r="D99" s="48" t="s">
        <v>3499</v>
      </c>
      <c r="E99" s="53">
        <v>3.6909999999999998</v>
      </c>
    </row>
    <row r="103" spans="4:6" ht="15" customHeight="1" x14ac:dyDescent="0.2">
      <c r="D103" s="20" t="s">
        <v>33</v>
      </c>
      <c r="E103" s="54" t="s">
        <v>3486</v>
      </c>
      <c r="F103" s="54">
        <v>2</v>
      </c>
    </row>
    <row r="104" spans="4:6" ht="15" customHeight="1" x14ac:dyDescent="0.2">
      <c r="D104" s="28" t="s">
        <v>125</v>
      </c>
      <c r="E104" s="55">
        <v>127</v>
      </c>
      <c r="F104" s="56">
        <f t="shared" ref="F104:F108" si="1">E104/$E$109</f>
        <v>0.43493150684931509</v>
      </c>
    </row>
    <row r="105" spans="4:6" ht="15" customHeight="1" x14ac:dyDescent="0.2">
      <c r="D105" s="28" t="s">
        <v>611</v>
      </c>
      <c r="E105" s="55">
        <v>27</v>
      </c>
      <c r="F105" s="56">
        <f t="shared" si="1"/>
        <v>9.2465753424657529E-2</v>
      </c>
    </row>
    <row r="106" spans="4:6" ht="15" customHeight="1" x14ac:dyDescent="0.2">
      <c r="D106" s="28" t="s">
        <v>64</v>
      </c>
      <c r="E106" s="55">
        <v>58</v>
      </c>
      <c r="F106" s="56">
        <f t="shared" si="1"/>
        <v>0.19863013698630136</v>
      </c>
    </row>
    <row r="107" spans="4:6" ht="15" customHeight="1" x14ac:dyDescent="0.2">
      <c r="D107" s="28" t="s">
        <v>251</v>
      </c>
      <c r="E107" s="55">
        <v>8</v>
      </c>
      <c r="F107" s="56">
        <f t="shared" si="1"/>
        <v>2.7397260273972601E-2</v>
      </c>
    </row>
    <row r="108" spans="4:6" ht="15" customHeight="1" x14ac:dyDescent="0.2">
      <c r="D108" s="32" t="s">
        <v>3494</v>
      </c>
      <c r="E108" s="57">
        <v>72</v>
      </c>
      <c r="F108" s="56">
        <f t="shared" si="1"/>
        <v>0.24657534246575341</v>
      </c>
    </row>
    <row r="109" spans="4:6" ht="15" customHeight="1" x14ac:dyDescent="0.2">
      <c r="E109" s="36">
        <f>SUM(E104:E108)</f>
        <v>292</v>
      </c>
    </row>
    <row r="111" spans="4:6" x14ac:dyDescent="0.2">
      <c r="D111" s="58" t="s">
        <v>3500</v>
      </c>
    </row>
    <row r="112" spans="4:6" x14ac:dyDescent="0.2">
      <c r="D112" s="59" t="s">
        <v>3496</v>
      </c>
      <c r="E112" s="60">
        <f>AVERAGE(CBs!Y2:Y427)</f>
        <v>1.9134703947368419</v>
      </c>
    </row>
  </sheetData>
  <pageMargins left="0.7" right="0.7" top="0.75" bottom="0.75" header="0" footer="0"/>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F293"/>
  <sheetViews>
    <sheetView workbookViewId="0"/>
  </sheetViews>
  <sheetFormatPr baseColWidth="10" defaultColWidth="14.5" defaultRowHeight="15" customHeight="1" x14ac:dyDescent="0.2"/>
  <sheetData>
    <row r="1" spans="1:32" x14ac:dyDescent="0.2">
      <c r="A1" s="2" t="s">
        <v>1</v>
      </c>
      <c r="B1" s="2" t="s">
        <v>3501</v>
      </c>
      <c r="C1" s="2" t="s">
        <v>3502</v>
      </c>
      <c r="D1" s="2" t="s">
        <v>7</v>
      </c>
      <c r="E1" s="2" t="s">
        <v>3</v>
      </c>
      <c r="F1" s="2" t="s">
        <v>2</v>
      </c>
      <c r="G1" s="2" t="s">
        <v>4</v>
      </c>
      <c r="H1" s="2" t="s">
        <v>5</v>
      </c>
      <c r="I1" s="2" t="s">
        <v>6</v>
      </c>
      <c r="J1" s="2" t="s">
        <v>9</v>
      </c>
      <c r="K1" s="2" t="s">
        <v>10</v>
      </c>
      <c r="L1" s="2" t="s">
        <v>11</v>
      </c>
      <c r="M1" s="2" t="s">
        <v>1763</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1765</v>
      </c>
      <c r="AE1" s="2" t="s">
        <v>36</v>
      </c>
      <c r="AF1" s="2" t="s">
        <v>3503</v>
      </c>
    </row>
    <row r="2" spans="1:32" x14ac:dyDescent="0.2">
      <c r="A2" s="2" t="s">
        <v>41</v>
      </c>
      <c r="B2" s="2" t="s">
        <v>54</v>
      </c>
      <c r="C2" s="2" t="s">
        <v>54</v>
      </c>
      <c r="D2" s="2" t="s">
        <v>45</v>
      </c>
      <c r="E2" s="2" t="s">
        <v>42</v>
      </c>
      <c r="F2" s="2" t="s">
        <v>173</v>
      </c>
      <c r="G2" s="2" t="s">
        <v>43</v>
      </c>
      <c r="H2" s="2" t="s">
        <v>44</v>
      </c>
      <c r="I2" s="2" t="s">
        <v>45</v>
      </c>
      <c r="J2" s="22">
        <v>0</v>
      </c>
      <c r="K2" s="2" t="s">
        <v>46</v>
      </c>
      <c r="L2" s="2" t="s">
        <v>47</v>
      </c>
      <c r="M2" s="2" t="s">
        <v>54</v>
      </c>
      <c r="N2" s="2" t="s">
        <v>49</v>
      </c>
      <c r="O2" s="2" t="s">
        <v>50</v>
      </c>
      <c r="P2" s="2" t="s">
        <v>51</v>
      </c>
      <c r="Q2" s="2" t="s">
        <v>52</v>
      </c>
      <c r="R2" s="2" t="s">
        <v>53</v>
      </c>
      <c r="S2" s="2" t="s">
        <v>54</v>
      </c>
      <c r="T2" s="2" t="s">
        <v>55</v>
      </c>
      <c r="U2" s="2" t="s">
        <v>56</v>
      </c>
      <c r="V2" s="2" t="s">
        <v>57</v>
      </c>
      <c r="W2" s="22">
        <v>124223000</v>
      </c>
      <c r="X2" s="2" t="s">
        <v>58</v>
      </c>
      <c r="Y2" s="2" t="s">
        <v>59</v>
      </c>
      <c r="Z2" s="2" t="s">
        <v>60</v>
      </c>
      <c r="AA2" s="2" t="s">
        <v>61</v>
      </c>
      <c r="AB2" s="2" t="s">
        <v>62</v>
      </c>
      <c r="AC2" s="2" t="s">
        <v>62</v>
      </c>
      <c r="AD2" s="2" t="s">
        <v>3504</v>
      </c>
      <c r="AE2" s="2" t="s">
        <v>54</v>
      </c>
      <c r="AF2" s="2" t="s">
        <v>54</v>
      </c>
    </row>
    <row r="3" spans="1:32" x14ac:dyDescent="0.2">
      <c r="A3" s="2" t="s">
        <v>41</v>
      </c>
      <c r="B3" s="2" t="s">
        <v>54</v>
      </c>
      <c r="C3" s="2" t="s">
        <v>54</v>
      </c>
      <c r="D3" s="2" t="s">
        <v>45</v>
      </c>
      <c r="E3" s="2" t="s">
        <v>66</v>
      </c>
      <c r="F3" s="2" t="s">
        <v>173</v>
      </c>
      <c r="G3" s="2" t="s">
        <v>67</v>
      </c>
      <c r="H3" s="2" t="s">
        <v>44</v>
      </c>
      <c r="I3" s="2" t="s">
        <v>45</v>
      </c>
      <c r="J3" s="22">
        <v>0</v>
      </c>
      <c r="K3" s="2" t="s">
        <v>46</v>
      </c>
      <c r="L3" s="2" t="s">
        <v>68</v>
      </c>
      <c r="M3" s="2" t="s">
        <v>54</v>
      </c>
      <c r="N3" s="2" t="s">
        <v>49</v>
      </c>
      <c r="O3" s="2" t="s">
        <v>50</v>
      </c>
      <c r="P3" s="2" t="s">
        <v>69</v>
      </c>
      <c r="Q3" s="2" t="s">
        <v>52</v>
      </c>
      <c r="R3" s="2" t="s">
        <v>53</v>
      </c>
      <c r="S3" s="2" t="s">
        <v>54</v>
      </c>
      <c r="T3" s="2" t="s">
        <v>55</v>
      </c>
      <c r="U3" s="2" t="s">
        <v>70</v>
      </c>
      <c r="V3" s="2" t="s">
        <v>71</v>
      </c>
      <c r="W3" s="22">
        <v>124223000</v>
      </c>
      <c r="X3" s="2" t="s">
        <v>58</v>
      </c>
      <c r="Y3" s="2" t="s">
        <v>59</v>
      </c>
      <c r="Z3" s="2" t="s">
        <v>60</v>
      </c>
      <c r="AA3" s="2" t="s">
        <v>61</v>
      </c>
      <c r="AB3" s="2" t="s">
        <v>62</v>
      </c>
      <c r="AC3" s="2" t="s">
        <v>62</v>
      </c>
      <c r="AD3" s="2" t="s">
        <v>3505</v>
      </c>
      <c r="AE3" s="2" t="s">
        <v>54</v>
      </c>
      <c r="AF3" s="2" t="s">
        <v>54</v>
      </c>
    </row>
    <row r="4" spans="1:32" x14ac:dyDescent="0.2">
      <c r="A4" s="2" t="s">
        <v>41</v>
      </c>
      <c r="B4" s="2" t="s">
        <v>54</v>
      </c>
      <c r="C4" s="2" t="s">
        <v>54</v>
      </c>
      <c r="D4" s="2" t="s">
        <v>45</v>
      </c>
      <c r="E4" s="2" t="s">
        <v>73</v>
      </c>
      <c r="F4" s="2" t="s">
        <v>173</v>
      </c>
      <c r="G4" s="2" t="s">
        <v>74</v>
      </c>
      <c r="H4" s="2" t="s">
        <v>44</v>
      </c>
      <c r="I4" s="2" t="s">
        <v>45</v>
      </c>
      <c r="J4" s="22">
        <v>0</v>
      </c>
      <c r="K4" s="2" t="s">
        <v>46</v>
      </c>
      <c r="L4" s="2" t="s">
        <v>75</v>
      </c>
      <c r="M4" s="2" t="s">
        <v>54</v>
      </c>
      <c r="N4" s="2" t="s">
        <v>49</v>
      </c>
      <c r="O4" s="2" t="s">
        <v>50</v>
      </c>
      <c r="P4" s="2" t="s">
        <v>76</v>
      </c>
      <c r="Q4" s="2" t="s">
        <v>52</v>
      </c>
      <c r="R4" s="2" t="s">
        <v>53</v>
      </c>
      <c r="S4" s="2" t="s">
        <v>54</v>
      </c>
      <c r="T4" s="2" t="s">
        <v>55</v>
      </c>
      <c r="U4" s="2" t="s">
        <v>70</v>
      </c>
      <c r="V4" s="2" t="s">
        <v>71</v>
      </c>
      <c r="W4" s="22">
        <v>124223000</v>
      </c>
      <c r="X4" s="2" t="s">
        <v>58</v>
      </c>
      <c r="Y4" s="2" t="s">
        <v>59</v>
      </c>
      <c r="Z4" s="2" t="s">
        <v>60</v>
      </c>
      <c r="AA4" s="2" t="s">
        <v>61</v>
      </c>
      <c r="AB4" s="2" t="s">
        <v>62</v>
      </c>
      <c r="AC4" s="2" t="s">
        <v>62</v>
      </c>
      <c r="AD4" s="2" t="s">
        <v>3506</v>
      </c>
      <c r="AE4" s="2" t="s">
        <v>54</v>
      </c>
      <c r="AF4" s="2" t="s">
        <v>54</v>
      </c>
    </row>
    <row r="5" spans="1:32" x14ac:dyDescent="0.2">
      <c r="A5" s="2" t="s">
        <v>78</v>
      </c>
      <c r="B5" s="2" t="s">
        <v>54</v>
      </c>
      <c r="C5" s="2" t="s">
        <v>54</v>
      </c>
      <c r="D5" s="2" t="s">
        <v>45</v>
      </c>
      <c r="E5" s="2" t="s">
        <v>79</v>
      </c>
      <c r="F5" s="2" t="s">
        <v>173</v>
      </c>
      <c r="G5" s="2" t="s">
        <v>80</v>
      </c>
      <c r="H5" s="2" t="s">
        <v>81</v>
      </c>
      <c r="I5" s="2" t="s">
        <v>45</v>
      </c>
      <c r="J5" s="22">
        <v>0</v>
      </c>
      <c r="K5" s="2" t="s">
        <v>82</v>
      </c>
      <c r="L5" s="2" t="s">
        <v>83</v>
      </c>
      <c r="M5" s="2" t="s">
        <v>54</v>
      </c>
      <c r="N5" s="2" t="s">
        <v>49</v>
      </c>
      <c r="O5" s="2" t="s">
        <v>50</v>
      </c>
      <c r="P5" s="2" t="s">
        <v>84</v>
      </c>
      <c r="Q5" s="2" t="s">
        <v>52</v>
      </c>
      <c r="R5" s="2" t="s">
        <v>53</v>
      </c>
      <c r="S5" s="2" t="s">
        <v>54</v>
      </c>
      <c r="T5" s="2" t="s">
        <v>55</v>
      </c>
      <c r="U5" s="2" t="s">
        <v>70</v>
      </c>
      <c r="V5" s="2" t="s">
        <v>71</v>
      </c>
      <c r="W5" s="22">
        <v>452352000</v>
      </c>
      <c r="X5" s="2" t="s">
        <v>85</v>
      </c>
      <c r="Y5" s="2" t="s">
        <v>86</v>
      </c>
      <c r="Z5" s="2" t="s">
        <v>60</v>
      </c>
      <c r="AA5" s="2" t="s">
        <v>61</v>
      </c>
      <c r="AB5" s="2" t="s">
        <v>87</v>
      </c>
      <c r="AC5" s="2" t="s">
        <v>88</v>
      </c>
      <c r="AD5" s="2" t="s">
        <v>3507</v>
      </c>
      <c r="AE5" s="2" t="s">
        <v>54</v>
      </c>
      <c r="AF5" s="2" t="s">
        <v>54</v>
      </c>
    </row>
    <row r="6" spans="1:32" x14ac:dyDescent="0.2">
      <c r="A6" s="2" t="s">
        <v>78</v>
      </c>
      <c r="B6" s="2" t="s">
        <v>54</v>
      </c>
      <c r="C6" s="2" t="s">
        <v>54</v>
      </c>
      <c r="D6" s="2" t="s">
        <v>45</v>
      </c>
      <c r="E6" s="2" t="s">
        <v>91</v>
      </c>
      <c r="F6" s="2" t="s">
        <v>173</v>
      </c>
      <c r="G6" s="2" t="s">
        <v>92</v>
      </c>
      <c r="H6" s="2" t="s">
        <v>81</v>
      </c>
      <c r="I6" s="2" t="s">
        <v>45</v>
      </c>
      <c r="J6" s="22">
        <v>0</v>
      </c>
      <c r="K6" s="2" t="s">
        <v>82</v>
      </c>
      <c r="L6" s="2" t="s">
        <v>93</v>
      </c>
      <c r="M6" s="2" t="s">
        <v>54</v>
      </c>
      <c r="N6" s="2" t="s">
        <v>49</v>
      </c>
      <c r="O6" s="2" t="s">
        <v>50</v>
      </c>
      <c r="P6" s="2" t="s">
        <v>94</v>
      </c>
      <c r="Q6" s="2" t="s">
        <v>52</v>
      </c>
      <c r="R6" s="2" t="s">
        <v>53</v>
      </c>
      <c r="S6" s="2" t="s">
        <v>54</v>
      </c>
      <c r="T6" s="2" t="s">
        <v>55</v>
      </c>
      <c r="U6" s="2" t="s">
        <v>70</v>
      </c>
      <c r="V6" s="2" t="s">
        <v>71</v>
      </c>
      <c r="W6" s="22">
        <v>452352000</v>
      </c>
      <c r="X6" s="2" t="s">
        <v>85</v>
      </c>
      <c r="Y6" s="2" t="s">
        <v>86</v>
      </c>
      <c r="Z6" s="2" t="s">
        <v>60</v>
      </c>
      <c r="AA6" s="2" t="s">
        <v>61</v>
      </c>
      <c r="AB6" s="2" t="s">
        <v>87</v>
      </c>
      <c r="AC6" s="2" t="s">
        <v>88</v>
      </c>
      <c r="AD6" s="2" t="s">
        <v>3508</v>
      </c>
      <c r="AE6" s="2" t="s">
        <v>54</v>
      </c>
      <c r="AF6" s="2" t="s">
        <v>54</v>
      </c>
    </row>
    <row r="7" spans="1:32" x14ac:dyDescent="0.2">
      <c r="A7" s="2" t="s">
        <v>78</v>
      </c>
      <c r="B7" s="2" t="s">
        <v>54</v>
      </c>
      <c r="C7" s="2" t="s">
        <v>54</v>
      </c>
      <c r="D7" s="2" t="s">
        <v>45</v>
      </c>
      <c r="E7" s="2" t="s">
        <v>95</v>
      </c>
      <c r="F7" s="2" t="s">
        <v>173</v>
      </c>
      <c r="G7" s="2" t="s">
        <v>96</v>
      </c>
      <c r="H7" s="2" t="s">
        <v>81</v>
      </c>
      <c r="I7" s="2" t="s">
        <v>45</v>
      </c>
      <c r="J7" s="22">
        <v>0</v>
      </c>
      <c r="K7" s="2" t="s">
        <v>82</v>
      </c>
      <c r="L7" s="2" t="s">
        <v>97</v>
      </c>
      <c r="M7" s="2" t="s">
        <v>54</v>
      </c>
      <c r="N7" s="2" t="s">
        <v>49</v>
      </c>
      <c r="O7" s="2" t="s">
        <v>50</v>
      </c>
      <c r="P7" s="2" t="s">
        <v>98</v>
      </c>
      <c r="Q7" s="2" t="s">
        <v>52</v>
      </c>
      <c r="R7" s="2" t="s">
        <v>53</v>
      </c>
      <c r="S7" s="2" t="s">
        <v>54</v>
      </c>
      <c r="T7" s="2" t="s">
        <v>55</v>
      </c>
      <c r="U7" s="2" t="s">
        <v>70</v>
      </c>
      <c r="V7" s="2" t="s">
        <v>71</v>
      </c>
      <c r="W7" s="22">
        <v>452352000</v>
      </c>
      <c r="X7" s="2" t="s">
        <v>85</v>
      </c>
      <c r="Y7" s="2" t="s">
        <v>86</v>
      </c>
      <c r="Z7" s="2" t="s">
        <v>60</v>
      </c>
      <c r="AA7" s="2" t="s">
        <v>61</v>
      </c>
      <c r="AB7" s="2" t="s">
        <v>87</v>
      </c>
      <c r="AC7" s="2" t="s">
        <v>88</v>
      </c>
      <c r="AD7" s="2" t="s">
        <v>3509</v>
      </c>
      <c r="AE7" s="2" t="s">
        <v>54</v>
      </c>
      <c r="AF7" s="2" t="s">
        <v>54</v>
      </c>
    </row>
    <row r="8" spans="1:32" x14ac:dyDescent="0.2">
      <c r="A8" s="2" t="s">
        <v>78</v>
      </c>
      <c r="B8" s="2" t="s">
        <v>54</v>
      </c>
      <c r="C8" s="2" t="s">
        <v>54</v>
      </c>
      <c r="D8" s="2" t="s">
        <v>45</v>
      </c>
      <c r="E8" s="2" t="s">
        <v>99</v>
      </c>
      <c r="F8" s="2" t="s">
        <v>173</v>
      </c>
      <c r="G8" s="2" t="s">
        <v>100</v>
      </c>
      <c r="H8" s="2" t="s">
        <v>81</v>
      </c>
      <c r="I8" s="2" t="s">
        <v>45</v>
      </c>
      <c r="J8" s="22">
        <v>0</v>
      </c>
      <c r="K8" s="2" t="s">
        <v>82</v>
      </c>
      <c r="L8" s="2" t="s">
        <v>83</v>
      </c>
      <c r="M8" s="2" t="s">
        <v>54</v>
      </c>
      <c r="N8" s="2" t="s">
        <v>49</v>
      </c>
      <c r="O8" s="2" t="s">
        <v>50</v>
      </c>
      <c r="P8" s="2" t="s">
        <v>101</v>
      </c>
      <c r="Q8" s="2" t="s">
        <v>52</v>
      </c>
      <c r="R8" s="2" t="s">
        <v>53</v>
      </c>
      <c r="S8" s="2" t="s">
        <v>54</v>
      </c>
      <c r="T8" s="2" t="s">
        <v>55</v>
      </c>
      <c r="U8" s="2" t="s">
        <v>56</v>
      </c>
      <c r="V8" s="2" t="s">
        <v>57</v>
      </c>
      <c r="W8" s="22">
        <v>452352000</v>
      </c>
      <c r="X8" s="2" t="s">
        <v>85</v>
      </c>
      <c r="Y8" s="2" t="s">
        <v>86</v>
      </c>
      <c r="Z8" s="2" t="s">
        <v>60</v>
      </c>
      <c r="AA8" s="2" t="s">
        <v>61</v>
      </c>
      <c r="AB8" s="2" t="s">
        <v>87</v>
      </c>
      <c r="AC8" s="2" t="s">
        <v>88</v>
      </c>
      <c r="AD8" s="2" t="s">
        <v>3510</v>
      </c>
      <c r="AE8" s="2" t="s">
        <v>54</v>
      </c>
      <c r="AF8" s="2" t="s">
        <v>54</v>
      </c>
    </row>
    <row r="9" spans="1:32" x14ac:dyDescent="0.2">
      <c r="A9" s="2" t="s">
        <v>78</v>
      </c>
      <c r="B9" s="2" t="s">
        <v>54</v>
      </c>
      <c r="C9" s="2" t="s">
        <v>54</v>
      </c>
      <c r="D9" s="2" t="s">
        <v>45</v>
      </c>
      <c r="E9" s="2" t="s">
        <v>102</v>
      </c>
      <c r="F9" s="2" t="s">
        <v>173</v>
      </c>
      <c r="G9" s="2" t="s">
        <v>103</v>
      </c>
      <c r="H9" s="2" t="s">
        <v>81</v>
      </c>
      <c r="I9" s="2" t="s">
        <v>45</v>
      </c>
      <c r="J9" s="22">
        <v>0</v>
      </c>
      <c r="K9" s="2" t="s">
        <v>82</v>
      </c>
      <c r="L9" s="2" t="s">
        <v>93</v>
      </c>
      <c r="M9" s="2" t="s">
        <v>54</v>
      </c>
      <c r="N9" s="2" t="s">
        <v>49</v>
      </c>
      <c r="O9" s="2" t="s">
        <v>50</v>
      </c>
      <c r="P9" s="2" t="s">
        <v>104</v>
      </c>
      <c r="Q9" s="2" t="s">
        <v>52</v>
      </c>
      <c r="R9" s="2" t="s">
        <v>53</v>
      </c>
      <c r="S9" s="2" t="s">
        <v>54</v>
      </c>
      <c r="T9" s="2" t="s">
        <v>55</v>
      </c>
      <c r="U9" s="2" t="s">
        <v>56</v>
      </c>
      <c r="V9" s="2" t="s">
        <v>57</v>
      </c>
      <c r="W9" s="22">
        <v>452352000</v>
      </c>
      <c r="X9" s="2" t="s">
        <v>85</v>
      </c>
      <c r="Y9" s="2" t="s">
        <v>86</v>
      </c>
      <c r="Z9" s="2" t="s">
        <v>60</v>
      </c>
      <c r="AA9" s="2" t="s">
        <v>61</v>
      </c>
      <c r="AB9" s="2" t="s">
        <v>87</v>
      </c>
      <c r="AC9" s="2" t="s">
        <v>88</v>
      </c>
      <c r="AD9" s="2" t="s">
        <v>3511</v>
      </c>
      <c r="AE9" s="2" t="s">
        <v>54</v>
      </c>
      <c r="AF9" s="2" t="s">
        <v>54</v>
      </c>
    </row>
    <row r="10" spans="1:32" x14ac:dyDescent="0.2">
      <c r="A10" s="2" t="s">
        <v>78</v>
      </c>
      <c r="B10" s="2" t="s">
        <v>54</v>
      </c>
      <c r="C10" s="2" t="s">
        <v>54</v>
      </c>
      <c r="D10" s="2" t="s">
        <v>45</v>
      </c>
      <c r="E10" s="2" t="s">
        <v>105</v>
      </c>
      <c r="F10" s="2" t="s">
        <v>173</v>
      </c>
      <c r="G10" s="2" t="s">
        <v>106</v>
      </c>
      <c r="H10" s="2" t="s">
        <v>81</v>
      </c>
      <c r="I10" s="2" t="s">
        <v>45</v>
      </c>
      <c r="J10" s="22">
        <v>0</v>
      </c>
      <c r="K10" s="2" t="s">
        <v>82</v>
      </c>
      <c r="L10" s="2" t="s">
        <v>97</v>
      </c>
      <c r="M10" s="2" t="s">
        <v>54</v>
      </c>
      <c r="N10" s="2" t="s">
        <v>49</v>
      </c>
      <c r="O10" s="2" t="s">
        <v>50</v>
      </c>
      <c r="P10" s="2" t="s">
        <v>107</v>
      </c>
      <c r="Q10" s="2" t="s">
        <v>52</v>
      </c>
      <c r="R10" s="2" t="s">
        <v>53</v>
      </c>
      <c r="S10" s="2" t="s">
        <v>54</v>
      </c>
      <c r="T10" s="2" t="s">
        <v>55</v>
      </c>
      <c r="U10" s="2" t="s">
        <v>56</v>
      </c>
      <c r="V10" s="2" t="s">
        <v>57</v>
      </c>
      <c r="W10" s="22">
        <v>452352000</v>
      </c>
      <c r="X10" s="2" t="s">
        <v>85</v>
      </c>
      <c r="Y10" s="2" t="s">
        <v>86</v>
      </c>
      <c r="Z10" s="2" t="s">
        <v>60</v>
      </c>
      <c r="AA10" s="2" t="s">
        <v>61</v>
      </c>
      <c r="AB10" s="2" t="s">
        <v>87</v>
      </c>
      <c r="AC10" s="2" t="s">
        <v>88</v>
      </c>
      <c r="AD10" s="2" t="s">
        <v>3512</v>
      </c>
      <c r="AE10" s="2" t="s">
        <v>54</v>
      </c>
      <c r="AF10" s="2" t="s">
        <v>54</v>
      </c>
    </row>
    <row r="11" spans="1:32" x14ac:dyDescent="0.2">
      <c r="A11" s="2" t="s">
        <v>108</v>
      </c>
      <c r="B11" s="22">
        <v>7.7428531844835762</v>
      </c>
      <c r="C11" s="22">
        <v>7.8262365243468848</v>
      </c>
      <c r="D11" s="2" t="s">
        <v>112</v>
      </c>
      <c r="E11" s="2" t="s">
        <v>109</v>
      </c>
      <c r="F11" s="2" t="s">
        <v>3513</v>
      </c>
      <c r="G11" s="2" t="s">
        <v>110</v>
      </c>
      <c r="H11" s="2" t="s">
        <v>111</v>
      </c>
      <c r="I11" s="2" t="s">
        <v>112</v>
      </c>
      <c r="J11" s="22">
        <v>7.45</v>
      </c>
      <c r="K11" s="2" t="s">
        <v>113</v>
      </c>
      <c r="L11" s="2" t="s">
        <v>114</v>
      </c>
      <c r="M11" s="2" t="s">
        <v>54</v>
      </c>
      <c r="N11" s="2" t="s">
        <v>115</v>
      </c>
      <c r="O11" s="2" t="s">
        <v>116</v>
      </c>
      <c r="P11" s="2" t="s">
        <v>117</v>
      </c>
      <c r="Q11" s="2" t="s">
        <v>118</v>
      </c>
      <c r="R11" s="2" t="s">
        <v>119</v>
      </c>
      <c r="S11" s="2" t="s">
        <v>54</v>
      </c>
      <c r="T11" s="2" t="s">
        <v>55</v>
      </c>
      <c r="U11" s="2" t="s">
        <v>70</v>
      </c>
      <c r="V11" s="2" t="s">
        <v>71</v>
      </c>
      <c r="W11" s="22">
        <v>252336000</v>
      </c>
      <c r="X11" s="2" t="s">
        <v>120</v>
      </c>
      <c r="Y11" s="2" t="s">
        <v>120</v>
      </c>
      <c r="Z11" s="2" t="s">
        <v>60</v>
      </c>
      <c r="AA11" s="2" t="s">
        <v>121</v>
      </c>
      <c r="AB11" s="2" t="s">
        <v>122</v>
      </c>
      <c r="AC11" s="2" t="s">
        <v>122</v>
      </c>
      <c r="AD11" s="2" t="s">
        <v>3514</v>
      </c>
      <c r="AE11" s="2" t="s">
        <v>54</v>
      </c>
      <c r="AF11" s="2" t="s">
        <v>54</v>
      </c>
    </row>
    <row r="12" spans="1:32" x14ac:dyDescent="0.2">
      <c r="A12" s="2" t="s">
        <v>127</v>
      </c>
      <c r="B12" s="2" t="s">
        <v>54</v>
      </c>
      <c r="C12" s="2" t="s">
        <v>54</v>
      </c>
      <c r="D12" s="2" t="s">
        <v>45</v>
      </c>
      <c r="E12" s="2" t="s">
        <v>128</v>
      </c>
      <c r="F12" s="2" t="s">
        <v>173</v>
      </c>
      <c r="G12" s="2" t="s">
        <v>129</v>
      </c>
      <c r="H12" s="2" t="s">
        <v>130</v>
      </c>
      <c r="I12" s="2" t="s">
        <v>45</v>
      </c>
      <c r="J12" s="22">
        <v>0</v>
      </c>
      <c r="K12" s="2" t="s">
        <v>131</v>
      </c>
      <c r="L12" s="2" t="s">
        <v>132</v>
      </c>
      <c r="M12" s="2" t="s">
        <v>54</v>
      </c>
      <c r="N12" s="2" t="s">
        <v>49</v>
      </c>
      <c r="O12" s="2" t="s">
        <v>50</v>
      </c>
      <c r="P12" s="2" t="s">
        <v>76</v>
      </c>
      <c r="Q12" s="2" t="s">
        <v>52</v>
      </c>
      <c r="R12" s="2" t="s">
        <v>53</v>
      </c>
      <c r="S12" s="2" t="s">
        <v>54</v>
      </c>
      <c r="T12" s="2" t="s">
        <v>133</v>
      </c>
      <c r="U12" s="2" t="s">
        <v>70</v>
      </c>
      <c r="V12" s="2" t="s">
        <v>71</v>
      </c>
      <c r="W12" s="22">
        <v>304220000</v>
      </c>
      <c r="X12" s="2" t="s">
        <v>134</v>
      </c>
      <c r="Y12" s="2" t="s">
        <v>135</v>
      </c>
      <c r="Z12" s="2" t="s">
        <v>60</v>
      </c>
      <c r="AA12" s="2" t="s">
        <v>61</v>
      </c>
      <c r="AB12" s="2" t="s">
        <v>136</v>
      </c>
      <c r="AC12" s="2" t="s">
        <v>137</v>
      </c>
      <c r="AD12" s="2" t="s">
        <v>3515</v>
      </c>
      <c r="AE12" s="2" t="s">
        <v>54</v>
      </c>
      <c r="AF12" s="2" t="s">
        <v>54</v>
      </c>
    </row>
    <row r="13" spans="1:32" x14ac:dyDescent="0.2">
      <c r="A13" s="2" t="s">
        <v>127</v>
      </c>
      <c r="B13" s="2" t="s">
        <v>54</v>
      </c>
      <c r="C13" s="2" t="s">
        <v>54</v>
      </c>
      <c r="D13" s="2" t="s">
        <v>45</v>
      </c>
      <c r="E13" s="2" t="s">
        <v>141</v>
      </c>
      <c r="F13" s="2" t="s">
        <v>173</v>
      </c>
      <c r="G13" s="2" t="s">
        <v>142</v>
      </c>
      <c r="H13" s="2" t="s">
        <v>130</v>
      </c>
      <c r="I13" s="2" t="s">
        <v>45</v>
      </c>
      <c r="J13" s="22">
        <v>0</v>
      </c>
      <c r="K13" s="2" t="s">
        <v>131</v>
      </c>
      <c r="L13" s="2" t="s">
        <v>143</v>
      </c>
      <c r="M13" s="2" t="s">
        <v>54</v>
      </c>
      <c r="N13" s="2" t="s">
        <v>49</v>
      </c>
      <c r="O13" s="2" t="s">
        <v>50</v>
      </c>
      <c r="P13" s="2" t="s">
        <v>144</v>
      </c>
      <c r="Q13" s="2" t="s">
        <v>52</v>
      </c>
      <c r="R13" s="2" t="s">
        <v>53</v>
      </c>
      <c r="S13" s="2" t="s">
        <v>54</v>
      </c>
      <c r="T13" s="2" t="s">
        <v>133</v>
      </c>
      <c r="U13" s="2" t="s">
        <v>70</v>
      </c>
      <c r="V13" s="2" t="s">
        <v>71</v>
      </c>
      <c r="W13" s="22">
        <v>304220000</v>
      </c>
      <c r="X13" s="2" t="s">
        <v>134</v>
      </c>
      <c r="Y13" s="2" t="s">
        <v>135</v>
      </c>
      <c r="Z13" s="2" t="s">
        <v>60</v>
      </c>
      <c r="AA13" s="2" t="s">
        <v>61</v>
      </c>
      <c r="AB13" s="2" t="s">
        <v>136</v>
      </c>
      <c r="AC13" s="2" t="s">
        <v>137</v>
      </c>
      <c r="AD13" s="2" t="s">
        <v>3516</v>
      </c>
      <c r="AE13" s="2" t="s">
        <v>54</v>
      </c>
      <c r="AF13" s="2" t="s">
        <v>54</v>
      </c>
    </row>
    <row r="14" spans="1:32" x14ac:dyDescent="0.2">
      <c r="A14" s="2" t="s">
        <v>41</v>
      </c>
      <c r="B14" s="2" t="s">
        <v>54</v>
      </c>
      <c r="C14" s="2" t="s">
        <v>54</v>
      </c>
      <c r="D14" s="2" t="s">
        <v>45</v>
      </c>
      <c r="E14" s="2" t="s">
        <v>146</v>
      </c>
      <c r="F14" s="2" t="s">
        <v>173</v>
      </c>
      <c r="G14" s="2" t="s">
        <v>147</v>
      </c>
      <c r="H14" s="2" t="s">
        <v>44</v>
      </c>
      <c r="I14" s="2" t="s">
        <v>45</v>
      </c>
      <c r="J14" s="22">
        <v>0</v>
      </c>
      <c r="K14" s="2" t="s">
        <v>148</v>
      </c>
      <c r="L14" s="2" t="s">
        <v>149</v>
      </c>
      <c r="M14" s="2" t="s">
        <v>54</v>
      </c>
      <c r="N14" s="2" t="s">
        <v>49</v>
      </c>
      <c r="O14" s="2" t="s">
        <v>50</v>
      </c>
      <c r="P14" s="2" t="s">
        <v>51</v>
      </c>
      <c r="Q14" s="2" t="s">
        <v>52</v>
      </c>
      <c r="R14" s="2" t="s">
        <v>53</v>
      </c>
      <c r="S14" s="2" t="s">
        <v>54</v>
      </c>
      <c r="T14" s="2" t="s">
        <v>55</v>
      </c>
      <c r="U14" s="2" t="s">
        <v>56</v>
      </c>
      <c r="V14" s="2" t="s">
        <v>57</v>
      </c>
      <c r="W14" s="22">
        <v>243312000</v>
      </c>
      <c r="X14" s="2" t="s">
        <v>58</v>
      </c>
      <c r="Y14" s="2" t="s">
        <v>59</v>
      </c>
      <c r="Z14" s="2" t="s">
        <v>60</v>
      </c>
      <c r="AA14" s="2" t="s">
        <v>61</v>
      </c>
      <c r="AB14" s="2" t="s">
        <v>62</v>
      </c>
      <c r="AC14" s="2" t="s">
        <v>62</v>
      </c>
      <c r="AD14" s="2" t="s">
        <v>3517</v>
      </c>
      <c r="AE14" s="2" t="s">
        <v>54</v>
      </c>
      <c r="AF14" s="2" t="s">
        <v>54</v>
      </c>
    </row>
    <row r="15" spans="1:32" x14ac:dyDescent="0.2">
      <c r="A15" s="2" t="s">
        <v>41</v>
      </c>
      <c r="B15" s="2" t="s">
        <v>54</v>
      </c>
      <c r="C15" s="2" t="s">
        <v>54</v>
      </c>
      <c r="D15" s="2" t="s">
        <v>45</v>
      </c>
      <c r="E15" s="2" t="s">
        <v>151</v>
      </c>
      <c r="F15" s="2" t="s">
        <v>173</v>
      </c>
      <c r="G15" s="2" t="s">
        <v>152</v>
      </c>
      <c r="H15" s="2" t="s">
        <v>44</v>
      </c>
      <c r="I15" s="2" t="s">
        <v>45</v>
      </c>
      <c r="J15" s="22">
        <v>0</v>
      </c>
      <c r="K15" s="2" t="s">
        <v>148</v>
      </c>
      <c r="L15" s="2" t="s">
        <v>153</v>
      </c>
      <c r="M15" s="2" t="s">
        <v>54</v>
      </c>
      <c r="N15" s="2" t="s">
        <v>49</v>
      </c>
      <c r="O15" s="2" t="s">
        <v>50</v>
      </c>
      <c r="P15" s="2" t="s">
        <v>69</v>
      </c>
      <c r="Q15" s="2" t="s">
        <v>52</v>
      </c>
      <c r="R15" s="2" t="s">
        <v>53</v>
      </c>
      <c r="S15" s="2" t="s">
        <v>54</v>
      </c>
      <c r="T15" s="2" t="s">
        <v>55</v>
      </c>
      <c r="U15" s="2" t="s">
        <v>70</v>
      </c>
      <c r="V15" s="2" t="s">
        <v>71</v>
      </c>
      <c r="W15" s="22">
        <v>243312000</v>
      </c>
      <c r="X15" s="2" t="s">
        <v>58</v>
      </c>
      <c r="Y15" s="2" t="s">
        <v>59</v>
      </c>
      <c r="Z15" s="2" t="s">
        <v>60</v>
      </c>
      <c r="AA15" s="2" t="s">
        <v>61</v>
      </c>
      <c r="AB15" s="2" t="s">
        <v>62</v>
      </c>
      <c r="AC15" s="2" t="s">
        <v>62</v>
      </c>
      <c r="AD15" s="2" t="s">
        <v>3518</v>
      </c>
      <c r="AE15" s="2" t="s">
        <v>54</v>
      </c>
      <c r="AF15" s="2" t="s">
        <v>54</v>
      </c>
    </row>
    <row r="16" spans="1:32" x14ac:dyDescent="0.2">
      <c r="A16" s="2" t="s">
        <v>41</v>
      </c>
      <c r="B16" s="2" t="s">
        <v>54</v>
      </c>
      <c r="C16" s="2" t="s">
        <v>54</v>
      </c>
      <c r="D16" s="2" t="s">
        <v>45</v>
      </c>
      <c r="E16" s="2" t="s">
        <v>154</v>
      </c>
      <c r="F16" s="2" t="s">
        <v>173</v>
      </c>
      <c r="G16" s="2" t="s">
        <v>155</v>
      </c>
      <c r="H16" s="2" t="s">
        <v>44</v>
      </c>
      <c r="I16" s="2" t="s">
        <v>45</v>
      </c>
      <c r="J16" s="22">
        <v>0</v>
      </c>
      <c r="K16" s="2" t="s">
        <v>148</v>
      </c>
      <c r="L16" s="2" t="s">
        <v>156</v>
      </c>
      <c r="M16" s="2" t="s">
        <v>54</v>
      </c>
      <c r="N16" s="2" t="s">
        <v>49</v>
      </c>
      <c r="O16" s="2" t="s">
        <v>50</v>
      </c>
      <c r="P16" s="2" t="s">
        <v>157</v>
      </c>
      <c r="Q16" s="2" t="s">
        <v>52</v>
      </c>
      <c r="R16" s="2" t="s">
        <v>53</v>
      </c>
      <c r="S16" s="2" t="s">
        <v>54</v>
      </c>
      <c r="T16" s="2" t="s">
        <v>55</v>
      </c>
      <c r="U16" s="2" t="s">
        <v>70</v>
      </c>
      <c r="V16" s="2" t="s">
        <v>71</v>
      </c>
      <c r="W16" s="22">
        <v>243312000</v>
      </c>
      <c r="X16" s="2" t="s">
        <v>58</v>
      </c>
      <c r="Y16" s="2" t="s">
        <v>59</v>
      </c>
      <c r="Z16" s="2" t="s">
        <v>60</v>
      </c>
      <c r="AA16" s="2" t="s">
        <v>61</v>
      </c>
      <c r="AB16" s="2" t="s">
        <v>62</v>
      </c>
      <c r="AC16" s="2" t="s">
        <v>62</v>
      </c>
      <c r="AD16" s="2" t="s">
        <v>3519</v>
      </c>
      <c r="AE16" s="2" t="s">
        <v>54</v>
      </c>
      <c r="AF16" s="2" t="s">
        <v>54</v>
      </c>
    </row>
    <row r="17" spans="1:32" x14ac:dyDescent="0.2">
      <c r="A17" s="2" t="s">
        <v>41</v>
      </c>
      <c r="B17" s="2" t="s">
        <v>54</v>
      </c>
      <c r="C17" s="2" t="s">
        <v>54</v>
      </c>
      <c r="D17" s="2" t="s">
        <v>45</v>
      </c>
      <c r="E17" s="2" t="s">
        <v>158</v>
      </c>
      <c r="F17" s="2" t="s">
        <v>173</v>
      </c>
      <c r="G17" s="2" t="s">
        <v>159</v>
      </c>
      <c r="H17" s="2" t="s">
        <v>44</v>
      </c>
      <c r="I17" s="2" t="s">
        <v>45</v>
      </c>
      <c r="J17" s="22">
        <v>0</v>
      </c>
      <c r="K17" s="2" t="s">
        <v>148</v>
      </c>
      <c r="L17" s="2" t="s">
        <v>160</v>
      </c>
      <c r="M17" s="2" t="s">
        <v>54</v>
      </c>
      <c r="N17" s="2" t="s">
        <v>49</v>
      </c>
      <c r="O17" s="2" t="s">
        <v>50</v>
      </c>
      <c r="P17" s="2" t="s">
        <v>161</v>
      </c>
      <c r="Q17" s="2" t="s">
        <v>52</v>
      </c>
      <c r="R17" s="2" t="s">
        <v>53</v>
      </c>
      <c r="S17" s="2" t="s">
        <v>54</v>
      </c>
      <c r="T17" s="2" t="s">
        <v>55</v>
      </c>
      <c r="U17" s="2" t="s">
        <v>70</v>
      </c>
      <c r="V17" s="2" t="s">
        <v>71</v>
      </c>
      <c r="W17" s="22">
        <v>243312000</v>
      </c>
      <c r="X17" s="2" t="s">
        <v>58</v>
      </c>
      <c r="Y17" s="2" t="s">
        <v>59</v>
      </c>
      <c r="Z17" s="2" t="s">
        <v>60</v>
      </c>
      <c r="AA17" s="2" t="s">
        <v>61</v>
      </c>
      <c r="AB17" s="2" t="s">
        <v>62</v>
      </c>
      <c r="AC17" s="2" t="s">
        <v>62</v>
      </c>
      <c r="AD17" s="2" t="s">
        <v>3520</v>
      </c>
      <c r="AE17" s="2" t="s">
        <v>54</v>
      </c>
      <c r="AF17" s="2" t="s">
        <v>54</v>
      </c>
    </row>
    <row r="18" spans="1:32" x14ac:dyDescent="0.2">
      <c r="A18" s="2" t="s">
        <v>41</v>
      </c>
      <c r="B18" s="2" t="s">
        <v>54</v>
      </c>
      <c r="C18" s="2" t="s">
        <v>54</v>
      </c>
      <c r="D18" s="2" t="s">
        <v>45</v>
      </c>
      <c r="E18" s="2" t="s">
        <v>162</v>
      </c>
      <c r="F18" s="2" t="s">
        <v>173</v>
      </c>
      <c r="G18" s="2" t="s">
        <v>163</v>
      </c>
      <c r="H18" s="2" t="s">
        <v>44</v>
      </c>
      <c r="I18" s="2" t="s">
        <v>45</v>
      </c>
      <c r="J18" s="22">
        <v>0</v>
      </c>
      <c r="K18" s="2" t="s">
        <v>148</v>
      </c>
      <c r="L18" s="2" t="s">
        <v>164</v>
      </c>
      <c r="M18" s="2" t="s">
        <v>54</v>
      </c>
      <c r="N18" s="2" t="s">
        <v>49</v>
      </c>
      <c r="O18" s="2" t="s">
        <v>50</v>
      </c>
      <c r="P18" s="2" t="s">
        <v>144</v>
      </c>
      <c r="Q18" s="2" t="s">
        <v>52</v>
      </c>
      <c r="R18" s="2" t="s">
        <v>53</v>
      </c>
      <c r="S18" s="2" t="s">
        <v>54</v>
      </c>
      <c r="T18" s="2" t="s">
        <v>55</v>
      </c>
      <c r="U18" s="2" t="s">
        <v>70</v>
      </c>
      <c r="V18" s="2" t="s">
        <v>71</v>
      </c>
      <c r="W18" s="22">
        <v>243312000</v>
      </c>
      <c r="X18" s="2" t="s">
        <v>58</v>
      </c>
      <c r="Y18" s="2" t="s">
        <v>59</v>
      </c>
      <c r="Z18" s="2" t="s">
        <v>60</v>
      </c>
      <c r="AA18" s="2" t="s">
        <v>61</v>
      </c>
      <c r="AB18" s="2" t="s">
        <v>62</v>
      </c>
      <c r="AC18" s="2" t="s">
        <v>62</v>
      </c>
      <c r="AD18" s="2" t="s">
        <v>3521</v>
      </c>
      <c r="AE18" s="2" t="s">
        <v>54</v>
      </c>
      <c r="AF18" s="2" t="s">
        <v>54</v>
      </c>
    </row>
    <row r="19" spans="1:32" x14ac:dyDescent="0.2">
      <c r="A19" s="2" t="s">
        <v>165</v>
      </c>
      <c r="B19" s="22">
        <v>2.7703699859820055</v>
      </c>
      <c r="C19" s="22">
        <v>2.8489739043013547</v>
      </c>
      <c r="D19" s="2" t="s">
        <v>169</v>
      </c>
      <c r="E19" s="2" t="s">
        <v>166</v>
      </c>
      <c r="F19" s="2" t="s">
        <v>3522</v>
      </c>
      <c r="G19" s="2" t="s">
        <v>167</v>
      </c>
      <c r="H19" s="2" t="s">
        <v>168</v>
      </c>
      <c r="I19" s="2" t="s">
        <v>169</v>
      </c>
      <c r="J19" s="22">
        <v>0.5</v>
      </c>
      <c r="K19" s="2" t="s">
        <v>171</v>
      </c>
      <c r="L19" s="2" t="s">
        <v>172</v>
      </c>
      <c r="M19" s="2" t="s">
        <v>54</v>
      </c>
      <c r="N19" s="2" t="s">
        <v>115</v>
      </c>
      <c r="O19" s="2" t="s">
        <v>116</v>
      </c>
      <c r="P19" s="2" t="s">
        <v>173</v>
      </c>
      <c r="Q19" s="2" t="s">
        <v>52</v>
      </c>
      <c r="R19" s="2" t="s">
        <v>53</v>
      </c>
      <c r="S19" s="2" t="s">
        <v>174</v>
      </c>
      <c r="T19" s="2" t="s">
        <v>55</v>
      </c>
      <c r="U19" s="2" t="s">
        <v>56</v>
      </c>
      <c r="V19" s="2" t="s">
        <v>57</v>
      </c>
      <c r="W19" s="22">
        <v>1006510500</v>
      </c>
      <c r="X19" s="2" t="s">
        <v>85</v>
      </c>
      <c r="Y19" s="2" t="s">
        <v>175</v>
      </c>
      <c r="Z19" s="2" t="s">
        <v>60</v>
      </c>
      <c r="AA19" s="2" t="s">
        <v>61</v>
      </c>
      <c r="AB19" s="2" t="s">
        <v>176</v>
      </c>
      <c r="AC19" s="2" t="s">
        <v>177</v>
      </c>
      <c r="AD19" s="2" t="s">
        <v>3523</v>
      </c>
      <c r="AE19" s="22">
        <v>0.47699999999999998</v>
      </c>
      <c r="AF19" s="22">
        <v>0.47699999999999998</v>
      </c>
    </row>
    <row r="20" spans="1:32" x14ac:dyDescent="0.2">
      <c r="A20" s="2" t="s">
        <v>180</v>
      </c>
      <c r="B20" s="22">
        <v>-2.1772748780651972</v>
      </c>
      <c r="C20" s="22">
        <v>-1.8370860107598208</v>
      </c>
      <c r="D20" s="2" t="s">
        <v>184</v>
      </c>
      <c r="E20" s="2" t="s">
        <v>181</v>
      </c>
      <c r="F20" s="2" t="s">
        <v>3524</v>
      </c>
      <c r="G20" s="2" t="s">
        <v>182</v>
      </c>
      <c r="H20" s="2" t="s">
        <v>183</v>
      </c>
      <c r="I20" s="2" t="s">
        <v>184</v>
      </c>
      <c r="J20" s="22">
        <v>0</v>
      </c>
      <c r="K20" s="2" t="s">
        <v>186</v>
      </c>
      <c r="L20" s="2" t="s">
        <v>187</v>
      </c>
      <c r="M20" s="2" t="s">
        <v>54</v>
      </c>
      <c r="N20" s="2" t="s">
        <v>188</v>
      </c>
      <c r="O20" s="2" t="s">
        <v>50</v>
      </c>
      <c r="P20" s="2" t="s">
        <v>173</v>
      </c>
      <c r="Q20" s="2" t="s">
        <v>52</v>
      </c>
      <c r="R20" s="2" t="s">
        <v>53</v>
      </c>
      <c r="S20" s="2" t="s">
        <v>189</v>
      </c>
      <c r="T20" s="2" t="s">
        <v>133</v>
      </c>
      <c r="U20" s="2" t="s">
        <v>56</v>
      </c>
      <c r="V20" s="2" t="s">
        <v>57</v>
      </c>
      <c r="W20" s="22">
        <v>771725523.36500001</v>
      </c>
      <c r="X20" s="2" t="s">
        <v>58</v>
      </c>
      <c r="Y20" s="2" t="s">
        <v>190</v>
      </c>
      <c r="Z20" s="2" t="s">
        <v>60</v>
      </c>
      <c r="AA20" s="2" t="s">
        <v>61</v>
      </c>
      <c r="AB20" s="2" t="s">
        <v>176</v>
      </c>
      <c r="AC20" s="2" t="s">
        <v>191</v>
      </c>
      <c r="AD20" s="2" t="s">
        <v>3525</v>
      </c>
      <c r="AE20" s="22">
        <v>-1.472</v>
      </c>
      <c r="AF20" s="22">
        <v>-1.472</v>
      </c>
    </row>
    <row r="21" spans="1:32" x14ac:dyDescent="0.2">
      <c r="A21" s="2" t="s">
        <v>195</v>
      </c>
      <c r="B21" s="22">
        <v>4.5157618178306578</v>
      </c>
      <c r="C21" s="22">
        <v>4.8276296985647003</v>
      </c>
      <c r="D21" s="2" t="s">
        <v>199</v>
      </c>
      <c r="E21" s="2" t="s">
        <v>196</v>
      </c>
      <c r="F21" s="2" t="s">
        <v>3526</v>
      </c>
      <c r="G21" s="2" t="s">
        <v>197</v>
      </c>
      <c r="H21" s="2" t="s">
        <v>198</v>
      </c>
      <c r="I21" s="2" t="s">
        <v>199</v>
      </c>
      <c r="J21" s="22">
        <v>3.25</v>
      </c>
      <c r="K21" s="2" t="s">
        <v>200</v>
      </c>
      <c r="L21" s="2" t="s">
        <v>201</v>
      </c>
      <c r="M21" s="2" t="s">
        <v>54</v>
      </c>
      <c r="N21" s="2" t="s">
        <v>49</v>
      </c>
      <c r="O21" s="2" t="s">
        <v>50</v>
      </c>
      <c r="P21" s="2" t="s">
        <v>173</v>
      </c>
      <c r="Q21" s="2" t="s">
        <v>52</v>
      </c>
      <c r="R21" s="2" t="s">
        <v>53</v>
      </c>
      <c r="S21" s="2" t="s">
        <v>54</v>
      </c>
      <c r="T21" s="2" t="s">
        <v>55</v>
      </c>
      <c r="U21" s="2" t="s">
        <v>56</v>
      </c>
      <c r="V21" s="2" t="s">
        <v>57</v>
      </c>
      <c r="W21" s="22">
        <v>120724000</v>
      </c>
      <c r="X21" s="2" t="s">
        <v>120</v>
      </c>
      <c r="Y21" s="2" t="s">
        <v>120</v>
      </c>
      <c r="Z21" s="2" t="s">
        <v>202</v>
      </c>
      <c r="AA21" s="2" t="s">
        <v>203</v>
      </c>
      <c r="AB21" s="2" t="s">
        <v>203</v>
      </c>
      <c r="AC21" s="2" t="s">
        <v>203</v>
      </c>
      <c r="AD21" s="2" t="s">
        <v>3527</v>
      </c>
      <c r="AE21" s="2" t="s">
        <v>54</v>
      </c>
      <c r="AF21" s="2" t="s">
        <v>54</v>
      </c>
    </row>
    <row r="22" spans="1:32" x14ac:dyDescent="0.2">
      <c r="A22" s="2" t="s">
        <v>206</v>
      </c>
      <c r="B22" s="22">
        <v>7.5258455254990633</v>
      </c>
      <c r="C22" s="22">
        <v>7.6059878829961862</v>
      </c>
      <c r="D22" s="2" t="s">
        <v>112</v>
      </c>
      <c r="E22" s="2" t="s">
        <v>207</v>
      </c>
      <c r="F22" s="2" t="s">
        <v>3528</v>
      </c>
      <c r="G22" s="2" t="s">
        <v>208</v>
      </c>
      <c r="H22" s="2" t="s">
        <v>209</v>
      </c>
      <c r="I22" s="2" t="s">
        <v>112</v>
      </c>
      <c r="J22" s="22">
        <v>3.56</v>
      </c>
      <c r="K22" s="2" t="s">
        <v>210</v>
      </c>
      <c r="L22" s="2" t="s">
        <v>211</v>
      </c>
      <c r="M22" s="2" t="s">
        <v>54</v>
      </c>
      <c r="N22" s="2" t="s">
        <v>49</v>
      </c>
      <c r="O22" s="2" t="s">
        <v>50</v>
      </c>
      <c r="P22" s="2" t="s">
        <v>212</v>
      </c>
      <c r="Q22" s="2" t="s">
        <v>52</v>
      </c>
      <c r="R22" s="2" t="s">
        <v>119</v>
      </c>
      <c r="S22" s="2" t="s">
        <v>189</v>
      </c>
      <c r="T22" s="2" t="s">
        <v>174</v>
      </c>
      <c r="U22" s="2" t="s">
        <v>70</v>
      </c>
      <c r="V22" s="2" t="s">
        <v>71</v>
      </c>
      <c r="W22" s="22">
        <v>270133000</v>
      </c>
      <c r="X22" s="2" t="s">
        <v>213</v>
      </c>
      <c r="Y22" s="2" t="s">
        <v>214</v>
      </c>
      <c r="Z22" s="2" t="s">
        <v>60</v>
      </c>
      <c r="AA22" s="2" t="s">
        <v>61</v>
      </c>
      <c r="AB22" s="2" t="s">
        <v>213</v>
      </c>
      <c r="AC22" s="2" t="s">
        <v>215</v>
      </c>
      <c r="AD22" s="2" t="s">
        <v>3529</v>
      </c>
      <c r="AE22" s="22">
        <v>1.149</v>
      </c>
      <c r="AF22" s="22">
        <v>1.149</v>
      </c>
    </row>
    <row r="23" spans="1:32" x14ac:dyDescent="0.2">
      <c r="A23" s="2" t="s">
        <v>218</v>
      </c>
      <c r="B23" s="22">
        <v>6.1606592714170034</v>
      </c>
      <c r="C23" s="22">
        <v>6.4312759816896472</v>
      </c>
      <c r="D23" s="2" t="s">
        <v>222</v>
      </c>
      <c r="E23" s="2" t="s">
        <v>219</v>
      </c>
      <c r="F23" s="2" t="s">
        <v>3530</v>
      </c>
      <c r="G23" s="2" t="s">
        <v>220</v>
      </c>
      <c r="H23" s="2" t="s">
        <v>221</v>
      </c>
      <c r="I23" s="2" t="s">
        <v>222</v>
      </c>
      <c r="J23" s="22">
        <v>5.15</v>
      </c>
      <c r="K23" s="2" t="s">
        <v>223</v>
      </c>
      <c r="L23" s="2" t="s">
        <v>224</v>
      </c>
      <c r="M23" s="2" t="s">
        <v>54</v>
      </c>
      <c r="N23" s="2" t="s">
        <v>49</v>
      </c>
      <c r="O23" s="2" t="s">
        <v>50</v>
      </c>
      <c r="P23" s="2" t="s">
        <v>225</v>
      </c>
      <c r="Q23" s="2" t="s">
        <v>52</v>
      </c>
      <c r="R23" s="2" t="s">
        <v>53</v>
      </c>
      <c r="S23" s="2" t="s">
        <v>54</v>
      </c>
      <c r="T23" s="2" t="s">
        <v>55</v>
      </c>
      <c r="U23" s="2" t="s">
        <v>56</v>
      </c>
      <c r="V23" s="2" t="s">
        <v>57</v>
      </c>
      <c r="W23" s="22">
        <v>21858480</v>
      </c>
      <c r="X23" s="2" t="s">
        <v>134</v>
      </c>
      <c r="Y23" s="2" t="s">
        <v>226</v>
      </c>
      <c r="Z23" s="2" t="s">
        <v>60</v>
      </c>
      <c r="AA23" s="2" t="s">
        <v>61</v>
      </c>
      <c r="AB23" s="2" t="s">
        <v>227</v>
      </c>
      <c r="AC23" s="2" t="s">
        <v>228</v>
      </c>
      <c r="AD23" s="2" t="s">
        <v>3531</v>
      </c>
      <c r="AE23" s="2" t="s">
        <v>54</v>
      </c>
      <c r="AF23" s="2" t="s">
        <v>54</v>
      </c>
    </row>
    <row r="24" spans="1:32" x14ac:dyDescent="0.2">
      <c r="A24" s="2" t="s">
        <v>231</v>
      </c>
      <c r="B24" s="22">
        <v>2.0522691540206415</v>
      </c>
      <c r="C24" s="22">
        <v>2.1626617528473484</v>
      </c>
      <c r="D24" s="2" t="s">
        <v>184</v>
      </c>
      <c r="E24" s="2" t="s">
        <v>232</v>
      </c>
      <c r="F24" s="2" t="s">
        <v>3532</v>
      </c>
      <c r="G24" s="2" t="s">
        <v>233</v>
      </c>
      <c r="H24" s="2" t="s">
        <v>234</v>
      </c>
      <c r="I24" s="2" t="s">
        <v>184</v>
      </c>
      <c r="J24" s="22">
        <v>2.85</v>
      </c>
      <c r="K24" s="2" t="s">
        <v>235</v>
      </c>
      <c r="L24" s="2" t="s">
        <v>236</v>
      </c>
      <c r="M24" s="2" t="s">
        <v>54</v>
      </c>
      <c r="N24" s="2" t="s">
        <v>49</v>
      </c>
      <c r="O24" s="2" t="s">
        <v>50</v>
      </c>
      <c r="P24" s="2" t="s">
        <v>173</v>
      </c>
      <c r="Q24" s="2" t="s">
        <v>52</v>
      </c>
      <c r="R24" s="2" t="s">
        <v>53</v>
      </c>
      <c r="S24" s="2" t="s">
        <v>54</v>
      </c>
      <c r="T24" s="2" t="s">
        <v>55</v>
      </c>
      <c r="U24" s="2" t="s">
        <v>56</v>
      </c>
      <c r="V24" s="2" t="s">
        <v>57</v>
      </c>
      <c r="W24" s="22">
        <v>60665500</v>
      </c>
      <c r="X24" s="2" t="s">
        <v>120</v>
      </c>
      <c r="Y24" s="2" t="s">
        <v>237</v>
      </c>
      <c r="Z24" s="2" t="s">
        <v>60</v>
      </c>
      <c r="AA24" s="2" t="s">
        <v>121</v>
      </c>
      <c r="AB24" s="2" t="s">
        <v>122</v>
      </c>
      <c r="AC24" s="2" t="s">
        <v>122</v>
      </c>
      <c r="AD24" s="2" t="s">
        <v>3533</v>
      </c>
      <c r="AE24" s="2" t="s">
        <v>54</v>
      </c>
      <c r="AF24" s="2" t="s">
        <v>54</v>
      </c>
    </row>
    <row r="25" spans="1:32" x14ac:dyDescent="0.2">
      <c r="A25" s="2" t="s">
        <v>231</v>
      </c>
      <c r="B25" s="22">
        <v>2.1789887823326559</v>
      </c>
      <c r="C25" s="22">
        <v>2.2882219487700692</v>
      </c>
      <c r="D25" s="2" t="s">
        <v>184</v>
      </c>
      <c r="E25" s="2" t="s">
        <v>240</v>
      </c>
      <c r="F25" s="2" t="s">
        <v>3534</v>
      </c>
      <c r="G25" s="2" t="s">
        <v>241</v>
      </c>
      <c r="H25" s="2" t="s">
        <v>234</v>
      </c>
      <c r="I25" s="2" t="s">
        <v>184</v>
      </c>
      <c r="J25" s="22">
        <v>3</v>
      </c>
      <c r="K25" s="2" t="s">
        <v>235</v>
      </c>
      <c r="L25" s="2" t="s">
        <v>242</v>
      </c>
      <c r="M25" s="2" t="s">
        <v>54</v>
      </c>
      <c r="N25" s="2" t="s">
        <v>49</v>
      </c>
      <c r="O25" s="2" t="s">
        <v>50</v>
      </c>
      <c r="P25" s="2" t="s">
        <v>173</v>
      </c>
      <c r="Q25" s="2" t="s">
        <v>52</v>
      </c>
      <c r="R25" s="2" t="s">
        <v>53</v>
      </c>
      <c r="S25" s="2" t="s">
        <v>54</v>
      </c>
      <c r="T25" s="2" t="s">
        <v>55</v>
      </c>
      <c r="U25" s="2" t="s">
        <v>56</v>
      </c>
      <c r="V25" s="2" t="s">
        <v>57</v>
      </c>
      <c r="W25" s="22">
        <v>60665500</v>
      </c>
      <c r="X25" s="2" t="s">
        <v>120</v>
      </c>
      <c r="Y25" s="2" t="s">
        <v>237</v>
      </c>
      <c r="Z25" s="2" t="s">
        <v>60</v>
      </c>
      <c r="AA25" s="2" t="s">
        <v>121</v>
      </c>
      <c r="AB25" s="2" t="s">
        <v>122</v>
      </c>
      <c r="AC25" s="2" t="s">
        <v>122</v>
      </c>
      <c r="AD25" s="2" t="s">
        <v>3535</v>
      </c>
      <c r="AE25" s="2" t="s">
        <v>54</v>
      </c>
      <c r="AF25" s="2" t="s">
        <v>54</v>
      </c>
    </row>
    <row r="26" spans="1:32" x14ac:dyDescent="0.2">
      <c r="A26" s="2" t="s">
        <v>244</v>
      </c>
      <c r="B26" s="22">
        <v>2.3992568545494306</v>
      </c>
      <c r="C26" s="22">
        <v>2.4980858564744239</v>
      </c>
      <c r="D26" s="2" t="s">
        <v>184</v>
      </c>
      <c r="E26" s="2" t="s">
        <v>245</v>
      </c>
      <c r="F26" s="2" t="s">
        <v>3536</v>
      </c>
      <c r="G26" s="2" t="s">
        <v>246</v>
      </c>
      <c r="H26" s="2" t="s">
        <v>247</v>
      </c>
      <c r="I26" s="2" t="s">
        <v>184</v>
      </c>
      <c r="J26" s="22">
        <v>3.25</v>
      </c>
      <c r="K26" s="2" t="s">
        <v>248</v>
      </c>
      <c r="L26" s="2" t="s">
        <v>249</v>
      </c>
      <c r="M26" s="2" t="s">
        <v>54</v>
      </c>
      <c r="N26" s="2" t="s">
        <v>49</v>
      </c>
      <c r="O26" s="2" t="s">
        <v>50</v>
      </c>
      <c r="P26" s="2" t="s">
        <v>173</v>
      </c>
      <c r="Q26" s="2" t="s">
        <v>52</v>
      </c>
      <c r="R26" s="2" t="s">
        <v>53</v>
      </c>
      <c r="S26" s="2" t="s">
        <v>54</v>
      </c>
      <c r="T26" s="2" t="s">
        <v>55</v>
      </c>
      <c r="U26" s="2" t="s">
        <v>56</v>
      </c>
      <c r="V26" s="2" t="s">
        <v>57</v>
      </c>
      <c r="W26" s="22">
        <v>121575000</v>
      </c>
      <c r="X26" s="2" t="s">
        <v>134</v>
      </c>
      <c r="Y26" s="2" t="s">
        <v>135</v>
      </c>
      <c r="Z26" s="2" t="s">
        <v>60</v>
      </c>
      <c r="AA26" s="2" t="s">
        <v>61</v>
      </c>
      <c r="AB26" s="2" t="s">
        <v>136</v>
      </c>
      <c r="AC26" s="2" t="s">
        <v>137</v>
      </c>
      <c r="AD26" s="2" t="s">
        <v>3537</v>
      </c>
      <c r="AE26" s="2" t="s">
        <v>54</v>
      </c>
      <c r="AF26" s="2" t="s">
        <v>54</v>
      </c>
    </row>
    <row r="27" spans="1:32" x14ac:dyDescent="0.2">
      <c r="A27" s="2" t="s">
        <v>253</v>
      </c>
      <c r="B27" s="22">
        <v>6.2565632897793533</v>
      </c>
      <c r="C27" s="22">
        <v>6.3217767046839688</v>
      </c>
      <c r="D27" s="2" t="s">
        <v>257</v>
      </c>
      <c r="E27" s="2" t="s">
        <v>254</v>
      </c>
      <c r="F27" s="2" t="s">
        <v>3538</v>
      </c>
      <c r="G27" s="2" t="s">
        <v>255</v>
      </c>
      <c r="H27" s="2" t="s">
        <v>256</v>
      </c>
      <c r="I27" s="2" t="s">
        <v>257</v>
      </c>
      <c r="J27" s="22">
        <v>3.2</v>
      </c>
      <c r="K27" s="2" t="s">
        <v>259</v>
      </c>
      <c r="L27" s="2" t="s">
        <v>260</v>
      </c>
      <c r="M27" s="22">
        <v>3.1999999999999997</v>
      </c>
      <c r="N27" s="2" t="s">
        <v>115</v>
      </c>
      <c r="O27" s="2" t="s">
        <v>116</v>
      </c>
      <c r="P27" s="2" t="s">
        <v>261</v>
      </c>
      <c r="Q27" s="2" t="s">
        <v>52</v>
      </c>
      <c r="R27" s="2" t="s">
        <v>262</v>
      </c>
      <c r="S27" s="2" t="s">
        <v>263</v>
      </c>
      <c r="T27" s="2" t="s">
        <v>55</v>
      </c>
      <c r="U27" s="2" t="s">
        <v>56</v>
      </c>
      <c r="V27" s="2" t="s">
        <v>71</v>
      </c>
      <c r="W27" s="22">
        <v>500000000</v>
      </c>
      <c r="X27" s="2" t="s">
        <v>85</v>
      </c>
      <c r="Y27" s="2" t="s">
        <v>264</v>
      </c>
      <c r="Z27" s="2" t="s">
        <v>60</v>
      </c>
      <c r="AA27" s="2" t="s">
        <v>61</v>
      </c>
      <c r="AB27" s="2" t="s">
        <v>87</v>
      </c>
      <c r="AC27" s="2" t="s">
        <v>265</v>
      </c>
      <c r="AD27" s="2" t="s">
        <v>3539</v>
      </c>
      <c r="AE27" s="22">
        <v>3.1509999999999998</v>
      </c>
      <c r="AF27" s="22">
        <v>3.1999999999999997</v>
      </c>
    </row>
    <row r="28" spans="1:32" x14ac:dyDescent="0.2">
      <c r="A28" s="2" t="s">
        <v>253</v>
      </c>
      <c r="B28" s="22">
        <v>6.2240051159025844</v>
      </c>
      <c r="C28" s="22">
        <v>6.2715806116534427</v>
      </c>
      <c r="D28" s="2" t="s">
        <v>257</v>
      </c>
      <c r="E28" s="2" t="s">
        <v>268</v>
      </c>
      <c r="F28" s="2" t="s">
        <v>3540</v>
      </c>
      <c r="G28" s="2" t="s">
        <v>269</v>
      </c>
      <c r="H28" s="2" t="s">
        <v>256</v>
      </c>
      <c r="I28" s="2" t="s">
        <v>257</v>
      </c>
      <c r="J28" s="22">
        <v>3.2</v>
      </c>
      <c r="K28" s="2" t="s">
        <v>259</v>
      </c>
      <c r="L28" s="2" t="s">
        <v>260</v>
      </c>
      <c r="M28" s="22">
        <v>3.1999999999999997</v>
      </c>
      <c r="N28" s="2" t="s">
        <v>115</v>
      </c>
      <c r="O28" s="2" t="s">
        <v>116</v>
      </c>
      <c r="P28" s="2" t="s">
        <v>270</v>
      </c>
      <c r="Q28" s="2" t="s">
        <v>52</v>
      </c>
      <c r="R28" s="2" t="s">
        <v>262</v>
      </c>
      <c r="S28" s="2" t="s">
        <v>263</v>
      </c>
      <c r="T28" s="2" t="s">
        <v>55</v>
      </c>
      <c r="U28" s="2" t="s">
        <v>56</v>
      </c>
      <c r="V28" s="2" t="s">
        <v>71</v>
      </c>
      <c r="W28" s="22">
        <v>500000000</v>
      </c>
      <c r="X28" s="2" t="s">
        <v>85</v>
      </c>
      <c r="Y28" s="2" t="s">
        <v>264</v>
      </c>
      <c r="Z28" s="2" t="s">
        <v>60</v>
      </c>
      <c r="AA28" s="2" t="s">
        <v>61</v>
      </c>
      <c r="AB28" s="2" t="s">
        <v>87</v>
      </c>
      <c r="AC28" s="2" t="s">
        <v>265</v>
      </c>
      <c r="AD28" s="2" t="s">
        <v>3541</v>
      </c>
      <c r="AE28" s="22">
        <v>3.1549999999999998</v>
      </c>
      <c r="AF28" s="22">
        <v>3.1999999999999997</v>
      </c>
    </row>
    <row r="29" spans="1:32" x14ac:dyDescent="0.2">
      <c r="A29" s="2" t="s">
        <v>272</v>
      </c>
      <c r="B29" s="2" t="s">
        <v>54</v>
      </c>
      <c r="C29" s="2" t="s">
        <v>54</v>
      </c>
      <c r="D29" s="2" t="s">
        <v>45</v>
      </c>
      <c r="E29" s="2" t="s">
        <v>273</v>
      </c>
      <c r="F29" s="2" t="s">
        <v>173</v>
      </c>
      <c r="G29" s="2" t="s">
        <v>274</v>
      </c>
      <c r="H29" s="2" t="s">
        <v>275</v>
      </c>
      <c r="I29" s="2" t="s">
        <v>45</v>
      </c>
      <c r="J29" s="22">
        <v>0</v>
      </c>
      <c r="K29" s="2" t="s">
        <v>276</v>
      </c>
      <c r="L29" s="2" t="s">
        <v>277</v>
      </c>
      <c r="M29" s="2" t="s">
        <v>54</v>
      </c>
      <c r="N29" s="2" t="s">
        <v>49</v>
      </c>
      <c r="O29" s="2" t="s">
        <v>50</v>
      </c>
      <c r="P29" s="2" t="s">
        <v>84</v>
      </c>
      <c r="Q29" s="2" t="s">
        <v>52</v>
      </c>
      <c r="R29" s="2" t="s">
        <v>53</v>
      </c>
      <c r="S29" s="2" t="s">
        <v>54</v>
      </c>
      <c r="T29" s="2" t="s">
        <v>55</v>
      </c>
      <c r="U29" s="2" t="s">
        <v>70</v>
      </c>
      <c r="V29" s="2" t="s">
        <v>71</v>
      </c>
      <c r="W29" s="22">
        <v>844921000</v>
      </c>
      <c r="X29" s="2" t="s">
        <v>58</v>
      </c>
      <c r="Y29" s="2" t="s">
        <v>278</v>
      </c>
      <c r="Z29" s="2" t="s">
        <v>60</v>
      </c>
      <c r="AA29" s="2" t="s">
        <v>61</v>
      </c>
      <c r="AB29" s="2" t="s">
        <v>279</v>
      </c>
      <c r="AC29" s="2" t="s">
        <v>280</v>
      </c>
      <c r="AD29" s="2" t="s">
        <v>3542</v>
      </c>
      <c r="AE29" s="2" t="s">
        <v>54</v>
      </c>
      <c r="AF29" s="2" t="s">
        <v>54</v>
      </c>
    </row>
    <row r="30" spans="1:32" x14ac:dyDescent="0.2">
      <c r="A30" s="2" t="s">
        <v>272</v>
      </c>
      <c r="B30" s="2" t="s">
        <v>54</v>
      </c>
      <c r="C30" s="2" t="s">
        <v>54</v>
      </c>
      <c r="D30" s="2" t="s">
        <v>45</v>
      </c>
      <c r="E30" s="2" t="s">
        <v>283</v>
      </c>
      <c r="F30" s="2" t="s">
        <v>173</v>
      </c>
      <c r="G30" s="2" t="s">
        <v>284</v>
      </c>
      <c r="H30" s="2" t="s">
        <v>275</v>
      </c>
      <c r="I30" s="2" t="s">
        <v>45</v>
      </c>
      <c r="J30" s="22">
        <v>0</v>
      </c>
      <c r="K30" s="2" t="s">
        <v>276</v>
      </c>
      <c r="L30" s="2" t="s">
        <v>285</v>
      </c>
      <c r="M30" s="2" t="s">
        <v>54</v>
      </c>
      <c r="N30" s="2" t="s">
        <v>49</v>
      </c>
      <c r="O30" s="2" t="s">
        <v>50</v>
      </c>
      <c r="P30" s="2" t="s">
        <v>94</v>
      </c>
      <c r="Q30" s="2" t="s">
        <v>52</v>
      </c>
      <c r="R30" s="2" t="s">
        <v>53</v>
      </c>
      <c r="S30" s="2" t="s">
        <v>54</v>
      </c>
      <c r="T30" s="2" t="s">
        <v>55</v>
      </c>
      <c r="U30" s="2" t="s">
        <v>70</v>
      </c>
      <c r="V30" s="2" t="s">
        <v>71</v>
      </c>
      <c r="W30" s="22">
        <v>844921000</v>
      </c>
      <c r="X30" s="2" t="s">
        <v>58</v>
      </c>
      <c r="Y30" s="2" t="s">
        <v>278</v>
      </c>
      <c r="Z30" s="2" t="s">
        <v>60</v>
      </c>
      <c r="AA30" s="2" t="s">
        <v>61</v>
      </c>
      <c r="AB30" s="2" t="s">
        <v>279</v>
      </c>
      <c r="AC30" s="2" t="s">
        <v>280</v>
      </c>
      <c r="AD30" s="2" t="s">
        <v>3543</v>
      </c>
      <c r="AE30" s="2" t="s">
        <v>54</v>
      </c>
      <c r="AF30" s="2" t="s">
        <v>54</v>
      </c>
    </row>
    <row r="31" spans="1:32" x14ac:dyDescent="0.2">
      <c r="A31" s="2" t="s">
        <v>272</v>
      </c>
      <c r="B31" s="2" t="s">
        <v>54</v>
      </c>
      <c r="C31" s="2" t="s">
        <v>54</v>
      </c>
      <c r="D31" s="2" t="s">
        <v>45</v>
      </c>
      <c r="E31" s="2" t="s">
        <v>287</v>
      </c>
      <c r="F31" s="2" t="s">
        <v>173</v>
      </c>
      <c r="G31" s="2" t="s">
        <v>288</v>
      </c>
      <c r="H31" s="2" t="s">
        <v>275</v>
      </c>
      <c r="I31" s="2" t="s">
        <v>45</v>
      </c>
      <c r="J31" s="22">
        <v>0</v>
      </c>
      <c r="K31" s="2" t="s">
        <v>276</v>
      </c>
      <c r="L31" s="2" t="s">
        <v>289</v>
      </c>
      <c r="M31" s="2" t="s">
        <v>54</v>
      </c>
      <c r="N31" s="2" t="s">
        <v>49</v>
      </c>
      <c r="O31" s="2" t="s">
        <v>50</v>
      </c>
      <c r="P31" s="2" t="s">
        <v>98</v>
      </c>
      <c r="Q31" s="2" t="s">
        <v>52</v>
      </c>
      <c r="R31" s="2" t="s">
        <v>53</v>
      </c>
      <c r="S31" s="2" t="s">
        <v>54</v>
      </c>
      <c r="T31" s="2" t="s">
        <v>55</v>
      </c>
      <c r="U31" s="2" t="s">
        <v>70</v>
      </c>
      <c r="V31" s="2" t="s">
        <v>71</v>
      </c>
      <c r="W31" s="22">
        <v>844921000</v>
      </c>
      <c r="X31" s="2" t="s">
        <v>58</v>
      </c>
      <c r="Y31" s="2" t="s">
        <v>278</v>
      </c>
      <c r="Z31" s="2" t="s">
        <v>60</v>
      </c>
      <c r="AA31" s="2" t="s">
        <v>61</v>
      </c>
      <c r="AB31" s="2" t="s">
        <v>279</v>
      </c>
      <c r="AC31" s="2" t="s">
        <v>280</v>
      </c>
      <c r="AD31" s="2" t="s">
        <v>3544</v>
      </c>
      <c r="AE31" s="2" t="s">
        <v>54</v>
      </c>
      <c r="AF31" s="2" t="s">
        <v>54</v>
      </c>
    </row>
    <row r="32" spans="1:32" x14ac:dyDescent="0.2">
      <c r="A32" s="2" t="s">
        <v>290</v>
      </c>
      <c r="B32" s="22">
        <v>7.9805850575880317</v>
      </c>
      <c r="C32" s="22">
        <v>8.0436425021272111</v>
      </c>
      <c r="D32" s="2" t="s">
        <v>169</v>
      </c>
      <c r="E32" s="2" t="s">
        <v>291</v>
      </c>
      <c r="F32" s="2" t="s">
        <v>3545</v>
      </c>
      <c r="G32" s="2" t="s">
        <v>292</v>
      </c>
      <c r="H32" s="2" t="s">
        <v>293</v>
      </c>
      <c r="I32" s="2" t="s">
        <v>169</v>
      </c>
      <c r="J32" s="22">
        <v>5.2</v>
      </c>
      <c r="K32" s="2" t="s">
        <v>294</v>
      </c>
      <c r="L32" s="2" t="s">
        <v>295</v>
      </c>
      <c r="M32" s="22">
        <v>5.2</v>
      </c>
      <c r="N32" s="2" t="s">
        <v>115</v>
      </c>
      <c r="O32" s="2" t="s">
        <v>116</v>
      </c>
      <c r="P32" s="2" t="s">
        <v>261</v>
      </c>
      <c r="Q32" s="2" t="s">
        <v>52</v>
      </c>
      <c r="R32" s="2" t="s">
        <v>262</v>
      </c>
      <c r="S32" s="2" t="s">
        <v>296</v>
      </c>
      <c r="T32" s="2" t="s">
        <v>55</v>
      </c>
      <c r="U32" s="2" t="s">
        <v>56</v>
      </c>
      <c r="V32" s="2" t="s">
        <v>71</v>
      </c>
      <c r="W32" s="22">
        <v>625000000</v>
      </c>
      <c r="X32" s="2" t="s">
        <v>58</v>
      </c>
      <c r="Y32" s="2" t="s">
        <v>278</v>
      </c>
      <c r="Z32" s="2" t="s">
        <v>60</v>
      </c>
      <c r="AA32" s="2" t="s">
        <v>61</v>
      </c>
      <c r="AB32" s="2" t="s">
        <v>279</v>
      </c>
      <c r="AC32" s="2" t="s">
        <v>280</v>
      </c>
      <c r="AD32" s="2" t="s">
        <v>3546</v>
      </c>
      <c r="AE32" s="22">
        <v>5.0640000000000001</v>
      </c>
      <c r="AF32" s="22">
        <v>5.2</v>
      </c>
    </row>
    <row r="33" spans="1:32" x14ac:dyDescent="0.2">
      <c r="A33" s="2" t="s">
        <v>290</v>
      </c>
      <c r="B33" s="22">
        <v>7.9907395081545003</v>
      </c>
      <c r="C33" s="22">
        <v>8.0565848884281106</v>
      </c>
      <c r="D33" s="2" t="s">
        <v>169</v>
      </c>
      <c r="E33" s="2" t="s">
        <v>299</v>
      </c>
      <c r="F33" s="2" t="s">
        <v>3547</v>
      </c>
      <c r="G33" s="2" t="s">
        <v>300</v>
      </c>
      <c r="H33" s="2" t="s">
        <v>293</v>
      </c>
      <c r="I33" s="2" t="s">
        <v>169</v>
      </c>
      <c r="J33" s="22">
        <v>5.2</v>
      </c>
      <c r="K33" s="2" t="s">
        <v>294</v>
      </c>
      <c r="L33" s="2" t="s">
        <v>295</v>
      </c>
      <c r="M33" s="22">
        <v>5.2</v>
      </c>
      <c r="N33" s="2" t="s">
        <v>115</v>
      </c>
      <c r="O33" s="2" t="s">
        <v>116</v>
      </c>
      <c r="P33" s="2" t="s">
        <v>270</v>
      </c>
      <c r="Q33" s="2" t="s">
        <v>52</v>
      </c>
      <c r="R33" s="2" t="s">
        <v>262</v>
      </c>
      <c r="S33" s="2" t="s">
        <v>296</v>
      </c>
      <c r="T33" s="2" t="s">
        <v>55</v>
      </c>
      <c r="U33" s="2" t="s">
        <v>56</v>
      </c>
      <c r="V33" s="2" t="s">
        <v>71</v>
      </c>
      <c r="W33" s="22">
        <v>625000000</v>
      </c>
      <c r="X33" s="2" t="s">
        <v>58</v>
      </c>
      <c r="Y33" s="2" t="s">
        <v>278</v>
      </c>
      <c r="Z33" s="2" t="s">
        <v>60</v>
      </c>
      <c r="AA33" s="2" t="s">
        <v>61</v>
      </c>
      <c r="AB33" s="2" t="s">
        <v>279</v>
      </c>
      <c r="AC33" s="2" t="s">
        <v>280</v>
      </c>
      <c r="AD33" s="2" t="s">
        <v>3548</v>
      </c>
      <c r="AE33" s="22">
        <v>5.0339999999999998</v>
      </c>
      <c r="AF33" s="22">
        <v>5.2</v>
      </c>
    </row>
    <row r="34" spans="1:32" x14ac:dyDescent="0.2">
      <c r="A34" s="2" t="s">
        <v>302</v>
      </c>
      <c r="B34" s="2" t="s">
        <v>54</v>
      </c>
      <c r="C34" s="2" t="s">
        <v>54</v>
      </c>
      <c r="D34" s="2" t="s">
        <v>45</v>
      </c>
      <c r="E34" s="2" t="s">
        <v>303</v>
      </c>
      <c r="F34" s="2" t="s">
        <v>173</v>
      </c>
      <c r="G34" s="2" t="s">
        <v>304</v>
      </c>
      <c r="H34" s="2" t="s">
        <v>305</v>
      </c>
      <c r="I34" s="2" t="s">
        <v>45</v>
      </c>
      <c r="J34" s="22">
        <v>0</v>
      </c>
      <c r="K34" s="2" t="s">
        <v>306</v>
      </c>
      <c r="L34" s="2" t="s">
        <v>307</v>
      </c>
      <c r="M34" s="2" t="s">
        <v>54</v>
      </c>
      <c r="N34" s="2" t="s">
        <v>49</v>
      </c>
      <c r="O34" s="2" t="s">
        <v>50</v>
      </c>
      <c r="P34" s="2" t="s">
        <v>51</v>
      </c>
      <c r="Q34" s="2" t="s">
        <v>52</v>
      </c>
      <c r="R34" s="2" t="s">
        <v>53</v>
      </c>
      <c r="S34" s="2" t="s">
        <v>54</v>
      </c>
      <c r="T34" s="2" t="s">
        <v>55</v>
      </c>
      <c r="U34" s="2" t="s">
        <v>56</v>
      </c>
      <c r="V34" s="2" t="s">
        <v>57</v>
      </c>
      <c r="W34" s="22">
        <v>359820000</v>
      </c>
      <c r="X34" s="2" t="s">
        <v>308</v>
      </c>
      <c r="Y34" s="2" t="s">
        <v>309</v>
      </c>
      <c r="Z34" s="2" t="s">
        <v>60</v>
      </c>
      <c r="AA34" s="2" t="s">
        <v>61</v>
      </c>
      <c r="AB34" s="2" t="s">
        <v>136</v>
      </c>
      <c r="AC34" s="2" t="s">
        <v>310</v>
      </c>
      <c r="AD34" s="2" t="s">
        <v>3549</v>
      </c>
      <c r="AE34" s="2" t="s">
        <v>54</v>
      </c>
      <c r="AF34" s="2" t="s">
        <v>54</v>
      </c>
    </row>
    <row r="35" spans="1:32" x14ac:dyDescent="0.2">
      <c r="A35" s="2" t="s">
        <v>302</v>
      </c>
      <c r="B35" s="2" t="s">
        <v>54</v>
      </c>
      <c r="C35" s="2" t="s">
        <v>54</v>
      </c>
      <c r="D35" s="2" t="s">
        <v>45</v>
      </c>
      <c r="E35" s="2" t="s">
        <v>313</v>
      </c>
      <c r="F35" s="2" t="s">
        <v>173</v>
      </c>
      <c r="G35" s="2" t="s">
        <v>314</v>
      </c>
      <c r="H35" s="2" t="s">
        <v>305</v>
      </c>
      <c r="I35" s="2" t="s">
        <v>45</v>
      </c>
      <c r="J35" s="22">
        <v>0</v>
      </c>
      <c r="K35" s="2" t="s">
        <v>306</v>
      </c>
      <c r="L35" s="2" t="s">
        <v>315</v>
      </c>
      <c r="M35" s="2" t="s">
        <v>54</v>
      </c>
      <c r="N35" s="2" t="s">
        <v>49</v>
      </c>
      <c r="O35" s="2" t="s">
        <v>50</v>
      </c>
      <c r="P35" s="2" t="s">
        <v>69</v>
      </c>
      <c r="Q35" s="2" t="s">
        <v>52</v>
      </c>
      <c r="R35" s="2" t="s">
        <v>53</v>
      </c>
      <c r="S35" s="2" t="s">
        <v>54</v>
      </c>
      <c r="T35" s="2" t="s">
        <v>55</v>
      </c>
      <c r="U35" s="2" t="s">
        <v>70</v>
      </c>
      <c r="V35" s="2" t="s">
        <v>71</v>
      </c>
      <c r="W35" s="22">
        <v>359820000</v>
      </c>
      <c r="X35" s="2" t="s">
        <v>308</v>
      </c>
      <c r="Y35" s="2" t="s">
        <v>309</v>
      </c>
      <c r="Z35" s="2" t="s">
        <v>60</v>
      </c>
      <c r="AA35" s="2" t="s">
        <v>61</v>
      </c>
      <c r="AB35" s="2" t="s">
        <v>136</v>
      </c>
      <c r="AC35" s="2" t="s">
        <v>310</v>
      </c>
      <c r="AD35" s="2" t="s">
        <v>3550</v>
      </c>
      <c r="AE35" s="2" t="s">
        <v>54</v>
      </c>
      <c r="AF35" s="2" t="s">
        <v>54</v>
      </c>
    </row>
    <row r="36" spans="1:32" x14ac:dyDescent="0.2">
      <c r="A36" s="2" t="s">
        <v>302</v>
      </c>
      <c r="B36" s="2" t="s">
        <v>54</v>
      </c>
      <c r="C36" s="2" t="s">
        <v>54</v>
      </c>
      <c r="D36" s="2" t="s">
        <v>45</v>
      </c>
      <c r="E36" s="2" t="s">
        <v>317</v>
      </c>
      <c r="F36" s="2" t="s">
        <v>173</v>
      </c>
      <c r="G36" s="2" t="s">
        <v>318</v>
      </c>
      <c r="H36" s="2" t="s">
        <v>305</v>
      </c>
      <c r="I36" s="2" t="s">
        <v>45</v>
      </c>
      <c r="J36" s="22">
        <v>0</v>
      </c>
      <c r="K36" s="2" t="s">
        <v>306</v>
      </c>
      <c r="L36" s="2" t="s">
        <v>319</v>
      </c>
      <c r="M36" s="2" t="s">
        <v>54</v>
      </c>
      <c r="N36" s="2" t="s">
        <v>49</v>
      </c>
      <c r="O36" s="2" t="s">
        <v>50</v>
      </c>
      <c r="P36" s="2" t="s">
        <v>76</v>
      </c>
      <c r="Q36" s="2" t="s">
        <v>52</v>
      </c>
      <c r="R36" s="2" t="s">
        <v>53</v>
      </c>
      <c r="S36" s="2" t="s">
        <v>54</v>
      </c>
      <c r="T36" s="2" t="s">
        <v>55</v>
      </c>
      <c r="U36" s="2" t="s">
        <v>70</v>
      </c>
      <c r="V36" s="2" t="s">
        <v>71</v>
      </c>
      <c r="W36" s="22">
        <v>359820000</v>
      </c>
      <c r="X36" s="2" t="s">
        <v>308</v>
      </c>
      <c r="Y36" s="2" t="s">
        <v>309</v>
      </c>
      <c r="Z36" s="2" t="s">
        <v>60</v>
      </c>
      <c r="AA36" s="2" t="s">
        <v>61</v>
      </c>
      <c r="AB36" s="2" t="s">
        <v>136</v>
      </c>
      <c r="AC36" s="2" t="s">
        <v>310</v>
      </c>
      <c r="AD36" s="2" t="s">
        <v>3551</v>
      </c>
      <c r="AE36" s="2" t="s">
        <v>54</v>
      </c>
      <c r="AF36" s="2" t="s">
        <v>54</v>
      </c>
    </row>
    <row r="37" spans="1:32" x14ac:dyDescent="0.2">
      <c r="A37" s="2" t="s">
        <v>302</v>
      </c>
      <c r="B37" s="2" t="s">
        <v>54</v>
      </c>
      <c r="C37" s="2" t="s">
        <v>54</v>
      </c>
      <c r="D37" s="2" t="s">
        <v>45</v>
      </c>
      <c r="E37" s="2" t="s">
        <v>320</v>
      </c>
      <c r="F37" s="2" t="s">
        <v>173</v>
      </c>
      <c r="G37" s="2" t="s">
        <v>321</v>
      </c>
      <c r="H37" s="2" t="s">
        <v>305</v>
      </c>
      <c r="I37" s="2" t="s">
        <v>45</v>
      </c>
      <c r="J37" s="22">
        <v>0</v>
      </c>
      <c r="K37" s="2" t="s">
        <v>306</v>
      </c>
      <c r="L37" s="2" t="s">
        <v>322</v>
      </c>
      <c r="M37" s="2" t="s">
        <v>54</v>
      </c>
      <c r="N37" s="2" t="s">
        <v>49</v>
      </c>
      <c r="O37" s="2" t="s">
        <v>50</v>
      </c>
      <c r="P37" s="2" t="s">
        <v>144</v>
      </c>
      <c r="Q37" s="2" t="s">
        <v>52</v>
      </c>
      <c r="R37" s="2" t="s">
        <v>53</v>
      </c>
      <c r="S37" s="2" t="s">
        <v>54</v>
      </c>
      <c r="T37" s="2" t="s">
        <v>55</v>
      </c>
      <c r="U37" s="2" t="s">
        <v>70</v>
      </c>
      <c r="V37" s="2" t="s">
        <v>71</v>
      </c>
      <c r="W37" s="22">
        <v>359820000</v>
      </c>
      <c r="X37" s="2" t="s">
        <v>308</v>
      </c>
      <c r="Y37" s="2" t="s">
        <v>309</v>
      </c>
      <c r="Z37" s="2" t="s">
        <v>60</v>
      </c>
      <c r="AA37" s="2" t="s">
        <v>61</v>
      </c>
      <c r="AB37" s="2" t="s">
        <v>136</v>
      </c>
      <c r="AC37" s="2" t="s">
        <v>310</v>
      </c>
      <c r="AD37" s="2" t="s">
        <v>3552</v>
      </c>
      <c r="AE37" s="2" t="s">
        <v>54</v>
      </c>
      <c r="AF37" s="2" t="s">
        <v>54</v>
      </c>
    </row>
    <row r="38" spans="1:32" x14ac:dyDescent="0.2">
      <c r="A38" s="2" t="s">
        <v>323</v>
      </c>
      <c r="B38" s="22">
        <v>8.0124961459503616</v>
      </c>
      <c r="C38" s="22">
        <v>8.0754345979910482</v>
      </c>
      <c r="D38" s="2" t="s">
        <v>169</v>
      </c>
      <c r="E38" s="2" t="s">
        <v>324</v>
      </c>
      <c r="F38" s="2" t="s">
        <v>3553</v>
      </c>
      <c r="G38" s="2" t="s">
        <v>325</v>
      </c>
      <c r="H38" s="2" t="s">
        <v>326</v>
      </c>
      <c r="I38" s="2" t="s">
        <v>169</v>
      </c>
      <c r="J38" s="22">
        <v>5.25</v>
      </c>
      <c r="K38" s="2" t="s">
        <v>327</v>
      </c>
      <c r="L38" s="2" t="s">
        <v>328</v>
      </c>
      <c r="M38" s="22">
        <v>5.25</v>
      </c>
      <c r="N38" s="2" t="s">
        <v>115</v>
      </c>
      <c r="O38" s="2" t="s">
        <v>116</v>
      </c>
      <c r="P38" s="2" t="s">
        <v>261</v>
      </c>
      <c r="Q38" s="2" t="s">
        <v>52</v>
      </c>
      <c r="R38" s="2" t="s">
        <v>262</v>
      </c>
      <c r="S38" s="2" t="s">
        <v>296</v>
      </c>
      <c r="T38" s="2" t="s">
        <v>55</v>
      </c>
      <c r="U38" s="2" t="s">
        <v>56</v>
      </c>
      <c r="V38" s="2" t="s">
        <v>71</v>
      </c>
      <c r="W38" s="22">
        <v>800000000</v>
      </c>
      <c r="X38" s="2" t="s">
        <v>134</v>
      </c>
      <c r="Y38" s="2" t="s">
        <v>329</v>
      </c>
      <c r="Z38" s="2" t="s">
        <v>60</v>
      </c>
      <c r="AA38" s="2" t="s">
        <v>61</v>
      </c>
      <c r="AB38" s="2" t="s">
        <v>279</v>
      </c>
      <c r="AC38" s="2" t="s">
        <v>280</v>
      </c>
      <c r="AD38" s="2" t="s">
        <v>3554</v>
      </c>
      <c r="AE38" s="22">
        <v>5.2119999999999997</v>
      </c>
      <c r="AF38" s="22">
        <v>5.25</v>
      </c>
    </row>
    <row r="39" spans="1:32" x14ac:dyDescent="0.2">
      <c r="A39" s="2" t="s">
        <v>323</v>
      </c>
      <c r="B39" s="22">
        <v>7.9964055925632973</v>
      </c>
      <c r="C39" s="22">
        <v>8.0781626106468352</v>
      </c>
      <c r="D39" s="2" t="s">
        <v>169</v>
      </c>
      <c r="E39" s="2" t="s">
        <v>332</v>
      </c>
      <c r="F39" s="2" t="s">
        <v>3555</v>
      </c>
      <c r="G39" s="2" t="s">
        <v>333</v>
      </c>
      <c r="H39" s="2" t="s">
        <v>326</v>
      </c>
      <c r="I39" s="2" t="s">
        <v>169</v>
      </c>
      <c r="J39" s="22">
        <v>5.25</v>
      </c>
      <c r="K39" s="2" t="s">
        <v>327</v>
      </c>
      <c r="L39" s="2" t="s">
        <v>328</v>
      </c>
      <c r="M39" s="22">
        <v>5.25</v>
      </c>
      <c r="N39" s="2" t="s">
        <v>115</v>
      </c>
      <c r="O39" s="2" t="s">
        <v>116</v>
      </c>
      <c r="P39" s="2" t="s">
        <v>270</v>
      </c>
      <c r="Q39" s="2" t="s">
        <v>52</v>
      </c>
      <c r="R39" s="2" t="s">
        <v>262</v>
      </c>
      <c r="S39" s="2" t="s">
        <v>296</v>
      </c>
      <c r="T39" s="2" t="s">
        <v>55</v>
      </c>
      <c r="U39" s="2" t="s">
        <v>56</v>
      </c>
      <c r="V39" s="2" t="s">
        <v>71</v>
      </c>
      <c r="W39" s="22">
        <v>800000000</v>
      </c>
      <c r="X39" s="2" t="s">
        <v>134</v>
      </c>
      <c r="Y39" s="2" t="s">
        <v>329</v>
      </c>
      <c r="Z39" s="2" t="s">
        <v>60</v>
      </c>
      <c r="AA39" s="2" t="s">
        <v>61</v>
      </c>
      <c r="AB39" s="2" t="s">
        <v>279</v>
      </c>
      <c r="AC39" s="2" t="s">
        <v>280</v>
      </c>
      <c r="AD39" s="2" t="s">
        <v>3556</v>
      </c>
      <c r="AE39" s="22">
        <v>5.1870000000000003</v>
      </c>
      <c r="AF39" s="22">
        <v>5.25</v>
      </c>
    </row>
    <row r="40" spans="1:32" x14ac:dyDescent="0.2">
      <c r="A40" s="2" t="s">
        <v>335</v>
      </c>
      <c r="B40" s="22">
        <v>8.8281054665079832</v>
      </c>
      <c r="C40" s="22">
        <v>8.8838811655131895</v>
      </c>
      <c r="D40" s="2" t="s">
        <v>45</v>
      </c>
      <c r="E40" s="2" t="s">
        <v>336</v>
      </c>
      <c r="F40" s="2" t="s">
        <v>3557</v>
      </c>
      <c r="G40" s="2" t="s">
        <v>337</v>
      </c>
      <c r="H40" s="2" t="s">
        <v>338</v>
      </c>
      <c r="I40" s="2" t="s">
        <v>45</v>
      </c>
      <c r="J40" s="22">
        <v>4</v>
      </c>
      <c r="K40" s="2" t="s">
        <v>339</v>
      </c>
      <c r="L40" s="2" t="s">
        <v>173</v>
      </c>
      <c r="M40" s="22">
        <v>4</v>
      </c>
      <c r="N40" s="2" t="s">
        <v>340</v>
      </c>
      <c r="O40" s="2" t="s">
        <v>116</v>
      </c>
      <c r="P40" s="2" t="s">
        <v>173</v>
      </c>
      <c r="Q40" s="2" t="s">
        <v>341</v>
      </c>
      <c r="R40" s="2" t="s">
        <v>53</v>
      </c>
      <c r="S40" s="2" t="s">
        <v>54</v>
      </c>
      <c r="T40" s="2" t="s">
        <v>55</v>
      </c>
      <c r="U40" s="2" t="s">
        <v>342</v>
      </c>
      <c r="V40" s="2" t="s">
        <v>57</v>
      </c>
      <c r="W40" s="22">
        <v>182193000</v>
      </c>
      <c r="X40" s="2" t="s">
        <v>58</v>
      </c>
      <c r="Y40" s="2" t="s">
        <v>59</v>
      </c>
      <c r="Z40" s="2" t="s">
        <v>60</v>
      </c>
      <c r="AA40" s="2" t="s">
        <v>61</v>
      </c>
      <c r="AB40" s="2" t="s">
        <v>176</v>
      </c>
      <c r="AC40" s="2" t="s">
        <v>191</v>
      </c>
      <c r="AD40" s="2" t="s">
        <v>3558</v>
      </c>
      <c r="AE40" s="22">
        <v>8.4369999999999994</v>
      </c>
      <c r="AF40" s="22">
        <v>4</v>
      </c>
    </row>
    <row r="41" spans="1:32" x14ac:dyDescent="0.2">
      <c r="A41" s="2" t="s">
        <v>344</v>
      </c>
      <c r="B41" s="22">
        <v>6.3013254423038116</v>
      </c>
      <c r="C41" s="22">
        <v>6.3639045801893621</v>
      </c>
      <c r="D41" s="2" t="s">
        <v>184</v>
      </c>
      <c r="E41" s="2" t="s">
        <v>345</v>
      </c>
      <c r="F41" s="2" t="s">
        <v>3559</v>
      </c>
      <c r="G41" s="2" t="s">
        <v>346</v>
      </c>
      <c r="H41" s="2" t="s">
        <v>347</v>
      </c>
      <c r="I41" s="2" t="s">
        <v>184</v>
      </c>
      <c r="J41" s="22">
        <v>3.75</v>
      </c>
      <c r="K41" s="2" t="s">
        <v>348</v>
      </c>
      <c r="L41" s="2" t="s">
        <v>349</v>
      </c>
      <c r="M41" s="22">
        <v>3.75</v>
      </c>
      <c r="N41" s="2" t="s">
        <v>115</v>
      </c>
      <c r="O41" s="2" t="s">
        <v>116</v>
      </c>
      <c r="P41" s="2" t="s">
        <v>261</v>
      </c>
      <c r="Q41" s="2" t="s">
        <v>52</v>
      </c>
      <c r="R41" s="2" t="s">
        <v>262</v>
      </c>
      <c r="S41" s="2" t="s">
        <v>350</v>
      </c>
      <c r="T41" s="2" t="s">
        <v>55</v>
      </c>
      <c r="U41" s="2" t="s">
        <v>56</v>
      </c>
      <c r="V41" s="2" t="s">
        <v>71</v>
      </c>
      <c r="W41" s="22">
        <v>500000000</v>
      </c>
      <c r="X41" s="2" t="s">
        <v>85</v>
      </c>
      <c r="Y41" s="2" t="s">
        <v>86</v>
      </c>
      <c r="Z41" s="2" t="s">
        <v>60</v>
      </c>
      <c r="AA41" s="2" t="s">
        <v>61</v>
      </c>
      <c r="AB41" s="2" t="s">
        <v>87</v>
      </c>
      <c r="AC41" s="2" t="s">
        <v>88</v>
      </c>
      <c r="AD41" s="2" t="s">
        <v>3560</v>
      </c>
      <c r="AE41" s="22">
        <v>3.6859999999999999</v>
      </c>
      <c r="AF41" s="22">
        <v>3.75</v>
      </c>
    </row>
    <row r="42" spans="1:32" x14ac:dyDescent="0.2">
      <c r="A42" s="2" t="s">
        <v>344</v>
      </c>
      <c r="B42" s="22">
        <v>6.2350931747864875</v>
      </c>
      <c r="C42" s="22">
        <v>6.2958109153745889</v>
      </c>
      <c r="D42" s="2" t="s">
        <v>184</v>
      </c>
      <c r="E42" s="2" t="s">
        <v>353</v>
      </c>
      <c r="F42" s="2" t="s">
        <v>3561</v>
      </c>
      <c r="G42" s="2" t="s">
        <v>354</v>
      </c>
      <c r="H42" s="2" t="s">
        <v>347</v>
      </c>
      <c r="I42" s="2" t="s">
        <v>184</v>
      </c>
      <c r="J42" s="22">
        <v>3.75</v>
      </c>
      <c r="K42" s="2" t="s">
        <v>348</v>
      </c>
      <c r="L42" s="2" t="s">
        <v>349</v>
      </c>
      <c r="M42" s="22">
        <v>3.75</v>
      </c>
      <c r="N42" s="2" t="s">
        <v>115</v>
      </c>
      <c r="O42" s="2" t="s">
        <v>116</v>
      </c>
      <c r="P42" s="2" t="s">
        <v>270</v>
      </c>
      <c r="Q42" s="2" t="s">
        <v>52</v>
      </c>
      <c r="R42" s="2" t="s">
        <v>262</v>
      </c>
      <c r="S42" s="2" t="s">
        <v>350</v>
      </c>
      <c r="T42" s="2" t="s">
        <v>55</v>
      </c>
      <c r="U42" s="2" t="s">
        <v>56</v>
      </c>
      <c r="V42" s="2" t="s">
        <v>71</v>
      </c>
      <c r="W42" s="22">
        <v>500000000</v>
      </c>
      <c r="X42" s="2" t="s">
        <v>85</v>
      </c>
      <c r="Y42" s="2" t="s">
        <v>86</v>
      </c>
      <c r="Z42" s="2" t="s">
        <v>60</v>
      </c>
      <c r="AA42" s="2" t="s">
        <v>61</v>
      </c>
      <c r="AB42" s="2" t="s">
        <v>87</v>
      </c>
      <c r="AC42" s="2" t="s">
        <v>88</v>
      </c>
      <c r="AD42" s="2" t="s">
        <v>3562</v>
      </c>
      <c r="AE42" s="22">
        <v>3.7160000000000002</v>
      </c>
      <c r="AF42" s="22">
        <v>3.75</v>
      </c>
    </row>
    <row r="43" spans="1:32" x14ac:dyDescent="0.2">
      <c r="A43" s="2" t="s">
        <v>356</v>
      </c>
      <c r="B43" s="22">
        <v>5.216932492932342</v>
      </c>
      <c r="C43" s="22">
        <v>5.624519515159486</v>
      </c>
      <c r="D43" s="2" t="s">
        <v>222</v>
      </c>
      <c r="E43" s="2" t="s">
        <v>357</v>
      </c>
      <c r="F43" s="2" t="s">
        <v>3563</v>
      </c>
      <c r="G43" s="2" t="s">
        <v>358</v>
      </c>
      <c r="H43" s="2" t="s">
        <v>221</v>
      </c>
      <c r="I43" s="2" t="s">
        <v>222</v>
      </c>
      <c r="J43" s="22">
        <v>4</v>
      </c>
      <c r="K43" s="2" t="s">
        <v>359</v>
      </c>
      <c r="L43" s="2" t="s">
        <v>360</v>
      </c>
      <c r="M43" s="2" t="s">
        <v>54</v>
      </c>
      <c r="N43" s="2" t="s">
        <v>49</v>
      </c>
      <c r="O43" s="2" t="s">
        <v>50</v>
      </c>
      <c r="P43" s="2" t="s">
        <v>225</v>
      </c>
      <c r="Q43" s="2" t="s">
        <v>52</v>
      </c>
      <c r="R43" s="2" t="s">
        <v>53</v>
      </c>
      <c r="S43" s="2" t="s">
        <v>54</v>
      </c>
      <c r="T43" s="2" t="s">
        <v>55</v>
      </c>
      <c r="U43" s="2" t="s">
        <v>56</v>
      </c>
      <c r="V43" s="2" t="s">
        <v>57</v>
      </c>
      <c r="W43" s="22">
        <v>23203750</v>
      </c>
      <c r="X43" s="2" t="s">
        <v>134</v>
      </c>
      <c r="Y43" s="2" t="s">
        <v>226</v>
      </c>
      <c r="Z43" s="2" t="s">
        <v>60</v>
      </c>
      <c r="AA43" s="2" t="s">
        <v>61</v>
      </c>
      <c r="AB43" s="2" t="s">
        <v>227</v>
      </c>
      <c r="AC43" s="2" t="s">
        <v>228</v>
      </c>
      <c r="AD43" s="2" t="s">
        <v>3564</v>
      </c>
      <c r="AE43" s="2" t="s">
        <v>54</v>
      </c>
      <c r="AF43" s="2" t="s">
        <v>54</v>
      </c>
    </row>
    <row r="44" spans="1:32" x14ac:dyDescent="0.2">
      <c r="A44" s="2" t="s">
        <v>362</v>
      </c>
      <c r="B44" s="22">
        <v>2.46775648343871</v>
      </c>
      <c r="C44" s="22">
        <v>2.5462667184863159</v>
      </c>
      <c r="D44" s="2" t="s">
        <v>366</v>
      </c>
      <c r="E44" s="2" t="s">
        <v>363</v>
      </c>
      <c r="F44" s="2" t="s">
        <v>3565</v>
      </c>
      <c r="G44" s="2" t="s">
        <v>364</v>
      </c>
      <c r="H44" s="2" t="s">
        <v>365</v>
      </c>
      <c r="I44" s="2" t="s">
        <v>366</v>
      </c>
      <c r="J44" s="22">
        <v>0.25</v>
      </c>
      <c r="K44" s="2" t="s">
        <v>359</v>
      </c>
      <c r="L44" s="2" t="s">
        <v>368</v>
      </c>
      <c r="M44" s="2" t="s">
        <v>54</v>
      </c>
      <c r="N44" s="2" t="s">
        <v>115</v>
      </c>
      <c r="O44" s="2" t="s">
        <v>116</v>
      </c>
      <c r="P44" s="2" t="s">
        <v>225</v>
      </c>
      <c r="Q44" s="2" t="s">
        <v>52</v>
      </c>
      <c r="R44" s="2" t="s">
        <v>53</v>
      </c>
      <c r="S44" s="2" t="s">
        <v>189</v>
      </c>
      <c r="T44" s="2" t="s">
        <v>55</v>
      </c>
      <c r="U44" s="2" t="s">
        <v>56</v>
      </c>
      <c r="V44" s="2" t="s">
        <v>57</v>
      </c>
      <c r="W44" s="22">
        <v>610625000</v>
      </c>
      <c r="X44" s="2" t="s">
        <v>134</v>
      </c>
      <c r="Y44" s="2" t="s">
        <v>329</v>
      </c>
      <c r="Z44" s="2" t="s">
        <v>60</v>
      </c>
      <c r="AA44" s="2" t="s">
        <v>61</v>
      </c>
      <c r="AB44" s="2" t="s">
        <v>136</v>
      </c>
      <c r="AC44" s="2" t="s">
        <v>137</v>
      </c>
      <c r="AD44" s="2" t="s">
        <v>3566</v>
      </c>
      <c r="AE44" s="22">
        <v>0.46899999999999997</v>
      </c>
      <c r="AF44" s="22">
        <v>0.46899999999999997</v>
      </c>
    </row>
    <row r="45" spans="1:32" x14ac:dyDescent="0.2">
      <c r="A45" s="2" t="s">
        <v>371</v>
      </c>
      <c r="B45" s="2" t="s">
        <v>54</v>
      </c>
      <c r="C45" s="2" t="s">
        <v>54</v>
      </c>
      <c r="D45" s="2" t="s">
        <v>45</v>
      </c>
      <c r="E45" s="2" t="s">
        <v>372</v>
      </c>
      <c r="F45" s="2" t="s">
        <v>173</v>
      </c>
      <c r="G45" s="2" t="s">
        <v>373</v>
      </c>
      <c r="H45" s="2" t="s">
        <v>374</v>
      </c>
      <c r="I45" s="2" t="s">
        <v>45</v>
      </c>
      <c r="J45" s="22">
        <v>0</v>
      </c>
      <c r="K45" s="2" t="s">
        <v>375</v>
      </c>
      <c r="L45" s="2" t="s">
        <v>376</v>
      </c>
      <c r="M45" s="2" t="s">
        <v>54</v>
      </c>
      <c r="N45" s="2" t="s">
        <v>49</v>
      </c>
      <c r="O45" s="2" t="s">
        <v>50</v>
      </c>
      <c r="P45" s="2" t="s">
        <v>51</v>
      </c>
      <c r="Q45" s="2" t="s">
        <v>52</v>
      </c>
      <c r="R45" s="2" t="s">
        <v>53</v>
      </c>
      <c r="S45" s="2" t="s">
        <v>54</v>
      </c>
      <c r="T45" s="2" t="s">
        <v>55</v>
      </c>
      <c r="U45" s="2" t="s">
        <v>70</v>
      </c>
      <c r="V45" s="2" t="s">
        <v>71</v>
      </c>
      <c r="W45" s="22">
        <v>470000000</v>
      </c>
      <c r="X45" s="2" t="s">
        <v>377</v>
      </c>
      <c r="Y45" s="2" t="s">
        <v>378</v>
      </c>
      <c r="Z45" s="2" t="s">
        <v>60</v>
      </c>
      <c r="AA45" s="2" t="s">
        <v>61</v>
      </c>
      <c r="AB45" s="2" t="s">
        <v>377</v>
      </c>
      <c r="AC45" s="2" t="s">
        <v>377</v>
      </c>
      <c r="AD45" s="2" t="s">
        <v>3567</v>
      </c>
      <c r="AE45" s="2" t="s">
        <v>54</v>
      </c>
      <c r="AF45" s="2" t="s">
        <v>54</v>
      </c>
    </row>
    <row r="46" spans="1:32" x14ac:dyDescent="0.2">
      <c r="A46" s="2" t="s">
        <v>371</v>
      </c>
      <c r="B46" s="2" t="s">
        <v>54</v>
      </c>
      <c r="C46" s="2" t="s">
        <v>54</v>
      </c>
      <c r="D46" s="2" t="s">
        <v>45</v>
      </c>
      <c r="E46" s="2" t="s">
        <v>381</v>
      </c>
      <c r="F46" s="2" t="s">
        <v>173</v>
      </c>
      <c r="G46" s="2" t="s">
        <v>382</v>
      </c>
      <c r="H46" s="2" t="s">
        <v>374</v>
      </c>
      <c r="I46" s="2" t="s">
        <v>45</v>
      </c>
      <c r="J46" s="22">
        <v>0</v>
      </c>
      <c r="K46" s="2" t="s">
        <v>375</v>
      </c>
      <c r="L46" s="2" t="s">
        <v>383</v>
      </c>
      <c r="M46" s="2" t="s">
        <v>54</v>
      </c>
      <c r="N46" s="2" t="s">
        <v>49</v>
      </c>
      <c r="O46" s="2" t="s">
        <v>50</v>
      </c>
      <c r="P46" s="2" t="s">
        <v>69</v>
      </c>
      <c r="Q46" s="2" t="s">
        <v>52</v>
      </c>
      <c r="R46" s="2" t="s">
        <v>53</v>
      </c>
      <c r="S46" s="2" t="s">
        <v>54</v>
      </c>
      <c r="T46" s="2" t="s">
        <v>55</v>
      </c>
      <c r="U46" s="2" t="s">
        <v>70</v>
      </c>
      <c r="V46" s="2" t="s">
        <v>71</v>
      </c>
      <c r="W46" s="22">
        <v>411250000</v>
      </c>
      <c r="X46" s="2" t="s">
        <v>377</v>
      </c>
      <c r="Y46" s="2" t="s">
        <v>378</v>
      </c>
      <c r="Z46" s="2" t="s">
        <v>60</v>
      </c>
      <c r="AA46" s="2" t="s">
        <v>61</v>
      </c>
      <c r="AB46" s="2" t="s">
        <v>377</v>
      </c>
      <c r="AC46" s="2" t="s">
        <v>377</v>
      </c>
      <c r="AD46" s="2" t="s">
        <v>3568</v>
      </c>
      <c r="AE46" s="2" t="s">
        <v>54</v>
      </c>
      <c r="AF46" s="2" t="s">
        <v>54</v>
      </c>
    </row>
    <row r="47" spans="1:32" x14ac:dyDescent="0.2">
      <c r="A47" s="2" t="s">
        <v>371</v>
      </c>
      <c r="B47" s="2" t="s">
        <v>54</v>
      </c>
      <c r="C47" s="2" t="s">
        <v>54</v>
      </c>
      <c r="D47" s="2" t="s">
        <v>45</v>
      </c>
      <c r="E47" s="2" t="s">
        <v>384</v>
      </c>
      <c r="F47" s="2" t="s">
        <v>173</v>
      </c>
      <c r="G47" s="2" t="s">
        <v>385</v>
      </c>
      <c r="H47" s="2" t="s">
        <v>374</v>
      </c>
      <c r="I47" s="2" t="s">
        <v>45</v>
      </c>
      <c r="J47" s="22">
        <v>0</v>
      </c>
      <c r="K47" s="2" t="s">
        <v>375</v>
      </c>
      <c r="L47" s="2" t="s">
        <v>386</v>
      </c>
      <c r="M47" s="2" t="s">
        <v>54</v>
      </c>
      <c r="N47" s="2" t="s">
        <v>49</v>
      </c>
      <c r="O47" s="2" t="s">
        <v>50</v>
      </c>
      <c r="P47" s="2" t="s">
        <v>76</v>
      </c>
      <c r="Q47" s="2" t="s">
        <v>52</v>
      </c>
      <c r="R47" s="2" t="s">
        <v>53</v>
      </c>
      <c r="S47" s="2" t="s">
        <v>54</v>
      </c>
      <c r="T47" s="2" t="s">
        <v>55</v>
      </c>
      <c r="U47" s="2" t="s">
        <v>70</v>
      </c>
      <c r="V47" s="2" t="s">
        <v>71</v>
      </c>
      <c r="W47" s="22">
        <v>411250000</v>
      </c>
      <c r="X47" s="2" t="s">
        <v>377</v>
      </c>
      <c r="Y47" s="2" t="s">
        <v>378</v>
      </c>
      <c r="Z47" s="2" t="s">
        <v>60</v>
      </c>
      <c r="AA47" s="2" t="s">
        <v>61</v>
      </c>
      <c r="AB47" s="2" t="s">
        <v>377</v>
      </c>
      <c r="AC47" s="2" t="s">
        <v>377</v>
      </c>
      <c r="AD47" s="2" t="s">
        <v>3569</v>
      </c>
      <c r="AE47" s="2" t="s">
        <v>54</v>
      </c>
      <c r="AF47" s="2" t="s">
        <v>54</v>
      </c>
    </row>
    <row r="48" spans="1:32" x14ac:dyDescent="0.2">
      <c r="A48" s="2" t="s">
        <v>371</v>
      </c>
      <c r="B48" s="2" t="s">
        <v>54</v>
      </c>
      <c r="C48" s="2" t="s">
        <v>54</v>
      </c>
      <c r="D48" s="2" t="s">
        <v>45</v>
      </c>
      <c r="E48" s="2" t="s">
        <v>388</v>
      </c>
      <c r="F48" s="2" t="s">
        <v>173</v>
      </c>
      <c r="G48" s="2" t="s">
        <v>389</v>
      </c>
      <c r="H48" s="2" t="s">
        <v>374</v>
      </c>
      <c r="I48" s="2" t="s">
        <v>45</v>
      </c>
      <c r="J48" s="22">
        <v>0</v>
      </c>
      <c r="K48" s="2" t="s">
        <v>375</v>
      </c>
      <c r="L48" s="2" t="s">
        <v>386</v>
      </c>
      <c r="M48" s="2" t="s">
        <v>54</v>
      </c>
      <c r="N48" s="2" t="s">
        <v>49</v>
      </c>
      <c r="O48" s="2" t="s">
        <v>50</v>
      </c>
      <c r="P48" s="2" t="s">
        <v>390</v>
      </c>
      <c r="Q48" s="2" t="s">
        <v>52</v>
      </c>
      <c r="R48" s="2" t="s">
        <v>262</v>
      </c>
      <c r="S48" s="2" t="s">
        <v>54</v>
      </c>
      <c r="T48" s="2" t="s">
        <v>55</v>
      </c>
      <c r="U48" s="2" t="s">
        <v>70</v>
      </c>
      <c r="V48" s="2" t="s">
        <v>391</v>
      </c>
      <c r="W48" s="22">
        <v>59000000</v>
      </c>
      <c r="X48" s="2" t="s">
        <v>377</v>
      </c>
      <c r="Y48" s="2" t="s">
        <v>378</v>
      </c>
      <c r="Z48" s="2" t="s">
        <v>60</v>
      </c>
      <c r="AA48" s="2" t="s">
        <v>61</v>
      </c>
      <c r="AB48" s="2" t="s">
        <v>377</v>
      </c>
      <c r="AC48" s="2" t="s">
        <v>377</v>
      </c>
      <c r="AD48" s="2" t="s">
        <v>3570</v>
      </c>
      <c r="AE48" s="2" t="s">
        <v>54</v>
      </c>
      <c r="AF48" s="2" t="s">
        <v>54</v>
      </c>
    </row>
    <row r="49" spans="1:32" x14ac:dyDescent="0.2">
      <c r="A49" s="2" t="s">
        <v>371</v>
      </c>
      <c r="B49" s="2" t="s">
        <v>54</v>
      </c>
      <c r="C49" s="2" t="s">
        <v>54</v>
      </c>
      <c r="D49" s="2" t="s">
        <v>45</v>
      </c>
      <c r="E49" s="2" t="s">
        <v>393</v>
      </c>
      <c r="F49" s="2" t="s">
        <v>173</v>
      </c>
      <c r="G49" s="2" t="s">
        <v>394</v>
      </c>
      <c r="H49" s="2" t="s">
        <v>374</v>
      </c>
      <c r="I49" s="2" t="s">
        <v>45</v>
      </c>
      <c r="J49" s="22">
        <v>0</v>
      </c>
      <c r="K49" s="2" t="s">
        <v>375</v>
      </c>
      <c r="L49" s="2" t="s">
        <v>395</v>
      </c>
      <c r="M49" s="2" t="s">
        <v>54</v>
      </c>
      <c r="N49" s="2" t="s">
        <v>49</v>
      </c>
      <c r="O49" s="2" t="s">
        <v>50</v>
      </c>
      <c r="P49" s="2" t="s">
        <v>144</v>
      </c>
      <c r="Q49" s="2" t="s">
        <v>52</v>
      </c>
      <c r="R49" s="2" t="s">
        <v>53</v>
      </c>
      <c r="S49" s="2" t="s">
        <v>54</v>
      </c>
      <c r="T49" s="2" t="s">
        <v>55</v>
      </c>
      <c r="U49" s="2" t="s">
        <v>70</v>
      </c>
      <c r="V49" s="2" t="s">
        <v>71</v>
      </c>
      <c r="W49" s="22">
        <v>411250000</v>
      </c>
      <c r="X49" s="2" t="s">
        <v>377</v>
      </c>
      <c r="Y49" s="2" t="s">
        <v>378</v>
      </c>
      <c r="Z49" s="2" t="s">
        <v>60</v>
      </c>
      <c r="AA49" s="2" t="s">
        <v>61</v>
      </c>
      <c r="AB49" s="2" t="s">
        <v>377</v>
      </c>
      <c r="AC49" s="2" t="s">
        <v>377</v>
      </c>
      <c r="AD49" s="2" t="s">
        <v>3571</v>
      </c>
      <c r="AE49" s="2" t="s">
        <v>54</v>
      </c>
      <c r="AF49" s="2" t="s">
        <v>54</v>
      </c>
    </row>
    <row r="50" spans="1:32" x14ac:dyDescent="0.2">
      <c r="A50" s="2" t="s">
        <v>272</v>
      </c>
      <c r="B50" s="2" t="s">
        <v>54</v>
      </c>
      <c r="C50" s="2" t="s">
        <v>54</v>
      </c>
      <c r="D50" s="2" t="s">
        <v>45</v>
      </c>
      <c r="E50" s="2" t="s">
        <v>396</v>
      </c>
      <c r="F50" s="2" t="s">
        <v>173</v>
      </c>
      <c r="G50" s="2" t="s">
        <v>397</v>
      </c>
      <c r="H50" s="2" t="s">
        <v>275</v>
      </c>
      <c r="I50" s="2" t="s">
        <v>45</v>
      </c>
      <c r="J50" s="22">
        <v>0</v>
      </c>
      <c r="K50" s="2" t="s">
        <v>276</v>
      </c>
      <c r="L50" s="2" t="s">
        <v>277</v>
      </c>
      <c r="M50" s="2" t="s">
        <v>54</v>
      </c>
      <c r="N50" s="2" t="s">
        <v>49</v>
      </c>
      <c r="O50" s="2" t="s">
        <v>50</v>
      </c>
      <c r="P50" s="2" t="s">
        <v>101</v>
      </c>
      <c r="Q50" s="2" t="s">
        <v>52</v>
      </c>
      <c r="R50" s="2" t="s">
        <v>53</v>
      </c>
      <c r="S50" s="2" t="s">
        <v>54</v>
      </c>
      <c r="T50" s="2" t="s">
        <v>55</v>
      </c>
      <c r="U50" s="2" t="s">
        <v>56</v>
      </c>
      <c r="V50" s="2" t="s">
        <v>57</v>
      </c>
      <c r="W50" s="22">
        <v>844921000</v>
      </c>
      <c r="X50" s="2" t="s">
        <v>58</v>
      </c>
      <c r="Y50" s="2" t="s">
        <v>278</v>
      </c>
      <c r="Z50" s="2" t="s">
        <v>60</v>
      </c>
      <c r="AA50" s="2" t="s">
        <v>61</v>
      </c>
      <c r="AB50" s="2" t="s">
        <v>279</v>
      </c>
      <c r="AC50" s="2" t="s">
        <v>280</v>
      </c>
      <c r="AD50" s="2" t="s">
        <v>3572</v>
      </c>
      <c r="AE50" s="2" t="s">
        <v>54</v>
      </c>
      <c r="AF50" s="2" t="s">
        <v>54</v>
      </c>
    </row>
    <row r="51" spans="1:32" x14ac:dyDescent="0.2">
      <c r="A51" s="2" t="s">
        <v>272</v>
      </c>
      <c r="B51" s="2" t="s">
        <v>54</v>
      </c>
      <c r="C51" s="2" t="s">
        <v>54</v>
      </c>
      <c r="D51" s="2" t="s">
        <v>45</v>
      </c>
      <c r="E51" s="2" t="s">
        <v>398</v>
      </c>
      <c r="F51" s="2" t="s">
        <v>173</v>
      </c>
      <c r="G51" s="2" t="s">
        <v>399</v>
      </c>
      <c r="H51" s="2" t="s">
        <v>275</v>
      </c>
      <c r="I51" s="2" t="s">
        <v>45</v>
      </c>
      <c r="J51" s="22">
        <v>0</v>
      </c>
      <c r="K51" s="2" t="s">
        <v>276</v>
      </c>
      <c r="L51" s="2" t="s">
        <v>277</v>
      </c>
      <c r="M51" s="2" t="s">
        <v>54</v>
      </c>
      <c r="N51" s="2" t="s">
        <v>49</v>
      </c>
      <c r="O51" s="2" t="s">
        <v>50</v>
      </c>
      <c r="P51" s="2" t="s">
        <v>104</v>
      </c>
      <c r="Q51" s="2" t="s">
        <v>52</v>
      </c>
      <c r="R51" s="2" t="s">
        <v>53</v>
      </c>
      <c r="S51" s="2" t="s">
        <v>54</v>
      </c>
      <c r="T51" s="2" t="s">
        <v>55</v>
      </c>
      <c r="U51" s="2" t="s">
        <v>56</v>
      </c>
      <c r="V51" s="2" t="s">
        <v>57</v>
      </c>
      <c r="W51" s="22">
        <v>844921000</v>
      </c>
      <c r="X51" s="2" t="s">
        <v>58</v>
      </c>
      <c r="Y51" s="2" t="s">
        <v>278</v>
      </c>
      <c r="Z51" s="2" t="s">
        <v>60</v>
      </c>
      <c r="AA51" s="2" t="s">
        <v>61</v>
      </c>
      <c r="AB51" s="2" t="s">
        <v>279</v>
      </c>
      <c r="AC51" s="2" t="s">
        <v>280</v>
      </c>
      <c r="AD51" s="2" t="s">
        <v>3573</v>
      </c>
      <c r="AE51" s="2" t="s">
        <v>54</v>
      </c>
      <c r="AF51" s="2" t="s">
        <v>54</v>
      </c>
    </row>
    <row r="52" spans="1:32" x14ac:dyDescent="0.2">
      <c r="A52" s="2" t="s">
        <v>272</v>
      </c>
      <c r="B52" s="2" t="s">
        <v>54</v>
      </c>
      <c r="C52" s="2" t="s">
        <v>54</v>
      </c>
      <c r="D52" s="2" t="s">
        <v>45</v>
      </c>
      <c r="E52" s="2" t="s">
        <v>400</v>
      </c>
      <c r="F52" s="2" t="s">
        <v>173</v>
      </c>
      <c r="G52" s="2" t="s">
        <v>401</v>
      </c>
      <c r="H52" s="2" t="s">
        <v>275</v>
      </c>
      <c r="I52" s="2" t="s">
        <v>45</v>
      </c>
      <c r="J52" s="22">
        <v>0</v>
      </c>
      <c r="K52" s="2" t="s">
        <v>276</v>
      </c>
      <c r="L52" s="2" t="s">
        <v>277</v>
      </c>
      <c r="M52" s="2" t="s">
        <v>54</v>
      </c>
      <c r="N52" s="2" t="s">
        <v>49</v>
      </c>
      <c r="O52" s="2" t="s">
        <v>50</v>
      </c>
      <c r="P52" s="2" t="s">
        <v>107</v>
      </c>
      <c r="Q52" s="2" t="s">
        <v>52</v>
      </c>
      <c r="R52" s="2" t="s">
        <v>53</v>
      </c>
      <c r="S52" s="2" t="s">
        <v>54</v>
      </c>
      <c r="T52" s="2" t="s">
        <v>55</v>
      </c>
      <c r="U52" s="2" t="s">
        <v>56</v>
      </c>
      <c r="V52" s="2" t="s">
        <v>57</v>
      </c>
      <c r="W52" s="22">
        <v>844921000</v>
      </c>
      <c r="X52" s="2" t="s">
        <v>58</v>
      </c>
      <c r="Y52" s="2" t="s">
        <v>278</v>
      </c>
      <c r="Z52" s="2" t="s">
        <v>60</v>
      </c>
      <c r="AA52" s="2" t="s">
        <v>61</v>
      </c>
      <c r="AB52" s="2" t="s">
        <v>279</v>
      </c>
      <c r="AC52" s="2" t="s">
        <v>280</v>
      </c>
      <c r="AD52" s="2" t="s">
        <v>3574</v>
      </c>
      <c r="AE52" s="2" t="s">
        <v>54</v>
      </c>
      <c r="AF52" s="2" t="s">
        <v>54</v>
      </c>
    </row>
    <row r="53" spans="1:32" x14ac:dyDescent="0.2">
      <c r="A53" s="2" t="s">
        <v>403</v>
      </c>
      <c r="B53" s="22">
        <v>5.2087837636519794</v>
      </c>
      <c r="C53" s="22">
        <v>5.4734755109767708</v>
      </c>
      <c r="D53" s="2" t="s">
        <v>407</v>
      </c>
      <c r="E53" s="2" t="s">
        <v>404</v>
      </c>
      <c r="F53" s="2" t="s">
        <v>3575</v>
      </c>
      <c r="G53" s="2" t="s">
        <v>405</v>
      </c>
      <c r="H53" s="2" t="s">
        <v>406</v>
      </c>
      <c r="I53" s="2" t="s">
        <v>407</v>
      </c>
      <c r="J53" s="22">
        <v>3.875</v>
      </c>
      <c r="K53" s="2" t="s">
        <v>408</v>
      </c>
      <c r="L53" s="2" t="s">
        <v>409</v>
      </c>
      <c r="M53" s="22">
        <v>3.875</v>
      </c>
      <c r="N53" s="2" t="s">
        <v>115</v>
      </c>
      <c r="O53" s="2" t="s">
        <v>116</v>
      </c>
      <c r="P53" s="2" t="s">
        <v>173</v>
      </c>
      <c r="Q53" s="2" t="s">
        <v>52</v>
      </c>
      <c r="R53" s="2" t="s">
        <v>53</v>
      </c>
      <c r="S53" s="2" t="s">
        <v>296</v>
      </c>
      <c r="T53" s="2" t="s">
        <v>174</v>
      </c>
      <c r="U53" s="2" t="s">
        <v>56</v>
      </c>
      <c r="V53" s="2" t="s">
        <v>71</v>
      </c>
      <c r="W53" s="22">
        <v>924520750</v>
      </c>
      <c r="X53" s="2" t="s">
        <v>120</v>
      </c>
      <c r="Y53" s="2" t="s">
        <v>120</v>
      </c>
      <c r="Z53" s="2" t="s">
        <v>202</v>
      </c>
      <c r="AA53" s="2" t="s">
        <v>411</v>
      </c>
      <c r="AB53" s="2" t="s">
        <v>412</v>
      </c>
      <c r="AC53" s="2" t="s">
        <v>412</v>
      </c>
      <c r="AD53" s="2" t="s">
        <v>3576</v>
      </c>
      <c r="AE53" s="22">
        <v>3.4489999999999998</v>
      </c>
      <c r="AF53" s="22">
        <v>3.875</v>
      </c>
    </row>
    <row r="54" spans="1:32" x14ac:dyDescent="0.2">
      <c r="A54" s="2" t="s">
        <v>415</v>
      </c>
      <c r="B54" s="22">
        <v>2.2499527312268879</v>
      </c>
      <c r="C54" s="22">
        <v>2.3181809198606067</v>
      </c>
      <c r="D54" s="2" t="s">
        <v>366</v>
      </c>
      <c r="E54" s="2" t="s">
        <v>416</v>
      </c>
      <c r="F54" s="2" t="s">
        <v>3577</v>
      </c>
      <c r="G54" s="2" t="s">
        <v>417</v>
      </c>
      <c r="H54" s="2" t="s">
        <v>418</v>
      </c>
      <c r="I54" s="2" t="s">
        <v>366</v>
      </c>
      <c r="J54" s="22">
        <v>0.375</v>
      </c>
      <c r="K54" s="2" t="s">
        <v>408</v>
      </c>
      <c r="L54" s="2" t="s">
        <v>419</v>
      </c>
      <c r="M54" s="2" t="s">
        <v>54</v>
      </c>
      <c r="N54" s="2" t="s">
        <v>115</v>
      </c>
      <c r="O54" s="2" t="s">
        <v>116</v>
      </c>
      <c r="P54" s="2" t="s">
        <v>173</v>
      </c>
      <c r="Q54" s="2" t="s">
        <v>52</v>
      </c>
      <c r="R54" s="2" t="s">
        <v>53</v>
      </c>
      <c r="S54" s="2" t="s">
        <v>174</v>
      </c>
      <c r="T54" s="2" t="s">
        <v>420</v>
      </c>
      <c r="U54" s="2" t="s">
        <v>56</v>
      </c>
      <c r="V54" s="2" t="s">
        <v>57</v>
      </c>
      <c r="W54" s="22">
        <v>715758000</v>
      </c>
      <c r="X54" s="2" t="s">
        <v>421</v>
      </c>
      <c r="Y54" s="2" t="s">
        <v>422</v>
      </c>
      <c r="Z54" s="2" t="s">
        <v>60</v>
      </c>
      <c r="AA54" s="2" t="s">
        <v>61</v>
      </c>
      <c r="AB54" s="2" t="s">
        <v>227</v>
      </c>
      <c r="AC54" s="2" t="s">
        <v>423</v>
      </c>
      <c r="AD54" s="2" t="s">
        <v>3578</v>
      </c>
      <c r="AE54" s="22">
        <v>0.46700000000000003</v>
      </c>
      <c r="AF54" s="22">
        <v>0.46700000000000003</v>
      </c>
    </row>
    <row r="55" spans="1:32" x14ac:dyDescent="0.2">
      <c r="A55" s="2" t="s">
        <v>206</v>
      </c>
      <c r="B55" s="22">
        <v>7.5941712576544251</v>
      </c>
      <c r="C55" s="22">
        <v>7.7010717872289511</v>
      </c>
      <c r="D55" s="2" t="s">
        <v>112</v>
      </c>
      <c r="E55" s="2" t="s">
        <v>426</v>
      </c>
      <c r="F55" s="2" t="s">
        <v>3579</v>
      </c>
      <c r="G55" s="2" t="s">
        <v>427</v>
      </c>
      <c r="H55" s="2" t="s">
        <v>209</v>
      </c>
      <c r="I55" s="2" t="s">
        <v>112</v>
      </c>
      <c r="J55" s="22">
        <v>2.875</v>
      </c>
      <c r="K55" s="2" t="s">
        <v>428</v>
      </c>
      <c r="L55" s="2" t="s">
        <v>429</v>
      </c>
      <c r="M55" s="2" t="s">
        <v>54</v>
      </c>
      <c r="N55" s="2" t="s">
        <v>49</v>
      </c>
      <c r="O55" s="2" t="s">
        <v>50</v>
      </c>
      <c r="P55" s="2" t="s">
        <v>430</v>
      </c>
      <c r="Q55" s="2" t="s">
        <v>52</v>
      </c>
      <c r="R55" s="2" t="s">
        <v>119</v>
      </c>
      <c r="S55" s="2" t="s">
        <v>54</v>
      </c>
      <c r="T55" s="2" t="s">
        <v>174</v>
      </c>
      <c r="U55" s="2" t="s">
        <v>56</v>
      </c>
      <c r="V55" s="2" t="s">
        <v>71</v>
      </c>
      <c r="W55" s="22">
        <v>254011000</v>
      </c>
      <c r="X55" s="2" t="s">
        <v>213</v>
      </c>
      <c r="Y55" s="2" t="s">
        <v>214</v>
      </c>
      <c r="Z55" s="2" t="s">
        <v>60</v>
      </c>
      <c r="AA55" s="2" t="s">
        <v>61</v>
      </c>
      <c r="AB55" s="2" t="s">
        <v>213</v>
      </c>
      <c r="AC55" s="2" t="s">
        <v>215</v>
      </c>
      <c r="AD55" s="2" t="s">
        <v>3580</v>
      </c>
      <c r="AE55" s="22">
        <v>2.875</v>
      </c>
      <c r="AF55" s="22">
        <v>2.875</v>
      </c>
    </row>
    <row r="56" spans="1:32" x14ac:dyDescent="0.2">
      <c r="A56" s="2" t="s">
        <v>433</v>
      </c>
      <c r="B56" s="22">
        <v>3.8572393185440577</v>
      </c>
      <c r="C56" s="22">
        <v>4.0159208546797895</v>
      </c>
      <c r="D56" s="2" t="s">
        <v>45</v>
      </c>
      <c r="E56" s="2" t="s">
        <v>434</v>
      </c>
      <c r="F56" s="2" t="s">
        <v>3581</v>
      </c>
      <c r="G56" s="2" t="s">
        <v>435</v>
      </c>
      <c r="H56" s="2" t="s">
        <v>436</v>
      </c>
      <c r="I56" s="2" t="s">
        <v>45</v>
      </c>
      <c r="J56" s="22">
        <v>2.5</v>
      </c>
      <c r="K56" s="2" t="s">
        <v>437</v>
      </c>
      <c r="L56" s="2" t="s">
        <v>438</v>
      </c>
      <c r="M56" s="22">
        <v>2.5</v>
      </c>
      <c r="N56" s="2" t="s">
        <v>115</v>
      </c>
      <c r="O56" s="2" t="s">
        <v>116</v>
      </c>
      <c r="P56" s="2" t="s">
        <v>261</v>
      </c>
      <c r="Q56" s="2" t="s">
        <v>52</v>
      </c>
      <c r="R56" s="2" t="s">
        <v>53</v>
      </c>
      <c r="S56" s="2" t="s">
        <v>296</v>
      </c>
      <c r="T56" s="2" t="s">
        <v>55</v>
      </c>
      <c r="U56" s="2" t="s">
        <v>56</v>
      </c>
      <c r="V56" s="2" t="s">
        <v>71</v>
      </c>
      <c r="W56" s="22">
        <v>355671000</v>
      </c>
      <c r="X56" s="2" t="s">
        <v>58</v>
      </c>
      <c r="Y56" s="2" t="s">
        <v>278</v>
      </c>
      <c r="Z56" s="2" t="s">
        <v>60</v>
      </c>
      <c r="AA56" s="2" t="s">
        <v>61</v>
      </c>
      <c r="AB56" s="2" t="s">
        <v>279</v>
      </c>
      <c r="AC56" s="2" t="s">
        <v>280</v>
      </c>
      <c r="AD56" s="2" t="s">
        <v>3582</v>
      </c>
      <c r="AE56" s="22">
        <v>2.4489999999999998</v>
      </c>
      <c r="AF56" s="22">
        <v>2.5</v>
      </c>
    </row>
    <row r="57" spans="1:32" x14ac:dyDescent="0.2">
      <c r="A57" s="2" t="s">
        <v>440</v>
      </c>
      <c r="B57" s="22">
        <v>2.2050926295909861</v>
      </c>
      <c r="C57" s="22">
        <v>2.2642997648140666</v>
      </c>
      <c r="D57" s="2" t="s">
        <v>257</v>
      </c>
      <c r="E57" s="2" t="s">
        <v>441</v>
      </c>
      <c r="F57" s="2" t="s">
        <v>3583</v>
      </c>
      <c r="G57" s="2" t="s">
        <v>442</v>
      </c>
      <c r="H57" s="2" t="s">
        <v>443</v>
      </c>
      <c r="I57" s="2" t="s">
        <v>257</v>
      </c>
      <c r="J57" s="22">
        <v>0.9</v>
      </c>
      <c r="K57" s="2" t="s">
        <v>444</v>
      </c>
      <c r="L57" s="2" t="s">
        <v>445</v>
      </c>
      <c r="M57" s="2" t="s">
        <v>54</v>
      </c>
      <c r="N57" s="2" t="s">
        <v>115</v>
      </c>
      <c r="O57" s="2" t="s">
        <v>116</v>
      </c>
      <c r="P57" s="2" t="s">
        <v>173</v>
      </c>
      <c r="Q57" s="2" t="s">
        <v>52</v>
      </c>
      <c r="R57" s="2" t="s">
        <v>53</v>
      </c>
      <c r="S57" s="2" t="s">
        <v>446</v>
      </c>
      <c r="T57" s="2" t="s">
        <v>133</v>
      </c>
      <c r="U57" s="2" t="s">
        <v>56</v>
      </c>
      <c r="V57" s="2" t="s">
        <v>57</v>
      </c>
      <c r="W57" s="22">
        <v>588655000</v>
      </c>
      <c r="X57" s="2" t="s">
        <v>120</v>
      </c>
      <c r="Y57" s="2" t="s">
        <v>237</v>
      </c>
      <c r="Z57" s="2" t="s">
        <v>202</v>
      </c>
      <c r="AA57" s="2" t="s">
        <v>411</v>
      </c>
      <c r="AB57" s="2" t="s">
        <v>412</v>
      </c>
      <c r="AC57" s="2" t="s">
        <v>412</v>
      </c>
      <c r="AD57" s="2" t="s">
        <v>3584</v>
      </c>
      <c r="AE57" s="22">
        <v>0.88300000000000001</v>
      </c>
      <c r="AF57" s="22">
        <v>0.88300000000000001</v>
      </c>
    </row>
    <row r="58" spans="1:32" x14ac:dyDescent="0.2">
      <c r="A58" s="2" t="s">
        <v>433</v>
      </c>
      <c r="B58" s="22">
        <v>3.8578337107764802</v>
      </c>
      <c r="C58" s="22">
        <v>4.0634083262323761</v>
      </c>
      <c r="D58" s="2" t="s">
        <v>45</v>
      </c>
      <c r="E58" s="2" t="s">
        <v>449</v>
      </c>
      <c r="F58" s="2" t="s">
        <v>3585</v>
      </c>
      <c r="G58" s="2" t="s">
        <v>450</v>
      </c>
      <c r="H58" s="2" t="s">
        <v>436</v>
      </c>
      <c r="I58" s="2" t="s">
        <v>45</v>
      </c>
      <c r="J58" s="22">
        <v>2.5</v>
      </c>
      <c r="K58" s="2" t="s">
        <v>437</v>
      </c>
      <c r="L58" s="2" t="s">
        <v>438</v>
      </c>
      <c r="M58" s="22">
        <v>2.5</v>
      </c>
      <c r="N58" s="2" t="s">
        <v>115</v>
      </c>
      <c r="O58" s="2" t="s">
        <v>116</v>
      </c>
      <c r="P58" s="2" t="s">
        <v>270</v>
      </c>
      <c r="Q58" s="2" t="s">
        <v>52</v>
      </c>
      <c r="R58" s="2" t="s">
        <v>53</v>
      </c>
      <c r="S58" s="2" t="s">
        <v>296</v>
      </c>
      <c r="T58" s="2" t="s">
        <v>55</v>
      </c>
      <c r="U58" s="2" t="s">
        <v>56</v>
      </c>
      <c r="V58" s="2" t="s">
        <v>71</v>
      </c>
      <c r="W58" s="22">
        <v>355671000</v>
      </c>
      <c r="X58" s="2" t="s">
        <v>58</v>
      </c>
      <c r="Y58" s="2" t="s">
        <v>278</v>
      </c>
      <c r="Z58" s="2" t="s">
        <v>60</v>
      </c>
      <c r="AA58" s="2" t="s">
        <v>61</v>
      </c>
      <c r="AB58" s="2" t="s">
        <v>279</v>
      </c>
      <c r="AC58" s="2" t="s">
        <v>280</v>
      </c>
      <c r="AD58" s="2" t="s">
        <v>3586</v>
      </c>
      <c r="AE58" s="22">
        <v>2.431</v>
      </c>
      <c r="AF58" s="22">
        <v>2.5</v>
      </c>
    </row>
    <row r="59" spans="1:32" x14ac:dyDescent="0.2">
      <c r="A59" s="2" t="s">
        <v>452</v>
      </c>
      <c r="B59" s="22">
        <v>7.0129102418551641</v>
      </c>
      <c r="C59" s="22">
        <v>7.2596284626584024</v>
      </c>
      <c r="D59" s="2" t="s">
        <v>45</v>
      </c>
      <c r="E59" s="2" t="s">
        <v>453</v>
      </c>
      <c r="F59" s="2" t="s">
        <v>3587</v>
      </c>
      <c r="G59" s="2" t="s">
        <v>454</v>
      </c>
      <c r="H59" s="2" t="s">
        <v>455</v>
      </c>
      <c r="I59" s="2" t="s">
        <v>45</v>
      </c>
      <c r="J59" s="22">
        <v>4.75</v>
      </c>
      <c r="K59" s="2" t="s">
        <v>456</v>
      </c>
      <c r="L59" s="2" t="s">
        <v>457</v>
      </c>
      <c r="M59" s="2" t="s">
        <v>54</v>
      </c>
      <c r="N59" s="2" t="s">
        <v>115</v>
      </c>
      <c r="O59" s="2" t="s">
        <v>116</v>
      </c>
      <c r="P59" s="2" t="s">
        <v>261</v>
      </c>
      <c r="Q59" s="2" t="s">
        <v>458</v>
      </c>
      <c r="R59" s="2" t="s">
        <v>53</v>
      </c>
      <c r="S59" s="2" t="s">
        <v>350</v>
      </c>
      <c r="T59" s="2" t="s">
        <v>55</v>
      </c>
      <c r="U59" s="2" t="s">
        <v>56</v>
      </c>
      <c r="V59" s="2" t="s">
        <v>71</v>
      </c>
      <c r="W59" s="22">
        <v>480348000</v>
      </c>
      <c r="X59" s="2" t="s">
        <v>85</v>
      </c>
      <c r="Y59" s="2" t="s">
        <v>175</v>
      </c>
      <c r="Z59" s="2" t="s">
        <v>60</v>
      </c>
      <c r="AA59" s="2" t="s">
        <v>61</v>
      </c>
      <c r="AB59" s="2" t="s">
        <v>176</v>
      </c>
      <c r="AC59" s="2" t="s">
        <v>177</v>
      </c>
      <c r="AD59" s="2" t="s">
        <v>3588</v>
      </c>
      <c r="AE59" s="22">
        <v>4.5949999999999998</v>
      </c>
      <c r="AF59" s="22">
        <v>4.5949999999999998</v>
      </c>
    </row>
    <row r="60" spans="1:32" x14ac:dyDescent="0.2">
      <c r="A60" s="2" t="s">
        <v>452</v>
      </c>
      <c r="B60" s="22">
        <v>5.478444883498093</v>
      </c>
      <c r="C60" s="22">
        <v>5.720161449307982</v>
      </c>
      <c r="D60" s="2" t="s">
        <v>45</v>
      </c>
      <c r="E60" s="2" t="s">
        <v>461</v>
      </c>
      <c r="F60" s="2" t="s">
        <v>3589</v>
      </c>
      <c r="G60" s="2" t="s">
        <v>462</v>
      </c>
      <c r="H60" s="2" t="s">
        <v>455</v>
      </c>
      <c r="I60" s="2" t="s">
        <v>45</v>
      </c>
      <c r="J60" s="22">
        <v>4.75</v>
      </c>
      <c r="K60" s="2" t="s">
        <v>456</v>
      </c>
      <c r="L60" s="2" t="s">
        <v>457</v>
      </c>
      <c r="M60" s="2" t="s">
        <v>54</v>
      </c>
      <c r="N60" s="2" t="s">
        <v>115</v>
      </c>
      <c r="O60" s="2" t="s">
        <v>116</v>
      </c>
      <c r="P60" s="2" t="s">
        <v>261</v>
      </c>
      <c r="Q60" s="2" t="s">
        <v>458</v>
      </c>
      <c r="R60" s="2" t="s">
        <v>53</v>
      </c>
      <c r="S60" s="2" t="s">
        <v>350</v>
      </c>
      <c r="T60" s="2" t="s">
        <v>55</v>
      </c>
      <c r="U60" s="2" t="s">
        <v>70</v>
      </c>
      <c r="V60" s="2" t="s">
        <v>391</v>
      </c>
      <c r="W60" s="22">
        <v>420304500</v>
      </c>
      <c r="X60" s="2" t="s">
        <v>85</v>
      </c>
      <c r="Y60" s="2" t="s">
        <v>175</v>
      </c>
      <c r="Z60" s="2" t="s">
        <v>60</v>
      </c>
      <c r="AA60" s="2" t="s">
        <v>61</v>
      </c>
      <c r="AB60" s="2" t="s">
        <v>176</v>
      </c>
      <c r="AC60" s="2" t="s">
        <v>177</v>
      </c>
      <c r="AD60" s="2" t="s">
        <v>3590</v>
      </c>
      <c r="AE60" s="22">
        <v>4.57</v>
      </c>
      <c r="AF60" s="22">
        <v>4.57</v>
      </c>
    </row>
    <row r="61" spans="1:32" x14ac:dyDescent="0.2">
      <c r="A61" s="2" t="s">
        <v>452</v>
      </c>
      <c r="B61" s="22">
        <v>6.9770772612120657</v>
      </c>
      <c r="C61" s="22">
        <v>7.2921328538826335</v>
      </c>
      <c r="D61" s="2" t="s">
        <v>45</v>
      </c>
      <c r="E61" s="2" t="s">
        <v>463</v>
      </c>
      <c r="F61" s="2" t="s">
        <v>3591</v>
      </c>
      <c r="G61" s="2" t="s">
        <v>464</v>
      </c>
      <c r="H61" s="2" t="s">
        <v>455</v>
      </c>
      <c r="I61" s="2" t="s">
        <v>45</v>
      </c>
      <c r="J61" s="22">
        <v>4.75</v>
      </c>
      <c r="K61" s="2" t="s">
        <v>456</v>
      </c>
      <c r="L61" s="2" t="s">
        <v>457</v>
      </c>
      <c r="M61" s="2" t="s">
        <v>54</v>
      </c>
      <c r="N61" s="2" t="s">
        <v>115</v>
      </c>
      <c r="O61" s="2" t="s">
        <v>116</v>
      </c>
      <c r="P61" s="2" t="s">
        <v>270</v>
      </c>
      <c r="Q61" s="2" t="s">
        <v>458</v>
      </c>
      <c r="R61" s="2" t="s">
        <v>53</v>
      </c>
      <c r="S61" s="2" t="s">
        <v>350</v>
      </c>
      <c r="T61" s="2" t="s">
        <v>55</v>
      </c>
      <c r="U61" s="2" t="s">
        <v>56</v>
      </c>
      <c r="V61" s="2" t="s">
        <v>71</v>
      </c>
      <c r="W61" s="22">
        <v>480348000</v>
      </c>
      <c r="X61" s="2" t="s">
        <v>85</v>
      </c>
      <c r="Y61" s="2" t="s">
        <v>175</v>
      </c>
      <c r="Z61" s="2" t="s">
        <v>60</v>
      </c>
      <c r="AA61" s="2" t="s">
        <v>61</v>
      </c>
      <c r="AB61" s="2" t="s">
        <v>176</v>
      </c>
      <c r="AC61" s="2" t="s">
        <v>177</v>
      </c>
      <c r="AD61" s="2" t="s">
        <v>3592</v>
      </c>
      <c r="AE61" s="22">
        <v>4.6289999999999996</v>
      </c>
      <c r="AF61" s="22">
        <v>4.6289999999999996</v>
      </c>
    </row>
    <row r="62" spans="1:32" x14ac:dyDescent="0.2">
      <c r="A62" s="2" t="s">
        <v>452</v>
      </c>
      <c r="B62" s="22">
        <v>5.4557240128640787</v>
      </c>
      <c r="C62" s="22">
        <v>5.7326578384053795</v>
      </c>
      <c r="D62" s="2" t="s">
        <v>45</v>
      </c>
      <c r="E62" s="2" t="s">
        <v>466</v>
      </c>
      <c r="F62" s="2" t="s">
        <v>3593</v>
      </c>
      <c r="G62" s="2" t="s">
        <v>467</v>
      </c>
      <c r="H62" s="2" t="s">
        <v>455</v>
      </c>
      <c r="I62" s="2" t="s">
        <v>45</v>
      </c>
      <c r="J62" s="22">
        <v>4.75</v>
      </c>
      <c r="K62" s="2" t="s">
        <v>456</v>
      </c>
      <c r="L62" s="2" t="s">
        <v>457</v>
      </c>
      <c r="M62" s="2" t="s">
        <v>54</v>
      </c>
      <c r="N62" s="2" t="s">
        <v>115</v>
      </c>
      <c r="O62" s="2" t="s">
        <v>116</v>
      </c>
      <c r="P62" s="2" t="s">
        <v>270</v>
      </c>
      <c r="Q62" s="2" t="s">
        <v>458</v>
      </c>
      <c r="R62" s="2" t="s">
        <v>53</v>
      </c>
      <c r="S62" s="2" t="s">
        <v>350</v>
      </c>
      <c r="T62" s="2" t="s">
        <v>55</v>
      </c>
      <c r="U62" s="2" t="s">
        <v>70</v>
      </c>
      <c r="V62" s="2" t="s">
        <v>391</v>
      </c>
      <c r="W62" s="22">
        <v>420304500</v>
      </c>
      <c r="X62" s="2" t="s">
        <v>85</v>
      </c>
      <c r="Y62" s="2" t="s">
        <v>175</v>
      </c>
      <c r="Z62" s="2" t="s">
        <v>60</v>
      </c>
      <c r="AA62" s="2" t="s">
        <v>61</v>
      </c>
      <c r="AB62" s="2" t="s">
        <v>176</v>
      </c>
      <c r="AC62" s="2" t="s">
        <v>177</v>
      </c>
      <c r="AD62" s="2" t="s">
        <v>3594</v>
      </c>
      <c r="AE62" s="22">
        <v>4.6139999999999999</v>
      </c>
      <c r="AF62" s="22">
        <v>4.6139999999999999</v>
      </c>
    </row>
    <row r="63" spans="1:32" x14ac:dyDescent="0.2">
      <c r="A63" s="2" t="s">
        <v>468</v>
      </c>
      <c r="B63" s="22">
        <v>2.696965012711571</v>
      </c>
      <c r="C63" s="22">
        <v>2.8482188329655616</v>
      </c>
      <c r="D63" s="2" t="s">
        <v>257</v>
      </c>
      <c r="E63" s="2" t="s">
        <v>469</v>
      </c>
      <c r="F63" s="2" t="s">
        <v>3595</v>
      </c>
      <c r="G63" s="2" t="s">
        <v>470</v>
      </c>
      <c r="H63" s="2" t="s">
        <v>471</v>
      </c>
      <c r="I63" s="2" t="s">
        <v>257</v>
      </c>
      <c r="J63" s="22">
        <v>1.1499999999999999</v>
      </c>
      <c r="K63" s="2" t="s">
        <v>472</v>
      </c>
      <c r="L63" s="2" t="s">
        <v>473</v>
      </c>
      <c r="M63" s="22">
        <v>1.224</v>
      </c>
      <c r="N63" s="2" t="s">
        <v>49</v>
      </c>
      <c r="O63" s="2" t="s">
        <v>50</v>
      </c>
      <c r="P63" s="2" t="s">
        <v>173</v>
      </c>
      <c r="Q63" s="2" t="s">
        <v>52</v>
      </c>
      <c r="R63" s="2" t="s">
        <v>53</v>
      </c>
      <c r="S63" s="2" t="s">
        <v>54</v>
      </c>
      <c r="T63" s="2" t="s">
        <v>55</v>
      </c>
      <c r="U63" s="2" t="s">
        <v>56</v>
      </c>
      <c r="V63" s="2" t="s">
        <v>57</v>
      </c>
      <c r="W63" s="22">
        <v>143767200</v>
      </c>
      <c r="X63" s="2" t="s">
        <v>120</v>
      </c>
      <c r="Y63" s="2" t="s">
        <v>120</v>
      </c>
      <c r="Z63" s="2" t="s">
        <v>202</v>
      </c>
      <c r="AA63" s="2" t="s">
        <v>203</v>
      </c>
      <c r="AB63" s="2" t="s">
        <v>203</v>
      </c>
      <c r="AC63" s="2" t="s">
        <v>203</v>
      </c>
      <c r="AD63" s="2" t="s">
        <v>3596</v>
      </c>
      <c r="AE63" s="22">
        <v>1.296</v>
      </c>
      <c r="AF63" s="22">
        <v>1.224</v>
      </c>
    </row>
    <row r="64" spans="1:32" x14ac:dyDescent="0.2">
      <c r="A64" s="2" t="s">
        <v>476</v>
      </c>
      <c r="B64" s="22">
        <v>2.2259916028622375</v>
      </c>
      <c r="C64" s="22">
        <v>2.3090478875581288</v>
      </c>
      <c r="D64" s="2" t="s">
        <v>45</v>
      </c>
      <c r="E64" s="2" t="s">
        <v>477</v>
      </c>
      <c r="F64" s="2" t="s">
        <v>3597</v>
      </c>
      <c r="G64" s="2" t="s">
        <v>478</v>
      </c>
      <c r="H64" s="2" t="s">
        <v>479</v>
      </c>
      <c r="I64" s="2" t="s">
        <v>45</v>
      </c>
      <c r="J64" s="22">
        <v>0.375</v>
      </c>
      <c r="K64" s="2" t="s">
        <v>480</v>
      </c>
      <c r="L64" s="2" t="s">
        <v>481</v>
      </c>
      <c r="M64" s="2" t="s">
        <v>54</v>
      </c>
      <c r="N64" s="2" t="s">
        <v>49</v>
      </c>
      <c r="O64" s="2" t="s">
        <v>50</v>
      </c>
      <c r="P64" s="2" t="s">
        <v>225</v>
      </c>
      <c r="Q64" s="2" t="s">
        <v>482</v>
      </c>
      <c r="R64" s="2" t="s">
        <v>53</v>
      </c>
      <c r="S64" s="2" t="s">
        <v>483</v>
      </c>
      <c r="T64" s="2" t="s">
        <v>55</v>
      </c>
      <c r="U64" s="2" t="s">
        <v>56</v>
      </c>
      <c r="V64" s="2" t="s">
        <v>57</v>
      </c>
      <c r="W64" s="22">
        <v>601385000</v>
      </c>
      <c r="X64" s="2" t="s">
        <v>484</v>
      </c>
      <c r="Y64" s="2" t="s">
        <v>485</v>
      </c>
      <c r="Z64" s="2" t="s">
        <v>60</v>
      </c>
      <c r="AA64" s="2" t="s">
        <v>486</v>
      </c>
      <c r="AB64" s="2" t="s">
        <v>487</v>
      </c>
      <c r="AC64" s="2" t="s">
        <v>487</v>
      </c>
      <c r="AD64" s="2" t="s">
        <v>3598</v>
      </c>
      <c r="AE64" s="22">
        <v>0.39200000000000002</v>
      </c>
      <c r="AF64" s="22">
        <v>0.39200000000000002</v>
      </c>
    </row>
    <row r="65" spans="1:32" x14ac:dyDescent="0.2">
      <c r="A65" s="2" t="s">
        <v>490</v>
      </c>
      <c r="B65" s="22">
        <v>3.6698005497134742</v>
      </c>
      <c r="C65" s="22">
        <v>3.771853198399961</v>
      </c>
      <c r="D65" s="2" t="s">
        <v>199</v>
      </c>
      <c r="E65" s="2" t="s">
        <v>491</v>
      </c>
      <c r="F65" s="2" t="s">
        <v>3599</v>
      </c>
      <c r="G65" s="2" t="s">
        <v>492</v>
      </c>
      <c r="H65" s="2" t="s">
        <v>493</v>
      </c>
      <c r="I65" s="2" t="s">
        <v>199</v>
      </c>
      <c r="J65" s="22">
        <v>1.75</v>
      </c>
      <c r="K65" s="2" t="s">
        <v>494</v>
      </c>
      <c r="L65" s="2" t="s">
        <v>495</v>
      </c>
      <c r="M65" s="2" t="s">
        <v>54</v>
      </c>
      <c r="N65" s="2" t="s">
        <v>115</v>
      </c>
      <c r="O65" s="2" t="s">
        <v>116</v>
      </c>
      <c r="P65" s="2" t="s">
        <v>225</v>
      </c>
      <c r="Q65" s="2" t="s">
        <v>52</v>
      </c>
      <c r="R65" s="2" t="s">
        <v>53</v>
      </c>
      <c r="S65" s="2" t="s">
        <v>496</v>
      </c>
      <c r="T65" s="2" t="s">
        <v>55</v>
      </c>
      <c r="U65" s="2" t="s">
        <v>56</v>
      </c>
      <c r="V65" s="2" t="s">
        <v>57</v>
      </c>
      <c r="W65" s="22">
        <v>601335000</v>
      </c>
      <c r="X65" s="2" t="s">
        <v>58</v>
      </c>
      <c r="Y65" s="2" t="s">
        <v>278</v>
      </c>
      <c r="Z65" s="2" t="s">
        <v>60</v>
      </c>
      <c r="AA65" s="2" t="s">
        <v>61</v>
      </c>
      <c r="AB65" s="2" t="s">
        <v>279</v>
      </c>
      <c r="AC65" s="2" t="s">
        <v>280</v>
      </c>
      <c r="AD65" s="2" t="s">
        <v>3600</v>
      </c>
      <c r="AE65" s="22">
        <v>1.7629999999999999</v>
      </c>
      <c r="AF65" s="22">
        <v>1.7629999999999999</v>
      </c>
    </row>
    <row r="66" spans="1:32" x14ac:dyDescent="0.2">
      <c r="A66" s="2" t="s">
        <v>499</v>
      </c>
      <c r="B66" s="22">
        <v>3.6248454848125284</v>
      </c>
      <c r="C66" s="22">
        <v>3.7995491699754202</v>
      </c>
      <c r="D66" s="2" t="s">
        <v>184</v>
      </c>
      <c r="E66" s="2" t="s">
        <v>500</v>
      </c>
      <c r="F66" s="2" t="s">
        <v>3601</v>
      </c>
      <c r="G66" s="2" t="s">
        <v>501</v>
      </c>
      <c r="H66" s="2" t="s">
        <v>502</v>
      </c>
      <c r="I66" s="2" t="s">
        <v>184</v>
      </c>
      <c r="J66" s="22">
        <v>2.125</v>
      </c>
      <c r="K66" s="2" t="s">
        <v>503</v>
      </c>
      <c r="L66" s="2" t="s">
        <v>504</v>
      </c>
      <c r="M66" s="2" t="s">
        <v>54</v>
      </c>
      <c r="N66" s="2" t="s">
        <v>115</v>
      </c>
      <c r="O66" s="2" t="s">
        <v>116</v>
      </c>
      <c r="P66" s="2" t="s">
        <v>173</v>
      </c>
      <c r="Q66" s="2" t="s">
        <v>52</v>
      </c>
      <c r="R66" s="2" t="s">
        <v>53</v>
      </c>
      <c r="S66" s="2" t="s">
        <v>296</v>
      </c>
      <c r="T66" s="2" t="s">
        <v>55</v>
      </c>
      <c r="U66" s="2" t="s">
        <v>56</v>
      </c>
      <c r="V66" s="2" t="s">
        <v>71</v>
      </c>
      <c r="W66" s="22">
        <v>479752000</v>
      </c>
      <c r="X66" s="2" t="s">
        <v>58</v>
      </c>
      <c r="Y66" s="2" t="s">
        <v>505</v>
      </c>
      <c r="Z66" s="2" t="s">
        <v>60</v>
      </c>
      <c r="AA66" s="2" t="s">
        <v>61</v>
      </c>
      <c r="AB66" s="2" t="s">
        <v>176</v>
      </c>
      <c r="AC66" s="2" t="s">
        <v>191</v>
      </c>
      <c r="AD66" s="2" t="s">
        <v>3602</v>
      </c>
      <c r="AE66" s="22">
        <v>1.859</v>
      </c>
      <c r="AF66" s="22">
        <v>1.859</v>
      </c>
    </row>
    <row r="67" spans="1:32" x14ac:dyDescent="0.2">
      <c r="A67" s="2" t="s">
        <v>508</v>
      </c>
      <c r="B67" s="22">
        <v>6.9174056290868728</v>
      </c>
      <c r="C67" s="22">
        <v>6.9623149794371875</v>
      </c>
      <c r="D67" s="2" t="s">
        <v>169</v>
      </c>
      <c r="E67" s="2" t="s">
        <v>509</v>
      </c>
      <c r="F67" s="2" t="s">
        <v>3603</v>
      </c>
      <c r="G67" s="2" t="s">
        <v>510</v>
      </c>
      <c r="H67" s="2" t="s">
        <v>511</v>
      </c>
      <c r="I67" s="2" t="s">
        <v>169</v>
      </c>
      <c r="J67" s="22">
        <v>4.75</v>
      </c>
      <c r="K67" s="2" t="s">
        <v>512</v>
      </c>
      <c r="L67" s="2" t="s">
        <v>513</v>
      </c>
      <c r="M67" s="22">
        <v>4.75</v>
      </c>
      <c r="N67" s="2" t="s">
        <v>115</v>
      </c>
      <c r="O67" s="2" t="s">
        <v>116</v>
      </c>
      <c r="P67" s="2" t="s">
        <v>261</v>
      </c>
      <c r="Q67" s="2" t="s">
        <v>458</v>
      </c>
      <c r="R67" s="2" t="s">
        <v>262</v>
      </c>
      <c r="S67" s="2" t="s">
        <v>350</v>
      </c>
      <c r="T67" s="2" t="s">
        <v>55</v>
      </c>
      <c r="U67" s="2" t="s">
        <v>56</v>
      </c>
      <c r="V67" s="2" t="s">
        <v>71</v>
      </c>
      <c r="W67" s="22">
        <v>350000000</v>
      </c>
      <c r="X67" s="2" t="s">
        <v>85</v>
      </c>
      <c r="Y67" s="2" t="s">
        <v>514</v>
      </c>
      <c r="Z67" s="2" t="s">
        <v>60</v>
      </c>
      <c r="AA67" s="2" t="s">
        <v>61</v>
      </c>
      <c r="AB67" s="2" t="s">
        <v>87</v>
      </c>
      <c r="AC67" s="2" t="s">
        <v>514</v>
      </c>
      <c r="AD67" s="2" t="s">
        <v>3604</v>
      </c>
      <c r="AE67" s="22">
        <v>4.6239999999999997</v>
      </c>
      <c r="AF67" s="22">
        <v>4.75</v>
      </c>
    </row>
    <row r="68" spans="1:32" x14ac:dyDescent="0.2">
      <c r="A68" s="2" t="s">
        <v>517</v>
      </c>
      <c r="B68" s="22">
        <v>8.6486061930797788</v>
      </c>
      <c r="C68" s="22">
        <v>8.8794064248274225</v>
      </c>
      <c r="D68" s="2" t="s">
        <v>169</v>
      </c>
      <c r="E68" s="2" t="s">
        <v>518</v>
      </c>
      <c r="F68" s="2" t="s">
        <v>3605</v>
      </c>
      <c r="G68" s="2" t="s">
        <v>519</v>
      </c>
      <c r="H68" s="2" t="s">
        <v>511</v>
      </c>
      <c r="I68" s="2" t="s">
        <v>169</v>
      </c>
      <c r="J68" s="22">
        <v>5.25</v>
      </c>
      <c r="K68" s="2" t="s">
        <v>512</v>
      </c>
      <c r="L68" s="2" t="s">
        <v>520</v>
      </c>
      <c r="M68" s="22">
        <v>5.25</v>
      </c>
      <c r="N68" s="2" t="s">
        <v>115</v>
      </c>
      <c r="O68" s="2" t="s">
        <v>116</v>
      </c>
      <c r="P68" s="2" t="s">
        <v>261</v>
      </c>
      <c r="Q68" s="2" t="s">
        <v>52</v>
      </c>
      <c r="R68" s="2" t="s">
        <v>53</v>
      </c>
      <c r="S68" s="2" t="s">
        <v>521</v>
      </c>
      <c r="T68" s="2" t="s">
        <v>55</v>
      </c>
      <c r="U68" s="2" t="s">
        <v>56</v>
      </c>
      <c r="V68" s="2" t="s">
        <v>71</v>
      </c>
      <c r="W68" s="22">
        <v>558297400</v>
      </c>
      <c r="X68" s="2" t="s">
        <v>85</v>
      </c>
      <c r="Y68" s="2" t="s">
        <v>514</v>
      </c>
      <c r="Z68" s="2" t="s">
        <v>60</v>
      </c>
      <c r="AA68" s="2" t="s">
        <v>61</v>
      </c>
      <c r="AB68" s="2" t="s">
        <v>87</v>
      </c>
      <c r="AC68" s="2" t="s">
        <v>514</v>
      </c>
      <c r="AD68" s="2" t="s">
        <v>3606</v>
      </c>
      <c r="AE68" s="22">
        <v>5.4210000000000003</v>
      </c>
      <c r="AF68" s="22">
        <v>5.25</v>
      </c>
    </row>
    <row r="69" spans="1:32" x14ac:dyDescent="0.2">
      <c r="A69" s="2" t="s">
        <v>508</v>
      </c>
      <c r="B69" s="22">
        <v>6.9092732912048991</v>
      </c>
      <c r="C69" s="22">
        <v>6.9541606424738687</v>
      </c>
      <c r="D69" s="2" t="s">
        <v>169</v>
      </c>
      <c r="E69" s="2" t="s">
        <v>523</v>
      </c>
      <c r="F69" s="2" t="s">
        <v>3607</v>
      </c>
      <c r="G69" s="2" t="s">
        <v>524</v>
      </c>
      <c r="H69" s="2" t="s">
        <v>511</v>
      </c>
      <c r="I69" s="2" t="s">
        <v>169</v>
      </c>
      <c r="J69" s="22">
        <v>4.75</v>
      </c>
      <c r="K69" s="2" t="s">
        <v>512</v>
      </c>
      <c r="L69" s="2" t="s">
        <v>513</v>
      </c>
      <c r="M69" s="22">
        <v>4.75</v>
      </c>
      <c r="N69" s="2" t="s">
        <v>115</v>
      </c>
      <c r="O69" s="2" t="s">
        <v>116</v>
      </c>
      <c r="P69" s="2" t="s">
        <v>270</v>
      </c>
      <c r="Q69" s="2" t="s">
        <v>458</v>
      </c>
      <c r="R69" s="2" t="s">
        <v>262</v>
      </c>
      <c r="S69" s="2" t="s">
        <v>350</v>
      </c>
      <c r="T69" s="2" t="s">
        <v>55</v>
      </c>
      <c r="U69" s="2" t="s">
        <v>56</v>
      </c>
      <c r="V69" s="2" t="s">
        <v>71</v>
      </c>
      <c r="W69" s="22">
        <v>350000000</v>
      </c>
      <c r="X69" s="2" t="s">
        <v>85</v>
      </c>
      <c r="Y69" s="2" t="s">
        <v>514</v>
      </c>
      <c r="Z69" s="2" t="s">
        <v>60</v>
      </c>
      <c r="AA69" s="2" t="s">
        <v>61</v>
      </c>
      <c r="AB69" s="2" t="s">
        <v>87</v>
      </c>
      <c r="AC69" s="2" t="s">
        <v>514</v>
      </c>
      <c r="AD69" s="2" t="s">
        <v>3608</v>
      </c>
      <c r="AE69" s="22">
        <v>4.641</v>
      </c>
      <c r="AF69" s="22">
        <v>4.75</v>
      </c>
    </row>
    <row r="70" spans="1:32" x14ac:dyDescent="0.2">
      <c r="A70" s="2" t="s">
        <v>517</v>
      </c>
      <c r="B70" s="22">
        <v>8.6329275646163772</v>
      </c>
      <c r="C70" s="22">
        <v>8.872290910227445</v>
      </c>
      <c r="D70" s="2" t="s">
        <v>169</v>
      </c>
      <c r="E70" s="2" t="s">
        <v>525</v>
      </c>
      <c r="F70" s="2" t="s">
        <v>3609</v>
      </c>
      <c r="G70" s="2" t="s">
        <v>526</v>
      </c>
      <c r="H70" s="2" t="s">
        <v>511</v>
      </c>
      <c r="I70" s="2" t="s">
        <v>169</v>
      </c>
      <c r="J70" s="22">
        <v>5.25</v>
      </c>
      <c r="K70" s="2" t="s">
        <v>512</v>
      </c>
      <c r="L70" s="2" t="s">
        <v>520</v>
      </c>
      <c r="M70" s="22">
        <v>5.25</v>
      </c>
      <c r="N70" s="2" t="s">
        <v>115</v>
      </c>
      <c r="O70" s="2" t="s">
        <v>116</v>
      </c>
      <c r="P70" s="2" t="s">
        <v>270</v>
      </c>
      <c r="Q70" s="2" t="s">
        <v>52</v>
      </c>
      <c r="R70" s="2" t="s">
        <v>53</v>
      </c>
      <c r="S70" s="2" t="s">
        <v>521</v>
      </c>
      <c r="T70" s="2" t="s">
        <v>55</v>
      </c>
      <c r="U70" s="2" t="s">
        <v>56</v>
      </c>
      <c r="V70" s="2" t="s">
        <v>71</v>
      </c>
      <c r="W70" s="22">
        <v>558297400</v>
      </c>
      <c r="X70" s="2" t="s">
        <v>85</v>
      </c>
      <c r="Y70" s="2" t="s">
        <v>514</v>
      </c>
      <c r="Z70" s="2" t="s">
        <v>60</v>
      </c>
      <c r="AA70" s="2" t="s">
        <v>61</v>
      </c>
      <c r="AB70" s="2" t="s">
        <v>87</v>
      </c>
      <c r="AC70" s="2" t="s">
        <v>514</v>
      </c>
      <c r="AD70" s="2" t="s">
        <v>3610</v>
      </c>
      <c r="AE70" s="22">
        <v>5.44</v>
      </c>
      <c r="AF70" s="22">
        <v>5.25</v>
      </c>
    </row>
    <row r="71" spans="1:32" x14ac:dyDescent="0.2">
      <c r="A71" s="2" t="s">
        <v>528</v>
      </c>
      <c r="B71" s="22">
        <v>3.451431669896095</v>
      </c>
      <c r="C71" s="22">
        <v>4.191269257784346</v>
      </c>
      <c r="D71" s="2" t="s">
        <v>257</v>
      </c>
      <c r="E71" s="2" t="s">
        <v>529</v>
      </c>
      <c r="F71" s="2" t="s">
        <v>3611</v>
      </c>
      <c r="G71" s="2" t="s">
        <v>530</v>
      </c>
      <c r="H71" s="2" t="s">
        <v>531</v>
      </c>
      <c r="I71" s="2" t="s">
        <v>257</v>
      </c>
      <c r="J71" s="22">
        <v>3.125</v>
      </c>
      <c r="K71" s="2" t="s">
        <v>532</v>
      </c>
      <c r="L71" s="2" t="s">
        <v>533</v>
      </c>
      <c r="M71" s="2" t="s">
        <v>54</v>
      </c>
      <c r="N71" s="2" t="s">
        <v>49</v>
      </c>
      <c r="O71" s="2" t="s">
        <v>50</v>
      </c>
      <c r="P71" s="2" t="s">
        <v>173</v>
      </c>
      <c r="Q71" s="2" t="s">
        <v>52</v>
      </c>
      <c r="R71" s="2" t="s">
        <v>53</v>
      </c>
      <c r="S71" s="2" t="s">
        <v>54</v>
      </c>
      <c r="T71" s="2" t="s">
        <v>55</v>
      </c>
      <c r="U71" s="2" t="s">
        <v>56</v>
      </c>
      <c r="V71" s="2" t="s">
        <v>57</v>
      </c>
      <c r="W71" s="22">
        <v>182463000</v>
      </c>
      <c r="X71" s="2" t="s">
        <v>134</v>
      </c>
      <c r="Y71" s="2" t="s">
        <v>534</v>
      </c>
      <c r="Z71" s="2" t="s">
        <v>60</v>
      </c>
      <c r="AA71" s="2" t="s">
        <v>61</v>
      </c>
      <c r="AB71" s="2" t="s">
        <v>62</v>
      </c>
      <c r="AC71" s="2" t="s">
        <v>62</v>
      </c>
      <c r="AD71" s="2" t="s">
        <v>3612</v>
      </c>
      <c r="AE71" s="22">
        <v>2.6659999999999999</v>
      </c>
      <c r="AF71" s="22">
        <v>2.6659999999999999</v>
      </c>
    </row>
    <row r="72" spans="1:32" x14ac:dyDescent="0.2">
      <c r="A72" s="2" t="s">
        <v>537</v>
      </c>
      <c r="B72" s="22">
        <v>7.4570195120312111</v>
      </c>
      <c r="C72" s="22">
        <v>7.5029434397920687</v>
      </c>
      <c r="D72" s="2" t="s">
        <v>257</v>
      </c>
      <c r="E72" s="2" t="s">
        <v>538</v>
      </c>
      <c r="F72" s="2" t="s">
        <v>3613</v>
      </c>
      <c r="G72" s="2" t="s">
        <v>539</v>
      </c>
      <c r="H72" s="2" t="s">
        <v>540</v>
      </c>
      <c r="I72" s="2" t="s">
        <v>257</v>
      </c>
      <c r="J72" s="22">
        <v>5</v>
      </c>
      <c r="K72" s="2" t="s">
        <v>541</v>
      </c>
      <c r="L72" s="2" t="s">
        <v>542</v>
      </c>
      <c r="M72" s="22">
        <v>5.25</v>
      </c>
      <c r="N72" s="2" t="s">
        <v>115</v>
      </c>
      <c r="O72" s="2" t="s">
        <v>116</v>
      </c>
      <c r="P72" s="2" t="s">
        <v>261</v>
      </c>
      <c r="Q72" s="2" t="s">
        <v>52</v>
      </c>
      <c r="R72" s="2" t="s">
        <v>262</v>
      </c>
      <c r="S72" s="2" t="s">
        <v>296</v>
      </c>
      <c r="T72" s="2" t="s">
        <v>55</v>
      </c>
      <c r="U72" s="2" t="s">
        <v>56</v>
      </c>
      <c r="V72" s="2" t="s">
        <v>71</v>
      </c>
      <c r="W72" s="22">
        <v>400000000</v>
      </c>
      <c r="X72" s="2" t="s">
        <v>134</v>
      </c>
      <c r="Y72" s="2" t="s">
        <v>543</v>
      </c>
      <c r="Z72" s="2" t="s">
        <v>60</v>
      </c>
      <c r="AA72" s="2" t="s">
        <v>61</v>
      </c>
      <c r="AB72" s="2" t="s">
        <v>136</v>
      </c>
      <c r="AC72" s="2" t="s">
        <v>544</v>
      </c>
      <c r="AD72" s="2" t="s">
        <v>3614</v>
      </c>
      <c r="AE72" s="22">
        <v>5.4340000000000002</v>
      </c>
      <c r="AF72" s="22">
        <v>5.25</v>
      </c>
    </row>
    <row r="73" spans="1:32" x14ac:dyDescent="0.2">
      <c r="A73" s="2" t="s">
        <v>537</v>
      </c>
      <c r="B73" s="22">
        <v>7.451146707969575</v>
      </c>
      <c r="C73" s="22">
        <v>7.4979603801522465</v>
      </c>
      <c r="D73" s="2" t="s">
        <v>257</v>
      </c>
      <c r="E73" s="2" t="s">
        <v>547</v>
      </c>
      <c r="F73" s="2" t="s">
        <v>3615</v>
      </c>
      <c r="G73" s="2" t="s">
        <v>548</v>
      </c>
      <c r="H73" s="2" t="s">
        <v>540</v>
      </c>
      <c r="I73" s="2" t="s">
        <v>257</v>
      </c>
      <c r="J73" s="22">
        <v>5</v>
      </c>
      <c r="K73" s="2" t="s">
        <v>541</v>
      </c>
      <c r="L73" s="2" t="s">
        <v>542</v>
      </c>
      <c r="M73" s="22">
        <v>5.25</v>
      </c>
      <c r="N73" s="2" t="s">
        <v>115</v>
      </c>
      <c r="O73" s="2" t="s">
        <v>116</v>
      </c>
      <c r="P73" s="2" t="s">
        <v>270</v>
      </c>
      <c r="Q73" s="2" t="s">
        <v>52</v>
      </c>
      <c r="R73" s="2" t="s">
        <v>262</v>
      </c>
      <c r="S73" s="2" t="s">
        <v>296</v>
      </c>
      <c r="T73" s="2" t="s">
        <v>55</v>
      </c>
      <c r="U73" s="2" t="s">
        <v>56</v>
      </c>
      <c r="V73" s="2" t="s">
        <v>71</v>
      </c>
      <c r="W73" s="22">
        <v>400000000</v>
      </c>
      <c r="X73" s="2" t="s">
        <v>134</v>
      </c>
      <c r="Y73" s="2" t="s">
        <v>543</v>
      </c>
      <c r="Z73" s="2" t="s">
        <v>60</v>
      </c>
      <c r="AA73" s="2" t="s">
        <v>61</v>
      </c>
      <c r="AB73" s="2" t="s">
        <v>136</v>
      </c>
      <c r="AC73" s="2" t="s">
        <v>544</v>
      </c>
      <c r="AD73" s="2" t="s">
        <v>3616</v>
      </c>
      <c r="AE73" s="22">
        <v>5.3920000000000003</v>
      </c>
      <c r="AF73" s="22">
        <v>5.25</v>
      </c>
    </row>
    <row r="74" spans="1:32" x14ac:dyDescent="0.2">
      <c r="A74" s="2" t="s">
        <v>528</v>
      </c>
      <c r="B74" s="22">
        <v>10.601347165858071</v>
      </c>
      <c r="C74" s="22">
        <v>10.91732767178145</v>
      </c>
      <c r="D74" s="2" t="s">
        <v>257</v>
      </c>
      <c r="E74" s="2" t="s">
        <v>550</v>
      </c>
      <c r="F74" s="2" t="s">
        <v>3617</v>
      </c>
      <c r="G74" s="2" t="s">
        <v>551</v>
      </c>
      <c r="H74" s="2" t="s">
        <v>531</v>
      </c>
      <c r="I74" s="2" t="s">
        <v>257</v>
      </c>
      <c r="J74" s="22">
        <v>5.5</v>
      </c>
      <c r="K74" s="2" t="s">
        <v>552</v>
      </c>
      <c r="L74" s="2" t="s">
        <v>173</v>
      </c>
      <c r="M74" s="2" t="s">
        <v>54</v>
      </c>
      <c r="N74" s="2" t="s">
        <v>340</v>
      </c>
      <c r="O74" s="2" t="s">
        <v>116</v>
      </c>
      <c r="P74" s="2" t="s">
        <v>553</v>
      </c>
      <c r="Q74" s="2" t="s">
        <v>554</v>
      </c>
      <c r="R74" s="2" t="s">
        <v>53</v>
      </c>
      <c r="S74" s="2" t="s">
        <v>54</v>
      </c>
      <c r="T74" s="2" t="s">
        <v>55</v>
      </c>
      <c r="U74" s="2" t="s">
        <v>342</v>
      </c>
      <c r="V74" s="2" t="s">
        <v>57</v>
      </c>
      <c r="W74" s="22">
        <v>118745000</v>
      </c>
      <c r="X74" s="2" t="s">
        <v>134</v>
      </c>
      <c r="Y74" s="2" t="s">
        <v>534</v>
      </c>
      <c r="Z74" s="2" t="s">
        <v>60</v>
      </c>
      <c r="AA74" s="2" t="s">
        <v>61</v>
      </c>
      <c r="AB74" s="2" t="s">
        <v>62</v>
      </c>
      <c r="AC74" s="2" t="s">
        <v>62</v>
      </c>
      <c r="AD74" s="2" t="s">
        <v>3618</v>
      </c>
      <c r="AE74" s="22">
        <v>9.7260000000000009</v>
      </c>
      <c r="AF74" s="22">
        <v>9.7260000000000009</v>
      </c>
    </row>
    <row r="75" spans="1:32" x14ac:dyDescent="0.2">
      <c r="A75" s="2" t="s">
        <v>557</v>
      </c>
      <c r="B75" s="22">
        <v>3.3281192352513287</v>
      </c>
      <c r="C75" s="22">
        <v>3.4205943536086041</v>
      </c>
      <c r="D75" s="2" t="s">
        <v>367</v>
      </c>
      <c r="E75" s="2" t="s">
        <v>558</v>
      </c>
      <c r="F75" s="2" t="s">
        <v>3619</v>
      </c>
      <c r="G75" s="2" t="s">
        <v>559</v>
      </c>
      <c r="H75" s="2" t="s">
        <v>560</v>
      </c>
      <c r="I75" s="2" t="s">
        <v>367</v>
      </c>
      <c r="J75" s="22">
        <v>0.875</v>
      </c>
      <c r="K75" s="2" t="s">
        <v>512</v>
      </c>
      <c r="L75" s="2" t="s">
        <v>561</v>
      </c>
      <c r="M75" s="2" t="s">
        <v>54</v>
      </c>
      <c r="N75" s="2" t="s">
        <v>115</v>
      </c>
      <c r="O75" s="2" t="s">
        <v>116</v>
      </c>
      <c r="P75" s="2" t="s">
        <v>173</v>
      </c>
      <c r="Q75" s="2" t="s">
        <v>52</v>
      </c>
      <c r="R75" s="2" t="s">
        <v>53</v>
      </c>
      <c r="S75" s="2" t="s">
        <v>189</v>
      </c>
      <c r="T75" s="2" t="s">
        <v>420</v>
      </c>
      <c r="U75" s="2" t="s">
        <v>56</v>
      </c>
      <c r="V75" s="2" t="s">
        <v>57</v>
      </c>
      <c r="W75" s="22">
        <v>606845000</v>
      </c>
      <c r="X75" s="2" t="s">
        <v>484</v>
      </c>
      <c r="Y75" s="2" t="s">
        <v>562</v>
      </c>
      <c r="Z75" s="2" t="s">
        <v>60</v>
      </c>
      <c r="AA75" s="2" t="s">
        <v>486</v>
      </c>
      <c r="AB75" s="2" t="s">
        <v>563</v>
      </c>
      <c r="AC75" s="2" t="s">
        <v>563</v>
      </c>
      <c r="AD75" s="2" t="s">
        <v>3620</v>
      </c>
      <c r="AE75" s="22">
        <v>1.016</v>
      </c>
      <c r="AF75" s="22">
        <v>1.016</v>
      </c>
    </row>
    <row r="76" spans="1:32" x14ac:dyDescent="0.2">
      <c r="A76" s="2" t="s">
        <v>566</v>
      </c>
      <c r="B76" s="22">
        <v>3.2334240054455203</v>
      </c>
      <c r="C76" s="22">
        <v>3.3538367594560023</v>
      </c>
      <c r="D76" s="2" t="s">
        <v>184</v>
      </c>
      <c r="E76" s="2" t="s">
        <v>567</v>
      </c>
      <c r="F76" s="2" t="s">
        <v>3621</v>
      </c>
      <c r="G76" s="2" t="s">
        <v>568</v>
      </c>
      <c r="H76" s="2" t="s">
        <v>569</v>
      </c>
      <c r="I76" s="2" t="s">
        <v>184</v>
      </c>
      <c r="J76" s="22">
        <v>1</v>
      </c>
      <c r="K76" s="2" t="s">
        <v>512</v>
      </c>
      <c r="L76" s="2" t="s">
        <v>570</v>
      </c>
      <c r="M76" s="2" t="s">
        <v>54</v>
      </c>
      <c r="N76" s="2" t="s">
        <v>115</v>
      </c>
      <c r="O76" s="2" t="s">
        <v>116</v>
      </c>
      <c r="P76" s="2" t="s">
        <v>173</v>
      </c>
      <c r="Q76" s="2" t="s">
        <v>52</v>
      </c>
      <c r="R76" s="2" t="s">
        <v>53</v>
      </c>
      <c r="S76" s="2" t="s">
        <v>496</v>
      </c>
      <c r="T76" s="2" t="s">
        <v>55</v>
      </c>
      <c r="U76" s="2" t="s">
        <v>56</v>
      </c>
      <c r="V76" s="2" t="s">
        <v>57</v>
      </c>
      <c r="W76" s="22">
        <v>364107000</v>
      </c>
      <c r="X76" s="2" t="s">
        <v>85</v>
      </c>
      <c r="Y76" s="2" t="s">
        <v>514</v>
      </c>
      <c r="Z76" s="2" t="s">
        <v>60</v>
      </c>
      <c r="AA76" s="2" t="s">
        <v>61</v>
      </c>
      <c r="AB76" s="2" t="s">
        <v>176</v>
      </c>
      <c r="AC76" s="2" t="s">
        <v>177</v>
      </c>
      <c r="AD76" s="2" t="s">
        <v>3622</v>
      </c>
      <c r="AE76" s="22">
        <v>1.149</v>
      </c>
      <c r="AF76" s="22">
        <v>1.149</v>
      </c>
    </row>
    <row r="77" spans="1:32" x14ac:dyDescent="0.2">
      <c r="A77" s="2" t="s">
        <v>573</v>
      </c>
      <c r="B77" s="22">
        <v>3.4445830523562355</v>
      </c>
      <c r="C77" s="22">
        <v>3.6300521634124601</v>
      </c>
      <c r="D77" s="2" t="s">
        <v>184</v>
      </c>
      <c r="E77" s="2" t="s">
        <v>574</v>
      </c>
      <c r="F77" s="2" t="s">
        <v>3623</v>
      </c>
      <c r="G77" s="2" t="s">
        <v>575</v>
      </c>
      <c r="H77" s="2" t="s">
        <v>576</v>
      </c>
      <c r="I77" s="2" t="s">
        <v>184</v>
      </c>
      <c r="J77" s="22">
        <v>1.625</v>
      </c>
      <c r="K77" s="2" t="s">
        <v>512</v>
      </c>
      <c r="L77" s="2" t="s">
        <v>577</v>
      </c>
      <c r="M77" s="2" t="s">
        <v>54</v>
      </c>
      <c r="N77" s="2" t="s">
        <v>115</v>
      </c>
      <c r="O77" s="2" t="s">
        <v>116</v>
      </c>
      <c r="P77" s="2" t="s">
        <v>173</v>
      </c>
      <c r="Q77" s="2" t="s">
        <v>52</v>
      </c>
      <c r="R77" s="2" t="s">
        <v>53</v>
      </c>
      <c r="S77" s="2" t="s">
        <v>189</v>
      </c>
      <c r="T77" s="2" t="s">
        <v>55</v>
      </c>
      <c r="U77" s="2" t="s">
        <v>56</v>
      </c>
      <c r="V77" s="2" t="s">
        <v>57</v>
      </c>
      <c r="W77" s="22">
        <v>606845000</v>
      </c>
      <c r="X77" s="2" t="s">
        <v>85</v>
      </c>
      <c r="Y77" s="2" t="s">
        <v>264</v>
      </c>
      <c r="Z77" s="2" t="s">
        <v>60</v>
      </c>
      <c r="AA77" s="2" t="s">
        <v>61</v>
      </c>
      <c r="AB77" s="2" t="s">
        <v>176</v>
      </c>
      <c r="AC77" s="2" t="s">
        <v>578</v>
      </c>
      <c r="AD77" s="2" t="s">
        <v>3624</v>
      </c>
      <c r="AE77" s="22">
        <v>1.5329999999999999</v>
      </c>
      <c r="AF77" s="22">
        <v>1.5329999999999999</v>
      </c>
    </row>
    <row r="78" spans="1:32" x14ac:dyDescent="0.2">
      <c r="A78" s="2" t="s">
        <v>344</v>
      </c>
      <c r="B78" s="22">
        <v>5.2790600503312168</v>
      </c>
      <c r="C78" s="22">
        <v>5.4515828366646391</v>
      </c>
      <c r="D78" s="2" t="s">
        <v>184</v>
      </c>
      <c r="E78" s="2" t="s">
        <v>581</v>
      </c>
      <c r="F78" s="2" t="s">
        <v>3625</v>
      </c>
      <c r="G78" s="2" t="s">
        <v>582</v>
      </c>
      <c r="H78" s="2" t="s">
        <v>347</v>
      </c>
      <c r="I78" s="2" t="s">
        <v>184</v>
      </c>
      <c r="J78" s="22">
        <v>3.125</v>
      </c>
      <c r="K78" s="2" t="s">
        <v>583</v>
      </c>
      <c r="L78" s="2" t="s">
        <v>584</v>
      </c>
      <c r="M78" s="22">
        <v>3.125</v>
      </c>
      <c r="N78" s="2" t="s">
        <v>115</v>
      </c>
      <c r="O78" s="2" t="s">
        <v>116</v>
      </c>
      <c r="P78" s="2" t="s">
        <v>261</v>
      </c>
      <c r="Q78" s="2" t="s">
        <v>52</v>
      </c>
      <c r="R78" s="2" t="s">
        <v>53</v>
      </c>
      <c r="S78" s="2" t="s">
        <v>350</v>
      </c>
      <c r="T78" s="2" t="s">
        <v>55</v>
      </c>
      <c r="U78" s="2" t="s">
        <v>56</v>
      </c>
      <c r="V78" s="2" t="s">
        <v>71</v>
      </c>
      <c r="W78" s="22">
        <v>366363000</v>
      </c>
      <c r="X78" s="2" t="s">
        <v>85</v>
      </c>
      <c r="Y78" s="2" t="s">
        <v>86</v>
      </c>
      <c r="Z78" s="2" t="s">
        <v>60</v>
      </c>
      <c r="AA78" s="2" t="s">
        <v>61</v>
      </c>
      <c r="AB78" s="2" t="s">
        <v>87</v>
      </c>
      <c r="AC78" s="2" t="s">
        <v>88</v>
      </c>
      <c r="AD78" s="2" t="s">
        <v>3626</v>
      </c>
      <c r="AE78" s="22">
        <v>3.0640000000000001</v>
      </c>
      <c r="AF78" s="22">
        <v>3.125</v>
      </c>
    </row>
    <row r="79" spans="1:32" x14ac:dyDescent="0.2">
      <c r="A79" s="2" t="s">
        <v>344</v>
      </c>
      <c r="B79" s="22">
        <v>5.2518515505451528</v>
      </c>
      <c r="C79" s="22">
        <v>5.4412225181356346</v>
      </c>
      <c r="D79" s="2" t="s">
        <v>184</v>
      </c>
      <c r="E79" s="2" t="s">
        <v>587</v>
      </c>
      <c r="F79" s="2" t="s">
        <v>3627</v>
      </c>
      <c r="G79" s="2" t="s">
        <v>588</v>
      </c>
      <c r="H79" s="2" t="s">
        <v>347</v>
      </c>
      <c r="I79" s="2" t="s">
        <v>184</v>
      </c>
      <c r="J79" s="22">
        <v>3.125</v>
      </c>
      <c r="K79" s="2" t="s">
        <v>583</v>
      </c>
      <c r="L79" s="2" t="s">
        <v>584</v>
      </c>
      <c r="M79" s="22">
        <v>3.125</v>
      </c>
      <c r="N79" s="2" t="s">
        <v>115</v>
      </c>
      <c r="O79" s="2" t="s">
        <v>116</v>
      </c>
      <c r="P79" s="2" t="s">
        <v>270</v>
      </c>
      <c r="Q79" s="2" t="s">
        <v>52</v>
      </c>
      <c r="R79" s="2" t="s">
        <v>53</v>
      </c>
      <c r="S79" s="2" t="s">
        <v>350</v>
      </c>
      <c r="T79" s="2" t="s">
        <v>55</v>
      </c>
      <c r="U79" s="2" t="s">
        <v>56</v>
      </c>
      <c r="V79" s="2" t="s">
        <v>71</v>
      </c>
      <c r="W79" s="22">
        <v>366363000</v>
      </c>
      <c r="X79" s="2" t="s">
        <v>85</v>
      </c>
      <c r="Y79" s="2" t="s">
        <v>86</v>
      </c>
      <c r="Z79" s="2" t="s">
        <v>60</v>
      </c>
      <c r="AA79" s="2" t="s">
        <v>61</v>
      </c>
      <c r="AB79" s="2" t="s">
        <v>87</v>
      </c>
      <c r="AC79" s="2" t="s">
        <v>88</v>
      </c>
      <c r="AD79" s="2" t="s">
        <v>3628</v>
      </c>
      <c r="AE79" s="22">
        <v>3.0640000000000001</v>
      </c>
      <c r="AF79" s="22">
        <v>3.125</v>
      </c>
    </row>
    <row r="80" spans="1:32" x14ac:dyDescent="0.2">
      <c r="A80" s="2" t="s">
        <v>590</v>
      </c>
      <c r="B80" s="22">
        <v>4.1937388061213392</v>
      </c>
      <c r="C80" s="22">
        <v>4.2933431445815424</v>
      </c>
      <c r="D80" s="2" t="s">
        <v>594</v>
      </c>
      <c r="E80" s="2" t="s">
        <v>591</v>
      </c>
      <c r="F80" s="2" t="s">
        <v>3629</v>
      </c>
      <c r="G80" s="2" t="s">
        <v>592</v>
      </c>
      <c r="H80" s="2" t="s">
        <v>593</v>
      </c>
      <c r="I80" s="2" t="s">
        <v>594</v>
      </c>
      <c r="J80" s="22">
        <v>1.75</v>
      </c>
      <c r="K80" s="2" t="s">
        <v>596</v>
      </c>
      <c r="L80" s="2" t="s">
        <v>597</v>
      </c>
      <c r="M80" s="2" t="s">
        <v>54</v>
      </c>
      <c r="N80" s="2" t="s">
        <v>115</v>
      </c>
      <c r="O80" s="2" t="s">
        <v>116</v>
      </c>
      <c r="P80" s="2" t="s">
        <v>173</v>
      </c>
      <c r="Q80" s="2" t="s">
        <v>52</v>
      </c>
      <c r="R80" s="2" t="s">
        <v>53</v>
      </c>
      <c r="S80" s="2" t="s">
        <v>174</v>
      </c>
      <c r="T80" s="2" t="s">
        <v>55</v>
      </c>
      <c r="U80" s="2" t="s">
        <v>56</v>
      </c>
      <c r="V80" s="2" t="s">
        <v>57</v>
      </c>
      <c r="W80" s="22">
        <v>848428000</v>
      </c>
      <c r="X80" s="2" t="s">
        <v>484</v>
      </c>
      <c r="Y80" s="2" t="s">
        <v>598</v>
      </c>
      <c r="Z80" s="2" t="s">
        <v>60</v>
      </c>
      <c r="AA80" s="2" t="s">
        <v>486</v>
      </c>
      <c r="AB80" s="2" t="s">
        <v>599</v>
      </c>
      <c r="AC80" s="2" t="s">
        <v>600</v>
      </c>
      <c r="AD80" s="2" t="s">
        <v>3630</v>
      </c>
      <c r="AE80" s="22">
        <v>1.85</v>
      </c>
      <c r="AF80" s="22">
        <v>1.85</v>
      </c>
    </row>
    <row r="81" spans="1:32" x14ac:dyDescent="0.2">
      <c r="A81" s="2" t="s">
        <v>603</v>
      </c>
      <c r="B81" s="22">
        <v>6.0730718394040979</v>
      </c>
      <c r="C81" s="22">
        <v>6.6882387582491889</v>
      </c>
      <c r="D81" s="2" t="s">
        <v>367</v>
      </c>
      <c r="E81" s="2" t="s">
        <v>604</v>
      </c>
      <c r="F81" s="2" t="s">
        <v>3631</v>
      </c>
      <c r="G81" s="2" t="s">
        <v>605</v>
      </c>
      <c r="H81" s="2" t="s">
        <v>606</v>
      </c>
      <c r="I81" s="2" t="s">
        <v>367</v>
      </c>
      <c r="J81" s="22">
        <v>6.79</v>
      </c>
      <c r="K81" s="2" t="s">
        <v>607</v>
      </c>
      <c r="L81" s="2" t="s">
        <v>608</v>
      </c>
      <c r="M81" s="2" t="s">
        <v>54</v>
      </c>
      <c r="N81" s="2" t="s">
        <v>115</v>
      </c>
      <c r="O81" s="2" t="s">
        <v>116</v>
      </c>
      <c r="P81" s="2" t="s">
        <v>173</v>
      </c>
      <c r="Q81" s="2" t="s">
        <v>458</v>
      </c>
      <c r="R81" s="2" t="s">
        <v>609</v>
      </c>
      <c r="S81" s="2" t="s">
        <v>54</v>
      </c>
      <c r="T81" s="2" t="s">
        <v>55</v>
      </c>
      <c r="U81" s="2" t="s">
        <v>70</v>
      </c>
      <c r="V81" s="2" t="s">
        <v>391</v>
      </c>
      <c r="W81" s="22">
        <v>114812250</v>
      </c>
      <c r="X81" s="2" t="s">
        <v>58</v>
      </c>
      <c r="Y81" s="2" t="s">
        <v>59</v>
      </c>
      <c r="Z81" s="2" t="s">
        <v>60</v>
      </c>
      <c r="AA81" s="2" t="s">
        <v>61</v>
      </c>
      <c r="AB81" s="2" t="s">
        <v>176</v>
      </c>
      <c r="AC81" s="2" t="s">
        <v>191</v>
      </c>
      <c r="AD81" s="2" t="s">
        <v>3632</v>
      </c>
      <c r="AE81" s="2" t="s">
        <v>54</v>
      </c>
      <c r="AF81" s="2" t="s">
        <v>54</v>
      </c>
    </row>
    <row r="82" spans="1:32" x14ac:dyDescent="0.2">
      <c r="A82" s="2" t="s">
        <v>613</v>
      </c>
      <c r="B82" s="22">
        <v>2.0988466615968084</v>
      </c>
      <c r="C82" s="22">
        <v>2.1519236700504125</v>
      </c>
      <c r="D82" s="2" t="s">
        <v>199</v>
      </c>
      <c r="E82" s="2" t="s">
        <v>614</v>
      </c>
      <c r="F82" s="2" t="s">
        <v>3633</v>
      </c>
      <c r="G82" s="2" t="s">
        <v>615</v>
      </c>
      <c r="H82" s="2" t="s">
        <v>616</v>
      </c>
      <c r="I82" s="2" t="s">
        <v>199</v>
      </c>
      <c r="J82" s="22">
        <v>0.375</v>
      </c>
      <c r="K82" s="2" t="s">
        <v>617</v>
      </c>
      <c r="L82" s="2" t="s">
        <v>618</v>
      </c>
      <c r="M82" s="2" t="s">
        <v>54</v>
      </c>
      <c r="N82" s="2" t="s">
        <v>49</v>
      </c>
      <c r="O82" s="2" t="s">
        <v>50</v>
      </c>
      <c r="P82" s="2" t="s">
        <v>225</v>
      </c>
      <c r="Q82" s="2" t="s">
        <v>52</v>
      </c>
      <c r="R82" s="2" t="s">
        <v>53</v>
      </c>
      <c r="S82" s="2" t="s">
        <v>619</v>
      </c>
      <c r="T82" s="2" t="s">
        <v>117</v>
      </c>
      <c r="U82" s="2" t="s">
        <v>56</v>
      </c>
      <c r="V82" s="2" t="s">
        <v>57</v>
      </c>
      <c r="W82" s="22">
        <v>1212220000</v>
      </c>
      <c r="X82" s="2" t="s">
        <v>213</v>
      </c>
      <c r="Y82" s="2" t="s">
        <v>620</v>
      </c>
      <c r="Z82" s="2" t="s">
        <v>60</v>
      </c>
      <c r="AA82" s="2" t="s">
        <v>61</v>
      </c>
      <c r="AB82" s="2" t="s">
        <v>213</v>
      </c>
      <c r="AC82" s="2" t="s">
        <v>621</v>
      </c>
      <c r="AD82" s="2" t="s">
        <v>3634</v>
      </c>
      <c r="AE82" s="22">
        <v>0.29399999999999998</v>
      </c>
      <c r="AF82" s="22">
        <v>0.29399999999999998</v>
      </c>
    </row>
    <row r="83" spans="1:32" x14ac:dyDescent="0.2">
      <c r="A83" s="2" t="s">
        <v>624</v>
      </c>
      <c r="B83" s="2" t="s">
        <v>54</v>
      </c>
      <c r="C83" s="2" t="s">
        <v>54</v>
      </c>
      <c r="D83" s="2" t="s">
        <v>45</v>
      </c>
      <c r="E83" s="2" t="s">
        <v>625</v>
      </c>
      <c r="F83" s="2" t="s">
        <v>173</v>
      </c>
      <c r="G83" s="2" t="s">
        <v>626</v>
      </c>
      <c r="H83" s="2" t="s">
        <v>627</v>
      </c>
      <c r="I83" s="2" t="s">
        <v>45</v>
      </c>
      <c r="J83" s="22">
        <v>0</v>
      </c>
      <c r="K83" s="2" t="s">
        <v>628</v>
      </c>
      <c r="L83" s="2" t="s">
        <v>629</v>
      </c>
      <c r="M83" s="2" t="s">
        <v>54</v>
      </c>
      <c r="N83" s="2" t="s">
        <v>49</v>
      </c>
      <c r="O83" s="2" t="s">
        <v>50</v>
      </c>
      <c r="P83" s="2" t="s">
        <v>161</v>
      </c>
      <c r="Q83" s="2" t="s">
        <v>52</v>
      </c>
      <c r="R83" s="2" t="s">
        <v>53</v>
      </c>
      <c r="S83" s="2" t="s">
        <v>54</v>
      </c>
      <c r="T83" s="2" t="s">
        <v>55</v>
      </c>
      <c r="U83" s="2" t="s">
        <v>70</v>
      </c>
      <c r="V83" s="2" t="s">
        <v>71</v>
      </c>
      <c r="W83" s="22">
        <v>413514500</v>
      </c>
      <c r="X83" s="2" t="s">
        <v>134</v>
      </c>
      <c r="Y83" s="2" t="s">
        <v>543</v>
      </c>
      <c r="Z83" s="2" t="s">
        <v>60</v>
      </c>
      <c r="AA83" s="2" t="s">
        <v>61</v>
      </c>
      <c r="AB83" s="2" t="s">
        <v>136</v>
      </c>
      <c r="AC83" s="2" t="s">
        <v>544</v>
      </c>
      <c r="AD83" s="2" t="s">
        <v>3635</v>
      </c>
      <c r="AE83" s="2" t="s">
        <v>54</v>
      </c>
      <c r="AF83" s="2" t="s">
        <v>54</v>
      </c>
    </row>
    <row r="84" spans="1:32" x14ac:dyDescent="0.2">
      <c r="A84" s="2" t="s">
        <v>624</v>
      </c>
      <c r="B84" s="2" t="s">
        <v>54</v>
      </c>
      <c r="C84" s="2" t="s">
        <v>54</v>
      </c>
      <c r="D84" s="2" t="s">
        <v>45</v>
      </c>
      <c r="E84" s="2" t="s">
        <v>632</v>
      </c>
      <c r="F84" s="2" t="s">
        <v>173</v>
      </c>
      <c r="G84" s="2" t="s">
        <v>633</v>
      </c>
      <c r="H84" s="2" t="s">
        <v>627</v>
      </c>
      <c r="I84" s="2" t="s">
        <v>45</v>
      </c>
      <c r="J84" s="22">
        <v>0</v>
      </c>
      <c r="K84" s="2" t="s">
        <v>628</v>
      </c>
      <c r="L84" s="2" t="s">
        <v>634</v>
      </c>
      <c r="M84" s="2" t="s">
        <v>54</v>
      </c>
      <c r="N84" s="2" t="s">
        <v>49</v>
      </c>
      <c r="O84" s="2" t="s">
        <v>50</v>
      </c>
      <c r="P84" s="2" t="s">
        <v>76</v>
      </c>
      <c r="Q84" s="2" t="s">
        <v>52</v>
      </c>
      <c r="R84" s="2" t="s">
        <v>53</v>
      </c>
      <c r="S84" s="2" t="s">
        <v>54</v>
      </c>
      <c r="T84" s="2" t="s">
        <v>55</v>
      </c>
      <c r="U84" s="2" t="s">
        <v>70</v>
      </c>
      <c r="V84" s="2" t="s">
        <v>71</v>
      </c>
      <c r="W84" s="22">
        <v>413514500</v>
      </c>
      <c r="X84" s="2" t="s">
        <v>134</v>
      </c>
      <c r="Y84" s="2" t="s">
        <v>543</v>
      </c>
      <c r="Z84" s="2" t="s">
        <v>60</v>
      </c>
      <c r="AA84" s="2" t="s">
        <v>61</v>
      </c>
      <c r="AB84" s="2" t="s">
        <v>136</v>
      </c>
      <c r="AC84" s="2" t="s">
        <v>544</v>
      </c>
      <c r="AD84" s="2" t="s">
        <v>3636</v>
      </c>
      <c r="AE84" s="2" t="s">
        <v>54</v>
      </c>
      <c r="AF84" s="2" t="s">
        <v>54</v>
      </c>
    </row>
    <row r="85" spans="1:32" x14ac:dyDescent="0.2">
      <c r="A85" s="2" t="s">
        <v>624</v>
      </c>
      <c r="B85" s="2" t="s">
        <v>54</v>
      </c>
      <c r="C85" s="2" t="s">
        <v>54</v>
      </c>
      <c r="D85" s="2" t="s">
        <v>45</v>
      </c>
      <c r="E85" s="2" t="s">
        <v>635</v>
      </c>
      <c r="F85" s="2" t="s">
        <v>173</v>
      </c>
      <c r="G85" s="2" t="s">
        <v>636</v>
      </c>
      <c r="H85" s="2" t="s">
        <v>627</v>
      </c>
      <c r="I85" s="2" t="s">
        <v>45</v>
      </c>
      <c r="J85" s="22">
        <v>0</v>
      </c>
      <c r="K85" s="2" t="s">
        <v>628</v>
      </c>
      <c r="L85" s="2" t="s">
        <v>637</v>
      </c>
      <c r="M85" s="2" t="s">
        <v>54</v>
      </c>
      <c r="N85" s="2" t="s">
        <v>49</v>
      </c>
      <c r="O85" s="2" t="s">
        <v>50</v>
      </c>
      <c r="P85" s="2" t="s">
        <v>69</v>
      </c>
      <c r="Q85" s="2" t="s">
        <v>52</v>
      </c>
      <c r="R85" s="2" t="s">
        <v>53</v>
      </c>
      <c r="S85" s="2" t="s">
        <v>54</v>
      </c>
      <c r="T85" s="2" t="s">
        <v>55</v>
      </c>
      <c r="U85" s="2" t="s">
        <v>70</v>
      </c>
      <c r="V85" s="2" t="s">
        <v>71</v>
      </c>
      <c r="W85" s="22">
        <v>413514500</v>
      </c>
      <c r="X85" s="2" t="s">
        <v>134</v>
      </c>
      <c r="Y85" s="2" t="s">
        <v>543</v>
      </c>
      <c r="Z85" s="2" t="s">
        <v>60</v>
      </c>
      <c r="AA85" s="2" t="s">
        <v>61</v>
      </c>
      <c r="AB85" s="2" t="s">
        <v>136</v>
      </c>
      <c r="AC85" s="2" t="s">
        <v>544</v>
      </c>
      <c r="AD85" s="2" t="s">
        <v>3637</v>
      </c>
      <c r="AE85" s="2" t="s">
        <v>54</v>
      </c>
      <c r="AF85" s="2" t="s">
        <v>54</v>
      </c>
    </row>
    <row r="86" spans="1:32" x14ac:dyDescent="0.2">
      <c r="A86" s="2" t="s">
        <v>624</v>
      </c>
      <c r="B86" s="2" t="s">
        <v>54</v>
      </c>
      <c r="C86" s="2" t="s">
        <v>54</v>
      </c>
      <c r="D86" s="2" t="s">
        <v>45</v>
      </c>
      <c r="E86" s="2" t="s">
        <v>638</v>
      </c>
      <c r="F86" s="2" t="s">
        <v>173</v>
      </c>
      <c r="G86" s="2" t="s">
        <v>639</v>
      </c>
      <c r="H86" s="2" t="s">
        <v>627</v>
      </c>
      <c r="I86" s="2" t="s">
        <v>45</v>
      </c>
      <c r="J86" s="22">
        <v>0</v>
      </c>
      <c r="K86" s="2" t="s">
        <v>628</v>
      </c>
      <c r="L86" s="2" t="s">
        <v>640</v>
      </c>
      <c r="M86" s="2" t="s">
        <v>54</v>
      </c>
      <c r="N86" s="2" t="s">
        <v>49</v>
      </c>
      <c r="O86" s="2" t="s">
        <v>50</v>
      </c>
      <c r="P86" s="2" t="s">
        <v>51</v>
      </c>
      <c r="Q86" s="2" t="s">
        <v>52</v>
      </c>
      <c r="R86" s="2" t="s">
        <v>53</v>
      </c>
      <c r="S86" s="2" t="s">
        <v>54</v>
      </c>
      <c r="T86" s="2" t="s">
        <v>55</v>
      </c>
      <c r="U86" s="2" t="s">
        <v>56</v>
      </c>
      <c r="V86" s="2" t="s">
        <v>57</v>
      </c>
      <c r="W86" s="22">
        <v>413514500</v>
      </c>
      <c r="X86" s="2" t="s">
        <v>134</v>
      </c>
      <c r="Y86" s="2" t="s">
        <v>543</v>
      </c>
      <c r="Z86" s="2" t="s">
        <v>60</v>
      </c>
      <c r="AA86" s="2" t="s">
        <v>61</v>
      </c>
      <c r="AB86" s="2" t="s">
        <v>136</v>
      </c>
      <c r="AC86" s="2" t="s">
        <v>544</v>
      </c>
      <c r="AD86" s="2" t="s">
        <v>3638</v>
      </c>
      <c r="AE86" s="2" t="s">
        <v>54</v>
      </c>
      <c r="AF86" s="2" t="s">
        <v>54</v>
      </c>
    </row>
    <row r="87" spans="1:32" x14ac:dyDescent="0.2">
      <c r="A87" s="2" t="s">
        <v>641</v>
      </c>
      <c r="B87" s="22">
        <v>1.9229293388013158</v>
      </c>
      <c r="C87" s="22">
        <v>1.9876319190867076</v>
      </c>
      <c r="D87" s="2" t="s">
        <v>366</v>
      </c>
      <c r="E87" s="2" t="s">
        <v>642</v>
      </c>
      <c r="F87" s="2" t="s">
        <v>3639</v>
      </c>
      <c r="G87" s="2" t="s">
        <v>643</v>
      </c>
      <c r="H87" s="2" t="s">
        <v>644</v>
      </c>
      <c r="I87" s="2" t="s">
        <v>366</v>
      </c>
      <c r="J87" s="22">
        <v>0</v>
      </c>
      <c r="K87" s="2" t="s">
        <v>645</v>
      </c>
      <c r="L87" s="2" t="s">
        <v>646</v>
      </c>
      <c r="M87" s="2" t="s">
        <v>54</v>
      </c>
      <c r="N87" s="2" t="s">
        <v>115</v>
      </c>
      <c r="O87" s="2" t="s">
        <v>116</v>
      </c>
      <c r="P87" s="2" t="s">
        <v>225</v>
      </c>
      <c r="Q87" s="2" t="s">
        <v>52</v>
      </c>
      <c r="R87" s="2" t="s">
        <v>53</v>
      </c>
      <c r="S87" s="2" t="s">
        <v>619</v>
      </c>
      <c r="T87" s="2" t="s">
        <v>55</v>
      </c>
      <c r="U87" s="2" t="s">
        <v>56</v>
      </c>
      <c r="V87" s="2" t="s">
        <v>57</v>
      </c>
      <c r="W87" s="22">
        <v>1189610000</v>
      </c>
      <c r="X87" s="2" t="s">
        <v>120</v>
      </c>
      <c r="Y87" s="2" t="s">
        <v>120</v>
      </c>
      <c r="Z87" s="2" t="s">
        <v>60</v>
      </c>
      <c r="AA87" s="2" t="s">
        <v>121</v>
      </c>
      <c r="AB87" s="2" t="s">
        <v>122</v>
      </c>
      <c r="AC87" s="2" t="s">
        <v>122</v>
      </c>
      <c r="AD87" s="2" t="s">
        <v>3640</v>
      </c>
      <c r="AE87" s="22">
        <v>0.16600000000000001</v>
      </c>
      <c r="AF87" s="22">
        <v>0.16600000000000001</v>
      </c>
    </row>
    <row r="88" spans="1:32" x14ac:dyDescent="0.2">
      <c r="A88" s="2" t="s">
        <v>641</v>
      </c>
      <c r="B88" s="22">
        <v>2.4499038128506228</v>
      </c>
      <c r="C88" s="22">
        <v>2.5100697007086104</v>
      </c>
      <c r="D88" s="2" t="s">
        <v>366</v>
      </c>
      <c r="E88" s="2" t="s">
        <v>649</v>
      </c>
      <c r="F88" s="2" t="s">
        <v>3641</v>
      </c>
      <c r="G88" s="2" t="s">
        <v>650</v>
      </c>
      <c r="H88" s="2" t="s">
        <v>644</v>
      </c>
      <c r="I88" s="2" t="s">
        <v>366</v>
      </c>
      <c r="J88" s="22">
        <v>0.5</v>
      </c>
      <c r="K88" s="2" t="s">
        <v>645</v>
      </c>
      <c r="L88" s="2" t="s">
        <v>651</v>
      </c>
      <c r="M88" s="2" t="s">
        <v>54</v>
      </c>
      <c r="N88" s="2" t="s">
        <v>115</v>
      </c>
      <c r="O88" s="2" t="s">
        <v>116</v>
      </c>
      <c r="P88" s="2" t="s">
        <v>225</v>
      </c>
      <c r="Q88" s="2" t="s">
        <v>52</v>
      </c>
      <c r="R88" s="2" t="s">
        <v>53</v>
      </c>
      <c r="S88" s="2" t="s">
        <v>619</v>
      </c>
      <c r="T88" s="2" t="s">
        <v>55</v>
      </c>
      <c r="U88" s="2" t="s">
        <v>56</v>
      </c>
      <c r="V88" s="2" t="s">
        <v>57</v>
      </c>
      <c r="W88" s="22">
        <v>1487012500</v>
      </c>
      <c r="X88" s="2" t="s">
        <v>120</v>
      </c>
      <c r="Y88" s="2" t="s">
        <v>120</v>
      </c>
      <c r="Z88" s="2" t="s">
        <v>60</v>
      </c>
      <c r="AA88" s="2" t="s">
        <v>121</v>
      </c>
      <c r="AB88" s="2" t="s">
        <v>122</v>
      </c>
      <c r="AC88" s="2" t="s">
        <v>122</v>
      </c>
      <c r="AD88" s="2" t="s">
        <v>3642</v>
      </c>
      <c r="AE88" s="22">
        <v>0.49399999999999999</v>
      </c>
      <c r="AF88" s="22">
        <v>0.49399999999999999</v>
      </c>
    </row>
    <row r="89" spans="1:32" x14ac:dyDescent="0.2">
      <c r="A89" s="2" t="s">
        <v>641</v>
      </c>
      <c r="B89" s="22">
        <v>2.9294723955847854</v>
      </c>
      <c r="C89" s="22">
        <v>2.9933637340455381</v>
      </c>
      <c r="D89" s="2" t="s">
        <v>366</v>
      </c>
      <c r="E89" s="2" t="s">
        <v>653</v>
      </c>
      <c r="F89" s="2" t="s">
        <v>3643</v>
      </c>
      <c r="G89" s="2" t="s">
        <v>654</v>
      </c>
      <c r="H89" s="2" t="s">
        <v>644</v>
      </c>
      <c r="I89" s="2" t="s">
        <v>366</v>
      </c>
      <c r="J89" s="22">
        <v>0.875</v>
      </c>
      <c r="K89" s="2" t="s">
        <v>645</v>
      </c>
      <c r="L89" s="2" t="s">
        <v>655</v>
      </c>
      <c r="M89" s="2" t="s">
        <v>54</v>
      </c>
      <c r="N89" s="2" t="s">
        <v>115</v>
      </c>
      <c r="O89" s="2" t="s">
        <v>116</v>
      </c>
      <c r="P89" s="2" t="s">
        <v>225</v>
      </c>
      <c r="Q89" s="2" t="s">
        <v>52</v>
      </c>
      <c r="R89" s="2" t="s">
        <v>53</v>
      </c>
      <c r="S89" s="2" t="s">
        <v>619</v>
      </c>
      <c r="T89" s="2" t="s">
        <v>55</v>
      </c>
      <c r="U89" s="2" t="s">
        <v>56</v>
      </c>
      <c r="V89" s="2" t="s">
        <v>57</v>
      </c>
      <c r="W89" s="22">
        <v>1189610000</v>
      </c>
      <c r="X89" s="2" t="s">
        <v>120</v>
      </c>
      <c r="Y89" s="2" t="s">
        <v>120</v>
      </c>
      <c r="Z89" s="2" t="s">
        <v>60</v>
      </c>
      <c r="AA89" s="2" t="s">
        <v>121</v>
      </c>
      <c r="AB89" s="2" t="s">
        <v>122</v>
      </c>
      <c r="AC89" s="2" t="s">
        <v>122</v>
      </c>
      <c r="AD89" s="2" t="s">
        <v>3644</v>
      </c>
      <c r="AE89" s="22">
        <v>0.92100000000000004</v>
      </c>
      <c r="AF89" s="22">
        <v>0.92100000000000004</v>
      </c>
    </row>
    <row r="90" spans="1:32" x14ac:dyDescent="0.2">
      <c r="A90" s="2" t="s">
        <v>657</v>
      </c>
      <c r="B90" s="22">
        <v>5.8358173380044933</v>
      </c>
      <c r="C90" s="22">
        <v>5.8908671646450737</v>
      </c>
      <c r="D90" s="2" t="s">
        <v>169</v>
      </c>
      <c r="E90" s="2" t="s">
        <v>658</v>
      </c>
      <c r="F90" s="2" t="s">
        <v>3645</v>
      </c>
      <c r="G90" s="2" t="s">
        <v>659</v>
      </c>
      <c r="H90" s="2" t="s">
        <v>660</v>
      </c>
      <c r="I90" s="2" t="s">
        <v>169</v>
      </c>
      <c r="J90" s="22">
        <v>3.625</v>
      </c>
      <c r="K90" s="2" t="s">
        <v>661</v>
      </c>
      <c r="L90" s="2" t="s">
        <v>662</v>
      </c>
      <c r="M90" s="22">
        <v>3.75</v>
      </c>
      <c r="N90" s="2" t="s">
        <v>115</v>
      </c>
      <c r="O90" s="2" t="s">
        <v>116</v>
      </c>
      <c r="P90" s="2" t="s">
        <v>261</v>
      </c>
      <c r="Q90" s="2" t="s">
        <v>52</v>
      </c>
      <c r="R90" s="2" t="s">
        <v>262</v>
      </c>
      <c r="S90" s="2" t="s">
        <v>496</v>
      </c>
      <c r="T90" s="2" t="s">
        <v>55</v>
      </c>
      <c r="U90" s="2" t="s">
        <v>56</v>
      </c>
      <c r="V90" s="2" t="s">
        <v>71</v>
      </c>
      <c r="W90" s="22">
        <v>1000000000</v>
      </c>
      <c r="X90" s="2" t="s">
        <v>421</v>
      </c>
      <c r="Y90" s="2" t="s">
        <v>663</v>
      </c>
      <c r="Z90" s="2" t="s">
        <v>60</v>
      </c>
      <c r="AA90" s="2" t="s">
        <v>61</v>
      </c>
      <c r="AB90" s="2" t="s">
        <v>227</v>
      </c>
      <c r="AC90" s="2" t="s">
        <v>664</v>
      </c>
      <c r="AD90" s="2" t="s">
        <v>3646</v>
      </c>
      <c r="AE90" s="22">
        <v>3.6890000000000001</v>
      </c>
      <c r="AF90" s="22">
        <v>3.75</v>
      </c>
    </row>
    <row r="91" spans="1:32" x14ac:dyDescent="0.2">
      <c r="A91" s="2" t="s">
        <v>657</v>
      </c>
      <c r="B91" s="22">
        <v>5.7846704694230127</v>
      </c>
      <c r="C91" s="22">
        <v>5.8891902214516048</v>
      </c>
      <c r="D91" s="2" t="s">
        <v>169</v>
      </c>
      <c r="E91" s="2" t="s">
        <v>667</v>
      </c>
      <c r="F91" s="2" t="s">
        <v>3647</v>
      </c>
      <c r="G91" s="2" t="s">
        <v>668</v>
      </c>
      <c r="H91" s="2" t="s">
        <v>660</v>
      </c>
      <c r="I91" s="2" t="s">
        <v>169</v>
      </c>
      <c r="J91" s="22">
        <v>3.625</v>
      </c>
      <c r="K91" s="2" t="s">
        <v>661</v>
      </c>
      <c r="L91" s="2" t="s">
        <v>662</v>
      </c>
      <c r="M91" s="22">
        <v>3.75</v>
      </c>
      <c r="N91" s="2" t="s">
        <v>115</v>
      </c>
      <c r="O91" s="2" t="s">
        <v>116</v>
      </c>
      <c r="P91" s="2" t="s">
        <v>270</v>
      </c>
      <c r="Q91" s="2" t="s">
        <v>52</v>
      </c>
      <c r="R91" s="2" t="s">
        <v>262</v>
      </c>
      <c r="S91" s="2" t="s">
        <v>496</v>
      </c>
      <c r="T91" s="2" t="s">
        <v>55</v>
      </c>
      <c r="U91" s="2" t="s">
        <v>56</v>
      </c>
      <c r="V91" s="2" t="s">
        <v>71</v>
      </c>
      <c r="W91" s="22">
        <v>1000000000</v>
      </c>
      <c r="X91" s="2" t="s">
        <v>421</v>
      </c>
      <c r="Y91" s="2" t="s">
        <v>663</v>
      </c>
      <c r="Z91" s="2" t="s">
        <v>60</v>
      </c>
      <c r="AA91" s="2" t="s">
        <v>61</v>
      </c>
      <c r="AB91" s="2" t="s">
        <v>227</v>
      </c>
      <c r="AC91" s="2" t="s">
        <v>664</v>
      </c>
      <c r="AD91" s="2" t="s">
        <v>3648</v>
      </c>
      <c r="AE91" s="22">
        <v>3.7109999999999999</v>
      </c>
      <c r="AF91" s="22">
        <v>3.75</v>
      </c>
    </row>
    <row r="92" spans="1:32" x14ac:dyDescent="0.2">
      <c r="A92" s="2" t="s">
        <v>670</v>
      </c>
      <c r="B92" s="22">
        <v>3.7916180889885354E-3</v>
      </c>
      <c r="C92" s="22">
        <v>0.1816231446519101</v>
      </c>
      <c r="D92" s="2" t="s">
        <v>184</v>
      </c>
      <c r="E92" s="2" t="s">
        <v>671</v>
      </c>
      <c r="F92" s="2" t="s">
        <v>3649</v>
      </c>
      <c r="G92" s="2" t="s">
        <v>672</v>
      </c>
      <c r="H92" s="2" t="s">
        <v>673</v>
      </c>
      <c r="I92" s="2" t="s">
        <v>184</v>
      </c>
      <c r="J92" s="22">
        <v>0</v>
      </c>
      <c r="K92" s="2" t="s">
        <v>617</v>
      </c>
      <c r="L92" s="2" t="s">
        <v>618</v>
      </c>
      <c r="M92" s="22">
        <v>-0.12</v>
      </c>
      <c r="N92" s="2" t="s">
        <v>188</v>
      </c>
      <c r="O92" s="2" t="s">
        <v>50</v>
      </c>
      <c r="P92" s="2" t="s">
        <v>674</v>
      </c>
      <c r="Q92" s="2" t="s">
        <v>52</v>
      </c>
      <c r="R92" s="2" t="s">
        <v>53</v>
      </c>
      <c r="S92" s="2" t="s">
        <v>54</v>
      </c>
      <c r="T92" s="2" t="s">
        <v>420</v>
      </c>
      <c r="U92" s="2" t="s">
        <v>675</v>
      </c>
      <c r="V92" s="2" t="s">
        <v>173</v>
      </c>
      <c r="W92" s="22">
        <v>484887980.21700001</v>
      </c>
      <c r="X92" s="2" t="s">
        <v>134</v>
      </c>
      <c r="Y92" s="2" t="s">
        <v>676</v>
      </c>
      <c r="Z92" s="2" t="s">
        <v>60</v>
      </c>
      <c r="AA92" s="2" t="s">
        <v>61</v>
      </c>
      <c r="AB92" s="2" t="s">
        <v>136</v>
      </c>
      <c r="AC92" s="2" t="s">
        <v>310</v>
      </c>
      <c r="AD92" s="2" t="s">
        <v>3650</v>
      </c>
      <c r="AE92" s="22">
        <v>-0.318</v>
      </c>
      <c r="AF92" s="22">
        <v>-0.12</v>
      </c>
    </row>
    <row r="93" spans="1:32" x14ac:dyDescent="0.2">
      <c r="A93" s="2" t="s">
        <v>679</v>
      </c>
      <c r="B93" s="22">
        <v>1.3388609971171446</v>
      </c>
      <c r="C93" s="22">
        <v>1.5112065142929898</v>
      </c>
      <c r="D93" s="2" t="s">
        <v>367</v>
      </c>
      <c r="E93" s="2" t="s">
        <v>680</v>
      </c>
      <c r="F93" s="2" t="s">
        <v>3651</v>
      </c>
      <c r="G93" s="2" t="s">
        <v>681</v>
      </c>
      <c r="H93" s="2" t="s">
        <v>682</v>
      </c>
      <c r="I93" s="2" t="s">
        <v>367</v>
      </c>
      <c r="J93" s="22">
        <v>1.8960000000000001</v>
      </c>
      <c r="K93" s="2" t="s">
        <v>683</v>
      </c>
      <c r="L93" s="2" t="s">
        <v>684</v>
      </c>
      <c r="M93" s="2" t="s">
        <v>54</v>
      </c>
      <c r="N93" s="2" t="s">
        <v>49</v>
      </c>
      <c r="O93" s="2" t="s">
        <v>50</v>
      </c>
      <c r="P93" s="2" t="s">
        <v>685</v>
      </c>
      <c r="Q93" s="2" t="s">
        <v>52</v>
      </c>
      <c r="R93" s="2" t="s">
        <v>686</v>
      </c>
      <c r="S93" s="2" t="s">
        <v>54</v>
      </c>
      <c r="T93" s="2" t="s">
        <v>55</v>
      </c>
      <c r="U93" s="2" t="s">
        <v>70</v>
      </c>
      <c r="V93" s="2" t="s">
        <v>391</v>
      </c>
      <c r="W93" s="22">
        <v>239118000</v>
      </c>
      <c r="X93" s="2" t="s">
        <v>85</v>
      </c>
      <c r="Y93" s="2" t="s">
        <v>86</v>
      </c>
      <c r="Z93" s="2" t="s">
        <v>60</v>
      </c>
      <c r="AA93" s="2" t="s">
        <v>61</v>
      </c>
      <c r="AB93" s="2" t="s">
        <v>87</v>
      </c>
      <c r="AC93" s="2" t="s">
        <v>88</v>
      </c>
      <c r="AD93" s="2" t="s">
        <v>3652</v>
      </c>
      <c r="AE93" s="22">
        <v>1.66</v>
      </c>
      <c r="AF93" s="22">
        <v>1.66</v>
      </c>
    </row>
    <row r="94" spans="1:32" x14ac:dyDescent="0.2">
      <c r="A94" s="2" t="s">
        <v>689</v>
      </c>
      <c r="B94" s="2" t="s">
        <v>54</v>
      </c>
      <c r="C94" s="2" t="s">
        <v>54</v>
      </c>
      <c r="D94" s="2" t="s">
        <v>257</v>
      </c>
      <c r="E94" s="2" t="s">
        <v>690</v>
      </c>
      <c r="F94" s="2" t="s">
        <v>173</v>
      </c>
      <c r="G94" s="2" t="s">
        <v>691</v>
      </c>
      <c r="H94" s="2" t="s">
        <v>692</v>
      </c>
      <c r="I94" s="2" t="s">
        <v>257</v>
      </c>
      <c r="J94" s="22">
        <v>0</v>
      </c>
      <c r="K94" s="2" t="s">
        <v>693</v>
      </c>
      <c r="L94" s="2" t="s">
        <v>694</v>
      </c>
      <c r="M94" s="2" t="s">
        <v>54</v>
      </c>
      <c r="N94" s="2" t="s">
        <v>49</v>
      </c>
      <c r="O94" s="2" t="s">
        <v>50</v>
      </c>
      <c r="P94" s="2" t="s">
        <v>69</v>
      </c>
      <c r="Q94" s="2" t="s">
        <v>52</v>
      </c>
      <c r="R94" s="2" t="s">
        <v>53</v>
      </c>
      <c r="S94" s="2" t="s">
        <v>54</v>
      </c>
      <c r="T94" s="2" t="s">
        <v>55</v>
      </c>
      <c r="U94" s="2" t="s">
        <v>70</v>
      </c>
      <c r="V94" s="2" t="s">
        <v>71</v>
      </c>
      <c r="W94" s="22">
        <v>473520000</v>
      </c>
      <c r="X94" s="2" t="s">
        <v>85</v>
      </c>
      <c r="Y94" s="2" t="s">
        <v>264</v>
      </c>
      <c r="Z94" s="2" t="s">
        <v>60</v>
      </c>
      <c r="AA94" s="2" t="s">
        <v>61</v>
      </c>
      <c r="AB94" s="2" t="s">
        <v>176</v>
      </c>
      <c r="AC94" s="2" t="s">
        <v>578</v>
      </c>
      <c r="AD94" s="2" t="s">
        <v>3653</v>
      </c>
      <c r="AE94" s="2" t="s">
        <v>54</v>
      </c>
      <c r="AF94" s="2" t="s">
        <v>54</v>
      </c>
    </row>
    <row r="95" spans="1:32" x14ac:dyDescent="0.2">
      <c r="A95" s="2" t="s">
        <v>689</v>
      </c>
      <c r="B95" s="2" t="s">
        <v>54</v>
      </c>
      <c r="C95" s="2" t="s">
        <v>54</v>
      </c>
      <c r="D95" s="2" t="s">
        <v>257</v>
      </c>
      <c r="E95" s="2" t="s">
        <v>697</v>
      </c>
      <c r="F95" s="2" t="s">
        <v>173</v>
      </c>
      <c r="G95" s="2" t="s">
        <v>698</v>
      </c>
      <c r="H95" s="2" t="s">
        <v>692</v>
      </c>
      <c r="I95" s="2" t="s">
        <v>257</v>
      </c>
      <c r="J95" s="22">
        <v>0</v>
      </c>
      <c r="K95" s="2" t="s">
        <v>693</v>
      </c>
      <c r="L95" s="2" t="s">
        <v>699</v>
      </c>
      <c r="M95" s="2" t="s">
        <v>54</v>
      </c>
      <c r="N95" s="2" t="s">
        <v>49</v>
      </c>
      <c r="O95" s="2" t="s">
        <v>50</v>
      </c>
      <c r="P95" s="2" t="s">
        <v>76</v>
      </c>
      <c r="Q95" s="2" t="s">
        <v>52</v>
      </c>
      <c r="R95" s="2" t="s">
        <v>53</v>
      </c>
      <c r="S95" s="2" t="s">
        <v>54</v>
      </c>
      <c r="T95" s="2" t="s">
        <v>55</v>
      </c>
      <c r="U95" s="2" t="s">
        <v>70</v>
      </c>
      <c r="V95" s="2" t="s">
        <v>71</v>
      </c>
      <c r="W95" s="22">
        <v>473520000</v>
      </c>
      <c r="X95" s="2" t="s">
        <v>85</v>
      </c>
      <c r="Y95" s="2" t="s">
        <v>264</v>
      </c>
      <c r="Z95" s="2" t="s">
        <v>60</v>
      </c>
      <c r="AA95" s="2" t="s">
        <v>61</v>
      </c>
      <c r="AB95" s="2" t="s">
        <v>176</v>
      </c>
      <c r="AC95" s="2" t="s">
        <v>578</v>
      </c>
      <c r="AD95" s="2" t="s">
        <v>3654</v>
      </c>
      <c r="AE95" s="2" t="s">
        <v>54</v>
      </c>
      <c r="AF95" s="2" t="s">
        <v>54</v>
      </c>
    </row>
    <row r="96" spans="1:32" x14ac:dyDescent="0.2">
      <c r="A96" s="2" t="s">
        <v>689</v>
      </c>
      <c r="B96" s="2" t="s">
        <v>54</v>
      </c>
      <c r="C96" s="2" t="s">
        <v>54</v>
      </c>
      <c r="D96" s="2" t="s">
        <v>257</v>
      </c>
      <c r="E96" s="2" t="s">
        <v>700</v>
      </c>
      <c r="F96" s="2" t="s">
        <v>173</v>
      </c>
      <c r="G96" s="2" t="s">
        <v>701</v>
      </c>
      <c r="H96" s="2" t="s">
        <v>692</v>
      </c>
      <c r="I96" s="2" t="s">
        <v>257</v>
      </c>
      <c r="J96" s="22">
        <v>0</v>
      </c>
      <c r="K96" s="2" t="s">
        <v>693</v>
      </c>
      <c r="L96" s="2" t="s">
        <v>702</v>
      </c>
      <c r="M96" s="2" t="s">
        <v>54</v>
      </c>
      <c r="N96" s="2" t="s">
        <v>49</v>
      </c>
      <c r="O96" s="2" t="s">
        <v>50</v>
      </c>
      <c r="P96" s="2" t="s">
        <v>144</v>
      </c>
      <c r="Q96" s="2" t="s">
        <v>52</v>
      </c>
      <c r="R96" s="2" t="s">
        <v>53</v>
      </c>
      <c r="S96" s="2" t="s">
        <v>54</v>
      </c>
      <c r="T96" s="2" t="s">
        <v>55</v>
      </c>
      <c r="U96" s="2" t="s">
        <v>70</v>
      </c>
      <c r="V96" s="2" t="s">
        <v>71</v>
      </c>
      <c r="W96" s="22">
        <v>473520000</v>
      </c>
      <c r="X96" s="2" t="s">
        <v>85</v>
      </c>
      <c r="Y96" s="2" t="s">
        <v>264</v>
      </c>
      <c r="Z96" s="2" t="s">
        <v>60</v>
      </c>
      <c r="AA96" s="2" t="s">
        <v>61</v>
      </c>
      <c r="AB96" s="2" t="s">
        <v>176</v>
      </c>
      <c r="AC96" s="2" t="s">
        <v>578</v>
      </c>
      <c r="AD96" s="2" t="s">
        <v>3655</v>
      </c>
      <c r="AE96" s="2" t="s">
        <v>54</v>
      </c>
      <c r="AF96" s="2" t="s">
        <v>54</v>
      </c>
    </row>
    <row r="97" spans="1:32" x14ac:dyDescent="0.2">
      <c r="A97" s="2" t="s">
        <v>703</v>
      </c>
      <c r="B97" s="22">
        <v>6.8306949529640058</v>
      </c>
      <c r="C97" s="22">
        <v>7.1524591563748281</v>
      </c>
      <c r="D97" s="2" t="s">
        <v>366</v>
      </c>
      <c r="E97" s="2" t="s">
        <v>704</v>
      </c>
      <c r="F97" s="2" t="s">
        <v>3656</v>
      </c>
      <c r="G97" s="2" t="s">
        <v>705</v>
      </c>
      <c r="H97" s="2" t="s">
        <v>706</v>
      </c>
      <c r="I97" s="2" t="s">
        <v>366</v>
      </c>
      <c r="J97" s="22">
        <v>3.625</v>
      </c>
      <c r="K97" s="2" t="s">
        <v>707</v>
      </c>
      <c r="L97" s="2" t="s">
        <v>708</v>
      </c>
      <c r="M97" s="22">
        <v>3.625</v>
      </c>
      <c r="N97" s="2" t="s">
        <v>115</v>
      </c>
      <c r="O97" s="2" t="s">
        <v>116</v>
      </c>
      <c r="P97" s="2" t="s">
        <v>261</v>
      </c>
      <c r="Q97" s="2" t="s">
        <v>458</v>
      </c>
      <c r="R97" s="2" t="s">
        <v>53</v>
      </c>
      <c r="S97" s="2" t="s">
        <v>350</v>
      </c>
      <c r="T97" s="2" t="s">
        <v>55</v>
      </c>
      <c r="U97" s="2" t="s">
        <v>56</v>
      </c>
      <c r="V97" s="2" t="s">
        <v>71</v>
      </c>
      <c r="W97" s="22">
        <v>622088250</v>
      </c>
      <c r="X97" s="2" t="s">
        <v>85</v>
      </c>
      <c r="Y97" s="2" t="s">
        <v>514</v>
      </c>
      <c r="Z97" s="2" t="s">
        <v>60</v>
      </c>
      <c r="AA97" s="2" t="s">
        <v>61</v>
      </c>
      <c r="AB97" s="2" t="s">
        <v>87</v>
      </c>
      <c r="AC97" s="2" t="s">
        <v>514</v>
      </c>
      <c r="AD97" s="2" t="s">
        <v>3657</v>
      </c>
      <c r="AE97" s="22">
        <v>3.601</v>
      </c>
      <c r="AF97" s="22">
        <v>3.625</v>
      </c>
    </row>
    <row r="98" spans="1:32" x14ac:dyDescent="0.2">
      <c r="A98" s="2" t="s">
        <v>703</v>
      </c>
      <c r="B98" s="22">
        <v>6.8456570153678244</v>
      </c>
      <c r="C98" s="22">
        <v>7.2086637849241253</v>
      </c>
      <c r="D98" s="2" t="s">
        <v>366</v>
      </c>
      <c r="E98" s="2" t="s">
        <v>711</v>
      </c>
      <c r="F98" s="2" t="s">
        <v>3658</v>
      </c>
      <c r="G98" s="2" t="s">
        <v>712</v>
      </c>
      <c r="H98" s="2" t="s">
        <v>706</v>
      </c>
      <c r="I98" s="2" t="s">
        <v>366</v>
      </c>
      <c r="J98" s="22">
        <v>3.625</v>
      </c>
      <c r="K98" s="2" t="s">
        <v>707</v>
      </c>
      <c r="L98" s="2" t="s">
        <v>708</v>
      </c>
      <c r="M98" s="22">
        <v>3.625</v>
      </c>
      <c r="N98" s="2" t="s">
        <v>115</v>
      </c>
      <c r="O98" s="2" t="s">
        <v>116</v>
      </c>
      <c r="P98" s="2" t="s">
        <v>270</v>
      </c>
      <c r="Q98" s="2" t="s">
        <v>458</v>
      </c>
      <c r="R98" s="2" t="s">
        <v>53</v>
      </c>
      <c r="S98" s="2" t="s">
        <v>350</v>
      </c>
      <c r="T98" s="2" t="s">
        <v>55</v>
      </c>
      <c r="U98" s="2" t="s">
        <v>56</v>
      </c>
      <c r="V98" s="2" t="s">
        <v>71</v>
      </c>
      <c r="W98" s="22">
        <v>622088250</v>
      </c>
      <c r="X98" s="2" t="s">
        <v>85</v>
      </c>
      <c r="Y98" s="2" t="s">
        <v>514</v>
      </c>
      <c r="Z98" s="2" t="s">
        <v>60</v>
      </c>
      <c r="AA98" s="2" t="s">
        <v>61</v>
      </c>
      <c r="AB98" s="2" t="s">
        <v>87</v>
      </c>
      <c r="AC98" s="2" t="s">
        <v>514</v>
      </c>
      <c r="AD98" s="2" t="s">
        <v>3659</v>
      </c>
      <c r="AE98" s="22">
        <v>3.5960000000000001</v>
      </c>
      <c r="AF98" s="22">
        <v>3.625</v>
      </c>
    </row>
    <row r="99" spans="1:32" x14ac:dyDescent="0.2">
      <c r="A99" s="2" t="s">
        <v>714</v>
      </c>
      <c r="B99" s="2" t="s">
        <v>54</v>
      </c>
      <c r="C99" s="2" t="s">
        <v>54</v>
      </c>
      <c r="D99" s="2" t="s">
        <v>45</v>
      </c>
      <c r="E99" s="2" t="s">
        <v>715</v>
      </c>
      <c r="F99" s="2" t="s">
        <v>173</v>
      </c>
      <c r="G99" s="2" t="s">
        <v>716</v>
      </c>
      <c r="H99" s="2" t="s">
        <v>717</v>
      </c>
      <c r="I99" s="2" t="s">
        <v>45</v>
      </c>
      <c r="J99" s="22">
        <v>0</v>
      </c>
      <c r="K99" s="2" t="s">
        <v>718</v>
      </c>
      <c r="L99" s="2" t="s">
        <v>719</v>
      </c>
      <c r="M99" s="2" t="s">
        <v>54</v>
      </c>
      <c r="N99" s="2" t="s">
        <v>49</v>
      </c>
      <c r="O99" s="2" t="s">
        <v>50</v>
      </c>
      <c r="P99" s="2" t="s">
        <v>51</v>
      </c>
      <c r="Q99" s="2" t="s">
        <v>52</v>
      </c>
      <c r="R99" s="2" t="s">
        <v>53</v>
      </c>
      <c r="S99" s="2" t="s">
        <v>54</v>
      </c>
      <c r="T99" s="2" t="s">
        <v>55</v>
      </c>
      <c r="U99" s="2" t="s">
        <v>56</v>
      </c>
      <c r="V99" s="2" t="s">
        <v>57</v>
      </c>
      <c r="W99" s="22">
        <v>58780500</v>
      </c>
      <c r="X99" s="2" t="s">
        <v>58</v>
      </c>
      <c r="Y99" s="2" t="s">
        <v>505</v>
      </c>
      <c r="Z99" s="2" t="s">
        <v>60</v>
      </c>
      <c r="AA99" s="2" t="s">
        <v>61</v>
      </c>
      <c r="AB99" s="2" t="s">
        <v>176</v>
      </c>
      <c r="AC99" s="2" t="s">
        <v>720</v>
      </c>
      <c r="AD99" s="2" t="s">
        <v>3660</v>
      </c>
      <c r="AE99" s="2" t="s">
        <v>54</v>
      </c>
      <c r="AF99" s="2" t="s">
        <v>54</v>
      </c>
    </row>
    <row r="100" spans="1:32" x14ac:dyDescent="0.2">
      <c r="A100" s="2" t="s">
        <v>714</v>
      </c>
      <c r="B100" s="2" t="s">
        <v>54</v>
      </c>
      <c r="C100" s="2" t="s">
        <v>54</v>
      </c>
      <c r="D100" s="2" t="s">
        <v>45</v>
      </c>
      <c r="E100" s="2" t="s">
        <v>723</v>
      </c>
      <c r="F100" s="2" t="s">
        <v>173</v>
      </c>
      <c r="G100" s="2" t="s">
        <v>724</v>
      </c>
      <c r="H100" s="2" t="s">
        <v>717</v>
      </c>
      <c r="I100" s="2" t="s">
        <v>45</v>
      </c>
      <c r="J100" s="22">
        <v>0</v>
      </c>
      <c r="K100" s="2" t="s">
        <v>718</v>
      </c>
      <c r="L100" s="2" t="s">
        <v>725</v>
      </c>
      <c r="M100" s="2" t="s">
        <v>54</v>
      </c>
      <c r="N100" s="2" t="s">
        <v>49</v>
      </c>
      <c r="O100" s="2" t="s">
        <v>50</v>
      </c>
      <c r="P100" s="2" t="s">
        <v>69</v>
      </c>
      <c r="Q100" s="2" t="s">
        <v>52</v>
      </c>
      <c r="R100" s="2" t="s">
        <v>53</v>
      </c>
      <c r="S100" s="2" t="s">
        <v>54</v>
      </c>
      <c r="T100" s="2" t="s">
        <v>55</v>
      </c>
      <c r="U100" s="2" t="s">
        <v>56</v>
      </c>
      <c r="V100" s="2" t="s">
        <v>57</v>
      </c>
      <c r="W100" s="22">
        <v>58780500</v>
      </c>
      <c r="X100" s="2" t="s">
        <v>58</v>
      </c>
      <c r="Y100" s="2" t="s">
        <v>505</v>
      </c>
      <c r="Z100" s="2" t="s">
        <v>60</v>
      </c>
      <c r="AA100" s="2" t="s">
        <v>61</v>
      </c>
      <c r="AB100" s="2" t="s">
        <v>176</v>
      </c>
      <c r="AC100" s="2" t="s">
        <v>720</v>
      </c>
      <c r="AD100" s="2" t="s">
        <v>3661</v>
      </c>
      <c r="AE100" s="2" t="s">
        <v>54</v>
      </c>
      <c r="AF100" s="2" t="s">
        <v>54</v>
      </c>
    </row>
    <row r="101" spans="1:32" x14ac:dyDescent="0.2">
      <c r="A101" s="2" t="s">
        <v>726</v>
      </c>
      <c r="B101" s="22">
        <v>5.7234749040131518</v>
      </c>
      <c r="C101" s="22">
        <v>5.9529887055580311</v>
      </c>
      <c r="D101" s="2" t="s">
        <v>184</v>
      </c>
      <c r="E101" s="2" t="s">
        <v>727</v>
      </c>
      <c r="F101" s="2" t="s">
        <v>3662</v>
      </c>
      <c r="G101" s="2" t="s">
        <v>728</v>
      </c>
      <c r="H101" s="2" t="s">
        <v>729</v>
      </c>
      <c r="I101" s="2" t="s">
        <v>184</v>
      </c>
      <c r="J101" s="22">
        <v>3.875</v>
      </c>
      <c r="K101" s="2" t="s">
        <v>730</v>
      </c>
      <c r="L101" s="2" t="s">
        <v>731</v>
      </c>
      <c r="M101" s="2" t="s">
        <v>54</v>
      </c>
      <c r="N101" s="2" t="s">
        <v>115</v>
      </c>
      <c r="O101" s="2" t="s">
        <v>116</v>
      </c>
      <c r="P101" s="2" t="s">
        <v>261</v>
      </c>
      <c r="Q101" s="2" t="s">
        <v>458</v>
      </c>
      <c r="R101" s="2" t="s">
        <v>53</v>
      </c>
      <c r="S101" s="2" t="s">
        <v>350</v>
      </c>
      <c r="T101" s="2" t="s">
        <v>55</v>
      </c>
      <c r="U101" s="2" t="s">
        <v>56</v>
      </c>
      <c r="V101" s="2" t="s">
        <v>71</v>
      </c>
      <c r="W101" s="22">
        <v>885022500</v>
      </c>
      <c r="X101" s="2" t="s">
        <v>421</v>
      </c>
      <c r="Y101" s="2" t="s">
        <v>422</v>
      </c>
      <c r="Z101" s="2" t="s">
        <v>60</v>
      </c>
      <c r="AA101" s="2" t="s">
        <v>61</v>
      </c>
      <c r="AB101" s="2" t="s">
        <v>227</v>
      </c>
      <c r="AC101" s="2" t="s">
        <v>664</v>
      </c>
      <c r="AD101" s="2" t="s">
        <v>3663</v>
      </c>
      <c r="AE101" s="22">
        <v>3.706</v>
      </c>
      <c r="AF101" s="22">
        <v>3.706</v>
      </c>
    </row>
    <row r="102" spans="1:32" x14ac:dyDescent="0.2">
      <c r="A102" s="2" t="s">
        <v>734</v>
      </c>
      <c r="B102" s="22">
        <v>4.4549676139153549</v>
      </c>
      <c r="C102" s="22">
        <v>4.5255830002845983</v>
      </c>
      <c r="D102" s="2" t="s">
        <v>169</v>
      </c>
      <c r="E102" s="2" t="s">
        <v>735</v>
      </c>
      <c r="F102" s="2" t="s">
        <v>3664</v>
      </c>
      <c r="G102" s="2" t="s">
        <v>736</v>
      </c>
      <c r="H102" s="2" t="s">
        <v>729</v>
      </c>
      <c r="I102" s="2" t="s">
        <v>169</v>
      </c>
      <c r="J102" s="22">
        <v>4</v>
      </c>
      <c r="K102" s="2" t="s">
        <v>730</v>
      </c>
      <c r="L102" s="2" t="s">
        <v>731</v>
      </c>
      <c r="M102" s="2" t="s">
        <v>54</v>
      </c>
      <c r="N102" s="2" t="s">
        <v>115</v>
      </c>
      <c r="O102" s="2" t="s">
        <v>116</v>
      </c>
      <c r="P102" s="2" t="s">
        <v>261</v>
      </c>
      <c r="Q102" s="2" t="s">
        <v>458</v>
      </c>
      <c r="R102" s="2" t="s">
        <v>53</v>
      </c>
      <c r="S102" s="2" t="s">
        <v>350</v>
      </c>
      <c r="T102" s="2" t="s">
        <v>55</v>
      </c>
      <c r="U102" s="2" t="s">
        <v>70</v>
      </c>
      <c r="V102" s="2" t="s">
        <v>391</v>
      </c>
      <c r="W102" s="22">
        <v>767019500</v>
      </c>
      <c r="X102" s="2" t="s">
        <v>134</v>
      </c>
      <c r="Y102" s="2" t="s">
        <v>737</v>
      </c>
      <c r="Z102" s="2" t="s">
        <v>60</v>
      </c>
      <c r="AA102" s="2" t="s">
        <v>61</v>
      </c>
      <c r="AB102" s="2" t="s">
        <v>136</v>
      </c>
      <c r="AC102" s="2" t="s">
        <v>737</v>
      </c>
      <c r="AD102" s="2" t="s">
        <v>3665</v>
      </c>
      <c r="AE102" s="22">
        <v>3.7559999999999998</v>
      </c>
      <c r="AF102" s="22">
        <v>3.7559999999999998</v>
      </c>
    </row>
    <row r="103" spans="1:32" x14ac:dyDescent="0.2">
      <c r="A103" s="2" t="s">
        <v>740</v>
      </c>
      <c r="B103" s="22">
        <v>7.7157176772621128</v>
      </c>
      <c r="C103" s="22">
        <v>7.9611678322896218</v>
      </c>
      <c r="D103" s="2" t="s">
        <v>169</v>
      </c>
      <c r="E103" s="2" t="s">
        <v>741</v>
      </c>
      <c r="F103" s="2" t="s">
        <v>3666</v>
      </c>
      <c r="G103" s="2" t="s">
        <v>742</v>
      </c>
      <c r="H103" s="2" t="s">
        <v>729</v>
      </c>
      <c r="I103" s="2" t="s">
        <v>169</v>
      </c>
      <c r="J103" s="22">
        <v>5.375</v>
      </c>
      <c r="K103" s="2" t="s">
        <v>730</v>
      </c>
      <c r="L103" s="2" t="s">
        <v>743</v>
      </c>
      <c r="M103" s="2" t="s">
        <v>54</v>
      </c>
      <c r="N103" s="2" t="s">
        <v>115</v>
      </c>
      <c r="O103" s="2" t="s">
        <v>116</v>
      </c>
      <c r="P103" s="2" t="s">
        <v>261</v>
      </c>
      <c r="Q103" s="2" t="s">
        <v>52</v>
      </c>
      <c r="R103" s="2" t="s">
        <v>53</v>
      </c>
      <c r="S103" s="2" t="s">
        <v>744</v>
      </c>
      <c r="T103" s="2" t="s">
        <v>55</v>
      </c>
      <c r="U103" s="2" t="s">
        <v>56</v>
      </c>
      <c r="V103" s="2" t="s">
        <v>71</v>
      </c>
      <c r="W103" s="22">
        <v>365809300</v>
      </c>
      <c r="X103" s="2" t="s">
        <v>421</v>
      </c>
      <c r="Y103" s="2" t="s">
        <v>422</v>
      </c>
      <c r="Z103" s="2" t="s">
        <v>60</v>
      </c>
      <c r="AA103" s="2" t="s">
        <v>61</v>
      </c>
      <c r="AB103" s="2" t="s">
        <v>227</v>
      </c>
      <c r="AC103" s="2" t="s">
        <v>664</v>
      </c>
      <c r="AD103" s="2" t="s">
        <v>3667</v>
      </c>
      <c r="AE103" s="22">
        <v>5.31</v>
      </c>
      <c r="AF103" s="22">
        <v>5.31</v>
      </c>
    </row>
    <row r="104" spans="1:32" x14ac:dyDescent="0.2">
      <c r="A104" s="2" t="s">
        <v>726</v>
      </c>
      <c r="B104" s="22">
        <v>5.7303266198537681</v>
      </c>
      <c r="C104" s="22">
        <v>5.9896385705174886</v>
      </c>
      <c r="D104" s="2" t="s">
        <v>184</v>
      </c>
      <c r="E104" s="2" t="s">
        <v>746</v>
      </c>
      <c r="F104" s="2" t="s">
        <v>3668</v>
      </c>
      <c r="G104" s="2" t="s">
        <v>747</v>
      </c>
      <c r="H104" s="2" t="s">
        <v>729</v>
      </c>
      <c r="I104" s="2" t="s">
        <v>184</v>
      </c>
      <c r="J104" s="22">
        <v>3.875</v>
      </c>
      <c r="K104" s="2" t="s">
        <v>730</v>
      </c>
      <c r="L104" s="2" t="s">
        <v>731</v>
      </c>
      <c r="M104" s="2" t="s">
        <v>54</v>
      </c>
      <c r="N104" s="2" t="s">
        <v>115</v>
      </c>
      <c r="O104" s="2" t="s">
        <v>116</v>
      </c>
      <c r="P104" s="2" t="s">
        <v>270</v>
      </c>
      <c r="Q104" s="2" t="s">
        <v>458</v>
      </c>
      <c r="R104" s="2" t="s">
        <v>53</v>
      </c>
      <c r="S104" s="2" t="s">
        <v>350</v>
      </c>
      <c r="T104" s="2" t="s">
        <v>55</v>
      </c>
      <c r="U104" s="2" t="s">
        <v>56</v>
      </c>
      <c r="V104" s="2" t="s">
        <v>71</v>
      </c>
      <c r="W104" s="22">
        <v>885022500</v>
      </c>
      <c r="X104" s="2" t="s">
        <v>421</v>
      </c>
      <c r="Y104" s="2" t="s">
        <v>422</v>
      </c>
      <c r="Z104" s="2" t="s">
        <v>60</v>
      </c>
      <c r="AA104" s="2" t="s">
        <v>61</v>
      </c>
      <c r="AB104" s="2" t="s">
        <v>227</v>
      </c>
      <c r="AC104" s="2" t="s">
        <v>423</v>
      </c>
      <c r="AD104" s="2" t="s">
        <v>3669</v>
      </c>
      <c r="AE104" s="22">
        <v>3.7</v>
      </c>
      <c r="AF104" s="22">
        <v>3.7</v>
      </c>
    </row>
    <row r="105" spans="1:32" x14ac:dyDescent="0.2">
      <c r="A105" s="2" t="s">
        <v>734</v>
      </c>
      <c r="B105" s="22">
        <v>4.3974700860488403</v>
      </c>
      <c r="C105" s="22">
        <v>4.6134233895893244</v>
      </c>
      <c r="D105" s="2" t="s">
        <v>169</v>
      </c>
      <c r="E105" s="2" t="s">
        <v>749</v>
      </c>
      <c r="F105" s="2" t="s">
        <v>3670</v>
      </c>
      <c r="G105" s="2" t="s">
        <v>750</v>
      </c>
      <c r="H105" s="2" t="s">
        <v>729</v>
      </c>
      <c r="I105" s="2" t="s">
        <v>169</v>
      </c>
      <c r="J105" s="22">
        <v>4</v>
      </c>
      <c r="K105" s="2" t="s">
        <v>730</v>
      </c>
      <c r="L105" s="2" t="s">
        <v>731</v>
      </c>
      <c r="M105" s="2" t="s">
        <v>54</v>
      </c>
      <c r="N105" s="2" t="s">
        <v>115</v>
      </c>
      <c r="O105" s="2" t="s">
        <v>116</v>
      </c>
      <c r="P105" s="2" t="s">
        <v>270</v>
      </c>
      <c r="Q105" s="2" t="s">
        <v>458</v>
      </c>
      <c r="R105" s="2" t="s">
        <v>53</v>
      </c>
      <c r="S105" s="2" t="s">
        <v>350</v>
      </c>
      <c r="T105" s="2" t="s">
        <v>55</v>
      </c>
      <c r="U105" s="2" t="s">
        <v>70</v>
      </c>
      <c r="V105" s="2" t="s">
        <v>391</v>
      </c>
      <c r="W105" s="22">
        <v>767019500</v>
      </c>
      <c r="X105" s="2" t="s">
        <v>134</v>
      </c>
      <c r="Y105" s="2" t="s">
        <v>737</v>
      </c>
      <c r="Z105" s="2" t="s">
        <v>60</v>
      </c>
      <c r="AA105" s="2" t="s">
        <v>61</v>
      </c>
      <c r="AB105" s="2" t="s">
        <v>136</v>
      </c>
      <c r="AC105" s="2" t="s">
        <v>737</v>
      </c>
      <c r="AD105" s="2" t="s">
        <v>3671</v>
      </c>
      <c r="AE105" s="22">
        <v>3.7450000000000001</v>
      </c>
      <c r="AF105" s="22">
        <v>3.7450000000000001</v>
      </c>
    </row>
    <row r="106" spans="1:32" x14ac:dyDescent="0.2">
      <c r="A106" s="2" t="s">
        <v>740</v>
      </c>
      <c r="B106" s="22">
        <v>7.7012421794485535</v>
      </c>
      <c r="C106" s="22">
        <v>7.95344990654187</v>
      </c>
      <c r="D106" s="2" t="s">
        <v>169</v>
      </c>
      <c r="E106" s="2" t="s">
        <v>752</v>
      </c>
      <c r="F106" s="2" t="s">
        <v>3672</v>
      </c>
      <c r="G106" s="2" t="s">
        <v>753</v>
      </c>
      <c r="H106" s="2" t="s">
        <v>729</v>
      </c>
      <c r="I106" s="2" t="s">
        <v>169</v>
      </c>
      <c r="J106" s="22">
        <v>5.375</v>
      </c>
      <c r="K106" s="2" t="s">
        <v>730</v>
      </c>
      <c r="L106" s="2" t="s">
        <v>743</v>
      </c>
      <c r="M106" s="2" t="s">
        <v>54</v>
      </c>
      <c r="N106" s="2" t="s">
        <v>115</v>
      </c>
      <c r="O106" s="2" t="s">
        <v>116</v>
      </c>
      <c r="P106" s="2" t="s">
        <v>270</v>
      </c>
      <c r="Q106" s="2" t="s">
        <v>52</v>
      </c>
      <c r="R106" s="2" t="s">
        <v>53</v>
      </c>
      <c r="S106" s="2" t="s">
        <v>744</v>
      </c>
      <c r="T106" s="2" t="s">
        <v>55</v>
      </c>
      <c r="U106" s="2" t="s">
        <v>56</v>
      </c>
      <c r="V106" s="2" t="s">
        <v>71</v>
      </c>
      <c r="W106" s="22">
        <v>365809300</v>
      </c>
      <c r="X106" s="2" t="s">
        <v>421</v>
      </c>
      <c r="Y106" s="2" t="s">
        <v>422</v>
      </c>
      <c r="Z106" s="2" t="s">
        <v>60</v>
      </c>
      <c r="AA106" s="2" t="s">
        <v>61</v>
      </c>
      <c r="AB106" s="2" t="s">
        <v>227</v>
      </c>
      <c r="AC106" s="2" t="s">
        <v>664</v>
      </c>
      <c r="AD106" s="2" t="s">
        <v>3673</v>
      </c>
      <c r="AE106" s="22">
        <v>5.3289999999999997</v>
      </c>
      <c r="AF106" s="22">
        <v>5.3289999999999997</v>
      </c>
    </row>
    <row r="107" spans="1:32" x14ac:dyDescent="0.2">
      <c r="A107" s="2" t="s">
        <v>754</v>
      </c>
      <c r="B107" s="22">
        <v>5.749866301340778</v>
      </c>
      <c r="C107" s="22">
        <v>5.8096089186607518</v>
      </c>
      <c r="D107" s="2" t="s">
        <v>257</v>
      </c>
      <c r="E107" s="2" t="s">
        <v>755</v>
      </c>
      <c r="F107" s="2" t="s">
        <v>3674</v>
      </c>
      <c r="G107" s="2" t="s">
        <v>756</v>
      </c>
      <c r="H107" s="2" t="s">
        <v>757</v>
      </c>
      <c r="I107" s="2" t="s">
        <v>257</v>
      </c>
      <c r="J107" s="22">
        <v>3.125</v>
      </c>
      <c r="K107" s="2" t="s">
        <v>707</v>
      </c>
      <c r="L107" s="2" t="s">
        <v>662</v>
      </c>
      <c r="M107" s="22">
        <v>3.28</v>
      </c>
      <c r="N107" s="2" t="s">
        <v>115</v>
      </c>
      <c r="O107" s="2" t="s">
        <v>116</v>
      </c>
      <c r="P107" s="2" t="s">
        <v>758</v>
      </c>
      <c r="Q107" s="2" t="s">
        <v>52</v>
      </c>
      <c r="R107" s="2" t="s">
        <v>262</v>
      </c>
      <c r="S107" s="2" t="s">
        <v>496</v>
      </c>
      <c r="T107" s="2" t="s">
        <v>55</v>
      </c>
      <c r="U107" s="2" t="s">
        <v>56</v>
      </c>
      <c r="V107" s="2" t="s">
        <v>71</v>
      </c>
      <c r="W107" s="22">
        <v>1000000000</v>
      </c>
      <c r="X107" s="2" t="s">
        <v>85</v>
      </c>
      <c r="Y107" s="2" t="s">
        <v>759</v>
      </c>
      <c r="Z107" s="2" t="s">
        <v>60</v>
      </c>
      <c r="AA107" s="2" t="s">
        <v>61</v>
      </c>
      <c r="AB107" s="2" t="s">
        <v>87</v>
      </c>
      <c r="AC107" s="2" t="s">
        <v>265</v>
      </c>
      <c r="AD107" s="2" t="s">
        <v>3675</v>
      </c>
      <c r="AE107" s="22">
        <v>3.2330000000000001</v>
      </c>
      <c r="AF107" s="22">
        <v>3.28</v>
      </c>
    </row>
    <row r="108" spans="1:32" x14ac:dyDescent="0.2">
      <c r="A108" s="2" t="s">
        <v>762</v>
      </c>
      <c r="B108" s="22">
        <v>2.1394116262407437</v>
      </c>
      <c r="C108" s="22">
        <v>2.2015961300203424</v>
      </c>
      <c r="D108" s="2" t="s">
        <v>169</v>
      </c>
      <c r="E108" s="2" t="s">
        <v>763</v>
      </c>
      <c r="F108" s="2" t="s">
        <v>3676</v>
      </c>
      <c r="G108" s="2" t="s">
        <v>764</v>
      </c>
      <c r="H108" s="2" t="s">
        <v>765</v>
      </c>
      <c r="I108" s="2" t="s">
        <v>169</v>
      </c>
      <c r="J108" s="22">
        <v>0.375</v>
      </c>
      <c r="K108" s="2" t="s">
        <v>628</v>
      </c>
      <c r="L108" s="2" t="s">
        <v>766</v>
      </c>
      <c r="M108" s="2" t="s">
        <v>54</v>
      </c>
      <c r="N108" s="2" t="s">
        <v>115</v>
      </c>
      <c r="O108" s="2" t="s">
        <v>116</v>
      </c>
      <c r="P108" s="2" t="s">
        <v>225</v>
      </c>
      <c r="Q108" s="2" t="s">
        <v>52</v>
      </c>
      <c r="R108" s="2" t="s">
        <v>53</v>
      </c>
      <c r="S108" s="2" t="s">
        <v>174</v>
      </c>
      <c r="T108" s="2" t="s">
        <v>55</v>
      </c>
      <c r="U108" s="2" t="s">
        <v>56</v>
      </c>
      <c r="V108" s="2" t="s">
        <v>57</v>
      </c>
      <c r="W108" s="22">
        <v>767955500</v>
      </c>
      <c r="X108" s="2" t="s">
        <v>213</v>
      </c>
      <c r="Y108" s="2" t="s">
        <v>620</v>
      </c>
      <c r="Z108" s="2" t="s">
        <v>60</v>
      </c>
      <c r="AA108" s="2" t="s">
        <v>61</v>
      </c>
      <c r="AB108" s="2" t="s">
        <v>213</v>
      </c>
      <c r="AC108" s="2" t="s">
        <v>621</v>
      </c>
      <c r="AD108" s="2" t="s">
        <v>3677</v>
      </c>
      <c r="AE108" s="22">
        <v>0.35299999999999998</v>
      </c>
      <c r="AF108" s="22">
        <v>0.35299999999999998</v>
      </c>
    </row>
    <row r="109" spans="1:32" x14ac:dyDescent="0.2">
      <c r="A109" s="2" t="s">
        <v>762</v>
      </c>
      <c r="B109" s="22">
        <v>2.6473124171661917</v>
      </c>
      <c r="C109" s="22">
        <v>2.7116199238022549</v>
      </c>
      <c r="D109" s="2" t="s">
        <v>169</v>
      </c>
      <c r="E109" s="2" t="s">
        <v>769</v>
      </c>
      <c r="F109" s="2" t="s">
        <v>3678</v>
      </c>
      <c r="G109" s="2" t="s">
        <v>770</v>
      </c>
      <c r="H109" s="2" t="s">
        <v>765</v>
      </c>
      <c r="I109" s="2" t="s">
        <v>169</v>
      </c>
      <c r="J109" s="22">
        <v>0.875</v>
      </c>
      <c r="K109" s="2" t="s">
        <v>628</v>
      </c>
      <c r="L109" s="2" t="s">
        <v>771</v>
      </c>
      <c r="M109" s="2" t="s">
        <v>54</v>
      </c>
      <c r="N109" s="2" t="s">
        <v>115</v>
      </c>
      <c r="O109" s="2" t="s">
        <v>116</v>
      </c>
      <c r="P109" s="2" t="s">
        <v>225</v>
      </c>
      <c r="Q109" s="2" t="s">
        <v>52</v>
      </c>
      <c r="R109" s="2" t="s">
        <v>53</v>
      </c>
      <c r="S109" s="2" t="s">
        <v>174</v>
      </c>
      <c r="T109" s="2" t="s">
        <v>55</v>
      </c>
      <c r="U109" s="2" t="s">
        <v>56</v>
      </c>
      <c r="V109" s="2" t="s">
        <v>57</v>
      </c>
      <c r="W109" s="22">
        <v>708882000</v>
      </c>
      <c r="X109" s="2" t="s">
        <v>213</v>
      </c>
      <c r="Y109" s="2" t="s">
        <v>620</v>
      </c>
      <c r="Z109" s="2" t="s">
        <v>60</v>
      </c>
      <c r="AA109" s="2" t="s">
        <v>61</v>
      </c>
      <c r="AB109" s="2" t="s">
        <v>213</v>
      </c>
      <c r="AC109" s="2" t="s">
        <v>621</v>
      </c>
      <c r="AD109" s="2" t="s">
        <v>3679</v>
      </c>
      <c r="AE109" s="22">
        <v>0.78700000000000003</v>
      </c>
      <c r="AF109" s="22">
        <v>0.78700000000000003</v>
      </c>
    </row>
    <row r="110" spans="1:32" x14ac:dyDescent="0.2">
      <c r="A110" s="2" t="s">
        <v>774</v>
      </c>
      <c r="B110" s="22">
        <v>2.6146624540665995</v>
      </c>
      <c r="C110" s="22">
        <v>2.7085530207341502</v>
      </c>
      <c r="D110" s="2" t="s">
        <v>199</v>
      </c>
      <c r="E110" s="2" t="s">
        <v>775</v>
      </c>
      <c r="F110" s="2" t="s">
        <v>3680</v>
      </c>
      <c r="G110" s="2" t="s">
        <v>776</v>
      </c>
      <c r="H110" s="2" t="s">
        <v>777</v>
      </c>
      <c r="I110" s="2" t="s">
        <v>199</v>
      </c>
      <c r="J110" s="22">
        <v>0.625</v>
      </c>
      <c r="K110" s="2" t="s">
        <v>778</v>
      </c>
      <c r="L110" s="2" t="s">
        <v>570</v>
      </c>
      <c r="M110" s="2" t="s">
        <v>54</v>
      </c>
      <c r="N110" s="2" t="s">
        <v>115</v>
      </c>
      <c r="O110" s="2" t="s">
        <v>116</v>
      </c>
      <c r="P110" s="2" t="s">
        <v>225</v>
      </c>
      <c r="Q110" s="2" t="s">
        <v>52</v>
      </c>
      <c r="R110" s="2" t="s">
        <v>53</v>
      </c>
      <c r="S110" s="2" t="s">
        <v>174</v>
      </c>
      <c r="T110" s="2" t="s">
        <v>55</v>
      </c>
      <c r="U110" s="2" t="s">
        <v>56</v>
      </c>
      <c r="V110" s="2" t="s">
        <v>57</v>
      </c>
      <c r="W110" s="22">
        <v>590145000</v>
      </c>
      <c r="X110" s="2" t="s">
        <v>120</v>
      </c>
      <c r="Y110" s="2" t="s">
        <v>237</v>
      </c>
      <c r="Z110" s="2" t="s">
        <v>202</v>
      </c>
      <c r="AA110" s="2" t="s">
        <v>203</v>
      </c>
      <c r="AB110" s="2" t="s">
        <v>203</v>
      </c>
      <c r="AC110" s="2" t="s">
        <v>203</v>
      </c>
      <c r="AD110" s="2" t="s">
        <v>3681</v>
      </c>
      <c r="AE110" s="22">
        <v>0.55300000000000005</v>
      </c>
      <c r="AF110" s="22">
        <v>0.55300000000000005</v>
      </c>
    </row>
    <row r="111" spans="1:32" x14ac:dyDescent="0.2">
      <c r="A111" s="2" t="s">
        <v>641</v>
      </c>
      <c r="B111" s="22">
        <v>4.1050380620950397</v>
      </c>
      <c r="C111" s="22">
        <v>4.1442235993525376</v>
      </c>
      <c r="D111" s="2" t="s">
        <v>366</v>
      </c>
      <c r="E111" s="2" t="s">
        <v>781</v>
      </c>
      <c r="F111" s="2" t="s">
        <v>3682</v>
      </c>
      <c r="G111" s="2" t="s">
        <v>782</v>
      </c>
      <c r="H111" s="2" t="s">
        <v>644</v>
      </c>
      <c r="I111" s="2" t="s">
        <v>366</v>
      </c>
      <c r="J111" s="22">
        <v>1.375</v>
      </c>
      <c r="K111" s="2" t="s">
        <v>783</v>
      </c>
      <c r="L111" s="2" t="s">
        <v>784</v>
      </c>
      <c r="M111" s="22">
        <v>1.4769999999999999</v>
      </c>
      <c r="N111" s="2" t="s">
        <v>115</v>
      </c>
      <c r="O111" s="2" t="s">
        <v>116</v>
      </c>
      <c r="P111" s="2" t="s">
        <v>261</v>
      </c>
      <c r="Q111" s="2" t="s">
        <v>52</v>
      </c>
      <c r="R111" s="2" t="s">
        <v>262</v>
      </c>
      <c r="S111" s="2" t="s">
        <v>619</v>
      </c>
      <c r="T111" s="2" t="s">
        <v>55</v>
      </c>
      <c r="U111" s="2" t="s">
        <v>56</v>
      </c>
      <c r="V111" s="2" t="s">
        <v>71</v>
      </c>
      <c r="W111" s="22">
        <v>1250000000</v>
      </c>
      <c r="X111" s="2" t="s">
        <v>120</v>
      </c>
      <c r="Y111" s="2" t="s">
        <v>120</v>
      </c>
      <c r="Z111" s="2" t="s">
        <v>60</v>
      </c>
      <c r="AA111" s="2" t="s">
        <v>121</v>
      </c>
      <c r="AB111" s="2" t="s">
        <v>122</v>
      </c>
      <c r="AC111" s="2" t="s">
        <v>122</v>
      </c>
      <c r="AD111" s="2" t="s">
        <v>3683</v>
      </c>
      <c r="AE111" s="22">
        <v>1.4059999999999999</v>
      </c>
      <c r="AF111" s="22">
        <v>1.4769999999999999</v>
      </c>
    </row>
    <row r="112" spans="1:32" x14ac:dyDescent="0.2">
      <c r="A112" s="2" t="s">
        <v>641</v>
      </c>
      <c r="B112" s="22">
        <v>4.2557923537562168</v>
      </c>
      <c r="C112" s="22">
        <v>4.2947627831656598</v>
      </c>
      <c r="D112" s="2" t="s">
        <v>366</v>
      </c>
      <c r="E112" s="2" t="s">
        <v>787</v>
      </c>
      <c r="F112" s="2" t="s">
        <v>3684</v>
      </c>
      <c r="G112" s="2" t="s">
        <v>788</v>
      </c>
      <c r="H112" s="2" t="s">
        <v>644</v>
      </c>
      <c r="I112" s="2" t="s">
        <v>366</v>
      </c>
      <c r="J112" s="22">
        <v>1.875</v>
      </c>
      <c r="K112" s="2" t="s">
        <v>783</v>
      </c>
      <c r="L112" s="2" t="s">
        <v>789</v>
      </c>
      <c r="M112" s="22">
        <v>1.9370000000000001</v>
      </c>
      <c r="N112" s="2" t="s">
        <v>115</v>
      </c>
      <c r="O112" s="2" t="s">
        <v>116</v>
      </c>
      <c r="P112" s="2" t="s">
        <v>261</v>
      </c>
      <c r="Q112" s="2" t="s">
        <v>52</v>
      </c>
      <c r="R112" s="2" t="s">
        <v>262</v>
      </c>
      <c r="S112" s="2" t="s">
        <v>619</v>
      </c>
      <c r="T112" s="2" t="s">
        <v>55</v>
      </c>
      <c r="U112" s="2" t="s">
        <v>56</v>
      </c>
      <c r="V112" s="2" t="s">
        <v>71</v>
      </c>
      <c r="W112" s="22">
        <v>1000000000</v>
      </c>
      <c r="X112" s="2" t="s">
        <v>120</v>
      </c>
      <c r="Y112" s="2" t="s">
        <v>120</v>
      </c>
      <c r="Z112" s="2" t="s">
        <v>60</v>
      </c>
      <c r="AA112" s="2" t="s">
        <v>121</v>
      </c>
      <c r="AB112" s="2" t="s">
        <v>122</v>
      </c>
      <c r="AC112" s="2" t="s">
        <v>122</v>
      </c>
      <c r="AD112" s="2" t="s">
        <v>3685</v>
      </c>
      <c r="AE112" s="22">
        <v>1.8919999999999999</v>
      </c>
      <c r="AF112" s="22">
        <v>1.9370000000000001</v>
      </c>
    </row>
    <row r="113" spans="1:32" x14ac:dyDescent="0.2">
      <c r="A113" s="2" t="s">
        <v>641</v>
      </c>
      <c r="B113" s="22">
        <v>4.5251743055832465</v>
      </c>
      <c r="C113" s="22">
        <v>4.5900235830061371</v>
      </c>
      <c r="D113" s="2" t="s">
        <v>366</v>
      </c>
      <c r="E113" s="2" t="s">
        <v>791</v>
      </c>
      <c r="F113" s="2" t="s">
        <v>3686</v>
      </c>
      <c r="G113" s="2" t="s">
        <v>792</v>
      </c>
      <c r="H113" s="2" t="s">
        <v>644</v>
      </c>
      <c r="I113" s="2" t="s">
        <v>366</v>
      </c>
      <c r="J113" s="22">
        <v>2.25</v>
      </c>
      <c r="K113" s="2" t="s">
        <v>783</v>
      </c>
      <c r="L113" s="2" t="s">
        <v>793</v>
      </c>
      <c r="M113" s="22">
        <v>2.3199999999999998</v>
      </c>
      <c r="N113" s="2" t="s">
        <v>115</v>
      </c>
      <c r="O113" s="2" t="s">
        <v>116</v>
      </c>
      <c r="P113" s="2" t="s">
        <v>261</v>
      </c>
      <c r="Q113" s="2" t="s">
        <v>52</v>
      </c>
      <c r="R113" s="2" t="s">
        <v>262</v>
      </c>
      <c r="S113" s="2" t="s">
        <v>619</v>
      </c>
      <c r="T113" s="2" t="s">
        <v>55</v>
      </c>
      <c r="U113" s="2" t="s">
        <v>56</v>
      </c>
      <c r="V113" s="2" t="s">
        <v>71</v>
      </c>
      <c r="W113" s="22">
        <v>1000000000</v>
      </c>
      <c r="X113" s="2" t="s">
        <v>120</v>
      </c>
      <c r="Y113" s="2" t="s">
        <v>120</v>
      </c>
      <c r="Z113" s="2" t="s">
        <v>60</v>
      </c>
      <c r="AA113" s="2" t="s">
        <v>121</v>
      </c>
      <c r="AB113" s="2" t="s">
        <v>122</v>
      </c>
      <c r="AC113" s="2" t="s">
        <v>122</v>
      </c>
      <c r="AD113" s="2" t="s">
        <v>3687</v>
      </c>
      <c r="AE113" s="22">
        <v>2.2949999999999999</v>
      </c>
      <c r="AF113" s="22">
        <v>2.3199999999999998</v>
      </c>
    </row>
    <row r="114" spans="1:32" x14ac:dyDescent="0.2">
      <c r="A114" s="2" t="s">
        <v>641</v>
      </c>
      <c r="B114" s="22">
        <v>4.9122379534500888</v>
      </c>
      <c r="C114" s="22">
        <v>4.9780776613744271</v>
      </c>
      <c r="D114" s="2" t="s">
        <v>366</v>
      </c>
      <c r="E114" s="2" t="s">
        <v>794</v>
      </c>
      <c r="F114" s="2" t="s">
        <v>3688</v>
      </c>
      <c r="G114" s="2" t="s">
        <v>795</v>
      </c>
      <c r="H114" s="2" t="s">
        <v>644</v>
      </c>
      <c r="I114" s="2" t="s">
        <v>366</v>
      </c>
      <c r="J114" s="22">
        <v>2.875</v>
      </c>
      <c r="K114" s="2" t="s">
        <v>783</v>
      </c>
      <c r="L114" s="2" t="s">
        <v>796</v>
      </c>
      <c r="M114" s="22">
        <v>2.9569999999999999</v>
      </c>
      <c r="N114" s="2" t="s">
        <v>115</v>
      </c>
      <c r="O114" s="2" t="s">
        <v>116</v>
      </c>
      <c r="P114" s="2" t="s">
        <v>261</v>
      </c>
      <c r="Q114" s="2" t="s">
        <v>52</v>
      </c>
      <c r="R114" s="2" t="s">
        <v>262</v>
      </c>
      <c r="S114" s="2" t="s">
        <v>619</v>
      </c>
      <c r="T114" s="2" t="s">
        <v>55</v>
      </c>
      <c r="U114" s="2" t="s">
        <v>56</v>
      </c>
      <c r="V114" s="2" t="s">
        <v>71</v>
      </c>
      <c r="W114" s="22">
        <v>750000000</v>
      </c>
      <c r="X114" s="2" t="s">
        <v>120</v>
      </c>
      <c r="Y114" s="2" t="s">
        <v>120</v>
      </c>
      <c r="Z114" s="2" t="s">
        <v>60</v>
      </c>
      <c r="AA114" s="2" t="s">
        <v>121</v>
      </c>
      <c r="AB114" s="2" t="s">
        <v>122</v>
      </c>
      <c r="AC114" s="2" t="s">
        <v>122</v>
      </c>
      <c r="AD114" s="2" t="s">
        <v>3689</v>
      </c>
      <c r="AE114" s="22">
        <v>3.0030000000000001</v>
      </c>
      <c r="AF114" s="22">
        <v>2.9569999999999999</v>
      </c>
    </row>
    <row r="115" spans="1:32" x14ac:dyDescent="0.2">
      <c r="A115" s="2" t="s">
        <v>641</v>
      </c>
      <c r="B115" s="22">
        <v>4.0475060249586479</v>
      </c>
      <c r="C115" s="22">
        <v>4.1137088425896238</v>
      </c>
      <c r="D115" s="2" t="s">
        <v>366</v>
      </c>
      <c r="E115" s="2" t="s">
        <v>798</v>
      </c>
      <c r="F115" s="2" t="s">
        <v>3690</v>
      </c>
      <c r="G115" s="2" t="s">
        <v>799</v>
      </c>
      <c r="H115" s="2" t="s">
        <v>644</v>
      </c>
      <c r="I115" s="2" t="s">
        <v>366</v>
      </c>
      <c r="J115" s="22">
        <v>1.375</v>
      </c>
      <c r="K115" s="2" t="s">
        <v>783</v>
      </c>
      <c r="L115" s="2" t="s">
        <v>784</v>
      </c>
      <c r="M115" s="22">
        <v>1.4769999999999999</v>
      </c>
      <c r="N115" s="2" t="s">
        <v>115</v>
      </c>
      <c r="O115" s="2" t="s">
        <v>116</v>
      </c>
      <c r="P115" s="2" t="s">
        <v>270</v>
      </c>
      <c r="Q115" s="2" t="s">
        <v>52</v>
      </c>
      <c r="R115" s="2" t="s">
        <v>262</v>
      </c>
      <c r="S115" s="2" t="s">
        <v>619</v>
      </c>
      <c r="T115" s="2" t="s">
        <v>55</v>
      </c>
      <c r="U115" s="2" t="s">
        <v>56</v>
      </c>
      <c r="V115" s="2" t="s">
        <v>71</v>
      </c>
      <c r="W115" s="22">
        <v>1250000000</v>
      </c>
      <c r="X115" s="2" t="s">
        <v>120</v>
      </c>
      <c r="Y115" s="2" t="s">
        <v>120</v>
      </c>
      <c r="Z115" s="2" t="s">
        <v>60</v>
      </c>
      <c r="AA115" s="2" t="s">
        <v>121</v>
      </c>
      <c r="AB115" s="2" t="s">
        <v>122</v>
      </c>
      <c r="AC115" s="2" t="s">
        <v>122</v>
      </c>
      <c r="AD115" s="2" t="s">
        <v>3691</v>
      </c>
      <c r="AE115" s="22">
        <v>1.387</v>
      </c>
      <c r="AF115" s="22">
        <v>1.4769999999999999</v>
      </c>
    </row>
    <row r="116" spans="1:32" x14ac:dyDescent="0.2">
      <c r="A116" s="2" t="s">
        <v>641</v>
      </c>
      <c r="B116" s="22">
        <v>4.2223235476254306</v>
      </c>
      <c r="C116" s="22">
        <v>4.2881269085244424</v>
      </c>
      <c r="D116" s="2" t="s">
        <v>366</v>
      </c>
      <c r="E116" s="2" t="s">
        <v>801</v>
      </c>
      <c r="F116" s="2" t="s">
        <v>3692</v>
      </c>
      <c r="G116" s="2" t="s">
        <v>802</v>
      </c>
      <c r="H116" s="2" t="s">
        <v>644</v>
      </c>
      <c r="I116" s="2" t="s">
        <v>366</v>
      </c>
      <c r="J116" s="22">
        <v>1.875</v>
      </c>
      <c r="K116" s="2" t="s">
        <v>783</v>
      </c>
      <c r="L116" s="2" t="s">
        <v>789</v>
      </c>
      <c r="M116" s="22">
        <v>1.9370000000000001</v>
      </c>
      <c r="N116" s="2" t="s">
        <v>115</v>
      </c>
      <c r="O116" s="2" t="s">
        <v>116</v>
      </c>
      <c r="P116" s="2" t="s">
        <v>270</v>
      </c>
      <c r="Q116" s="2" t="s">
        <v>52</v>
      </c>
      <c r="R116" s="2" t="s">
        <v>262</v>
      </c>
      <c r="S116" s="2" t="s">
        <v>619</v>
      </c>
      <c r="T116" s="2" t="s">
        <v>55</v>
      </c>
      <c r="U116" s="2" t="s">
        <v>56</v>
      </c>
      <c r="V116" s="2" t="s">
        <v>71</v>
      </c>
      <c r="W116" s="22">
        <v>1000000000</v>
      </c>
      <c r="X116" s="2" t="s">
        <v>120</v>
      </c>
      <c r="Y116" s="2" t="s">
        <v>120</v>
      </c>
      <c r="Z116" s="2" t="s">
        <v>60</v>
      </c>
      <c r="AA116" s="2" t="s">
        <v>121</v>
      </c>
      <c r="AB116" s="2" t="s">
        <v>122</v>
      </c>
      <c r="AC116" s="2" t="s">
        <v>122</v>
      </c>
      <c r="AD116" s="2" t="s">
        <v>3693</v>
      </c>
      <c r="AE116" s="22">
        <v>1.889</v>
      </c>
      <c r="AF116" s="22">
        <v>1.9370000000000001</v>
      </c>
    </row>
    <row r="117" spans="1:32" x14ac:dyDescent="0.2">
      <c r="A117" s="2" t="s">
        <v>641</v>
      </c>
      <c r="B117" s="22">
        <v>4.5013083363571713</v>
      </c>
      <c r="C117" s="22">
        <v>4.5672151897644486</v>
      </c>
      <c r="D117" s="2" t="s">
        <v>366</v>
      </c>
      <c r="E117" s="2" t="s">
        <v>803</v>
      </c>
      <c r="F117" s="2" t="s">
        <v>3694</v>
      </c>
      <c r="G117" s="2" t="s">
        <v>804</v>
      </c>
      <c r="H117" s="2" t="s">
        <v>644</v>
      </c>
      <c r="I117" s="2" t="s">
        <v>366</v>
      </c>
      <c r="J117" s="22">
        <v>2.25</v>
      </c>
      <c r="K117" s="2" t="s">
        <v>783</v>
      </c>
      <c r="L117" s="2" t="s">
        <v>793</v>
      </c>
      <c r="M117" s="22">
        <v>2.3199999999999998</v>
      </c>
      <c r="N117" s="2" t="s">
        <v>115</v>
      </c>
      <c r="O117" s="2" t="s">
        <v>116</v>
      </c>
      <c r="P117" s="2" t="s">
        <v>270</v>
      </c>
      <c r="Q117" s="2" t="s">
        <v>52</v>
      </c>
      <c r="R117" s="2" t="s">
        <v>262</v>
      </c>
      <c r="S117" s="2" t="s">
        <v>619</v>
      </c>
      <c r="T117" s="2" t="s">
        <v>55</v>
      </c>
      <c r="U117" s="2" t="s">
        <v>56</v>
      </c>
      <c r="V117" s="2" t="s">
        <v>71</v>
      </c>
      <c r="W117" s="22">
        <v>1000000000</v>
      </c>
      <c r="X117" s="2" t="s">
        <v>120</v>
      </c>
      <c r="Y117" s="2" t="s">
        <v>120</v>
      </c>
      <c r="Z117" s="2" t="s">
        <v>60</v>
      </c>
      <c r="AA117" s="2" t="s">
        <v>121</v>
      </c>
      <c r="AB117" s="2" t="s">
        <v>122</v>
      </c>
      <c r="AC117" s="2" t="s">
        <v>122</v>
      </c>
      <c r="AD117" s="2" t="s">
        <v>3695</v>
      </c>
      <c r="AE117" s="22">
        <v>2.2989999999999999</v>
      </c>
      <c r="AF117" s="22">
        <v>2.3199999999999998</v>
      </c>
    </row>
    <row r="118" spans="1:32" x14ac:dyDescent="0.2">
      <c r="A118" s="2" t="s">
        <v>641</v>
      </c>
      <c r="B118" s="22">
        <v>4.9090286493437558</v>
      </c>
      <c r="C118" s="22">
        <v>4.9751268336918475</v>
      </c>
      <c r="D118" s="2" t="s">
        <v>366</v>
      </c>
      <c r="E118" s="2" t="s">
        <v>805</v>
      </c>
      <c r="F118" s="2" t="s">
        <v>3696</v>
      </c>
      <c r="G118" s="2" t="s">
        <v>806</v>
      </c>
      <c r="H118" s="2" t="s">
        <v>644</v>
      </c>
      <c r="I118" s="2" t="s">
        <v>366</v>
      </c>
      <c r="J118" s="22">
        <v>2.875</v>
      </c>
      <c r="K118" s="2" t="s">
        <v>783</v>
      </c>
      <c r="L118" s="2" t="s">
        <v>796</v>
      </c>
      <c r="M118" s="22">
        <v>2.9569999999999999</v>
      </c>
      <c r="N118" s="2" t="s">
        <v>115</v>
      </c>
      <c r="O118" s="2" t="s">
        <v>116</v>
      </c>
      <c r="P118" s="2" t="s">
        <v>270</v>
      </c>
      <c r="Q118" s="2" t="s">
        <v>52</v>
      </c>
      <c r="R118" s="2" t="s">
        <v>262</v>
      </c>
      <c r="S118" s="2" t="s">
        <v>619</v>
      </c>
      <c r="T118" s="2" t="s">
        <v>55</v>
      </c>
      <c r="U118" s="2" t="s">
        <v>56</v>
      </c>
      <c r="V118" s="2" t="s">
        <v>71</v>
      </c>
      <c r="W118" s="22">
        <v>750000000</v>
      </c>
      <c r="X118" s="2" t="s">
        <v>120</v>
      </c>
      <c r="Y118" s="2" t="s">
        <v>120</v>
      </c>
      <c r="Z118" s="2" t="s">
        <v>60</v>
      </c>
      <c r="AA118" s="2" t="s">
        <v>121</v>
      </c>
      <c r="AB118" s="2" t="s">
        <v>122</v>
      </c>
      <c r="AC118" s="2" t="s">
        <v>122</v>
      </c>
      <c r="AD118" s="2" t="s">
        <v>3697</v>
      </c>
      <c r="AE118" s="22">
        <v>2.988</v>
      </c>
      <c r="AF118" s="22">
        <v>2.9569999999999999</v>
      </c>
    </row>
    <row r="119" spans="1:32" x14ac:dyDescent="0.2">
      <c r="A119" s="2" t="s">
        <v>403</v>
      </c>
      <c r="B119" s="22">
        <v>5.4540227286753922</v>
      </c>
      <c r="C119" s="22">
        <v>5.6578670734429695</v>
      </c>
      <c r="D119" s="2" t="s">
        <v>407</v>
      </c>
      <c r="E119" s="2" t="s">
        <v>807</v>
      </c>
      <c r="F119" s="2" t="s">
        <v>3698</v>
      </c>
      <c r="G119" s="2" t="s">
        <v>808</v>
      </c>
      <c r="H119" s="2" t="s">
        <v>406</v>
      </c>
      <c r="I119" s="2" t="s">
        <v>407</v>
      </c>
      <c r="J119" s="22">
        <v>3.375</v>
      </c>
      <c r="K119" s="2" t="s">
        <v>809</v>
      </c>
      <c r="L119" s="2" t="s">
        <v>810</v>
      </c>
      <c r="M119" s="22">
        <v>3.375</v>
      </c>
      <c r="N119" s="2" t="s">
        <v>115</v>
      </c>
      <c r="O119" s="2" t="s">
        <v>116</v>
      </c>
      <c r="P119" s="2" t="s">
        <v>173</v>
      </c>
      <c r="Q119" s="2" t="s">
        <v>52</v>
      </c>
      <c r="R119" s="2" t="s">
        <v>53</v>
      </c>
      <c r="S119" s="2" t="s">
        <v>296</v>
      </c>
      <c r="T119" s="2" t="s">
        <v>174</v>
      </c>
      <c r="U119" s="2" t="s">
        <v>56</v>
      </c>
      <c r="V119" s="2" t="s">
        <v>71</v>
      </c>
      <c r="W119" s="22">
        <v>589660000</v>
      </c>
      <c r="X119" s="2" t="s">
        <v>120</v>
      </c>
      <c r="Y119" s="2" t="s">
        <v>120</v>
      </c>
      <c r="Z119" s="2" t="s">
        <v>202</v>
      </c>
      <c r="AA119" s="2" t="s">
        <v>411</v>
      </c>
      <c r="AB119" s="2" t="s">
        <v>412</v>
      </c>
      <c r="AC119" s="2" t="s">
        <v>412</v>
      </c>
      <c r="AD119" s="2" t="s">
        <v>3699</v>
      </c>
      <c r="AE119" s="22">
        <v>3.1560000000000001</v>
      </c>
      <c r="AF119" s="22">
        <v>3.375</v>
      </c>
    </row>
    <row r="120" spans="1:32" x14ac:dyDescent="0.2">
      <c r="A120" s="2" t="s">
        <v>813</v>
      </c>
      <c r="B120" s="22">
        <v>3.9235725792823275</v>
      </c>
      <c r="C120" s="22">
        <v>4.0526856380114324</v>
      </c>
      <c r="D120" s="2" t="s">
        <v>184</v>
      </c>
      <c r="E120" s="2" t="s">
        <v>814</v>
      </c>
      <c r="F120" s="2" t="s">
        <v>3700</v>
      </c>
      <c r="G120" s="2" t="s">
        <v>815</v>
      </c>
      <c r="H120" s="2" t="s">
        <v>816</v>
      </c>
      <c r="I120" s="2" t="s">
        <v>184</v>
      </c>
      <c r="J120" s="22">
        <v>1</v>
      </c>
      <c r="K120" s="2" t="s">
        <v>817</v>
      </c>
      <c r="L120" s="2" t="s">
        <v>818</v>
      </c>
      <c r="M120" s="22">
        <v>1.0090000000000001</v>
      </c>
      <c r="N120" s="2" t="s">
        <v>115</v>
      </c>
      <c r="O120" s="2" t="s">
        <v>116</v>
      </c>
      <c r="P120" s="2" t="s">
        <v>225</v>
      </c>
      <c r="Q120" s="2" t="s">
        <v>52</v>
      </c>
      <c r="R120" s="2" t="s">
        <v>53</v>
      </c>
      <c r="S120" s="2" t="s">
        <v>263</v>
      </c>
      <c r="T120" s="2" t="s">
        <v>133</v>
      </c>
      <c r="U120" s="2" t="s">
        <v>56</v>
      </c>
      <c r="V120" s="2" t="s">
        <v>57</v>
      </c>
      <c r="W120" s="22">
        <v>830781000</v>
      </c>
      <c r="X120" s="2" t="s">
        <v>134</v>
      </c>
      <c r="Y120" s="2" t="s">
        <v>543</v>
      </c>
      <c r="Z120" s="2" t="s">
        <v>60</v>
      </c>
      <c r="AA120" s="2" t="s">
        <v>61</v>
      </c>
      <c r="AB120" s="2" t="s">
        <v>136</v>
      </c>
      <c r="AC120" s="2" t="s">
        <v>544</v>
      </c>
      <c r="AD120" s="2" t="s">
        <v>3701</v>
      </c>
      <c r="AE120" s="22">
        <v>0.92100000000000004</v>
      </c>
      <c r="AF120" s="22">
        <v>1.0090000000000001</v>
      </c>
    </row>
    <row r="121" spans="1:32" x14ac:dyDescent="0.2">
      <c r="A121" s="2" t="s">
        <v>821</v>
      </c>
      <c r="B121" s="2" t="s">
        <v>54</v>
      </c>
      <c r="C121" s="2" t="s">
        <v>54</v>
      </c>
      <c r="D121" s="2" t="s">
        <v>45</v>
      </c>
      <c r="E121" s="2" t="s">
        <v>822</v>
      </c>
      <c r="F121" s="2" t="s">
        <v>173</v>
      </c>
      <c r="G121" s="2" t="s">
        <v>823</v>
      </c>
      <c r="H121" s="2" t="s">
        <v>824</v>
      </c>
      <c r="I121" s="2" t="s">
        <v>45</v>
      </c>
      <c r="J121" s="22">
        <v>0</v>
      </c>
      <c r="K121" s="2" t="s">
        <v>825</v>
      </c>
      <c r="L121" s="2" t="s">
        <v>826</v>
      </c>
      <c r="M121" s="2" t="s">
        <v>54</v>
      </c>
      <c r="N121" s="2" t="s">
        <v>49</v>
      </c>
      <c r="O121" s="2" t="s">
        <v>50</v>
      </c>
      <c r="P121" s="2" t="s">
        <v>76</v>
      </c>
      <c r="Q121" s="2" t="s">
        <v>52</v>
      </c>
      <c r="R121" s="2" t="s">
        <v>53</v>
      </c>
      <c r="S121" s="2" t="s">
        <v>54</v>
      </c>
      <c r="T121" s="2" t="s">
        <v>55</v>
      </c>
      <c r="U121" s="2" t="s">
        <v>70</v>
      </c>
      <c r="V121" s="2" t="s">
        <v>71</v>
      </c>
      <c r="W121" s="22">
        <v>528484500</v>
      </c>
      <c r="X121" s="2" t="s">
        <v>58</v>
      </c>
      <c r="Y121" s="2" t="s">
        <v>190</v>
      </c>
      <c r="Z121" s="2" t="s">
        <v>60</v>
      </c>
      <c r="AA121" s="2" t="s">
        <v>61</v>
      </c>
      <c r="AB121" s="2" t="s">
        <v>176</v>
      </c>
      <c r="AC121" s="2" t="s">
        <v>191</v>
      </c>
      <c r="AD121" s="2" t="s">
        <v>3702</v>
      </c>
      <c r="AE121" s="2" t="s">
        <v>54</v>
      </c>
      <c r="AF121" s="2" t="s">
        <v>54</v>
      </c>
    </row>
    <row r="122" spans="1:32" x14ac:dyDescent="0.2">
      <c r="A122" s="2" t="s">
        <v>821</v>
      </c>
      <c r="B122" s="2" t="s">
        <v>54</v>
      </c>
      <c r="C122" s="2" t="s">
        <v>54</v>
      </c>
      <c r="D122" s="2" t="s">
        <v>45</v>
      </c>
      <c r="E122" s="2" t="s">
        <v>829</v>
      </c>
      <c r="F122" s="2" t="s">
        <v>173</v>
      </c>
      <c r="G122" s="2" t="s">
        <v>830</v>
      </c>
      <c r="H122" s="2" t="s">
        <v>824</v>
      </c>
      <c r="I122" s="2" t="s">
        <v>45</v>
      </c>
      <c r="J122" s="22">
        <v>0</v>
      </c>
      <c r="K122" s="2" t="s">
        <v>825</v>
      </c>
      <c r="L122" s="2" t="s">
        <v>831</v>
      </c>
      <c r="M122" s="2" t="s">
        <v>54</v>
      </c>
      <c r="N122" s="2" t="s">
        <v>49</v>
      </c>
      <c r="O122" s="2" t="s">
        <v>50</v>
      </c>
      <c r="P122" s="2" t="s">
        <v>144</v>
      </c>
      <c r="Q122" s="2" t="s">
        <v>52</v>
      </c>
      <c r="R122" s="2" t="s">
        <v>53</v>
      </c>
      <c r="S122" s="2" t="s">
        <v>54</v>
      </c>
      <c r="T122" s="2" t="s">
        <v>55</v>
      </c>
      <c r="U122" s="2" t="s">
        <v>70</v>
      </c>
      <c r="V122" s="2" t="s">
        <v>71</v>
      </c>
      <c r="W122" s="22">
        <v>528484500</v>
      </c>
      <c r="X122" s="2" t="s">
        <v>58</v>
      </c>
      <c r="Y122" s="2" t="s">
        <v>190</v>
      </c>
      <c r="Z122" s="2" t="s">
        <v>60</v>
      </c>
      <c r="AA122" s="2" t="s">
        <v>61</v>
      </c>
      <c r="AB122" s="2" t="s">
        <v>176</v>
      </c>
      <c r="AC122" s="2" t="s">
        <v>191</v>
      </c>
      <c r="AD122" s="2" t="s">
        <v>3703</v>
      </c>
      <c r="AE122" s="2" t="s">
        <v>54</v>
      </c>
      <c r="AF122" s="2" t="s">
        <v>54</v>
      </c>
    </row>
    <row r="123" spans="1:32" x14ac:dyDescent="0.2">
      <c r="A123" s="2" t="s">
        <v>832</v>
      </c>
      <c r="B123" s="22">
        <v>4.282602148787066</v>
      </c>
      <c r="C123" s="22">
        <v>4.3524328182274328</v>
      </c>
      <c r="D123" s="2" t="s">
        <v>169</v>
      </c>
      <c r="E123" s="2" t="s">
        <v>833</v>
      </c>
      <c r="F123" s="2" t="s">
        <v>3704</v>
      </c>
      <c r="G123" s="2" t="s">
        <v>834</v>
      </c>
      <c r="H123" s="2" t="s">
        <v>168</v>
      </c>
      <c r="I123" s="2" t="s">
        <v>169</v>
      </c>
      <c r="J123" s="22">
        <v>2.2400000000000002</v>
      </c>
      <c r="K123" s="2" t="s">
        <v>835</v>
      </c>
      <c r="L123" s="2" t="s">
        <v>836</v>
      </c>
      <c r="M123" s="2" t="s">
        <v>54</v>
      </c>
      <c r="N123" s="2" t="s">
        <v>49</v>
      </c>
      <c r="O123" s="2" t="s">
        <v>50</v>
      </c>
      <c r="P123" s="2" t="s">
        <v>225</v>
      </c>
      <c r="Q123" s="2" t="s">
        <v>52</v>
      </c>
      <c r="R123" s="2" t="s">
        <v>262</v>
      </c>
      <c r="S123" s="2" t="s">
        <v>174</v>
      </c>
      <c r="T123" s="2" t="s">
        <v>55</v>
      </c>
      <c r="U123" s="2" t="s">
        <v>56</v>
      </c>
      <c r="V123" s="2" t="s">
        <v>71</v>
      </c>
      <c r="W123" s="22">
        <v>100000000</v>
      </c>
      <c r="X123" s="2" t="s">
        <v>85</v>
      </c>
      <c r="Y123" s="2" t="s">
        <v>175</v>
      </c>
      <c r="Z123" s="2" t="s">
        <v>60</v>
      </c>
      <c r="AA123" s="2" t="s">
        <v>61</v>
      </c>
      <c r="AB123" s="2" t="s">
        <v>176</v>
      </c>
      <c r="AC123" s="2" t="s">
        <v>177</v>
      </c>
      <c r="AD123" s="2" t="s">
        <v>3705</v>
      </c>
      <c r="AE123" s="22">
        <v>2.4249999999999998</v>
      </c>
      <c r="AF123" s="22">
        <v>2.4249999999999998</v>
      </c>
    </row>
    <row r="124" spans="1:32" x14ac:dyDescent="0.2">
      <c r="A124" s="2" t="s">
        <v>839</v>
      </c>
      <c r="B124" s="22">
        <v>1.9794136560706241</v>
      </c>
      <c r="C124" s="22">
        <v>2.0755025480996308</v>
      </c>
      <c r="D124" s="2" t="s">
        <v>184</v>
      </c>
      <c r="E124" s="2" t="s">
        <v>840</v>
      </c>
      <c r="F124" s="2" t="s">
        <v>3706</v>
      </c>
      <c r="G124" s="2" t="s">
        <v>841</v>
      </c>
      <c r="H124" s="2" t="s">
        <v>842</v>
      </c>
      <c r="I124" s="2" t="s">
        <v>184</v>
      </c>
      <c r="J124" s="22">
        <v>0.125</v>
      </c>
      <c r="K124" s="2" t="s">
        <v>843</v>
      </c>
      <c r="L124" s="2" t="s">
        <v>844</v>
      </c>
      <c r="M124" s="2" t="s">
        <v>54</v>
      </c>
      <c r="N124" s="2" t="s">
        <v>115</v>
      </c>
      <c r="O124" s="2" t="s">
        <v>116</v>
      </c>
      <c r="P124" s="2" t="s">
        <v>173</v>
      </c>
      <c r="Q124" s="2" t="s">
        <v>52</v>
      </c>
      <c r="R124" s="2" t="s">
        <v>53</v>
      </c>
      <c r="S124" s="2" t="s">
        <v>496</v>
      </c>
      <c r="T124" s="2" t="s">
        <v>55</v>
      </c>
      <c r="U124" s="2" t="s">
        <v>56</v>
      </c>
      <c r="V124" s="2" t="s">
        <v>57</v>
      </c>
      <c r="W124" s="22">
        <v>529182000</v>
      </c>
      <c r="X124" s="2" t="s">
        <v>120</v>
      </c>
      <c r="Y124" s="2" t="s">
        <v>120</v>
      </c>
      <c r="Z124" s="2" t="s">
        <v>60</v>
      </c>
      <c r="AA124" s="2" t="s">
        <v>121</v>
      </c>
      <c r="AB124" s="2" t="s">
        <v>845</v>
      </c>
      <c r="AC124" s="2" t="s">
        <v>845</v>
      </c>
      <c r="AD124" s="2" t="s">
        <v>3707</v>
      </c>
      <c r="AE124" s="22">
        <v>7.4999999999999997E-2</v>
      </c>
      <c r="AF124" s="22">
        <v>7.4999999999999997E-2</v>
      </c>
    </row>
    <row r="125" spans="1:32" x14ac:dyDescent="0.2">
      <c r="A125" s="2" t="s">
        <v>839</v>
      </c>
      <c r="B125" s="22">
        <v>2.6385384460752603</v>
      </c>
      <c r="C125" s="22">
        <v>2.7407470397508762</v>
      </c>
      <c r="D125" s="2" t="s">
        <v>184</v>
      </c>
      <c r="E125" s="2" t="s">
        <v>848</v>
      </c>
      <c r="F125" s="2" t="s">
        <v>3708</v>
      </c>
      <c r="G125" s="2" t="s">
        <v>849</v>
      </c>
      <c r="H125" s="2" t="s">
        <v>842</v>
      </c>
      <c r="I125" s="2" t="s">
        <v>184</v>
      </c>
      <c r="J125" s="22">
        <v>0.625</v>
      </c>
      <c r="K125" s="2" t="s">
        <v>843</v>
      </c>
      <c r="L125" s="2" t="s">
        <v>850</v>
      </c>
      <c r="M125" s="22">
        <v>0.65900000000000003</v>
      </c>
      <c r="N125" s="2" t="s">
        <v>115</v>
      </c>
      <c r="O125" s="2" t="s">
        <v>116</v>
      </c>
      <c r="P125" s="2" t="s">
        <v>553</v>
      </c>
      <c r="Q125" s="2" t="s">
        <v>52</v>
      </c>
      <c r="R125" s="2" t="s">
        <v>53</v>
      </c>
      <c r="S125" s="2" t="s">
        <v>496</v>
      </c>
      <c r="T125" s="2" t="s">
        <v>55</v>
      </c>
      <c r="U125" s="2" t="s">
        <v>56</v>
      </c>
      <c r="V125" s="2" t="s">
        <v>57</v>
      </c>
      <c r="W125" s="22">
        <v>587980000</v>
      </c>
      <c r="X125" s="2" t="s">
        <v>120</v>
      </c>
      <c r="Y125" s="2" t="s">
        <v>120</v>
      </c>
      <c r="Z125" s="2" t="s">
        <v>60</v>
      </c>
      <c r="AA125" s="2" t="s">
        <v>121</v>
      </c>
      <c r="AB125" s="2" t="s">
        <v>845</v>
      </c>
      <c r="AC125" s="2" t="s">
        <v>845</v>
      </c>
      <c r="AD125" s="2" t="s">
        <v>3709</v>
      </c>
      <c r="AE125" s="22">
        <v>0.54600000000000004</v>
      </c>
      <c r="AF125" s="22">
        <v>0.65900000000000003</v>
      </c>
    </row>
    <row r="126" spans="1:32" x14ac:dyDescent="0.2">
      <c r="A126" s="2" t="s">
        <v>754</v>
      </c>
      <c r="B126" s="22">
        <v>5.3198688963387593</v>
      </c>
      <c r="C126" s="22">
        <v>5.3594338172191369</v>
      </c>
      <c r="D126" s="2" t="s">
        <v>257</v>
      </c>
      <c r="E126" s="2" t="s">
        <v>852</v>
      </c>
      <c r="F126" s="2" t="s">
        <v>3710</v>
      </c>
      <c r="G126" s="2" t="s">
        <v>853</v>
      </c>
      <c r="H126" s="2" t="s">
        <v>757</v>
      </c>
      <c r="I126" s="2" t="s">
        <v>257</v>
      </c>
      <c r="J126" s="22">
        <v>2.5</v>
      </c>
      <c r="K126" s="2" t="s">
        <v>854</v>
      </c>
      <c r="L126" s="2" t="s">
        <v>855</v>
      </c>
      <c r="M126" s="22">
        <v>2.6999999999999997</v>
      </c>
      <c r="N126" s="2" t="s">
        <v>115</v>
      </c>
      <c r="O126" s="2" t="s">
        <v>116</v>
      </c>
      <c r="P126" s="2" t="s">
        <v>173</v>
      </c>
      <c r="Q126" s="2" t="s">
        <v>52</v>
      </c>
      <c r="R126" s="2" t="s">
        <v>262</v>
      </c>
      <c r="S126" s="2" t="s">
        <v>496</v>
      </c>
      <c r="T126" s="2" t="s">
        <v>55</v>
      </c>
      <c r="U126" s="2" t="s">
        <v>56</v>
      </c>
      <c r="V126" s="2" t="s">
        <v>71</v>
      </c>
      <c r="W126" s="22">
        <v>500000000</v>
      </c>
      <c r="X126" s="2" t="s">
        <v>85</v>
      </c>
      <c r="Y126" s="2" t="s">
        <v>759</v>
      </c>
      <c r="Z126" s="2" t="s">
        <v>60</v>
      </c>
      <c r="AA126" s="2" t="s">
        <v>61</v>
      </c>
      <c r="AB126" s="2" t="s">
        <v>87</v>
      </c>
      <c r="AC126" s="2" t="s">
        <v>265</v>
      </c>
      <c r="AD126" s="2" t="s">
        <v>3711</v>
      </c>
      <c r="AE126" s="22">
        <v>2.5529999999999999</v>
      </c>
      <c r="AF126" s="22">
        <v>2.6999999999999997</v>
      </c>
    </row>
    <row r="127" spans="1:32" x14ac:dyDescent="0.2">
      <c r="A127" s="2" t="s">
        <v>858</v>
      </c>
      <c r="B127" s="22">
        <v>6.3187955556158579</v>
      </c>
      <c r="C127" s="22">
        <v>6.590916029806908</v>
      </c>
      <c r="D127" s="2" t="s">
        <v>199</v>
      </c>
      <c r="E127" s="2" t="s">
        <v>859</v>
      </c>
      <c r="F127" s="2" t="s">
        <v>3712</v>
      </c>
      <c r="G127" s="2" t="s">
        <v>860</v>
      </c>
      <c r="H127" s="2" t="s">
        <v>861</v>
      </c>
      <c r="I127" s="2" t="s">
        <v>199</v>
      </c>
      <c r="J127" s="22">
        <v>4.625</v>
      </c>
      <c r="K127" s="2" t="s">
        <v>862</v>
      </c>
      <c r="L127" s="2" t="s">
        <v>863</v>
      </c>
      <c r="M127" s="22">
        <v>4.625</v>
      </c>
      <c r="N127" s="2" t="s">
        <v>115</v>
      </c>
      <c r="O127" s="2" t="s">
        <v>116</v>
      </c>
      <c r="P127" s="2" t="s">
        <v>261</v>
      </c>
      <c r="Q127" s="2" t="s">
        <v>458</v>
      </c>
      <c r="R127" s="2" t="s">
        <v>53</v>
      </c>
      <c r="S127" s="2" t="s">
        <v>350</v>
      </c>
      <c r="T127" s="2" t="s">
        <v>55</v>
      </c>
      <c r="U127" s="2" t="s">
        <v>56</v>
      </c>
      <c r="V127" s="2" t="s">
        <v>71</v>
      </c>
      <c r="W127" s="22">
        <v>591447000</v>
      </c>
      <c r="X127" s="2" t="s">
        <v>58</v>
      </c>
      <c r="Y127" s="2" t="s">
        <v>864</v>
      </c>
      <c r="Z127" s="2" t="s">
        <v>60</v>
      </c>
      <c r="AA127" s="2" t="s">
        <v>61</v>
      </c>
      <c r="AB127" s="2" t="s">
        <v>176</v>
      </c>
      <c r="AC127" s="2" t="s">
        <v>865</v>
      </c>
      <c r="AD127" s="2" t="s">
        <v>3713</v>
      </c>
      <c r="AE127" s="22">
        <v>4.1390000000000002</v>
      </c>
      <c r="AF127" s="22">
        <v>4.625</v>
      </c>
    </row>
    <row r="128" spans="1:32" x14ac:dyDescent="0.2">
      <c r="A128" s="2" t="s">
        <v>858</v>
      </c>
      <c r="B128" s="22">
        <v>6.3100209144233501</v>
      </c>
      <c r="C128" s="22">
        <v>6.5695421653294064</v>
      </c>
      <c r="D128" s="2" t="s">
        <v>199</v>
      </c>
      <c r="E128" s="2" t="s">
        <v>867</v>
      </c>
      <c r="F128" s="2" t="s">
        <v>3714</v>
      </c>
      <c r="G128" s="2" t="s">
        <v>868</v>
      </c>
      <c r="H128" s="2" t="s">
        <v>861</v>
      </c>
      <c r="I128" s="2" t="s">
        <v>199</v>
      </c>
      <c r="J128" s="22">
        <v>4.625</v>
      </c>
      <c r="K128" s="2" t="s">
        <v>862</v>
      </c>
      <c r="L128" s="2" t="s">
        <v>863</v>
      </c>
      <c r="M128" s="22">
        <v>4.625</v>
      </c>
      <c r="N128" s="2" t="s">
        <v>115</v>
      </c>
      <c r="O128" s="2" t="s">
        <v>116</v>
      </c>
      <c r="P128" s="2" t="s">
        <v>270</v>
      </c>
      <c r="Q128" s="2" t="s">
        <v>458</v>
      </c>
      <c r="R128" s="2" t="s">
        <v>53</v>
      </c>
      <c r="S128" s="2" t="s">
        <v>350</v>
      </c>
      <c r="T128" s="2" t="s">
        <v>55</v>
      </c>
      <c r="U128" s="2" t="s">
        <v>56</v>
      </c>
      <c r="V128" s="2" t="s">
        <v>71</v>
      </c>
      <c r="W128" s="22">
        <v>591447000</v>
      </c>
      <c r="X128" s="2" t="s">
        <v>58</v>
      </c>
      <c r="Y128" s="2" t="s">
        <v>864</v>
      </c>
      <c r="Z128" s="2" t="s">
        <v>60</v>
      </c>
      <c r="AA128" s="2" t="s">
        <v>61</v>
      </c>
      <c r="AB128" s="2" t="s">
        <v>176</v>
      </c>
      <c r="AC128" s="2" t="s">
        <v>865</v>
      </c>
      <c r="AD128" s="2" t="s">
        <v>3715</v>
      </c>
      <c r="AE128" s="22">
        <v>4.141</v>
      </c>
      <c r="AF128" s="22">
        <v>4.625</v>
      </c>
    </row>
    <row r="129" spans="1:32" x14ac:dyDescent="0.2">
      <c r="A129" s="2" t="s">
        <v>871</v>
      </c>
      <c r="B129" s="22">
        <v>4.3476134889757843</v>
      </c>
      <c r="C129" s="22">
        <v>4.38701097962951</v>
      </c>
      <c r="D129" s="2" t="s">
        <v>594</v>
      </c>
      <c r="E129" s="2" t="s">
        <v>872</v>
      </c>
      <c r="F129" s="2" t="s">
        <v>3716</v>
      </c>
      <c r="G129" s="2" t="s">
        <v>873</v>
      </c>
      <c r="H129" s="2" t="s">
        <v>874</v>
      </c>
      <c r="I129" s="2" t="s">
        <v>594</v>
      </c>
      <c r="J129" s="22">
        <v>2</v>
      </c>
      <c r="K129" s="2" t="s">
        <v>843</v>
      </c>
      <c r="L129" s="2" t="s">
        <v>875</v>
      </c>
      <c r="M129" s="22">
        <v>2.0909999999999997</v>
      </c>
      <c r="N129" s="2" t="s">
        <v>115</v>
      </c>
      <c r="O129" s="2" t="s">
        <v>116</v>
      </c>
      <c r="P129" s="2" t="s">
        <v>173</v>
      </c>
      <c r="Q129" s="2" t="s">
        <v>52</v>
      </c>
      <c r="R129" s="2" t="s">
        <v>262</v>
      </c>
      <c r="S129" s="2" t="s">
        <v>174</v>
      </c>
      <c r="T129" s="2" t="s">
        <v>55</v>
      </c>
      <c r="U129" s="2" t="s">
        <v>56</v>
      </c>
      <c r="V129" s="2" t="s">
        <v>71</v>
      </c>
      <c r="W129" s="22">
        <v>500000000</v>
      </c>
      <c r="X129" s="2" t="s">
        <v>58</v>
      </c>
      <c r="Y129" s="2" t="s">
        <v>190</v>
      </c>
      <c r="Z129" s="2" t="s">
        <v>60</v>
      </c>
      <c r="AA129" s="2" t="s">
        <v>61</v>
      </c>
      <c r="AB129" s="2" t="s">
        <v>176</v>
      </c>
      <c r="AC129" s="2" t="s">
        <v>191</v>
      </c>
      <c r="AD129" s="2" t="s">
        <v>3717</v>
      </c>
      <c r="AE129" s="2" t="s">
        <v>54</v>
      </c>
      <c r="AF129" s="22">
        <v>2.0909999999999997</v>
      </c>
    </row>
    <row r="130" spans="1:32" x14ac:dyDescent="0.2">
      <c r="A130" s="2" t="s">
        <v>878</v>
      </c>
      <c r="B130" s="22">
        <v>6.5706045101130757</v>
      </c>
      <c r="C130" s="22">
        <v>6.6325795347390004</v>
      </c>
      <c r="D130" s="2" t="s">
        <v>169</v>
      </c>
      <c r="E130" s="2" t="s">
        <v>879</v>
      </c>
      <c r="F130" s="2" t="s">
        <v>3718</v>
      </c>
      <c r="G130" s="2" t="s">
        <v>880</v>
      </c>
      <c r="H130" s="2" t="s">
        <v>881</v>
      </c>
      <c r="I130" s="2" t="s">
        <v>169</v>
      </c>
      <c r="J130" s="22">
        <v>4.2</v>
      </c>
      <c r="K130" s="2" t="s">
        <v>882</v>
      </c>
      <c r="L130" s="2" t="s">
        <v>883</v>
      </c>
      <c r="M130" s="22">
        <v>4.25</v>
      </c>
      <c r="N130" s="2" t="s">
        <v>115</v>
      </c>
      <c r="O130" s="2" t="s">
        <v>116</v>
      </c>
      <c r="P130" s="2" t="s">
        <v>261</v>
      </c>
      <c r="Q130" s="2" t="s">
        <v>52</v>
      </c>
      <c r="R130" s="2" t="s">
        <v>262</v>
      </c>
      <c r="S130" s="2" t="s">
        <v>884</v>
      </c>
      <c r="T130" s="2" t="s">
        <v>55</v>
      </c>
      <c r="U130" s="2" t="s">
        <v>56</v>
      </c>
      <c r="V130" s="2" t="s">
        <v>71</v>
      </c>
      <c r="W130" s="22">
        <v>500000000</v>
      </c>
      <c r="X130" s="2" t="s">
        <v>58</v>
      </c>
      <c r="Y130" s="2" t="s">
        <v>885</v>
      </c>
      <c r="Z130" s="2" t="s">
        <v>60</v>
      </c>
      <c r="AA130" s="2" t="s">
        <v>61</v>
      </c>
      <c r="AB130" s="2" t="s">
        <v>279</v>
      </c>
      <c r="AC130" s="2" t="s">
        <v>886</v>
      </c>
      <c r="AD130" s="2" t="s">
        <v>3719</v>
      </c>
      <c r="AE130" s="22">
        <v>4.306</v>
      </c>
      <c r="AF130" s="22">
        <v>4.25</v>
      </c>
    </row>
    <row r="131" spans="1:32" x14ac:dyDescent="0.2">
      <c r="A131" s="2" t="s">
        <v>878</v>
      </c>
      <c r="B131" s="22">
        <v>6.5701315679867491</v>
      </c>
      <c r="C131" s="22">
        <v>6.6161028013346845</v>
      </c>
      <c r="D131" s="2" t="s">
        <v>169</v>
      </c>
      <c r="E131" s="2" t="s">
        <v>889</v>
      </c>
      <c r="F131" s="2" t="s">
        <v>3720</v>
      </c>
      <c r="G131" s="2" t="s">
        <v>890</v>
      </c>
      <c r="H131" s="2" t="s">
        <v>881</v>
      </c>
      <c r="I131" s="2" t="s">
        <v>169</v>
      </c>
      <c r="J131" s="22">
        <v>4.2</v>
      </c>
      <c r="K131" s="2" t="s">
        <v>882</v>
      </c>
      <c r="L131" s="2" t="s">
        <v>883</v>
      </c>
      <c r="M131" s="22">
        <v>4.25</v>
      </c>
      <c r="N131" s="2" t="s">
        <v>115</v>
      </c>
      <c r="O131" s="2" t="s">
        <v>116</v>
      </c>
      <c r="P131" s="2" t="s">
        <v>270</v>
      </c>
      <c r="Q131" s="2" t="s">
        <v>52</v>
      </c>
      <c r="R131" s="2" t="s">
        <v>262</v>
      </c>
      <c r="S131" s="2" t="s">
        <v>884</v>
      </c>
      <c r="T131" s="2" t="s">
        <v>55</v>
      </c>
      <c r="U131" s="2" t="s">
        <v>56</v>
      </c>
      <c r="V131" s="2" t="s">
        <v>71</v>
      </c>
      <c r="W131" s="22">
        <v>500000000</v>
      </c>
      <c r="X131" s="2" t="s">
        <v>58</v>
      </c>
      <c r="Y131" s="2" t="s">
        <v>885</v>
      </c>
      <c r="Z131" s="2" t="s">
        <v>60</v>
      </c>
      <c r="AA131" s="2" t="s">
        <v>61</v>
      </c>
      <c r="AB131" s="2" t="s">
        <v>279</v>
      </c>
      <c r="AC131" s="2" t="s">
        <v>886</v>
      </c>
      <c r="AD131" s="2" t="s">
        <v>3721</v>
      </c>
      <c r="AE131" s="22">
        <v>4.2839999999999998</v>
      </c>
      <c r="AF131" s="22">
        <v>4.25</v>
      </c>
    </row>
    <row r="132" spans="1:32" x14ac:dyDescent="0.2">
      <c r="A132" s="2" t="s">
        <v>893</v>
      </c>
      <c r="B132" s="22">
        <v>1.9179477905321827</v>
      </c>
      <c r="C132" s="22">
        <v>2.1177435359322025</v>
      </c>
      <c r="D132" s="2" t="s">
        <v>367</v>
      </c>
      <c r="E132" s="2" t="s">
        <v>894</v>
      </c>
      <c r="F132" s="2" t="s">
        <v>3722</v>
      </c>
      <c r="G132" s="2" t="s">
        <v>895</v>
      </c>
      <c r="H132" s="2" t="s">
        <v>896</v>
      </c>
      <c r="I132" s="2" t="s">
        <v>367</v>
      </c>
      <c r="J132" s="22">
        <v>1.266</v>
      </c>
      <c r="K132" s="2" t="s">
        <v>897</v>
      </c>
      <c r="L132" s="2" t="s">
        <v>898</v>
      </c>
      <c r="M132" s="2" t="s">
        <v>54</v>
      </c>
      <c r="N132" s="2" t="s">
        <v>49</v>
      </c>
      <c r="O132" s="2" t="s">
        <v>50</v>
      </c>
      <c r="P132" s="2" t="s">
        <v>685</v>
      </c>
      <c r="Q132" s="2" t="s">
        <v>52</v>
      </c>
      <c r="R132" s="2" t="s">
        <v>686</v>
      </c>
      <c r="S132" s="2" t="s">
        <v>54</v>
      </c>
      <c r="T132" s="2" t="s">
        <v>55</v>
      </c>
      <c r="U132" s="2" t="s">
        <v>70</v>
      </c>
      <c r="V132" s="2" t="s">
        <v>391</v>
      </c>
      <c r="W132" s="22">
        <v>68178000</v>
      </c>
      <c r="X132" s="2" t="s">
        <v>85</v>
      </c>
      <c r="Y132" s="2" t="s">
        <v>86</v>
      </c>
      <c r="Z132" s="2" t="s">
        <v>60</v>
      </c>
      <c r="AA132" s="2" t="s">
        <v>61</v>
      </c>
      <c r="AB132" s="2" t="s">
        <v>87</v>
      </c>
      <c r="AC132" s="2" t="s">
        <v>88</v>
      </c>
      <c r="AD132" s="2" t="s">
        <v>3723</v>
      </c>
      <c r="AE132" s="22">
        <v>0.98699999999999999</v>
      </c>
      <c r="AF132" s="22">
        <v>0.98699999999999999</v>
      </c>
    </row>
    <row r="133" spans="1:32" x14ac:dyDescent="0.2">
      <c r="A133" s="2" t="s">
        <v>641</v>
      </c>
      <c r="B133" s="22">
        <v>1.8374019276555797</v>
      </c>
      <c r="C133" s="22">
        <v>1.9050300252540175</v>
      </c>
      <c r="D133" s="2" t="s">
        <v>366</v>
      </c>
      <c r="E133" s="2" t="s">
        <v>901</v>
      </c>
      <c r="F133" s="2" t="s">
        <v>3724</v>
      </c>
      <c r="G133" s="2" t="s">
        <v>902</v>
      </c>
      <c r="H133" s="2" t="s">
        <v>644</v>
      </c>
      <c r="I133" s="2" t="s">
        <v>366</v>
      </c>
      <c r="J133" s="22">
        <v>0</v>
      </c>
      <c r="K133" s="2" t="s">
        <v>903</v>
      </c>
      <c r="L133" s="2" t="s">
        <v>904</v>
      </c>
      <c r="M133" s="22">
        <v>6.4000000000000015E-2</v>
      </c>
      <c r="N133" s="2" t="s">
        <v>115</v>
      </c>
      <c r="O133" s="2" t="s">
        <v>116</v>
      </c>
      <c r="P133" s="2" t="s">
        <v>225</v>
      </c>
      <c r="Q133" s="2" t="s">
        <v>52</v>
      </c>
      <c r="R133" s="2" t="s">
        <v>53</v>
      </c>
      <c r="S133" s="2" t="s">
        <v>619</v>
      </c>
      <c r="T133" s="2" t="s">
        <v>55</v>
      </c>
      <c r="U133" s="2" t="s">
        <v>56</v>
      </c>
      <c r="V133" s="2" t="s">
        <v>57</v>
      </c>
      <c r="W133" s="22">
        <v>1460250000</v>
      </c>
      <c r="X133" s="2" t="s">
        <v>120</v>
      </c>
      <c r="Y133" s="2" t="s">
        <v>120</v>
      </c>
      <c r="Z133" s="2" t="s">
        <v>60</v>
      </c>
      <c r="AA133" s="2" t="s">
        <v>121</v>
      </c>
      <c r="AB133" s="2" t="s">
        <v>122</v>
      </c>
      <c r="AC133" s="2" t="s">
        <v>122</v>
      </c>
      <c r="AD133" s="2" t="s">
        <v>3725</v>
      </c>
      <c r="AE133" s="22">
        <v>8.6999999999999994E-2</v>
      </c>
      <c r="AF133" s="22">
        <v>6.4000000000000015E-2</v>
      </c>
    </row>
    <row r="134" spans="1:32" x14ac:dyDescent="0.2">
      <c r="A134" s="2" t="s">
        <v>641</v>
      </c>
      <c r="B134" s="22">
        <v>2.2757401438708329</v>
      </c>
      <c r="C134" s="22">
        <v>2.3417710125835582</v>
      </c>
      <c r="D134" s="2" t="s">
        <v>366</v>
      </c>
      <c r="E134" s="2" t="s">
        <v>906</v>
      </c>
      <c r="F134" s="2" t="s">
        <v>3726</v>
      </c>
      <c r="G134" s="2" t="s">
        <v>907</v>
      </c>
      <c r="H134" s="2" t="s">
        <v>644</v>
      </c>
      <c r="I134" s="2" t="s">
        <v>366</v>
      </c>
      <c r="J134" s="22">
        <v>0.375</v>
      </c>
      <c r="K134" s="2" t="s">
        <v>903</v>
      </c>
      <c r="L134" s="2" t="s">
        <v>908</v>
      </c>
      <c r="M134" s="22">
        <v>0.38800000000000001</v>
      </c>
      <c r="N134" s="2" t="s">
        <v>115</v>
      </c>
      <c r="O134" s="2" t="s">
        <v>116</v>
      </c>
      <c r="P134" s="2" t="s">
        <v>909</v>
      </c>
      <c r="Q134" s="2" t="s">
        <v>52</v>
      </c>
      <c r="R134" s="2" t="s">
        <v>53</v>
      </c>
      <c r="S134" s="2" t="s">
        <v>619</v>
      </c>
      <c r="T134" s="2" t="s">
        <v>55</v>
      </c>
      <c r="U134" s="2" t="s">
        <v>56</v>
      </c>
      <c r="V134" s="2" t="s">
        <v>57</v>
      </c>
      <c r="W134" s="22">
        <v>1168200000</v>
      </c>
      <c r="X134" s="2" t="s">
        <v>120</v>
      </c>
      <c r="Y134" s="2" t="s">
        <v>120</v>
      </c>
      <c r="Z134" s="2" t="s">
        <v>60</v>
      </c>
      <c r="AA134" s="2" t="s">
        <v>121</v>
      </c>
      <c r="AB134" s="2" t="s">
        <v>122</v>
      </c>
      <c r="AC134" s="2" t="s">
        <v>122</v>
      </c>
      <c r="AD134" s="2" t="s">
        <v>3727</v>
      </c>
      <c r="AE134" s="22">
        <v>0.46</v>
      </c>
      <c r="AF134" s="22">
        <v>0.38800000000000001</v>
      </c>
    </row>
    <row r="135" spans="1:32" x14ac:dyDescent="0.2">
      <c r="A135" s="2" t="s">
        <v>641</v>
      </c>
      <c r="B135" s="22">
        <v>2.8375008131104007</v>
      </c>
      <c r="C135" s="22">
        <v>2.8981962482050845</v>
      </c>
      <c r="D135" s="2" t="s">
        <v>366</v>
      </c>
      <c r="E135" s="2" t="s">
        <v>911</v>
      </c>
      <c r="F135" s="2" t="s">
        <v>3728</v>
      </c>
      <c r="G135" s="2" t="s">
        <v>912</v>
      </c>
      <c r="H135" s="2" t="s">
        <v>644</v>
      </c>
      <c r="I135" s="2" t="s">
        <v>366</v>
      </c>
      <c r="J135" s="22">
        <v>0.875</v>
      </c>
      <c r="K135" s="2" t="s">
        <v>903</v>
      </c>
      <c r="L135" s="2" t="s">
        <v>913</v>
      </c>
      <c r="M135" s="2" t="s">
        <v>54</v>
      </c>
      <c r="N135" s="2" t="s">
        <v>115</v>
      </c>
      <c r="O135" s="2" t="s">
        <v>116</v>
      </c>
      <c r="P135" s="2" t="s">
        <v>225</v>
      </c>
      <c r="Q135" s="2" t="s">
        <v>52</v>
      </c>
      <c r="R135" s="2" t="s">
        <v>53</v>
      </c>
      <c r="S135" s="2" t="s">
        <v>619</v>
      </c>
      <c r="T135" s="2" t="s">
        <v>55</v>
      </c>
      <c r="U135" s="2" t="s">
        <v>56</v>
      </c>
      <c r="V135" s="2" t="s">
        <v>57</v>
      </c>
      <c r="W135" s="22">
        <v>1460250000</v>
      </c>
      <c r="X135" s="2" t="s">
        <v>120</v>
      </c>
      <c r="Y135" s="2" t="s">
        <v>120</v>
      </c>
      <c r="Z135" s="2" t="s">
        <v>60</v>
      </c>
      <c r="AA135" s="2" t="s">
        <v>121</v>
      </c>
      <c r="AB135" s="2" t="s">
        <v>122</v>
      </c>
      <c r="AC135" s="2" t="s">
        <v>122</v>
      </c>
      <c r="AD135" s="2" t="s">
        <v>3729</v>
      </c>
      <c r="AE135" s="22">
        <v>0.95499999999999996</v>
      </c>
      <c r="AF135" s="22">
        <v>0.95499999999999996</v>
      </c>
    </row>
    <row r="136" spans="1:32" x14ac:dyDescent="0.2">
      <c r="A136" s="2" t="s">
        <v>916</v>
      </c>
      <c r="B136" s="22">
        <v>1.9457460565649525</v>
      </c>
      <c r="C136" s="22">
        <v>2.0216875585775029</v>
      </c>
      <c r="D136" s="2" t="s">
        <v>184</v>
      </c>
      <c r="E136" s="2" t="s">
        <v>917</v>
      </c>
      <c r="F136" s="2" t="s">
        <v>3730</v>
      </c>
      <c r="G136" s="2" t="s">
        <v>918</v>
      </c>
      <c r="H136" s="2" t="s">
        <v>919</v>
      </c>
      <c r="I136" s="2" t="s">
        <v>184</v>
      </c>
      <c r="J136" s="22">
        <v>0.375</v>
      </c>
      <c r="K136" s="2" t="s">
        <v>920</v>
      </c>
      <c r="L136" s="2" t="s">
        <v>921</v>
      </c>
      <c r="M136" s="22">
        <v>0.39500000000000002</v>
      </c>
      <c r="N136" s="2" t="s">
        <v>115</v>
      </c>
      <c r="O136" s="2" t="s">
        <v>116</v>
      </c>
      <c r="P136" s="2" t="s">
        <v>173</v>
      </c>
      <c r="Q136" s="2" t="s">
        <v>52</v>
      </c>
      <c r="R136" s="2" t="s">
        <v>53</v>
      </c>
      <c r="S136" s="2" t="s">
        <v>189</v>
      </c>
      <c r="T136" s="2" t="s">
        <v>420</v>
      </c>
      <c r="U136" s="2" t="s">
        <v>56</v>
      </c>
      <c r="V136" s="2" t="s">
        <v>57</v>
      </c>
      <c r="W136" s="22">
        <v>692586000</v>
      </c>
      <c r="X136" s="2" t="s">
        <v>58</v>
      </c>
      <c r="Y136" s="2" t="s">
        <v>190</v>
      </c>
      <c r="Z136" s="2" t="s">
        <v>60</v>
      </c>
      <c r="AA136" s="2" t="s">
        <v>61</v>
      </c>
      <c r="AB136" s="2" t="s">
        <v>176</v>
      </c>
      <c r="AC136" s="2" t="s">
        <v>177</v>
      </c>
      <c r="AD136" s="2" t="s">
        <v>3731</v>
      </c>
      <c r="AE136" s="22">
        <v>0.41799999999999998</v>
      </c>
      <c r="AF136" s="22">
        <v>0.39500000000000002</v>
      </c>
    </row>
    <row r="137" spans="1:32" x14ac:dyDescent="0.2">
      <c r="A137" s="2" t="s">
        <v>924</v>
      </c>
      <c r="B137" s="22">
        <v>4.5533315000997874</v>
      </c>
      <c r="C137" s="22">
        <v>4.6470362873606614</v>
      </c>
      <c r="D137" s="2" t="s">
        <v>222</v>
      </c>
      <c r="E137" s="2" t="s">
        <v>925</v>
      </c>
      <c r="F137" s="2" t="s">
        <v>3732</v>
      </c>
      <c r="G137" s="2" t="s">
        <v>926</v>
      </c>
      <c r="H137" s="2" t="s">
        <v>927</v>
      </c>
      <c r="I137" s="2" t="s">
        <v>222</v>
      </c>
      <c r="J137" s="22">
        <v>3.0249999999999999</v>
      </c>
      <c r="K137" s="2" t="s">
        <v>928</v>
      </c>
      <c r="L137" s="2" t="s">
        <v>929</v>
      </c>
      <c r="M137" s="2" t="s">
        <v>54</v>
      </c>
      <c r="N137" s="2" t="s">
        <v>49</v>
      </c>
      <c r="O137" s="2" t="s">
        <v>50</v>
      </c>
      <c r="P137" s="2" t="s">
        <v>173</v>
      </c>
      <c r="Q137" s="2" t="s">
        <v>52</v>
      </c>
      <c r="R137" s="2" t="s">
        <v>53</v>
      </c>
      <c r="S137" s="2" t="s">
        <v>54</v>
      </c>
      <c r="T137" s="2" t="s">
        <v>55</v>
      </c>
      <c r="U137" s="2" t="s">
        <v>56</v>
      </c>
      <c r="V137" s="2" t="s">
        <v>71</v>
      </c>
      <c r="W137" s="22">
        <v>34712100</v>
      </c>
      <c r="X137" s="2" t="s">
        <v>58</v>
      </c>
      <c r="Y137" s="2" t="s">
        <v>505</v>
      </c>
      <c r="Z137" s="2" t="s">
        <v>60</v>
      </c>
      <c r="AA137" s="2" t="s">
        <v>61</v>
      </c>
      <c r="AB137" s="2" t="s">
        <v>62</v>
      </c>
      <c r="AC137" s="2" t="s">
        <v>62</v>
      </c>
      <c r="AD137" s="2" t="s">
        <v>3733</v>
      </c>
      <c r="AE137" s="2" t="s">
        <v>54</v>
      </c>
      <c r="AF137" s="2" t="s">
        <v>54</v>
      </c>
    </row>
    <row r="138" spans="1:32" x14ac:dyDescent="0.2">
      <c r="A138" s="2" t="s">
        <v>932</v>
      </c>
      <c r="B138" s="2" t="s">
        <v>54</v>
      </c>
      <c r="C138" s="2" t="s">
        <v>54</v>
      </c>
      <c r="D138" s="2" t="s">
        <v>45</v>
      </c>
      <c r="E138" s="2" t="s">
        <v>933</v>
      </c>
      <c r="F138" s="2" t="s">
        <v>173</v>
      </c>
      <c r="G138" s="2" t="s">
        <v>934</v>
      </c>
      <c r="H138" s="2" t="s">
        <v>935</v>
      </c>
      <c r="I138" s="2" t="s">
        <v>45</v>
      </c>
      <c r="J138" s="22">
        <v>0</v>
      </c>
      <c r="K138" s="2" t="s">
        <v>936</v>
      </c>
      <c r="L138" s="2" t="s">
        <v>937</v>
      </c>
      <c r="M138" s="2" t="s">
        <v>54</v>
      </c>
      <c r="N138" s="2" t="s">
        <v>49</v>
      </c>
      <c r="O138" s="2" t="s">
        <v>50</v>
      </c>
      <c r="P138" s="2" t="s">
        <v>51</v>
      </c>
      <c r="Q138" s="2" t="s">
        <v>52</v>
      </c>
      <c r="R138" s="2" t="s">
        <v>53</v>
      </c>
      <c r="S138" s="2" t="s">
        <v>54</v>
      </c>
      <c r="T138" s="2" t="s">
        <v>55</v>
      </c>
      <c r="U138" s="2" t="s">
        <v>56</v>
      </c>
      <c r="V138" s="2" t="s">
        <v>57</v>
      </c>
      <c r="W138" s="22">
        <v>115123000</v>
      </c>
      <c r="X138" s="2" t="s">
        <v>85</v>
      </c>
      <c r="Y138" s="2" t="s">
        <v>514</v>
      </c>
      <c r="Z138" s="2" t="s">
        <v>60</v>
      </c>
      <c r="AA138" s="2" t="s">
        <v>61</v>
      </c>
      <c r="AB138" s="2" t="s">
        <v>87</v>
      </c>
      <c r="AC138" s="2" t="s">
        <v>514</v>
      </c>
      <c r="AD138" s="2" t="s">
        <v>3734</v>
      </c>
      <c r="AE138" s="2" t="s">
        <v>54</v>
      </c>
      <c r="AF138" s="2" t="s">
        <v>54</v>
      </c>
    </row>
    <row r="139" spans="1:32" x14ac:dyDescent="0.2">
      <c r="A139" s="2" t="s">
        <v>932</v>
      </c>
      <c r="B139" s="2" t="s">
        <v>54</v>
      </c>
      <c r="C139" s="2" t="s">
        <v>54</v>
      </c>
      <c r="D139" s="2" t="s">
        <v>45</v>
      </c>
      <c r="E139" s="2" t="s">
        <v>940</v>
      </c>
      <c r="F139" s="2" t="s">
        <v>173</v>
      </c>
      <c r="G139" s="2" t="s">
        <v>941</v>
      </c>
      <c r="H139" s="2" t="s">
        <v>935</v>
      </c>
      <c r="I139" s="2" t="s">
        <v>45</v>
      </c>
      <c r="J139" s="22">
        <v>0</v>
      </c>
      <c r="K139" s="2" t="s">
        <v>936</v>
      </c>
      <c r="L139" s="2" t="s">
        <v>942</v>
      </c>
      <c r="M139" s="2" t="s">
        <v>54</v>
      </c>
      <c r="N139" s="2" t="s">
        <v>49</v>
      </c>
      <c r="O139" s="2" t="s">
        <v>50</v>
      </c>
      <c r="P139" s="2" t="s">
        <v>69</v>
      </c>
      <c r="Q139" s="2" t="s">
        <v>52</v>
      </c>
      <c r="R139" s="2" t="s">
        <v>53</v>
      </c>
      <c r="S139" s="2" t="s">
        <v>54</v>
      </c>
      <c r="T139" s="2" t="s">
        <v>55</v>
      </c>
      <c r="U139" s="2" t="s">
        <v>70</v>
      </c>
      <c r="V139" s="2" t="s">
        <v>71</v>
      </c>
      <c r="W139" s="22">
        <v>115123000</v>
      </c>
      <c r="X139" s="2" t="s">
        <v>85</v>
      </c>
      <c r="Y139" s="2" t="s">
        <v>514</v>
      </c>
      <c r="Z139" s="2" t="s">
        <v>60</v>
      </c>
      <c r="AA139" s="2" t="s">
        <v>61</v>
      </c>
      <c r="AB139" s="2" t="s">
        <v>87</v>
      </c>
      <c r="AC139" s="2" t="s">
        <v>514</v>
      </c>
      <c r="AD139" s="2" t="s">
        <v>3735</v>
      </c>
      <c r="AE139" s="2" t="s">
        <v>54</v>
      </c>
      <c r="AF139" s="2" t="s">
        <v>54</v>
      </c>
    </row>
    <row r="140" spans="1:32" x14ac:dyDescent="0.2">
      <c r="A140" s="2" t="s">
        <v>932</v>
      </c>
      <c r="B140" s="2" t="s">
        <v>54</v>
      </c>
      <c r="C140" s="2" t="s">
        <v>54</v>
      </c>
      <c r="D140" s="2" t="s">
        <v>45</v>
      </c>
      <c r="E140" s="2" t="s">
        <v>943</v>
      </c>
      <c r="F140" s="2" t="s">
        <v>173</v>
      </c>
      <c r="G140" s="2" t="s">
        <v>944</v>
      </c>
      <c r="H140" s="2" t="s">
        <v>935</v>
      </c>
      <c r="I140" s="2" t="s">
        <v>45</v>
      </c>
      <c r="J140" s="22">
        <v>0</v>
      </c>
      <c r="K140" s="2" t="s">
        <v>936</v>
      </c>
      <c r="L140" s="2" t="s">
        <v>945</v>
      </c>
      <c r="M140" s="2" t="s">
        <v>54</v>
      </c>
      <c r="N140" s="2" t="s">
        <v>49</v>
      </c>
      <c r="O140" s="2" t="s">
        <v>50</v>
      </c>
      <c r="P140" s="2" t="s">
        <v>76</v>
      </c>
      <c r="Q140" s="2" t="s">
        <v>52</v>
      </c>
      <c r="R140" s="2" t="s">
        <v>53</v>
      </c>
      <c r="S140" s="2" t="s">
        <v>54</v>
      </c>
      <c r="T140" s="2" t="s">
        <v>55</v>
      </c>
      <c r="U140" s="2" t="s">
        <v>70</v>
      </c>
      <c r="V140" s="2" t="s">
        <v>71</v>
      </c>
      <c r="W140" s="22">
        <v>115123000</v>
      </c>
      <c r="X140" s="2" t="s">
        <v>85</v>
      </c>
      <c r="Y140" s="2" t="s">
        <v>514</v>
      </c>
      <c r="Z140" s="2" t="s">
        <v>60</v>
      </c>
      <c r="AA140" s="2" t="s">
        <v>61</v>
      </c>
      <c r="AB140" s="2" t="s">
        <v>87</v>
      </c>
      <c r="AC140" s="2" t="s">
        <v>514</v>
      </c>
      <c r="AD140" s="2" t="s">
        <v>3736</v>
      </c>
      <c r="AE140" s="2" t="s">
        <v>54</v>
      </c>
      <c r="AF140" s="2" t="s">
        <v>54</v>
      </c>
    </row>
    <row r="141" spans="1:32" x14ac:dyDescent="0.2">
      <c r="A141" s="2" t="s">
        <v>946</v>
      </c>
      <c r="B141" s="22">
        <v>2.2128638472395692</v>
      </c>
      <c r="C141" s="22">
        <v>2.2844172682394248</v>
      </c>
      <c r="D141" s="2" t="s">
        <v>366</v>
      </c>
      <c r="E141" s="2" t="s">
        <v>947</v>
      </c>
      <c r="F141" s="2" t="s">
        <v>3737</v>
      </c>
      <c r="G141" s="2" t="s">
        <v>948</v>
      </c>
      <c r="H141" s="2" t="s">
        <v>949</v>
      </c>
      <c r="I141" s="2" t="s">
        <v>366</v>
      </c>
      <c r="J141" s="22">
        <v>0.75</v>
      </c>
      <c r="K141" s="2" t="s">
        <v>950</v>
      </c>
      <c r="L141" s="2" t="s">
        <v>951</v>
      </c>
      <c r="M141" s="22">
        <v>0.76300000000000001</v>
      </c>
      <c r="N141" s="2" t="s">
        <v>115</v>
      </c>
      <c r="O141" s="2" t="s">
        <v>116</v>
      </c>
      <c r="P141" s="2" t="s">
        <v>225</v>
      </c>
      <c r="Q141" s="2" t="s">
        <v>52</v>
      </c>
      <c r="R141" s="2" t="s">
        <v>53</v>
      </c>
      <c r="S141" s="2" t="s">
        <v>189</v>
      </c>
      <c r="T141" s="2" t="s">
        <v>55</v>
      </c>
      <c r="U141" s="2" t="s">
        <v>56</v>
      </c>
      <c r="V141" s="2" t="s">
        <v>57</v>
      </c>
      <c r="W141" s="22">
        <v>347337000</v>
      </c>
      <c r="X141" s="2" t="s">
        <v>120</v>
      </c>
      <c r="Y141" s="2" t="s">
        <v>120</v>
      </c>
      <c r="Z141" s="2" t="s">
        <v>202</v>
      </c>
      <c r="AA141" s="2" t="s">
        <v>411</v>
      </c>
      <c r="AB141" s="2" t="s">
        <v>412</v>
      </c>
      <c r="AC141" s="2" t="s">
        <v>412</v>
      </c>
      <c r="AD141" s="2" t="s">
        <v>3738</v>
      </c>
      <c r="AE141" s="22">
        <v>0.78</v>
      </c>
      <c r="AF141" s="22">
        <v>0.76300000000000001</v>
      </c>
    </row>
    <row r="142" spans="1:32" x14ac:dyDescent="0.2">
      <c r="A142" s="2" t="s">
        <v>954</v>
      </c>
      <c r="B142" s="22">
        <v>7.0227471943997193</v>
      </c>
      <c r="C142" s="22">
        <v>7.2925046977736558</v>
      </c>
      <c r="D142" s="2" t="s">
        <v>169</v>
      </c>
      <c r="E142" s="2" t="s">
        <v>955</v>
      </c>
      <c r="F142" s="2" t="s">
        <v>3739</v>
      </c>
      <c r="G142" s="2" t="s">
        <v>956</v>
      </c>
      <c r="H142" s="2" t="s">
        <v>957</v>
      </c>
      <c r="I142" s="2" t="s">
        <v>169</v>
      </c>
      <c r="J142" s="22">
        <v>4.625</v>
      </c>
      <c r="K142" s="2" t="s">
        <v>958</v>
      </c>
      <c r="L142" s="2" t="s">
        <v>959</v>
      </c>
      <c r="M142" s="2" t="s">
        <v>54</v>
      </c>
      <c r="N142" s="2" t="s">
        <v>115</v>
      </c>
      <c r="O142" s="2" t="s">
        <v>116</v>
      </c>
      <c r="P142" s="2" t="s">
        <v>261</v>
      </c>
      <c r="Q142" s="2" t="s">
        <v>458</v>
      </c>
      <c r="R142" s="2" t="s">
        <v>53</v>
      </c>
      <c r="S142" s="2" t="s">
        <v>296</v>
      </c>
      <c r="T142" s="2" t="s">
        <v>55</v>
      </c>
      <c r="U142" s="2" t="s">
        <v>56</v>
      </c>
      <c r="V142" s="2" t="s">
        <v>71</v>
      </c>
      <c r="W142" s="22">
        <v>438075400</v>
      </c>
      <c r="X142" s="2" t="s">
        <v>213</v>
      </c>
      <c r="Y142" s="2" t="s">
        <v>960</v>
      </c>
      <c r="Z142" s="2" t="s">
        <v>60</v>
      </c>
      <c r="AA142" s="2" t="s">
        <v>61</v>
      </c>
      <c r="AB142" s="2" t="s">
        <v>213</v>
      </c>
      <c r="AC142" s="2" t="s">
        <v>215</v>
      </c>
      <c r="AD142" s="2" t="s">
        <v>3740</v>
      </c>
      <c r="AE142" s="22">
        <v>4.6440000000000001</v>
      </c>
      <c r="AF142" s="22">
        <v>4.6440000000000001</v>
      </c>
    </row>
    <row r="143" spans="1:32" x14ac:dyDescent="0.2">
      <c r="A143" s="2" t="s">
        <v>954</v>
      </c>
      <c r="B143" s="22">
        <v>6.3212767302192194</v>
      </c>
      <c r="C143" s="22">
        <v>6.6590683437486815</v>
      </c>
      <c r="D143" s="2" t="s">
        <v>169</v>
      </c>
      <c r="E143" s="2" t="s">
        <v>963</v>
      </c>
      <c r="F143" s="2" t="s">
        <v>3741</v>
      </c>
      <c r="G143" s="2" t="s">
        <v>964</v>
      </c>
      <c r="H143" s="2" t="s">
        <v>957</v>
      </c>
      <c r="I143" s="2" t="s">
        <v>169</v>
      </c>
      <c r="J143" s="22">
        <v>4.75</v>
      </c>
      <c r="K143" s="2" t="s">
        <v>958</v>
      </c>
      <c r="L143" s="2" t="s">
        <v>959</v>
      </c>
      <c r="M143" s="2" t="s">
        <v>54</v>
      </c>
      <c r="N143" s="2" t="s">
        <v>115</v>
      </c>
      <c r="O143" s="2" t="s">
        <v>116</v>
      </c>
      <c r="P143" s="2" t="s">
        <v>261</v>
      </c>
      <c r="Q143" s="2" t="s">
        <v>458</v>
      </c>
      <c r="R143" s="2" t="s">
        <v>53</v>
      </c>
      <c r="S143" s="2" t="s">
        <v>296</v>
      </c>
      <c r="T143" s="2" t="s">
        <v>55</v>
      </c>
      <c r="U143" s="2" t="s">
        <v>70</v>
      </c>
      <c r="V143" s="2" t="s">
        <v>391</v>
      </c>
      <c r="W143" s="22">
        <v>288207500</v>
      </c>
      <c r="X143" s="2" t="s">
        <v>213</v>
      </c>
      <c r="Y143" s="2" t="s">
        <v>960</v>
      </c>
      <c r="Z143" s="2" t="s">
        <v>60</v>
      </c>
      <c r="AA143" s="2" t="s">
        <v>61</v>
      </c>
      <c r="AB143" s="2" t="s">
        <v>213</v>
      </c>
      <c r="AC143" s="2" t="s">
        <v>215</v>
      </c>
      <c r="AD143" s="2" t="s">
        <v>3742</v>
      </c>
      <c r="AE143" s="2" t="s">
        <v>54</v>
      </c>
      <c r="AF143" s="2" t="s">
        <v>54</v>
      </c>
    </row>
    <row r="144" spans="1:32" x14ac:dyDescent="0.2">
      <c r="A144" s="2" t="s">
        <v>954</v>
      </c>
      <c r="B144" s="22">
        <v>6.9643148321106931</v>
      </c>
      <c r="C144" s="22">
        <v>7.2339086439043054</v>
      </c>
      <c r="D144" s="2" t="s">
        <v>169</v>
      </c>
      <c r="E144" s="2" t="s">
        <v>966</v>
      </c>
      <c r="F144" s="2" t="s">
        <v>3743</v>
      </c>
      <c r="G144" s="2" t="s">
        <v>967</v>
      </c>
      <c r="H144" s="2" t="s">
        <v>957</v>
      </c>
      <c r="I144" s="2" t="s">
        <v>169</v>
      </c>
      <c r="J144" s="22">
        <v>4.625</v>
      </c>
      <c r="K144" s="2" t="s">
        <v>958</v>
      </c>
      <c r="L144" s="2" t="s">
        <v>959</v>
      </c>
      <c r="M144" s="2" t="s">
        <v>54</v>
      </c>
      <c r="N144" s="2" t="s">
        <v>115</v>
      </c>
      <c r="O144" s="2" t="s">
        <v>116</v>
      </c>
      <c r="P144" s="2" t="s">
        <v>270</v>
      </c>
      <c r="Q144" s="2" t="s">
        <v>458</v>
      </c>
      <c r="R144" s="2" t="s">
        <v>53</v>
      </c>
      <c r="S144" s="2" t="s">
        <v>296</v>
      </c>
      <c r="T144" s="2" t="s">
        <v>55</v>
      </c>
      <c r="U144" s="2" t="s">
        <v>56</v>
      </c>
      <c r="V144" s="2" t="s">
        <v>71</v>
      </c>
      <c r="W144" s="22">
        <v>438075400</v>
      </c>
      <c r="X144" s="2" t="s">
        <v>213</v>
      </c>
      <c r="Y144" s="2" t="s">
        <v>960</v>
      </c>
      <c r="Z144" s="2" t="s">
        <v>60</v>
      </c>
      <c r="AA144" s="2" t="s">
        <v>61</v>
      </c>
      <c r="AB144" s="2" t="s">
        <v>213</v>
      </c>
      <c r="AC144" s="2" t="s">
        <v>215</v>
      </c>
      <c r="AD144" s="2" t="s">
        <v>3744</v>
      </c>
      <c r="AE144" s="22">
        <v>4.6020000000000003</v>
      </c>
      <c r="AF144" s="22">
        <v>4.6020000000000003</v>
      </c>
    </row>
    <row r="145" spans="1:32" x14ac:dyDescent="0.2">
      <c r="A145" s="2" t="s">
        <v>954</v>
      </c>
      <c r="B145" s="22">
        <v>6.358022520784246</v>
      </c>
      <c r="C145" s="22">
        <v>6.6669039178223857</v>
      </c>
      <c r="D145" s="2" t="s">
        <v>169</v>
      </c>
      <c r="E145" s="2" t="s">
        <v>968</v>
      </c>
      <c r="F145" s="2" t="s">
        <v>3745</v>
      </c>
      <c r="G145" s="2" t="s">
        <v>969</v>
      </c>
      <c r="H145" s="2" t="s">
        <v>957</v>
      </c>
      <c r="I145" s="2" t="s">
        <v>169</v>
      </c>
      <c r="J145" s="22">
        <v>4.75</v>
      </c>
      <c r="K145" s="2" t="s">
        <v>958</v>
      </c>
      <c r="L145" s="2" t="s">
        <v>959</v>
      </c>
      <c r="M145" s="2" t="s">
        <v>54</v>
      </c>
      <c r="N145" s="2" t="s">
        <v>115</v>
      </c>
      <c r="O145" s="2" t="s">
        <v>116</v>
      </c>
      <c r="P145" s="2" t="s">
        <v>270</v>
      </c>
      <c r="Q145" s="2" t="s">
        <v>458</v>
      </c>
      <c r="R145" s="2" t="s">
        <v>53</v>
      </c>
      <c r="S145" s="2" t="s">
        <v>296</v>
      </c>
      <c r="T145" s="2" t="s">
        <v>55</v>
      </c>
      <c r="U145" s="2" t="s">
        <v>70</v>
      </c>
      <c r="V145" s="2" t="s">
        <v>391</v>
      </c>
      <c r="W145" s="22">
        <v>288207500</v>
      </c>
      <c r="X145" s="2" t="s">
        <v>213</v>
      </c>
      <c r="Y145" s="2" t="s">
        <v>960</v>
      </c>
      <c r="Z145" s="2" t="s">
        <v>60</v>
      </c>
      <c r="AA145" s="2" t="s">
        <v>61</v>
      </c>
      <c r="AB145" s="2" t="s">
        <v>213</v>
      </c>
      <c r="AC145" s="2" t="s">
        <v>215</v>
      </c>
      <c r="AD145" s="2" t="s">
        <v>3746</v>
      </c>
      <c r="AE145" s="22">
        <v>4.7640000000000002</v>
      </c>
      <c r="AF145" s="22">
        <v>4.7640000000000002</v>
      </c>
    </row>
    <row r="146" spans="1:32" x14ac:dyDescent="0.2">
      <c r="A146" s="2" t="s">
        <v>970</v>
      </c>
      <c r="B146" s="22">
        <v>1.3035888282892061</v>
      </c>
      <c r="C146" s="22">
        <v>1.5035724130068071</v>
      </c>
      <c r="D146" s="2" t="s">
        <v>366</v>
      </c>
      <c r="E146" s="2" t="s">
        <v>971</v>
      </c>
      <c r="F146" s="2" t="s">
        <v>3747</v>
      </c>
      <c r="G146" s="2" t="s">
        <v>972</v>
      </c>
      <c r="H146" s="2" t="s">
        <v>973</v>
      </c>
      <c r="I146" s="2" t="s">
        <v>366</v>
      </c>
      <c r="J146" s="22">
        <v>0.89</v>
      </c>
      <c r="K146" s="2" t="s">
        <v>950</v>
      </c>
      <c r="L146" s="2" t="s">
        <v>974</v>
      </c>
      <c r="M146" s="2" t="s">
        <v>54</v>
      </c>
      <c r="N146" s="2" t="s">
        <v>49</v>
      </c>
      <c r="O146" s="2" t="s">
        <v>50</v>
      </c>
      <c r="P146" s="2" t="s">
        <v>173</v>
      </c>
      <c r="Q146" s="2" t="s">
        <v>52</v>
      </c>
      <c r="R146" s="2" t="s">
        <v>975</v>
      </c>
      <c r="S146" s="2" t="s">
        <v>54</v>
      </c>
      <c r="T146" s="2" t="s">
        <v>55</v>
      </c>
      <c r="U146" s="2" t="s">
        <v>56</v>
      </c>
      <c r="V146" s="2" t="s">
        <v>71</v>
      </c>
      <c r="W146" s="22">
        <v>88143800</v>
      </c>
      <c r="X146" s="2" t="s">
        <v>421</v>
      </c>
      <c r="Y146" s="2" t="s">
        <v>976</v>
      </c>
      <c r="Z146" s="2" t="s">
        <v>60</v>
      </c>
      <c r="AA146" s="2" t="s">
        <v>61</v>
      </c>
      <c r="AB146" s="2" t="s">
        <v>136</v>
      </c>
      <c r="AC146" s="2" t="s">
        <v>137</v>
      </c>
      <c r="AD146" s="2" t="s">
        <v>3748</v>
      </c>
      <c r="AE146" s="22">
        <v>0.86099999999999999</v>
      </c>
      <c r="AF146" s="22">
        <v>0.86099999999999999</v>
      </c>
    </row>
    <row r="147" spans="1:32" x14ac:dyDescent="0.2">
      <c r="A147" s="2" t="s">
        <v>979</v>
      </c>
      <c r="B147" s="22">
        <v>2.7087546394779496</v>
      </c>
      <c r="C147" s="22">
        <v>2.7792888000110501</v>
      </c>
      <c r="D147" s="2" t="s">
        <v>199</v>
      </c>
      <c r="E147" s="2" t="s">
        <v>980</v>
      </c>
      <c r="F147" s="2" t="s">
        <v>3749</v>
      </c>
      <c r="G147" s="2" t="s">
        <v>981</v>
      </c>
      <c r="H147" s="2" t="s">
        <v>982</v>
      </c>
      <c r="I147" s="2" t="s">
        <v>199</v>
      </c>
      <c r="J147" s="22">
        <v>1</v>
      </c>
      <c r="K147" s="2" t="s">
        <v>983</v>
      </c>
      <c r="L147" s="2" t="s">
        <v>984</v>
      </c>
      <c r="M147" s="22">
        <v>1.077</v>
      </c>
      <c r="N147" s="2" t="s">
        <v>115</v>
      </c>
      <c r="O147" s="2" t="s">
        <v>116</v>
      </c>
      <c r="P147" s="2" t="s">
        <v>225</v>
      </c>
      <c r="Q147" s="2" t="s">
        <v>52</v>
      </c>
      <c r="R147" s="2" t="s">
        <v>53</v>
      </c>
      <c r="S147" s="2" t="s">
        <v>174</v>
      </c>
      <c r="T147" s="2" t="s">
        <v>55</v>
      </c>
      <c r="U147" s="2" t="s">
        <v>56</v>
      </c>
      <c r="V147" s="2" t="s">
        <v>57</v>
      </c>
      <c r="W147" s="22">
        <v>580285000</v>
      </c>
      <c r="X147" s="2" t="s">
        <v>120</v>
      </c>
      <c r="Y147" s="2" t="s">
        <v>120</v>
      </c>
      <c r="Z147" s="2" t="s">
        <v>202</v>
      </c>
      <c r="AA147" s="2" t="s">
        <v>411</v>
      </c>
      <c r="AB147" s="2" t="s">
        <v>985</v>
      </c>
      <c r="AC147" s="2" t="s">
        <v>985</v>
      </c>
      <c r="AD147" s="2" t="s">
        <v>3750</v>
      </c>
      <c r="AE147" s="22">
        <v>0.998</v>
      </c>
      <c r="AF147" s="22">
        <v>1.077</v>
      </c>
    </row>
    <row r="148" spans="1:32" x14ac:dyDescent="0.2">
      <c r="A148" s="2" t="s">
        <v>988</v>
      </c>
      <c r="B148" s="22">
        <v>2.6330571327805115</v>
      </c>
      <c r="C148" s="22">
        <v>2.7493569452534654</v>
      </c>
      <c r="D148" s="2" t="s">
        <v>199</v>
      </c>
      <c r="E148" s="2" t="s">
        <v>989</v>
      </c>
      <c r="F148" s="2" t="s">
        <v>3751</v>
      </c>
      <c r="G148" s="2" t="s">
        <v>990</v>
      </c>
      <c r="H148" s="2" t="s">
        <v>991</v>
      </c>
      <c r="I148" s="2" t="s">
        <v>199</v>
      </c>
      <c r="J148" s="22">
        <v>2.25</v>
      </c>
      <c r="K148" s="2" t="s">
        <v>936</v>
      </c>
      <c r="L148" s="2" t="s">
        <v>992</v>
      </c>
      <c r="M148" s="2" t="s">
        <v>54</v>
      </c>
      <c r="N148" s="2" t="s">
        <v>115</v>
      </c>
      <c r="O148" s="2" t="s">
        <v>116</v>
      </c>
      <c r="P148" s="2" t="s">
        <v>225</v>
      </c>
      <c r="Q148" s="2" t="s">
        <v>52</v>
      </c>
      <c r="R148" s="2" t="s">
        <v>53</v>
      </c>
      <c r="S148" s="2" t="s">
        <v>54</v>
      </c>
      <c r="T148" s="2" t="s">
        <v>55</v>
      </c>
      <c r="U148" s="2" t="s">
        <v>56</v>
      </c>
      <c r="V148" s="2" t="s">
        <v>57</v>
      </c>
      <c r="W148" s="22">
        <v>184196800</v>
      </c>
      <c r="X148" s="2" t="s">
        <v>134</v>
      </c>
      <c r="Y148" s="2" t="s">
        <v>329</v>
      </c>
      <c r="Z148" s="2" t="s">
        <v>60</v>
      </c>
      <c r="AA148" s="2" t="s">
        <v>61</v>
      </c>
      <c r="AB148" s="2" t="s">
        <v>136</v>
      </c>
      <c r="AC148" s="2" t="s">
        <v>137</v>
      </c>
      <c r="AD148" s="2" t="s">
        <v>3752</v>
      </c>
      <c r="AE148" s="22">
        <v>2.2719999999999998</v>
      </c>
      <c r="AF148" s="22">
        <v>2.2719999999999998</v>
      </c>
    </row>
    <row r="149" spans="1:32" x14ac:dyDescent="0.2">
      <c r="A149" s="2" t="s">
        <v>995</v>
      </c>
      <c r="B149" s="2" t="s">
        <v>54</v>
      </c>
      <c r="C149" s="2" t="s">
        <v>54</v>
      </c>
      <c r="D149" s="2" t="s">
        <v>45</v>
      </c>
      <c r="E149" s="2" t="s">
        <v>996</v>
      </c>
      <c r="F149" s="2" t="s">
        <v>173</v>
      </c>
      <c r="G149" s="2" t="s">
        <v>997</v>
      </c>
      <c r="H149" s="2" t="s">
        <v>998</v>
      </c>
      <c r="I149" s="2" t="s">
        <v>45</v>
      </c>
      <c r="J149" s="22">
        <v>0</v>
      </c>
      <c r="K149" s="2" t="s">
        <v>999</v>
      </c>
      <c r="L149" s="2" t="s">
        <v>1000</v>
      </c>
      <c r="M149" s="2" t="s">
        <v>54</v>
      </c>
      <c r="N149" s="2" t="s">
        <v>49</v>
      </c>
      <c r="O149" s="2" t="s">
        <v>50</v>
      </c>
      <c r="P149" s="2" t="s">
        <v>69</v>
      </c>
      <c r="Q149" s="2" t="s">
        <v>52</v>
      </c>
      <c r="R149" s="2" t="s">
        <v>53</v>
      </c>
      <c r="S149" s="2" t="s">
        <v>54</v>
      </c>
      <c r="T149" s="2" t="s">
        <v>55</v>
      </c>
      <c r="U149" s="2" t="s">
        <v>70</v>
      </c>
      <c r="V149" s="2" t="s">
        <v>71</v>
      </c>
      <c r="W149" s="22">
        <v>225864000</v>
      </c>
      <c r="X149" s="2" t="s">
        <v>85</v>
      </c>
      <c r="Y149" s="2" t="s">
        <v>514</v>
      </c>
      <c r="Z149" s="2" t="s">
        <v>60</v>
      </c>
      <c r="AA149" s="2" t="s">
        <v>61</v>
      </c>
      <c r="AB149" s="2" t="s">
        <v>87</v>
      </c>
      <c r="AC149" s="2" t="s">
        <v>514</v>
      </c>
      <c r="AD149" s="2" t="s">
        <v>3753</v>
      </c>
      <c r="AE149" s="2" t="s">
        <v>54</v>
      </c>
      <c r="AF149" s="2" t="s">
        <v>54</v>
      </c>
    </row>
    <row r="150" spans="1:32" x14ac:dyDescent="0.2">
      <c r="A150" s="2" t="s">
        <v>995</v>
      </c>
      <c r="B150" s="2" t="s">
        <v>54</v>
      </c>
      <c r="C150" s="2" t="s">
        <v>54</v>
      </c>
      <c r="D150" s="2" t="s">
        <v>45</v>
      </c>
      <c r="E150" s="2" t="s">
        <v>1003</v>
      </c>
      <c r="F150" s="2" t="s">
        <v>173</v>
      </c>
      <c r="G150" s="2" t="s">
        <v>1004</v>
      </c>
      <c r="H150" s="2" t="s">
        <v>998</v>
      </c>
      <c r="I150" s="2" t="s">
        <v>45</v>
      </c>
      <c r="J150" s="22">
        <v>0</v>
      </c>
      <c r="K150" s="2" t="s">
        <v>999</v>
      </c>
      <c r="L150" s="2" t="s">
        <v>1005</v>
      </c>
      <c r="M150" s="2" t="s">
        <v>54</v>
      </c>
      <c r="N150" s="2" t="s">
        <v>49</v>
      </c>
      <c r="O150" s="2" t="s">
        <v>50</v>
      </c>
      <c r="P150" s="2" t="s">
        <v>144</v>
      </c>
      <c r="Q150" s="2" t="s">
        <v>52</v>
      </c>
      <c r="R150" s="2" t="s">
        <v>53</v>
      </c>
      <c r="S150" s="2" t="s">
        <v>54</v>
      </c>
      <c r="T150" s="2" t="s">
        <v>55</v>
      </c>
      <c r="U150" s="2" t="s">
        <v>70</v>
      </c>
      <c r="V150" s="2" t="s">
        <v>71</v>
      </c>
      <c r="W150" s="22">
        <v>225864000</v>
      </c>
      <c r="X150" s="2" t="s">
        <v>85</v>
      </c>
      <c r="Y150" s="2" t="s">
        <v>514</v>
      </c>
      <c r="Z150" s="2" t="s">
        <v>60</v>
      </c>
      <c r="AA150" s="2" t="s">
        <v>61</v>
      </c>
      <c r="AB150" s="2" t="s">
        <v>87</v>
      </c>
      <c r="AC150" s="2" t="s">
        <v>514</v>
      </c>
      <c r="AD150" s="2" t="s">
        <v>3754</v>
      </c>
      <c r="AE150" s="2" t="s">
        <v>54</v>
      </c>
      <c r="AF150" s="2" t="s">
        <v>54</v>
      </c>
    </row>
    <row r="151" spans="1:32" x14ac:dyDescent="0.2">
      <c r="A151" s="2" t="s">
        <v>995</v>
      </c>
      <c r="B151" s="2" t="s">
        <v>54</v>
      </c>
      <c r="C151" s="2" t="s">
        <v>54</v>
      </c>
      <c r="D151" s="2" t="s">
        <v>45</v>
      </c>
      <c r="E151" s="2" t="s">
        <v>1007</v>
      </c>
      <c r="F151" s="2" t="s">
        <v>173</v>
      </c>
      <c r="G151" s="2" t="s">
        <v>1008</v>
      </c>
      <c r="H151" s="2" t="s">
        <v>998</v>
      </c>
      <c r="I151" s="2" t="s">
        <v>45</v>
      </c>
      <c r="J151" s="22">
        <v>0</v>
      </c>
      <c r="K151" s="2" t="s">
        <v>999</v>
      </c>
      <c r="L151" s="2" t="s">
        <v>1009</v>
      </c>
      <c r="M151" s="2" t="s">
        <v>54</v>
      </c>
      <c r="N151" s="2" t="s">
        <v>49</v>
      </c>
      <c r="O151" s="2" t="s">
        <v>50</v>
      </c>
      <c r="P151" s="2" t="s">
        <v>76</v>
      </c>
      <c r="Q151" s="2" t="s">
        <v>52</v>
      </c>
      <c r="R151" s="2" t="s">
        <v>53</v>
      </c>
      <c r="S151" s="2" t="s">
        <v>54</v>
      </c>
      <c r="T151" s="2" t="s">
        <v>55</v>
      </c>
      <c r="U151" s="2" t="s">
        <v>70</v>
      </c>
      <c r="V151" s="2" t="s">
        <v>71</v>
      </c>
      <c r="W151" s="22">
        <v>225864000</v>
      </c>
      <c r="X151" s="2" t="s">
        <v>85</v>
      </c>
      <c r="Y151" s="2" t="s">
        <v>514</v>
      </c>
      <c r="Z151" s="2" t="s">
        <v>60</v>
      </c>
      <c r="AA151" s="2" t="s">
        <v>61</v>
      </c>
      <c r="AB151" s="2" t="s">
        <v>87</v>
      </c>
      <c r="AC151" s="2" t="s">
        <v>514</v>
      </c>
      <c r="AD151" s="2" t="s">
        <v>3755</v>
      </c>
      <c r="AE151" s="2" t="s">
        <v>54</v>
      </c>
      <c r="AF151" s="2" t="s">
        <v>54</v>
      </c>
    </row>
    <row r="152" spans="1:32" x14ac:dyDescent="0.2">
      <c r="A152" s="2" t="s">
        <v>1010</v>
      </c>
      <c r="B152" s="22">
        <v>4.0723796231777687</v>
      </c>
      <c r="C152" s="22">
        <v>4.2449808065291634</v>
      </c>
      <c r="D152" s="2" t="s">
        <v>184</v>
      </c>
      <c r="E152" s="2" t="s">
        <v>1011</v>
      </c>
      <c r="F152" s="2" t="s">
        <v>3756</v>
      </c>
      <c r="G152" s="2" t="s">
        <v>1012</v>
      </c>
      <c r="H152" s="2" t="s">
        <v>1013</v>
      </c>
      <c r="I152" s="2" t="s">
        <v>184</v>
      </c>
      <c r="J152" s="22">
        <v>2.25</v>
      </c>
      <c r="K152" s="2" t="s">
        <v>1014</v>
      </c>
      <c r="L152" s="2" t="s">
        <v>1015</v>
      </c>
      <c r="M152" s="2" t="s">
        <v>54</v>
      </c>
      <c r="N152" s="2" t="s">
        <v>115</v>
      </c>
      <c r="O152" s="2" t="s">
        <v>116</v>
      </c>
      <c r="P152" s="2" t="s">
        <v>173</v>
      </c>
      <c r="Q152" s="2" t="s">
        <v>52</v>
      </c>
      <c r="R152" s="2" t="s">
        <v>53</v>
      </c>
      <c r="S152" s="2" t="s">
        <v>884</v>
      </c>
      <c r="T152" s="2" t="s">
        <v>55</v>
      </c>
      <c r="U152" s="2" t="s">
        <v>56</v>
      </c>
      <c r="V152" s="2" t="s">
        <v>71</v>
      </c>
      <c r="W152" s="22">
        <v>346422000</v>
      </c>
      <c r="X152" s="2" t="s">
        <v>58</v>
      </c>
      <c r="Y152" s="2" t="s">
        <v>864</v>
      </c>
      <c r="Z152" s="2" t="s">
        <v>60</v>
      </c>
      <c r="AA152" s="2" t="s">
        <v>61</v>
      </c>
      <c r="AB152" s="2" t="s">
        <v>176</v>
      </c>
      <c r="AC152" s="2" t="s">
        <v>865</v>
      </c>
      <c r="AD152" s="2" t="s">
        <v>3757</v>
      </c>
      <c r="AE152" s="22">
        <v>2.1139999999999999</v>
      </c>
      <c r="AF152" s="22">
        <v>2.1139999999999999</v>
      </c>
    </row>
    <row r="153" spans="1:32" x14ac:dyDescent="0.2">
      <c r="A153" s="2" t="s">
        <v>1018</v>
      </c>
      <c r="B153" s="22">
        <v>7.6701460583421888</v>
      </c>
      <c r="C153" s="22">
        <v>7.9965851861467145</v>
      </c>
      <c r="D153" s="2" t="s">
        <v>367</v>
      </c>
      <c r="E153" s="2" t="s">
        <v>1019</v>
      </c>
      <c r="F153" s="2" t="s">
        <v>3758</v>
      </c>
      <c r="G153" s="2" t="s">
        <v>1020</v>
      </c>
      <c r="H153" s="2" t="s">
        <v>1021</v>
      </c>
      <c r="I153" s="2" t="s">
        <v>367</v>
      </c>
      <c r="J153" s="22">
        <v>7</v>
      </c>
      <c r="K153" s="2" t="s">
        <v>1014</v>
      </c>
      <c r="L153" s="2" t="s">
        <v>1022</v>
      </c>
      <c r="M153" s="2" t="s">
        <v>54</v>
      </c>
      <c r="N153" s="2" t="s">
        <v>115</v>
      </c>
      <c r="O153" s="2" t="s">
        <v>116</v>
      </c>
      <c r="P153" s="2" t="s">
        <v>173</v>
      </c>
      <c r="Q153" s="2" t="s">
        <v>458</v>
      </c>
      <c r="R153" s="2" t="s">
        <v>686</v>
      </c>
      <c r="S153" s="2" t="s">
        <v>54</v>
      </c>
      <c r="T153" s="2" t="s">
        <v>55</v>
      </c>
      <c r="U153" s="2" t="s">
        <v>70</v>
      </c>
      <c r="V153" s="2" t="s">
        <v>391</v>
      </c>
      <c r="W153" s="22">
        <v>122136000</v>
      </c>
      <c r="X153" s="2" t="s">
        <v>421</v>
      </c>
      <c r="Y153" s="2" t="s">
        <v>663</v>
      </c>
      <c r="Z153" s="2" t="s">
        <v>60</v>
      </c>
      <c r="AA153" s="2" t="s">
        <v>61</v>
      </c>
      <c r="AB153" s="2" t="s">
        <v>227</v>
      </c>
      <c r="AC153" s="2" t="s">
        <v>664</v>
      </c>
      <c r="AD153" s="2" t="s">
        <v>3759</v>
      </c>
      <c r="AE153" s="22">
        <v>6.7110000000000003</v>
      </c>
      <c r="AF153" s="22">
        <v>6.7110000000000003</v>
      </c>
    </row>
    <row r="154" spans="1:32" x14ac:dyDescent="0.2">
      <c r="A154" s="2" t="s">
        <v>1024</v>
      </c>
      <c r="B154" s="2" t="s">
        <v>54</v>
      </c>
      <c r="C154" s="2" t="s">
        <v>54</v>
      </c>
      <c r="D154" s="2" t="s">
        <v>257</v>
      </c>
      <c r="E154" s="2" t="s">
        <v>1025</v>
      </c>
      <c r="F154" s="2" t="s">
        <v>173</v>
      </c>
      <c r="G154" s="2" t="s">
        <v>1026</v>
      </c>
      <c r="H154" s="2" t="s">
        <v>1027</v>
      </c>
      <c r="I154" s="2" t="s">
        <v>257</v>
      </c>
      <c r="J154" s="22">
        <v>0.56299999999999983</v>
      </c>
      <c r="K154" s="2" t="s">
        <v>1028</v>
      </c>
      <c r="L154" s="2" t="s">
        <v>1029</v>
      </c>
      <c r="M154" s="2" t="s">
        <v>54</v>
      </c>
      <c r="N154" s="2" t="s">
        <v>49</v>
      </c>
      <c r="O154" s="2" t="s">
        <v>50</v>
      </c>
      <c r="P154" s="2" t="s">
        <v>51</v>
      </c>
      <c r="Q154" s="2" t="s">
        <v>52</v>
      </c>
      <c r="R154" s="2" t="s">
        <v>53</v>
      </c>
      <c r="S154" s="2" t="s">
        <v>54</v>
      </c>
      <c r="T154" s="2" t="s">
        <v>55</v>
      </c>
      <c r="U154" s="2" t="s">
        <v>70</v>
      </c>
      <c r="V154" s="2" t="s">
        <v>71</v>
      </c>
      <c r="W154" s="22">
        <v>281097500</v>
      </c>
      <c r="X154" s="2" t="s">
        <v>58</v>
      </c>
      <c r="Y154" s="2" t="s">
        <v>59</v>
      </c>
      <c r="Z154" s="2" t="s">
        <v>60</v>
      </c>
      <c r="AA154" s="2" t="s">
        <v>61</v>
      </c>
      <c r="AB154" s="2" t="s">
        <v>176</v>
      </c>
      <c r="AC154" s="2" t="s">
        <v>191</v>
      </c>
      <c r="AD154" s="2" t="s">
        <v>3760</v>
      </c>
      <c r="AE154" s="2" t="s">
        <v>54</v>
      </c>
      <c r="AF154" s="2" t="s">
        <v>54</v>
      </c>
    </row>
    <row r="155" spans="1:32" x14ac:dyDescent="0.2">
      <c r="A155" s="2" t="s">
        <v>1024</v>
      </c>
      <c r="B155" s="2" t="s">
        <v>54</v>
      </c>
      <c r="C155" s="2" t="s">
        <v>54</v>
      </c>
      <c r="D155" s="2" t="s">
        <v>257</v>
      </c>
      <c r="E155" s="2" t="s">
        <v>1032</v>
      </c>
      <c r="F155" s="2" t="s">
        <v>173</v>
      </c>
      <c r="G155" s="2" t="s">
        <v>1033</v>
      </c>
      <c r="H155" s="2" t="s">
        <v>1027</v>
      </c>
      <c r="I155" s="2" t="s">
        <v>257</v>
      </c>
      <c r="J155" s="22">
        <v>0.36299999999999999</v>
      </c>
      <c r="K155" s="2" t="s">
        <v>1028</v>
      </c>
      <c r="L155" s="2" t="s">
        <v>1034</v>
      </c>
      <c r="M155" s="2" t="s">
        <v>54</v>
      </c>
      <c r="N155" s="2" t="s">
        <v>49</v>
      </c>
      <c r="O155" s="2" t="s">
        <v>50</v>
      </c>
      <c r="P155" s="2" t="s">
        <v>1035</v>
      </c>
      <c r="Q155" s="2" t="s">
        <v>52</v>
      </c>
      <c r="R155" s="2" t="s">
        <v>53</v>
      </c>
      <c r="S155" s="2" t="s">
        <v>54</v>
      </c>
      <c r="T155" s="2" t="s">
        <v>55</v>
      </c>
      <c r="U155" s="2" t="s">
        <v>70</v>
      </c>
      <c r="V155" s="2" t="s">
        <v>71</v>
      </c>
      <c r="W155" s="22">
        <v>281097500</v>
      </c>
      <c r="X155" s="2" t="s">
        <v>58</v>
      </c>
      <c r="Y155" s="2" t="s">
        <v>59</v>
      </c>
      <c r="Z155" s="2" t="s">
        <v>60</v>
      </c>
      <c r="AA155" s="2" t="s">
        <v>61</v>
      </c>
      <c r="AB155" s="2" t="s">
        <v>176</v>
      </c>
      <c r="AC155" s="2" t="s">
        <v>191</v>
      </c>
      <c r="AD155" s="2" t="s">
        <v>3761</v>
      </c>
      <c r="AE155" s="2" t="s">
        <v>54</v>
      </c>
      <c r="AF155" s="2" t="s">
        <v>54</v>
      </c>
    </row>
    <row r="156" spans="1:32" x14ac:dyDescent="0.2">
      <c r="A156" s="2" t="s">
        <v>1024</v>
      </c>
      <c r="B156" s="2" t="s">
        <v>54</v>
      </c>
      <c r="C156" s="2" t="s">
        <v>54</v>
      </c>
      <c r="D156" s="2" t="s">
        <v>257</v>
      </c>
      <c r="E156" s="2" t="s">
        <v>1036</v>
      </c>
      <c r="F156" s="2" t="s">
        <v>173</v>
      </c>
      <c r="G156" s="2" t="s">
        <v>1037</v>
      </c>
      <c r="H156" s="2" t="s">
        <v>1027</v>
      </c>
      <c r="I156" s="2" t="s">
        <v>257</v>
      </c>
      <c r="J156" s="22">
        <v>0.313</v>
      </c>
      <c r="K156" s="2" t="s">
        <v>1028</v>
      </c>
      <c r="L156" s="2" t="s">
        <v>242</v>
      </c>
      <c r="M156" s="2" t="s">
        <v>54</v>
      </c>
      <c r="N156" s="2" t="s">
        <v>49</v>
      </c>
      <c r="O156" s="2" t="s">
        <v>50</v>
      </c>
      <c r="P156" s="2" t="s">
        <v>69</v>
      </c>
      <c r="Q156" s="2" t="s">
        <v>52</v>
      </c>
      <c r="R156" s="2" t="s">
        <v>53</v>
      </c>
      <c r="S156" s="2" t="s">
        <v>54</v>
      </c>
      <c r="T156" s="2" t="s">
        <v>55</v>
      </c>
      <c r="U156" s="2" t="s">
        <v>70</v>
      </c>
      <c r="V156" s="2" t="s">
        <v>71</v>
      </c>
      <c r="W156" s="22">
        <v>281097500</v>
      </c>
      <c r="X156" s="2" t="s">
        <v>58</v>
      </c>
      <c r="Y156" s="2" t="s">
        <v>59</v>
      </c>
      <c r="Z156" s="2" t="s">
        <v>60</v>
      </c>
      <c r="AA156" s="2" t="s">
        <v>61</v>
      </c>
      <c r="AB156" s="2" t="s">
        <v>176</v>
      </c>
      <c r="AC156" s="2" t="s">
        <v>191</v>
      </c>
      <c r="AD156" s="2" t="s">
        <v>3762</v>
      </c>
      <c r="AE156" s="2" t="s">
        <v>54</v>
      </c>
      <c r="AF156" s="2" t="s">
        <v>54</v>
      </c>
    </row>
    <row r="157" spans="1:32" x14ac:dyDescent="0.2">
      <c r="A157" s="2" t="s">
        <v>1024</v>
      </c>
      <c r="B157" s="22">
        <v>1.4269472588413983</v>
      </c>
      <c r="C157" s="22">
        <v>1.5309504229934285</v>
      </c>
      <c r="D157" s="2" t="s">
        <v>257</v>
      </c>
      <c r="E157" s="2" t="s">
        <v>1038</v>
      </c>
      <c r="F157" s="2" t="s">
        <v>173</v>
      </c>
      <c r="G157" s="2" t="s">
        <v>1039</v>
      </c>
      <c r="H157" s="2" t="s">
        <v>1027</v>
      </c>
      <c r="I157" s="2" t="s">
        <v>257</v>
      </c>
      <c r="J157" s="22">
        <v>0.75</v>
      </c>
      <c r="K157" s="2" t="s">
        <v>1028</v>
      </c>
      <c r="L157" s="2" t="s">
        <v>1040</v>
      </c>
      <c r="M157" s="2" t="s">
        <v>54</v>
      </c>
      <c r="N157" s="2" t="s">
        <v>49</v>
      </c>
      <c r="O157" s="2" t="s">
        <v>50</v>
      </c>
      <c r="P157" s="2" t="s">
        <v>1041</v>
      </c>
      <c r="Q157" s="2" t="s">
        <v>52</v>
      </c>
      <c r="R157" s="2" t="s">
        <v>53</v>
      </c>
      <c r="S157" s="2" t="s">
        <v>54</v>
      </c>
      <c r="T157" s="2" t="s">
        <v>55</v>
      </c>
      <c r="U157" s="2" t="s">
        <v>56</v>
      </c>
      <c r="V157" s="2" t="s">
        <v>57</v>
      </c>
      <c r="W157" s="22">
        <v>281097500</v>
      </c>
      <c r="X157" s="2" t="s">
        <v>58</v>
      </c>
      <c r="Y157" s="2" t="s">
        <v>59</v>
      </c>
      <c r="Z157" s="2" t="s">
        <v>60</v>
      </c>
      <c r="AA157" s="2" t="s">
        <v>61</v>
      </c>
      <c r="AB157" s="2" t="s">
        <v>176</v>
      </c>
      <c r="AC157" s="2" t="s">
        <v>191</v>
      </c>
      <c r="AD157" s="2" t="s">
        <v>3763</v>
      </c>
      <c r="AE157" s="2" t="s">
        <v>54</v>
      </c>
      <c r="AF157" s="2" t="s">
        <v>54</v>
      </c>
    </row>
    <row r="158" spans="1:32" x14ac:dyDescent="0.2">
      <c r="A158" s="2" t="s">
        <v>1042</v>
      </c>
      <c r="B158" s="22">
        <v>5.9750075381553209</v>
      </c>
      <c r="C158" s="22">
        <v>6.1752536515462984</v>
      </c>
      <c r="D158" s="2" t="s">
        <v>366</v>
      </c>
      <c r="E158" s="2" t="s">
        <v>1043</v>
      </c>
      <c r="F158" s="2" t="s">
        <v>3764</v>
      </c>
      <c r="G158" s="2" t="s">
        <v>1044</v>
      </c>
      <c r="H158" s="2" t="s">
        <v>1045</v>
      </c>
      <c r="I158" s="2" t="s">
        <v>366</v>
      </c>
      <c r="J158" s="22">
        <v>3.75</v>
      </c>
      <c r="K158" s="2" t="s">
        <v>1047</v>
      </c>
      <c r="L158" s="2" t="s">
        <v>1048</v>
      </c>
      <c r="M158" s="22">
        <v>3.75</v>
      </c>
      <c r="N158" s="2" t="s">
        <v>115</v>
      </c>
      <c r="O158" s="2" t="s">
        <v>116</v>
      </c>
      <c r="P158" s="2" t="s">
        <v>173</v>
      </c>
      <c r="Q158" s="2" t="s">
        <v>52</v>
      </c>
      <c r="R158" s="2" t="s">
        <v>53</v>
      </c>
      <c r="S158" s="2" t="s">
        <v>296</v>
      </c>
      <c r="T158" s="2" t="s">
        <v>55</v>
      </c>
      <c r="U158" s="2" t="s">
        <v>56</v>
      </c>
      <c r="V158" s="2" t="s">
        <v>71</v>
      </c>
      <c r="W158" s="22">
        <v>1275076000</v>
      </c>
      <c r="X158" s="2" t="s">
        <v>1049</v>
      </c>
      <c r="Y158" s="2" t="s">
        <v>1050</v>
      </c>
      <c r="Z158" s="2" t="s">
        <v>60</v>
      </c>
      <c r="AA158" s="2" t="s">
        <v>61</v>
      </c>
      <c r="AB158" s="2" t="s">
        <v>227</v>
      </c>
      <c r="AC158" s="2" t="s">
        <v>1050</v>
      </c>
      <c r="AD158" s="2" t="s">
        <v>3765</v>
      </c>
      <c r="AE158" s="22">
        <v>3.6909999999999998</v>
      </c>
      <c r="AF158" s="22">
        <v>3.75</v>
      </c>
    </row>
    <row r="159" spans="1:32" x14ac:dyDescent="0.2">
      <c r="A159" s="2" t="s">
        <v>1042</v>
      </c>
      <c r="B159" s="22">
        <v>6.2440789881123049</v>
      </c>
      <c r="C159" s="22">
        <v>6.3910051256599631</v>
      </c>
      <c r="D159" s="2" t="s">
        <v>366</v>
      </c>
      <c r="E159" s="2" t="s">
        <v>1053</v>
      </c>
      <c r="F159" s="2" t="s">
        <v>3766</v>
      </c>
      <c r="G159" s="2" t="s">
        <v>1054</v>
      </c>
      <c r="H159" s="2" t="s">
        <v>1045</v>
      </c>
      <c r="I159" s="2" t="s">
        <v>366</v>
      </c>
      <c r="J159" s="22">
        <v>4.375</v>
      </c>
      <c r="K159" s="2" t="s">
        <v>1047</v>
      </c>
      <c r="L159" s="2" t="s">
        <v>1055</v>
      </c>
      <c r="M159" s="22">
        <v>4.375</v>
      </c>
      <c r="N159" s="2" t="s">
        <v>115</v>
      </c>
      <c r="O159" s="2" t="s">
        <v>116</v>
      </c>
      <c r="P159" s="2" t="s">
        <v>173</v>
      </c>
      <c r="Q159" s="2" t="s">
        <v>52</v>
      </c>
      <c r="R159" s="2" t="s">
        <v>53</v>
      </c>
      <c r="S159" s="2" t="s">
        <v>296</v>
      </c>
      <c r="T159" s="2" t="s">
        <v>55</v>
      </c>
      <c r="U159" s="2" t="s">
        <v>56</v>
      </c>
      <c r="V159" s="2" t="s">
        <v>71</v>
      </c>
      <c r="W159" s="22">
        <v>1738740000</v>
      </c>
      <c r="X159" s="2" t="s">
        <v>1049</v>
      </c>
      <c r="Y159" s="2" t="s">
        <v>1050</v>
      </c>
      <c r="Z159" s="2" t="s">
        <v>60</v>
      </c>
      <c r="AA159" s="2" t="s">
        <v>61</v>
      </c>
      <c r="AB159" s="2" t="s">
        <v>227</v>
      </c>
      <c r="AC159" s="2" t="s">
        <v>1050</v>
      </c>
      <c r="AD159" s="2" t="s">
        <v>3767</v>
      </c>
      <c r="AE159" s="22">
        <v>4.375</v>
      </c>
      <c r="AF159" s="22">
        <v>4.375</v>
      </c>
    </row>
    <row r="160" spans="1:32" x14ac:dyDescent="0.2">
      <c r="A160" s="2" t="s">
        <v>1058</v>
      </c>
      <c r="B160" s="22">
        <v>6.8768805291036967</v>
      </c>
      <c r="C160" s="22">
        <v>6.9929334288383345</v>
      </c>
      <c r="D160" s="2" t="s">
        <v>366</v>
      </c>
      <c r="E160" s="2" t="s">
        <v>1059</v>
      </c>
      <c r="F160" s="2" t="s">
        <v>3768</v>
      </c>
      <c r="G160" s="2" t="s">
        <v>1060</v>
      </c>
      <c r="H160" s="2" t="s">
        <v>1045</v>
      </c>
      <c r="I160" s="2" t="s">
        <v>366</v>
      </c>
      <c r="J160" s="22">
        <v>5.125</v>
      </c>
      <c r="K160" s="2" t="s">
        <v>1047</v>
      </c>
      <c r="L160" s="2" t="s">
        <v>1061</v>
      </c>
      <c r="M160" s="22">
        <v>5.125</v>
      </c>
      <c r="N160" s="2" t="s">
        <v>115</v>
      </c>
      <c r="O160" s="2" t="s">
        <v>116</v>
      </c>
      <c r="P160" s="2" t="s">
        <v>173</v>
      </c>
      <c r="Q160" s="2" t="s">
        <v>52</v>
      </c>
      <c r="R160" s="2" t="s">
        <v>262</v>
      </c>
      <c r="S160" s="2" t="s">
        <v>296</v>
      </c>
      <c r="T160" s="2" t="s">
        <v>55</v>
      </c>
      <c r="U160" s="2" t="s">
        <v>56</v>
      </c>
      <c r="V160" s="2" t="s">
        <v>71</v>
      </c>
      <c r="W160" s="22">
        <v>1000000000</v>
      </c>
      <c r="X160" s="2" t="s">
        <v>1049</v>
      </c>
      <c r="Y160" s="2" t="s">
        <v>1050</v>
      </c>
      <c r="Z160" s="2" t="s">
        <v>60</v>
      </c>
      <c r="AA160" s="2" t="s">
        <v>61</v>
      </c>
      <c r="AB160" s="2" t="s">
        <v>227</v>
      </c>
      <c r="AC160" s="2" t="s">
        <v>1050</v>
      </c>
      <c r="AD160" s="2" t="s">
        <v>3769</v>
      </c>
      <c r="AE160" s="22">
        <v>5.0679999999999996</v>
      </c>
      <c r="AF160" s="22">
        <v>5.125</v>
      </c>
    </row>
    <row r="161" spans="1:32" x14ac:dyDescent="0.2">
      <c r="A161" s="2" t="s">
        <v>1058</v>
      </c>
      <c r="B161" s="22">
        <v>6.7606456442455087</v>
      </c>
      <c r="C161" s="22">
        <v>6.8615033430968415</v>
      </c>
      <c r="D161" s="2" t="s">
        <v>366</v>
      </c>
      <c r="E161" s="2" t="s">
        <v>1064</v>
      </c>
      <c r="F161" s="2" t="s">
        <v>3770</v>
      </c>
      <c r="G161" s="2" t="s">
        <v>1065</v>
      </c>
      <c r="H161" s="2" t="s">
        <v>1045</v>
      </c>
      <c r="I161" s="2" t="s">
        <v>366</v>
      </c>
      <c r="J161" s="22">
        <v>4.75</v>
      </c>
      <c r="K161" s="2" t="s">
        <v>1047</v>
      </c>
      <c r="L161" s="2" t="s">
        <v>1048</v>
      </c>
      <c r="M161" s="22">
        <v>4.75</v>
      </c>
      <c r="N161" s="2" t="s">
        <v>115</v>
      </c>
      <c r="O161" s="2" t="s">
        <v>116</v>
      </c>
      <c r="P161" s="2" t="s">
        <v>173</v>
      </c>
      <c r="Q161" s="2" t="s">
        <v>52</v>
      </c>
      <c r="R161" s="2" t="s">
        <v>262</v>
      </c>
      <c r="S161" s="2" t="s">
        <v>296</v>
      </c>
      <c r="T161" s="2" t="s">
        <v>55</v>
      </c>
      <c r="U161" s="2" t="s">
        <v>56</v>
      </c>
      <c r="V161" s="2" t="s">
        <v>71</v>
      </c>
      <c r="W161" s="22">
        <v>1000000000</v>
      </c>
      <c r="X161" s="2" t="s">
        <v>1049</v>
      </c>
      <c r="Y161" s="2" t="s">
        <v>1050</v>
      </c>
      <c r="Z161" s="2" t="s">
        <v>60</v>
      </c>
      <c r="AA161" s="2" t="s">
        <v>61</v>
      </c>
      <c r="AB161" s="2" t="s">
        <v>227</v>
      </c>
      <c r="AC161" s="2" t="s">
        <v>1050</v>
      </c>
      <c r="AD161" s="2" t="s">
        <v>3771</v>
      </c>
      <c r="AE161" s="2" t="s">
        <v>54</v>
      </c>
      <c r="AF161" s="22">
        <v>4.75</v>
      </c>
    </row>
    <row r="162" spans="1:32" x14ac:dyDescent="0.2">
      <c r="A162" s="2" t="s">
        <v>1066</v>
      </c>
      <c r="B162" s="22">
        <v>4.5918608484093992</v>
      </c>
      <c r="C162" s="22">
        <v>4.8418909171417006</v>
      </c>
      <c r="D162" s="2" t="s">
        <v>184</v>
      </c>
      <c r="E162" s="2" t="s">
        <v>1067</v>
      </c>
      <c r="F162" s="2" t="s">
        <v>3772</v>
      </c>
      <c r="G162" s="2" t="s">
        <v>1068</v>
      </c>
      <c r="H162" s="2" t="s">
        <v>1069</v>
      </c>
      <c r="I162" s="2" t="s">
        <v>184</v>
      </c>
      <c r="J162" s="22">
        <v>1</v>
      </c>
      <c r="K162" s="2" t="s">
        <v>1070</v>
      </c>
      <c r="L162" s="2" t="s">
        <v>1071</v>
      </c>
      <c r="M162" s="22">
        <v>1.109</v>
      </c>
      <c r="N162" s="2" t="s">
        <v>115</v>
      </c>
      <c r="O162" s="2" t="s">
        <v>116</v>
      </c>
      <c r="P162" s="2" t="s">
        <v>173</v>
      </c>
      <c r="Q162" s="2" t="s">
        <v>52</v>
      </c>
      <c r="R162" s="2" t="s">
        <v>53</v>
      </c>
      <c r="S162" s="2" t="s">
        <v>189</v>
      </c>
      <c r="T162" s="2" t="s">
        <v>55</v>
      </c>
      <c r="U162" s="2" t="s">
        <v>56</v>
      </c>
      <c r="V162" s="2" t="s">
        <v>57</v>
      </c>
      <c r="W162" s="22">
        <v>915936000</v>
      </c>
      <c r="X162" s="2" t="s">
        <v>377</v>
      </c>
      <c r="Y162" s="2" t="s">
        <v>1072</v>
      </c>
      <c r="Z162" s="2" t="s">
        <v>60</v>
      </c>
      <c r="AA162" s="2" t="s">
        <v>61</v>
      </c>
      <c r="AB162" s="2" t="s">
        <v>377</v>
      </c>
      <c r="AC162" s="2" t="s">
        <v>377</v>
      </c>
      <c r="AD162" s="2" t="s">
        <v>3773</v>
      </c>
      <c r="AE162" s="22">
        <v>1.01</v>
      </c>
      <c r="AF162" s="22">
        <v>1.109</v>
      </c>
    </row>
    <row r="163" spans="1:32" x14ac:dyDescent="0.2">
      <c r="A163" s="2" t="s">
        <v>1075</v>
      </c>
      <c r="B163" s="2" t="s">
        <v>54</v>
      </c>
      <c r="C163" s="2" t="s">
        <v>54</v>
      </c>
      <c r="D163" s="2" t="s">
        <v>184</v>
      </c>
      <c r="E163" s="2" t="s">
        <v>1076</v>
      </c>
      <c r="F163" s="2" t="s">
        <v>173</v>
      </c>
      <c r="G163" s="2" t="s">
        <v>1077</v>
      </c>
      <c r="H163" s="2" t="s">
        <v>1078</v>
      </c>
      <c r="I163" s="2" t="s">
        <v>184</v>
      </c>
      <c r="J163" s="22">
        <v>0</v>
      </c>
      <c r="K163" s="2" t="s">
        <v>1079</v>
      </c>
      <c r="L163" s="2" t="s">
        <v>1080</v>
      </c>
      <c r="M163" s="2" t="s">
        <v>54</v>
      </c>
      <c r="N163" s="2" t="s">
        <v>49</v>
      </c>
      <c r="O163" s="2" t="s">
        <v>50</v>
      </c>
      <c r="P163" s="2" t="s">
        <v>1081</v>
      </c>
      <c r="Q163" s="2" t="s">
        <v>52</v>
      </c>
      <c r="R163" s="2" t="s">
        <v>53</v>
      </c>
      <c r="S163" s="2" t="s">
        <v>54</v>
      </c>
      <c r="T163" s="2" t="s">
        <v>884</v>
      </c>
      <c r="U163" s="2" t="s">
        <v>70</v>
      </c>
      <c r="V163" s="2" t="s">
        <v>71</v>
      </c>
      <c r="W163" s="22">
        <v>759049700</v>
      </c>
      <c r="X163" s="2" t="s">
        <v>134</v>
      </c>
      <c r="Y163" s="2" t="s">
        <v>543</v>
      </c>
      <c r="Z163" s="2" t="s">
        <v>60</v>
      </c>
      <c r="AA163" s="2" t="s">
        <v>61</v>
      </c>
      <c r="AB163" s="2" t="s">
        <v>136</v>
      </c>
      <c r="AC163" s="2" t="s">
        <v>544</v>
      </c>
      <c r="AD163" s="2" t="s">
        <v>3774</v>
      </c>
      <c r="AE163" s="2" t="s">
        <v>54</v>
      </c>
      <c r="AF163" s="2" t="s">
        <v>54</v>
      </c>
    </row>
    <row r="164" spans="1:32" x14ac:dyDescent="0.2">
      <c r="A164" s="2" t="s">
        <v>1075</v>
      </c>
      <c r="B164" s="2" t="s">
        <v>54</v>
      </c>
      <c r="C164" s="2" t="s">
        <v>54</v>
      </c>
      <c r="D164" s="2" t="s">
        <v>184</v>
      </c>
      <c r="E164" s="2" t="s">
        <v>1084</v>
      </c>
      <c r="F164" s="2" t="s">
        <v>173</v>
      </c>
      <c r="G164" s="2" t="s">
        <v>1085</v>
      </c>
      <c r="H164" s="2" t="s">
        <v>1078</v>
      </c>
      <c r="I164" s="2" t="s">
        <v>184</v>
      </c>
      <c r="J164" s="22">
        <v>0</v>
      </c>
      <c r="K164" s="2" t="s">
        <v>1079</v>
      </c>
      <c r="L164" s="2" t="s">
        <v>1086</v>
      </c>
      <c r="M164" s="2" t="s">
        <v>54</v>
      </c>
      <c r="N164" s="2" t="s">
        <v>49</v>
      </c>
      <c r="O164" s="2" t="s">
        <v>50</v>
      </c>
      <c r="P164" s="2" t="s">
        <v>1087</v>
      </c>
      <c r="Q164" s="2" t="s">
        <v>52</v>
      </c>
      <c r="R164" s="2" t="s">
        <v>53</v>
      </c>
      <c r="S164" s="2" t="s">
        <v>54</v>
      </c>
      <c r="T164" s="2" t="s">
        <v>884</v>
      </c>
      <c r="U164" s="2" t="s">
        <v>70</v>
      </c>
      <c r="V164" s="2" t="s">
        <v>71</v>
      </c>
      <c r="W164" s="22">
        <v>759049700</v>
      </c>
      <c r="X164" s="2" t="s">
        <v>134</v>
      </c>
      <c r="Y164" s="2" t="s">
        <v>543</v>
      </c>
      <c r="Z164" s="2" t="s">
        <v>60</v>
      </c>
      <c r="AA164" s="2" t="s">
        <v>61</v>
      </c>
      <c r="AB164" s="2" t="s">
        <v>136</v>
      </c>
      <c r="AC164" s="2" t="s">
        <v>544</v>
      </c>
      <c r="AD164" s="2" t="s">
        <v>3775</v>
      </c>
      <c r="AE164" s="2" t="s">
        <v>54</v>
      </c>
      <c r="AF164" s="2" t="s">
        <v>54</v>
      </c>
    </row>
    <row r="165" spans="1:32" x14ac:dyDescent="0.2">
      <c r="A165" s="2" t="s">
        <v>1075</v>
      </c>
      <c r="B165" s="2" t="s">
        <v>54</v>
      </c>
      <c r="C165" s="2" t="s">
        <v>54</v>
      </c>
      <c r="D165" s="2" t="s">
        <v>184</v>
      </c>
      <c r="E165" s="2" t="s">
        <v>1088</v>
      </c>
      <c r="F165" s="2" t="s">
        <v>173</v>
      </c>
      <c r="G165" s="2" t="s">
        <v>1089</v>
      </c>
      <c r="H165" s="2" t="s">
        <v>1078</v>
      </c>
      <c r="I165" s="2" t="s">
        <v>184</v>
      </c>
      <c r="J165" s="22">
        <v>0</v>
      </c>
      <c r="K165" s="2" t="s">
        <v>1079</v>
      </c>
      <c r="L165" s="2" t="s">
        <v>1090</v>
      </c>
      <c r="M165" s="2" t="s">
        <v>54</v>
      </c>
      <c r="N165" s="2" t="s">
        <v>49</v>
      </c>
      <c r="O165" s="2" t="s">
        <v>50</v>
      </c>
      <c r="P165" s="2" t="s">
        <v>76</v>
      </c>
      <c r="Q165" s="2" t="s">
        <v>52</v>
      </c>
      <c r="R165" s="2" t="s">
        <v>262</v>
      </c>
      <c r="S165" s="2" t="s">
        <v>54</v>
      </c>
      <c r="T165" s="2" t="s">
        <v>884</v>
      </c>
      <c r="U165" s="2" t="s">
        <v>70</v>
      </c>
      <c r="V165" s="2" t="s">
        <v>391</v>
      </c>
      <c r="W165" s="22">
        <v>33500000</v>
      </c>
      <c r="X165" s="2" t="s">
        <v>134</v>
      </c>
      <c r="Y165" s="2" t="s">
        <v>543</v>
      </c>
      <c r="Z165" s="2" t="s">
        <v>60</v>
      </c>
      <c r="AA165" s="2" t="s">
        <v>61</v>
      </c>
      <c r="AB165" s="2" t="s">
        <v>136</v>
      </c>
      <c r="AC165" s="2" t="s">
        <v>544</v>
      </c>
      <c r="AD165" s="2" t="s">
        <v>3776</v>
      </c>
      <c r="AE165" s="2" t="s">
        <v>54</v>
      </c>
      <c r="AF165" s="2" t="s">
        <v>54</v>
      </c>
    </row>
    <row r="166" spans="1:32" x14ac:dyDescent="0.2">
      <c r="A166" s="2" t="s">
        <v>1075</v>
      </c>
      <c r="B166" s="2" t="s">
        <v>54</v>
      </c>
      <c r="C166" s="2" t="s">
        <v>54</v>
      </c>
      <c r="D166" s="2" t="s">
        <v>184</v>
      </c>
      <c r="E166" s="2" t="s">
        <v>1093</v>
      </c>
      <c r="F166" s="2" t="s">
        <v>173</v>
      </c>
      <c r="G166" s="2" t="s">
        <v>1094</v>
      </c>
      <c r="H166" s="2" t="s">
        <v>1078</v>
      </c>
      <c r="I166" s="2" t="s">
        <v>184</v>
      </c>
      <c r="J166" s="22">
        <v>0</v>
      </c>
      <c r="K166" s="2" t="s">
        <v>1079</v>
      </c>
      <c r="L166" s="2" t="s">
        <v>1095</v>
      </c>
      <c r="M166" s="2" t="s">
        <v>54</v>
      </c>
      <c r="N166" s="2" t="s">
        <v>49</v>
      </c>
      <c r="O166" s="2" t="s">
        <v>50</v>
      </c>
      <c r="P166" s="2" t="s">
        <v>1096</v>
      </c>
      <c r="Q166" s="2" t="s">
        <v>52</v>
      </c>
      <c r="R166" s="2" t="s">
        <v>53</v>
      </c>
      <c r="S166" s="2" t="s">
        <v>54</v>
      </c>
      <c r="T166" s="2" t="s">
        <v>884</v>
      </c>
      <c r="U166" s="2" t="s">
        <v>70</v>
      </c>
      <c r="V166" s="2" t="s">
        <v>71</v>
      </c>
      <c r="W166" s="22">
        <v>793037000</v>
      </c>
      <c r="X166" s="2" t="s">
        <v>134</v>
      </c>
      <c r="Y166" s="2" t="s">
        <v>543</v>
      </c>
      <c r="Z166" s="2" t="s">
        <v>60</v>
      </c>
      <c r="AA166" s="2" t="s">
        <v>61</v>
      </c>
      <c r="AB166" s="2" t="s">
        <v>136</v>
      </c>
      <c r="AC166" s="2" t="s">
        <v>544</v>
      </c>
      <c r="AD166" s="2" t="s">
        <v>3777</v>
      </c>
      <c r="AE166" s="2" t="s">
        <v>54</v>
      </c>
      <c r="AF166" s="2" t="s">
        <v>54</v>
      </c>
    </row>
    <row r="167" spans="1:32" x14ac:dyDescent="0.2">
      <c r="A167" s="2" t="s">
        <v>1098</v>
      </c>
      <c r="B167" s="22">
        <v>7.2116374254542643</v>
      </c>
      <c r="C167" s="22">
        <v>7.366196979686638</v>
      </c>
      <c r="D167" s="2" t="s">
        <v>169</v>
      </c>
      <c r="E167" s="2" t="s">
        <v>1099</v>
      </c>
      <c r="F167" s="2" t="s">
        <v>3778</v>
      </c>
      <c r="G167" s="2" t="s">
        <v>1100</v>
      </c>
      <c r="H167" s="2" t="s">
        <v>1101</v>
      </c>
      <c r="I167" s="2" t="s">
        <v>169</v>
      </c>
      <c r="J167" s="22">
        <v>5.625</v>
      </c>
      <c r="K167" s="2" t="s">
        <v>1102</v>
      </c>
      <c r="L167" s="2" t="s">
        <v>1015</v>
      </c>
      <c r="M167" s="22">
        <v>5.625</v>
      </c>
      <c r="N167" s="2" t="s">
        <v>115</v>
      </c>
      <c r="O167" s="2" t="s">
        <v>116</v>
      </c>
      <c r="P167" s="2" t="s">
        <v>261</v>
      </c>
      <c r="Q167" s="2" t="s">
        <v>458</v>
      </c>
      <c r="R167" s="2" t="s">
        <v>53</v>
      </c>
      <c r="S167" s="2" t="s">
        <v>350</v>
      </c>
      <c r="T167" s="2" t="s">
        <v>55</v>
      </c>
      <c r="U167" s="2" t="s">
        <v>56</v>
      </c>
      <c r="V167" s="2" t="s">
        <v>71</v>
      </c>
      <c r="W167" s="22">
        <v>511641000</v>
      </c>
      <c r="X167" s="2" t="s">
        <v>85</v>
      </c>
      <c r="Y167" s="2" t="s">
        <v>514</v>
      </c>
      <c r="Z167" s="2" t="s">
        <v>60</v>
      </c>
      <c r="AA167" s="2" t="s">
        <v>61</v>
      </c>
      <c r="AB167" s="2" t="s">
        <v>87</v>
      </c>
      <c r="AC167" s="2" t="s">
        <v>514</v>
      </c>
      <c r="AD167" s="2" t="s">
        <v>3779</v>
      </c>
      <c r="AE167" s="22">
        <v>5.5609999999999999</v>
      </c>
      <c r="AF167" s="22">
        <v>5.625</v>
      </c>
    </row>
    <row r="168" spans="1:32" x14ac:dyDescent="0.2">
      <c r="A168" s="2" t="s">
        <v>1098</v>
      </c>
      <c r="B168" s="22">
        <v>7.1377829955343852</v>
      </c>
      <c r="C168" s="22">
        <v>7.356673319218574</v>
      </c>
      <c r="D168" s="2" t="s">
        <v>169</v>
      </c>
      <c r="E168" s="2" t="s">
        <v>1105</v>
      </c>
      <c r="F168" s="2" t="s">
        <v>3780</v>
      </c>
      <c r="G168" s="2" t="s">
        <v>1106</v>
      </c>
      <c r="H168" s="2" t="s">
        <v>1101</v>
      </c>
      <c r="I168" s="2" t="s">
        <v>169</v>
      </c>
      <c r="J168" s="22">
        <v>5.625</v>
      </c>
      <c r="K168" s="2" t="s">
        <v>1102</v>
      </c>
      <c r="L168" s="2" t="s">
        <v>1015</v>
      </c>
      <c r="M168" s="22">
        <v>5.625</v>
      </c>
      <c r="N168" s="2" t="s">
        <v>115</v>
      </c>
      <c r="O168" s="2" t="s">
        <v>116</v>
      </c>
      <c r="P168" s="2" t="s">
        <v>270</v>
      </c>
      <c r="Q168" s="2" t="s">
        <v>458</v>
      </c>
      <c r="R168" s="2" t="s">
        <v>53</v>
      </c>
      <c r="S168" s="2" t="s">
        <v>350</v>
      </c>
      <c r="T168" s="2" t="s">
        <v>55</v>
      </c>
      <c r="U168" s="2" t="s">
        <v>56</v>
      </c>
      <c r="V168" s="2" t="s">
        <v>71</v>
      </c>
      <c r="W168" s="22">
        <v>511641000</v>
      </c>
      <c r="X168" s="2" t="s">
        <v>85</v>
      </c>
      <c r="Y168" s="2" t="s">
        <v>514</v>
      </c>
      <c r="Z168" s="2" t="s">
        <v>60</v>
      </c>
      <c r="AA168" s="2" t="s">
        <v>61</v>
      </c>
      <c r="AB168" s="2" t="s">
        <v>87</v>
      </c>
      <c r="AC168" s="2" t="s">
        <v>514</v>
      </c>
      <c r="AD168" s="2" t="s">
        <v>3781</v>
      </c>
      <c r="AE168" s="22">
        <v>5.569</v>
      </c>
      <c r="AF168" s="22">
        <v>5.625</v>
      </c>
    </row>
    <row r="169" spans="1:32" x14ac:dyDescent="0.2">
      <c r="A169" s="2" t="s">
        <v>499</v>
      </c>
      <c r="B169" s="22">
        <v>3.9489616912427548</v>
      </c>
      <c r="C169" s="22">
        <v>4.1103129281495514</v>
      </c>
      <c r="D169" s="2" t="s">
        <v>184</v>
      </c>
      <c r="E169" s="2" t="s">
        <v>1108</v>
      </c>
      <c r="F169" s="2" t="s">
        <v>3782</v>
      </c>
      <c r="G169" s="2" t="s">
        <v>1109</v>
      </c>
      <c r="H169" s="2" t="s">
        <v>502</v>
      </c>
      <c r="I169" s="2" t="s">
        <v>184</v>
      </c>
      <c r="J169" s="22">
        <v>2.125</v>
      </c>
      <c r="K169" s="2" t="s">
        <v>936</v>
      </c>
      <c r="L169" s="2" t="s">
        <v>1110</v>
      </c>
      <c r="M169" s="22">
        <v>2.125</v>
      </c>
      <c r="N169" s="2" t="s">
        <v>115</v>
      </c>
      <c r="O169" s="2" t="s">
        <v>116</v>
      </c>
      <c r="P169" s="2" t="s">
        <v>173</v>
      </c>
      <c r="Q169" s="2" t="s">
        <v>52</v>
      </c>
      <c r="R169" s="2" t="s">
        <v>53</v>
      </c>
      <c r="S169" s="2" t="s">
        <v>296</v>
      </c>
      <c r="T169" s="2" t="s">
        <v>55</v>
      </c>
      <c r="U169" s="2" t="s">
        <v>56</v>
      </c>
      <c r="V169" s="2" t="s">
        <v>71</v>
      </c>
      <c r="W169" s="22">
        <v>690738000</v>
      </c>
      <c r="X169" s="2" t="s">
        <v>58</v>
      </c>
      <c r="Y169" s="2" t="s">
        <v>505</v>
      </c>
      <c r="Z169" s="2" t="s">
        <v>60</v>
      </c>
      <c r="AA169" s="2" t="s">
        <v>61</v>
      </c>
      <c r="AB169" s="2" t="s">
        <v>176</v>
      </c>
      <c r="AC169" s="2" t="s">
        <v>191</v>
      </c>
      <c r="AD169" s="2" t="s">
        <v>3783</v>
      </c>
      <c r="AE169" s="22">
        <v>2.105</v>
      </c>
      <c r="AF169" s="22">
        <v>2.125</v>
      </c>
    </row>
    <row r="170" spans="1:32" x14ac:dyDescent="0.2">
      <c r="A170" s="2" t="s">
        <v>1075</v>
      </c>
      <c r="B170" s="22">
        <v>5.9278622334467865</v>
      </c>
      <c r="C170" s="22">
        <v>6.1263971398352961</v>
      </c>
      <c r="D170" s="2" t="s">
        <v>184</v>
      </c>
      <c r="E170" s="2" t="s">
        <v>1112</v>
      </c>
      <c r="F170" s="2" t="s">
        <v>3784</v>
      </c>
      <c r="G170" s="2" t="s">
        <v>1113</v>
      </c>
      <c r="H170" s="2" t="s">
        <v>1078</v>
      </c>
      <c r="I170" s="2" t="s">
        <v>184</v>
      </c>
      <c r="J170" s="22">
        <v>2.75</v>
      </c>
      <c r="K170" s="2" t="s">
        <v>936</v>
      </c>
      <c r="L170" s="2" t="s">
        <v>1114</v>
      </c>
      <c r="M170" s="22">
        <v>2.75</v>
      </c>
      <c r="N170" s="2" t="s">
        <v>115</v>
      </c>
      <c r="O170" s="2" t="s">
        <v>116</v>
      </c>
      <c r="P170" s="2" t="s">
        <v>173</v>
      </c>
      <c r="Q170" s="2" t="s">
        <v>52</v>
      </c>
      <c r="R170" s="2" t="s">
        <v>53</v>
      </c>
      <c r="S170" s="2" t="s">
        <v>884</v>
      </c>
      <c r="T170" s="2" t="s">
        <v>884</v>
      </c>
      <c r="U170" s="2" t="s">
        <v>56</v>
      </c>
      <c r="V170" s="2" t="s">
        <v>71</v>
      </c>
      <c r="W170" s="22">
        <v>1381476000</v>
      </c>
      <c r="X170" s="2" t="s">
        <v>134</v>
      </c>
      <c r="Y170" s="2" t="s">
        <v>543</v>
      </c>
      <c r="Z170" s="2" t="s">
        <v>60</v>
      </c>
      <c r="AA170" s="2" t="s">
        <v>61</v>
      </c>
      <c r="AB170" s="2" t="s">
        <v>136</v>
      </c>
      <c r="AC170" s="2" t="s">
        <v>544</v>
      </c>
      <c r="AD170" s="2" t="s">
        <v>3785</v>
      </c>
      <c r="AE170" s="22">
        <v>2.3980000000000001</v>
      </c>
      <c r="AF170" s="22">
        <v>2.75</v>
      </c>
    </row>
    <row r="171" spans="1:32" x14ac:dyDescent="0.2">
      <c r="A171" s="2" t="s">
        <v>573</v>
      </c>
      <c r="B171" s="22">
        <v>3.6648499545389739</v>
      </c>
      <c r="C171" s="22">
        <v>3.8165303494063743</v>
      </c>
      <c r="D171" s="2" t="s">
        <v>184</v>
      </c>
      <c r="E171" s="2" t="s">
        <v>1117</v>
      </c>
      <c r="F171" s="2" t="s">
        <v>3786</v>
      </c>
      <c r="G171" s="2" t="s">
        <v>1118</v>
      </c>
      <c r="H171" s="2" t="s">
        <v>576</v>
      </c>
      <c r="I171" s="2" t="s">
        <v>184</v>
      </c>
      <c r="J171" s="22">
        <v>1.875</v>
      </c>
      <c r="K171" s="2" t="s">
        <v>936</v>
      </c>
      <c r="L171" s="2" t="s">
        <v>937</v>
      </c>
      <c r="M171" s="22">
        <v>2</v>
      </c>
      <c r="N171" s="2" t="s">
        <v>115</v>
      </c>
      <c r="O171" s="2" t="s">
        <v>116</v>
      </c>
      <c r="P171" s="2" t="s">
        <v>173</v>
      </c>
      <c r="Q171" s="2" t="s">
        <v>52</v>
      </c>
      <c r="R171" s="2" t="s">
        <v>53</v>
      </c>
      <c r="S171" s="2" t="s">
        <v>189</v>
      </c>
      <c r="T171" s="2" t="s">
        <v>55</v>
      </c>
      <c r="U171" s="2" t="s">
        <v>56</v>
      </c>
      <c r="V171" s="2" t="s">
        <v>57</v>
      </c>
      <c r="W171" s="22">
        <v>575615000</v>
      </c>
      <c r="X171" s="2" t="s">
        <v>85</v>
      </c>
      <c r="Y171" s="2" t="s">
        <v>264</v>
      </c>
      <c r="Z171" s="2" t="s">
        <v>60</v>
      </c>
      <c r="AA171" s="2" t="s">
        <v>61</v>
      </c>
      <c r="AB171" s="2" t="s">
        <v>176</v>
      </c>
      <c r="AC171" s="2" t="s">
        <v>578</v>
      </c>
      <c r="AD171" s="2" t="s">
        <v>3787</v>
      </c>
      <c r="AE171" s="22">
        <v>1.8</v>
      </c>
      <c r="AF171" s="22">
        <v>2</v>
      </c>
    </row>
    <row r="172" spans="1:32" x14ac:dyDescent="0.2">
      <c r="A172" s="2" t="s">
        <v>1121</v>
      </c>
      <c r="B172" s="22">
        <v>2.5529159647468442</v>
      </c>
      <c r="C172" s="22">
        <v>2.6250381269819822</v>
      </c>
      <c r="D172" s="2" t="s">
        <v>366</v>
      </c>
      <c r="E172" s="2" t="s">
        <v>1122</v>
      </c>
      <c r="F172" s="2" t="s">
        <v>3788</v>
      </c>
      <c r="G172" s="2" t="s">
        <v>1123</v>
      </c>
      <c r="H172" s="2" t="s">
        <v>1124</v>
      </c>
      <c r="I172" s="2" t="s">
        <v>366</v>
      </c>
      <c r="J172" s="22">
        <v>0.875</v>
      </c>
      <c r="K172" s="2" t="s">
        <v>1125</v>
      </c>
      <c r="L172" s="2" t="s">
        <v>1126</v>
      </c>
      <c r="M172" s="22">
        <v>0.98399999999999999</v>
      </c>
      <c r="N172" s="2" t="s">
        <v>115</v>
      </c>
      <c r="O172" s="2" t="s">
        <v>116</v>
      </c>
      <c r="P172" s="2" t="s">
        <v>1127</v>
      </c>
      <c r="Q172" s="2" t="s">
        <v>52</v>
      </c>
      <c r="R172" s="2" t="s">
        <v>53</v>
      </c>
      <c r="S172" s="2" t="s">
        <v>496</v>
      </c>
      <c r="T172" s="2" t="s">
        <v>133</v>
      </c>
      <c r="U172" s="2" t="s">
        <v>56</v>
      </c>
      <c r="V172" s="2" t="s">
        <v>57</v>
      </c>
      <c r="W172" s="22">
        <v>796999000</v>
      </c>
      <c r="X172" s="2" t="s">
        <v>308</v>
      </c>
      <c r="Y172" s="2" t="s">
        <v>1128</v>
      </c>
      <c r="Z172" s="2" t="s">
        <v>60</v>
      </c>
      <c r="AA172" s="2" t="s">
        <v>61</v>
      </c>
      <c r="AB172" s="2" t="s">
        <v>308</v>
      </c>
      <c r="AC172" s="2" t="s">
        <v>1129</v>
      </c>
      <c r="AD172" s="2" t="s">
        <v>3789</v>
      </c>
      <c r="AE172" s="22">
        <v>1.0209999999999999</v>
      </c>
      <c r="AF172" s="22">
        <v>0.98399999999999999</v>
      </c>
    </row>
    <row r="173" spans="1:32" x14ac:dyDescent="0.2">
      <c r="A173" s="2" t="s">
        <v>1132</v>
      </c>
      <c r="B173" s="22">
        <v>2.1421200368749345</v>
      </c>
      <c r="C173" s="22">
        <v>2.2080887118508077</v>
      </c>
      <c r="D173" s="2" t="s">
        <v>45</v>
      </c>
      <c r="E173" s="2" t="s">
        <v>1133</v>
      </c>
      <c r="F173" s="2" t="s">
        <v>3790</v>
      </c>
      <c r="G173" s="2" t="s">
        <v>1134</v>
      </c>
      <c r="H173" s="2" t="s">
        <v>1135</v>
      </c>
      <c r="I173" s="2" t="s">
        <v>45</v>
      </c>
      <c r="J173" s="22">
        <v>0.5</v>
      </c>
      <c r="K173" s="2" t="s">
        <v>1136</v>
      </c>
      <c r="L173" s="2" t="s">
        <v>1137</v>
      </c>
      <c r="M173" s="2" t="s">
        <v>54</v>
      </c>
      <c r="N173" s="2" t="s">
        <v>115</v>
      </c>
      <c r="O173" s="2" t="s">
        <v>116</v>
      </c>
      <c r="P173" s="2" t="s">
        <v>225</v>
      </c>
      <c r="Q173" s="2" t="s">
        <v>52</v>
      </c>
      <c r="R173" s="2" t="s">
        <v>53</v>
      </c>
      <c r="S173" s="2" t="s">
        <v>117</v>
      </c>
      <c r="T173" s="2" t="s">
        <v>420</v>
      </c>
      <c r="U173" s="2" t="s">
        <v>56</v>
      </c>
      <c r="V173" s="2" t="s">
        <v>57</v>
      </c>
      <c r="W173" s="22">
        <v>565950000</v>
      </c>
      <c r="X173" s="2" t="s">
        <v>421</v>
      </c>
      <c r="Y173" s="2" t="s">
        <v>228</v>
      </c>
      <c r="Z173" s="2" t="s">
        <v>60</v>
      </c>
      <c r="AA173" s="2" t="s">
        <v>61</v>
      </c>
      <c r="AB173" s="2" t="s">
        <v>227</v>
      </c>
      <c r="AC173" s="2" t="s">
        <v>228</v>
      </c>
      <c r="AD173" s="2" t="s">
        <v>3791</v>
      </c>
      <c r="AE173" s="22">
        <v>0.55000000000000004</v>
      </c>
      <c r="AF173" s="22">
        <v>0.55000000000000004</v>
      </c>
    </row>
    <row r="174" spans="1:32" x14ac:dyDescent="0.2">
      <c r="A174" s="2" t="s">
        <v>1132</v>
      </c>
      <c r="B174" s="22">
        <v>3.5987066349249637</v>
      </c>
      <c r="C174" s="22">
        <v>3.7067734019320135</v>
      </c>
      <c r="D174" s="2" t="s">
        <v>45</v>
      </c>
      <c r="E174" s="2" t="s">
        <v>1140</v>
      </c>
      <c r="F174" s="2" t="s">
        <v>3792</v>
      </c>
      <c r="G174" s="2" t="s">
        <v>1141</v>
      </c>
      <c r="H174" s="2" t="s">
        <v>1135</v>
      </c>
      <c r="I174" s="2" t="s">
        <v>45</v>
      </c>
      <c r="J174" s="22">
        <v>1.75</v>
      </c>
      <c r="K174" s="2" t="s">
        <v>1136</v>
      </c>
      <c r="L174" s="2" t="s">
        <v>1142</v>
      </c>
      <c r="M174" s="22">
        <v>1.8149999999999999</v>
      </c>
      <c r="N174" s="2" t="s">
        <v>115</v>
      </c>
      <c r="O174" s="2" t="s">
        <v>116</v>
      </c>
      <c r="P174" s="2" t="s">
        <v>225</v>
      </c>
      <c r="Q174" s="2" t="s">
        <v>52</v>
      </c>
      <c r="R174" s="2" t="s">
        <v>262</v>
      </c>
      <c r="S174" s="2" t="s">
        <v>117</v>
      </c>
      <c r="T174" s="2" t="s">
        <v>420</v>
      </c>
      <c r="U174" s="2" t="s">
        <v>56</v>
      </c>
      <c r="V174" s="2" t="s">
        <v>57</v>
      </c>
      <c r="W174" s="22">
        <v>250000000</v>
      </c>
      <c r="X174" s="2" t="s">
        <v>421</v>
      </c>
      <c r="Y174" s="2" t="s">
        <v>228</v>
      </c>
      <c r="Z174" s="2" t="s">
        <v>60</v>
      </c>
      <c r="AA174" s="2" t="s">
        <v>61</v>
      </c>
      <c r="AB174" s="2" t="s">
        <v>227</v>
      </c>
      <c r="AC174" s="2" t="s">
        <v>228</v>
      </c>
      <c r="AD174" s="2" t="s">
        <v>3793</v>
      </c>
      <c r="AE174" s="2" t="s">
        <v>54</v>
      </c>
      <c r="AF174" s="22">
        <v>1.8149999999999999</v>
      </c>
    </row>
    <row r="175" spans="1:32" x14ac:dyDescent="0.2">
      <c r="A175" s="2" t="s">
        <v>1145</v>
      </c>
      <c r="B175" s="22">
        <v>1.3044726785426821</v>
      </c>
      <c r="C175" s="22">
        <v>1.4476485157949552</v>
      </c>
      <c r="D175" s="2" t="s">
        <v>367</v>
      </c>
      <c r="E175" s="2" t="s">
        <v>1146</v>
      </c>
      <c r="F175" s="2" t="s">
        <v>3794</v>
      </c>
      <c r="G175" s="2" t="s">
        <v>1147</v>
      </c>
      <c r="H175" s="2" t="s">
        <v>1148</v>
      </c>
      <c r="I175" s="2" t="s">
        <v>367</v>
      </c>
      <c r="J175" s="22">
        <v>0.627</v>
      </c>
      <c r="K175" s="2" t="s">
        <v>1149</v>
      </c>
      <c r="L175" s="2" t="s">
        <v>1150</v>
      </c>
      <c r="M175" s="2" t="s">
        <v>54</v>
      </c>
      <c r="N175" s="2" t="s">
        <v>49</v>
      </c>
      <c r="O175" s="2" t="s">
        <v>50</v>
      </c>
      <c r="P175" s="2" t="s">
        <v>685</v>
      </c>
      <c r="Q175" s="2" t="s">
        <v>52</v>
      </c>
      <c r="R175" s="2" t="s">
        <v>686</v>
      </c>
      <c r="S175" s="2" t="s">
        <v>54</v>
      </c>
      <c r="T175" s="2" t="s">
        <v>420</v>
      </c>
      <c r="U175" s="2" t="s">
        <v>70</v>
      </c>
      <c r="V175" s="2" t="s">
        <v>391</v>
      </c>
      <c r="W175" s="22">
        <v>165837000</v>
      </c>
      <c r="X175" s="2" t="s">
        <v>484</v>
      </c>
      <c r="Y175" s="2" t="s">
        <v>562</v>
      </c>
      <c r="Z175" s="2" t="s">
        <v>60</v>
      </c>
      <c r="AA175" s="2" t="s">
        <v>486</v>
      </c>
      <c r="AB175" s="2" t="s">
        <v>1151</v>
      </c>
      <c r="AC175" s="2" t="s">
        <v>1151</v>
      </c>
      <c r="AD175" s="2" t="s">
        <v>3795</v>
      </c>
      <c r="AE175" s="22">
        <v>0.53600000000000003</v>
      </c>
      <c r="AF175" s="22">
        <v>0.53600000000000003</v>
      </c>
    </row>
    <row r="176" spans="1:32" x14ac:dyDescent="0.2">
      <c r="A176" s="2" t="s">
        <v>1145</v>
      </c>
      <c r="B176" s="22">
        <v>1.5358698149579861</v>
      </c>
      <c r="C176" s="22">
        <v>1.6792711665125462</v>
      </c>
      <c r="D176" s="2" t="s">
        <v>367</v>
      </c>
      <c r="E176" s="2" t="s">
        <v>1154</v>
      </c>
      <c r="F176" s="2" t="s">
        <v>3796</v>
      </c>
      <c r="G176" s="2" t="s">
        <v>1155</v>
      </c>
      <c r="H176" s="2" t="s">
        <v>1148</v>
      </c>
      <c r="I176" s="2" t="s">
        <v>367</v>
      </c>
      <c r="J176" s="22">
        <v>0.82700000000000007</v>
      </c>
      <c r="K176" s="2" t="s">
        <v>1149</v>
      </c>
      <c r="L176" s="2" t="s">
        <v>1156</v>
      </c>
      <c r="M176" s="2" t="s">
        <v>54</v>
      </c>
      <c r="N176" s="2" t="s">
        <v>49</v>
      </c>
      <c r="O176" s="2" t="s">
        <v>50</v>
      </c>
      <c r="P176" s="2" t="s">
        <v>685</v>
      </c>
      <c r="Q176" s="2" t="s">
        <v>52</v>
      </c>
      <c r="R176" s="2" t="s">
        <v>686</v>
      </c>
      <c r="S176" s="2" t="s">
        <v>54</v>
      </c>
      <c r="T176" s="2" t="s">
        <v>420</v>
      </c>
      <c r="U176" s="2" t="s">
        <v>70</v>
      </c>
      <c r="V176" s="2" t="s">
        <v>391</v>
      </c>
      <c r="W176" s="22">
        <v>55279000</v>
      </c>
      <c r="X176" s="2" t="s">
        <v>484</v>
      </c>
      <c r="Y176" s="2" t="s">
        <v>562</v>
      </c>
      <c r="Z176" s="2" t="s">
        <v>60</v>
      </c>
      <c r="AA176" s="2" t="s">
        <v>486</v>
      </c>
      <c r="AB176" s="2" t="s">
        <v>1151</v>
      </c>
      <c r="AC176" s="2" t="s">
        <v>1151</v>
      </c>
      <c r="AD176" s="2" t="s">
        <v>3797</v>
      </c>
      <c r="AE176" s="22">
        <v>0.72799999999999998</v>
      </c>
      <c r="AF176" s="22">
        <v>0.72799999999999998</v>
      </c>
    </row>
    <row r="177" spans="1:32" x14ac:dyDescent="0.2">
      <c r="A177" s="2" t="s">
        <v>1157</v>
      </c>
      <c r="B177" s="22">
        <v>4.2594327926120368</v>
      </c>
      <c r="C177" s="22">
        <v>4.3993283760268183</v>
      </c>
      <c r="D177" s="2" t="s">
        <v>184</v>
      </c>
      <c r="E177" s="2" t="s">
        <v>1158</v>
      </c>
      <c r="F177" s="2" t="s">
        <v>3798</v>
      </c>
      <c r="G177" s="2" t="s">
        <v>1159</v>
      </c>
      <c r="H177" s="2" t="s">
        <v>1160</v>
      </c>
      <c r="I177" s="2" t="s">
        <v>184</v>
      </c>
      <c r="J177" s="22">
        <v>2.375</v>
      </c>
      <c r="K177" s="2" t="s">
        <v>1161</v>
      </c>
      <c r="L177" s="2" t="s">
        <v>1162</v>
      </c>
      <c r="M177" s="22">
        <v>2.5</v>
      </c>
      <c r="N177" s="2" t="s">
        <v>115</v>
      </c>
      <c r="O177" s="2" t="s">
        <v>116</v>
      </c>
      <c r="P177" s="2" t="s">
        <v>173</v>
      </c>
      <c r="Q177" s="2" t="s">
        <v>52</v>
      </c>
      <c r="R177" s="2" t="s">
        <v>53</v>
      </c>
      <c r="S177" s="2" t="s">
        <v>263</v>
      </c>
      <c r="T177" s="2" t="s">
        <v>117</v>
      </c>
      <c r="U177" s="2" t="s">
        <v>56</v>
      </c>
      <c r="V177" s="2" t="s">
        <v>57</v>
      </c>
      <c r="W177" s="22">
        <v>788774000</v>
      </c>
      <c r="X177" s="2" t="s">
        <v>134</v>
      </c>
      <c r="Y177" s="2" t="s">
        <v>534</v>
      </c>
      <c r="Z177" s="2" t="s">
        <v>60</v>
      </c>
      <c r="AA177" s="2" t="s">
        <v>61</v>
      </c>
      <c r="AB177" s="2" t="s">
        <v>136</v>
      </c>
      <c r="AC177" s="2" t="s">
        <v>1163</v>
      </c>
      <c r="AD177" s="2" t="s">
        <v>3799</v>
      </c>
      <c r="AE177" s="22">
        <v>2.4079999999999999</v>
      </c>
      <c r="AF177" s="22">
        <v>2.5</v>
      </c>
    </row>
    <row r="178" spans="1:32" x14ac:dyDescent="0.2">
      <c r="A178" s="2" t="s">
        <v>1166</v>
      </c>
      <c r="B178" s="22">
        <v>2.6662945231307007</v>
      </c>
      <c r="C178" s="22">
        <v>2.7702749995313845</v>
      </c>
      <c r="D178" s="2" t="s">
        <v>199</v>
      </c>
      <c r="E178" s="2" t="s">
        <v>1167</v>
      </c>
      <c r="F178" s="2" t="s">
        <v>3800</v>
      </c>
      <c r="G178" s="2" t="s">
        <v>1168</v>
      </c>
      <c r="H178" s="2" t="s">
        <v>1169</v>
      </c>
      <c r="I178" s="2" t="s">
        <v>199</v>
      </c>
      <c r="J178" s="22">
        <v>1</v>
      </c>
      <c r="K178" s="2" t="s">
        <v>1170</v>
      </c>
      <c r="L178" s="2" t="s">
        <v>1171</v>
      </c>
      <c r="M178" s="22">
        <v>1.054</v>
      </c>
      <c r="N178" s="2" t="s">
        <v>115</v>
      </c>
      <c r="O178" s="2" t="s">
        <v>116</v>
      </c>
      <c r="P178" s="2" t="s">
        <v>225</v>
      </c>
      <c r="Q178" s="2" t="s">
        <v>52</v>
      </c>
      <c r="R178" s="2" t="s">
        <v>53</v>
      </c>
      <c r="S178" s="2" t="s">
        <v>496</v>
      </c>
      <c r="T178" s="2" t="s">
        <v>55</v>
      </c>
      <c r="U178" s="2" t="s">
        <v>56</v>
      </c>
      <c r="V178" s="2" t="s">
        <v>57</v>
      </c>
      <c r="W178" s="22">
        <v>840712500</v>
      </c>
      <c r="X178" s="2" t="s">
        <v>58</v>
      </c>
      <c r="Y178" s="2" t="s">
        <v>505</v>
      </c>
      <c r="Z178" s="2" t="s">
        <v>60</v>
      </c>
      <c r="AA178" s="2" t="s">
        <v>61</v>
      </c>
      <c r="AB178" s="2" t="s">
        <v>279</v>
      </c>
      <c r="AC178" s="2" t="s">
        <v>280</v>
      </c>
      <c r="AD178" s="2" t="s">
        <v>3801</v>
      </c>
      <c r="AE178" s="22">
        <v>0.92700000000000005</v>
      </c>
      <c r="AF178" s="22">
        <v>1.054</v>
      </c>
    </row>
    <row r="179" spans="1:32" x14ac:dyDescent="0.2">
      <c r="A179" s="2" t="s">
        <v>1166</v>
      </c>
      <c r="B179" s="22">
        <v>3.4189974369320617</v>
      </c>
      <c r="C179" s="22">
        <v>3.5102566103904458</v>
      </c>
      <c r="D179" s="2" t="s">
        <v>199</v>
      </c>
      <c r="E179" s="2" t="s">
        <v>1174</v>
      </c>
      <c r="F179" s="2" t="s">
        <v>3802</v>
      </c>
      <c r="G179" s="2" t="s">
        <v>1175</v>
      </c>
      <c r="H179" s="2" t="s">
        <v>1169</v>
      </c>
      <c r="I179" s="2" t="s">
        <v>199</v>
      </c>
      <c r="J179" s="22">
        <v>1.5</v>
      </c>
      <c r="K179" s="2" t="s">
        <v>1170</v>
      </c>
      <c r="L179" s="2" t="s">
        <v>1176</v>
      </c>
      <c r="M179" s="22">
        <v>1.675</v>
      </c>
      <c r="N179" s="2" t="s">
        <v>115</v>
      </c>
      <c r="O179" s="2" t="s">
        <v>116</v>
      </c>
      <c r="P179" s="2" t="s">
        <v>225</v>
      </c>
      <c r="Q179" s="2" t="s">
        <v>52</v>
      </c>
      <c r="R179" s="2" t="s">
        <v>53</v>
      </c>
      <c r="S179" s="2" t="s">
        <v>496</v>
      </c>
      <c r="T179" s="2" t="s">
        <v>55</v>
      </c>
      <c r="U179" s="2" t="s">
        <v>56</v>
      </c>
      <c r="V179" s="2" t="s">
        <v>57</v>
      </c>
      <c r="W179" s="22">
        <v>1401187500</v>
      </c>
      <c r="X179" s="2" t="s">
        <v>58</v>
      </c>
      <c r="Y179" s="2" t="s">
        <v>505</v>
      </c>
      <c r="Z179" s="2" t="s">
        <v>60</v>
      </c>
      <c r="AA179" s="2" t="s">
        <v>61</v>
      </c>
      <c r="AB179" s="2" t="s">
        <v>279</v>
      </c>
      <c r="AC179" s="2" t="s">
        <v>280</v>
      </c>
      <c r="AD179" s="2" t="s">
        <v>3803</v>
      </c>
      <c r="AE179" s="22">
        <v>1.65</v>
      </c>
      <c r="AF179" s="22">
        <v>1.675</v>
      </c>
    </row>
    <row r="180" spans="1:32" x14ac:dyDescent="0.2">
      <c r="A180" s="2" t="s">
        <v>1166</v>
      </c>
      <c r="B180" s="22">
        <v>3.8801210231125651</v>
      </c>
      <c r="C180" s="22">
        <v>3.9708677046019876</v>
      </c>
      <c r="D180" s="2" t="s">
        <v>199</v>
      </c>
      <c r="E180" s="2" t="s">
        <v>1178</v>
      </c>
      <c r="F180" s="2" t="s">
        <v>3804</v>
      </c>
      <c r="G180" s="2" t="s">
        <v>1179</v>
      </c>
      <c r="H180" s="2" t="s">
        <v>1169</v>
      </c>
      <c r="I180" s="2" t="s">
        <v>199</v>
      </c>
      <c r="J180" s="22">
        <v>2.375</v>
      </c>
      <c r="K180" s="2" t="s">
        <v>1170</v>
      </c>
      <c r="L180" s="2" t="s">
        <v>1180</v>
      </c>
      <c r="M180" s="2" t="s">
        <v>54</v>
      </c>
      <c r="N180" s="2" t="s">
        <v>115</v>
      </c>
      <c r="O180" s="2" t="s">
        <v>116</v>
      </c>
      <c r="P180" s="2" t="s">
        <v>225</v>
      </c>
      <c r="Q180" s="2" t="s">
        <v>52</v>
      </c>
      <c r="R180" s="2" t="s">
        <v>53</v>
      </c>
      <c r="S180" s="2" t="s">
        <v>496</v>
      </c>
      <c r="T180" s="2" t="s">
        <v>55</v>
      </c>
      <c r="U180" s="2" t="s">
        <v>56</v>
      </c>
      <c r="V180" s="2" t="s">
        <v>57</v>
      </c>
      <c r="W180" s="22">
        <v>1120950000</v>
      </c>
      <c r="X180" s="2" t="s">
        <v>58</v>
      </c>
      <c r="Y180" s="2" t="s">
        <v>505</v>
      </c>
      <c r="Z180" s="2" t="s">
        <v>60</v>
      </c>
      <c r="AA180" s="2" t="s">
        <v>61</v>
      </c>
      <c r="AB180" s="2" t="s">
        <v>279</v>
      </c>
      <c r="AC180" s="2" t="s">
        <v>280</v>
      </c>
      <c r="AD180" s="2" t="s">
        <v>3805</v>
      </c>
      <c r="AE180" s="22">
        <v>2.3759999999999999</v>
      </c>
      <c r="AF180" s="22">
        <v>2.3759999999999999</v>
      </c>
    </row>
    <row r="181" spans="1:32" x14ac:dyDescent="0.2">
      <c r="A181" s="2" t="s">
        <v>1183</v>
      </c>
      <c r="B181" s="22">
        <v>2.41449660360855</v>
      </c>
      <c r="C181" s="22">
        <v>2.5031765764774105</v>
      </c>
      <c r="D181" s="2" t="s">
        <v>184</v>
      </c>
      <c r="E181" s="2" t="s">
        <v>1184</v>
      </c>
      <c r="F181" s="2" t="s">
        <v>3806</v>
      </c>
      <c r="G181" s="2" t="s">
        <v>1185</v>
      </c>
      <c r="H181" s="2" t="s">
        <v>1186</v>
      </c>
      <c r="I181" s="2" t="s">
        <v>184</v>
      </c>
      <c r="J181" s="22">
        <v>2.6</v>
      </c>
      <c r="K181" s="2" t="s">
        <v>1187</v>
      </c>
      <c r="L181" s="2" t="s">
        <v>1188</v>
      </c>
      <c r="M181" s="2" t="s">
        <v>54</v>
      </c>
      <c r="N181" s="2" t="s">
        <v>49</v>
      </c>
      <c r="O181" s="2" t="s">
        <v>50</v>
      </c>
      <c r="P181" s="2" t="s">
        <v>173</v>
      </c>
      <c r="Q181" s="2" t="s">
        <v>52</v>
      </c>
      <c r="R181" s="2" t="s">
        <v>53</v>
      </c>
      <c r="S181" s="2" t="s">
        <v>54</v>
      </c>
      <c r="T181" s="2" t="s">
        <v>55</v>
      </c>
      <c r="U181" s="2" t="s">
        <v>56</v>
      </c>
      <c r="V181" s="2" t="s">
        <v>57</v>
      </c>
      <c r="W181" s="22">
        <v>54609300</v>
      </c>
      <c r="X181" s="2" t="s">
        <v>484</v>
      </c>
      <c r="Y181" s="2" t="s">
        <v>562</v>
      </c>
      <c r="Z181" s="2" t="s">
        <v>60</v>
      </c>
      <c r="AA181" s="2" t="s">
        <v>486</v>
      </c>
      <c r="AB181" s="2" t="s">
        <v>1151</v>
      </c>
      <c r="AC181" s="2" t="s">
        <v>1151</v>
      </c>
      <c r="AD181" s="2" t="s">
        <v>3807</v>
      </c>
      <c r="AE181" s="2" t="s">
        <v>54</v>
      </c>
      <c r="AF181" s="2" t="s">
        <v>54</v>
      </c>
    </row>
    <row r="182" spans="1:32" x14ac:dyDescent="0.2">
      <c r="A182" s="2" t="s">
        <v>1183</v>
      </c>
      <c r="B182" s="22">
        <v>2.2829609787815048</v>
      </c>
      <c r="C182" s="22">
        <v>2.3759166508594824</v>
      </c>
      <c r="D182" s="2" t="s">
        <v>184</v>
      </c>
      <c r="E182" s="2" t="s">
        <v>1191</v>
      </c>
      <c r="F182" s="2" t="s">
        <v>3808</v>
      </c>
      <c r="G182" s="2" t="s">
        <v>1192</v>
      </c>
      <c r="H182" s="2" t="s">
        <v>1186</v>
      </c>
      <c r="I182" s="2" t="s">
        <v>184</v>
      </c>
      <c r="J182" s="22">
        <v>2.4750000000000001</v>
      </c>
      <c r="K182" s="2" t="s">
        <v>1187</v>
      </c>
      <c r="L182" s="2" t="s">
        <v>1193</v>
      </c>
      <c r="M182" s="2" t="s">
        <v>54</v>
      </c>
      <c r="N182" s="2" t="s">
        <v>49</v>
      </c>
      <c r="O182" s="2" t="s">
        <v>50</v>
      </c>
      <c r="P182" s="2" t="s">
        <v>173</v>
      </c>
      <c r="Q182" s="2" t="s">
        <v>52</v>
      </c>
      <c r="R182" s="2" t="s">
        <v>53</v>
      </c>
      <c r="S182" s="2" t="s">
        <v>54</v>
      </c>
      <c r="T182" s="2" t="s">
        <v>55</v>
      </c>
      <c r="U182" s="2" t="s">
        <v>56</v>
      </c>
      <c r="V182" s="2" t="s">
        <v>57</v>
      </c>
      <c r="W182" s="22">
        <v>110380500</v>
      </c>
      <c r="X182" s="2" t="s">
        <v>484</v>
      </c>
      <c r="Y182" s="2" t="s">
        <v>562</v>
      </c>
      <c r="Z182" s="2" t="s">
        <v>60</v>
      </c>
      <c r="AA182" s="2" t="s">
        <v>486</v>
      </c>
      <c r="AB182" s="2" t="s">
        <v>1151</v>
      </c>
      <c r="AC182" s="2" t="s">
        <v>1151</v>
      </c>
      <c r="AD182" s="2" t="s">
        <v>3809</v>
      </c>
      <c r="AE182" s="2" t="s">
        <v>54</v>
      </c>
      <c r="AF182" s="2" t="s">
        <v>54</v>
      </c>
    </row>
    <row r="183" spans="1:32" x14ac:dyDescent="0.2">
      <c r="A183" s="2" t="s">
        <v>1183</v>
      </c>
      <c r="B183" s="22">
        <v>2.6276965745971581</v>
      </c>
      <c r="C183" s="22">
        <v>2.7096642467900613</v>
      </c>
      <c r="D183" s="2" t="s">
        <v>184</v>
      </c>
      <c r="E183" s="2" t="s">
        <v>1195</v>
      </c>
      <c r="F183" s="2" t="s">
        <v>3810</v>
      </c>
      <c r="G183" s="2" t="s">
        <v>1196</v>
      </c>
      <c r="H183" s="2" t="s">
        <v>1186</v>
      </c>
      <c r="I183" s="2" t="s">
        <v>184</v>
      </c>
      <c r="J183" s="22">
        <v>2.95</v>
      </c>
      <c r="K183" s="2" t="s">
        <v>1187</v>
      </c>
      <c r="L183" s="2" t="s">
        <v>1197</v>
      </c>
      <c r="M183" s="2" t="s">
        <v>54</v>
      </c>
      <c r="N183" s="2" t="s">
        <v>49</v>
      </c>
      <c r="O183" s="2" t="s">
        <v>50</v>
      </c>
      <c r="P183" s="2" t="s">
        <v>553</v>
      </c>
      <c r="Q183" s="2" t="s">
        <v>52</v>
      </c>
      <c r="R183" s="2" t="s">
        <v>53</v>
      </c>
      <c r="S183" s="2" t="s">
        <v>54</v>
      </c>
      <c r="T183" s="2" t="s">
        <v>55</v>
      </c>
      <c r="U183" s="2" t="s">
        <v>56</v>
      </c>
      <c r="V183" s="2" t="s">
        <v>57</v>
      </c>
      <c r="W183" s="22">
        <v>9295200</v>
      </c>
      <c r="X183" s="2" t="s">
        <v>484</v>
      </c>
      <c r="Y183" s="2" t="s">
        <v>562</v>
      </c>
      <c r="Z183" s="2" t="s">
        <v>60</v>
      </c>
      <c r="AA183" s="2" t="s">
        <v>486</v>
      </c>
      <c r="AB183" s="2" t="s">
        <v>1151</v>
      </c>
      <c r="AC183" s="2" t="s">
        <v>1151</v>
      </c>
      <c r="AD183" s="2" t="s">
        <v>3811</v>
      </c>
      <c r="AE183" s="2" t="s">
        <v>54</v>
      </c>
      <c r="AF183" s="2" t="s">
        <v>54</v>
      </c>
    </row>
    <row r="184" spans="1:32" x14ac:dyDescent="0.2">
      <c r="A184" s="2" t="s">
        <v>1198</v>
      </c>
      <c r="B184" s="22">
        <v>4.1802130144300582</v>
      </c>
      <c r="C184" s="22">
        <v>4.4592916122326232</v>
      </c>
      <c r="D184" s="2" t="s">
        <v>1202</v>
      </c>
      <c r="E184" s="2" t="s">
        <v>1199</v>
      </c>
      <c r="F184" s="2" t="s">
        <v>3812</v>
      </c>
      <c r="G184" s="2" t="s">
        <v>1200</v>
      </c>
      <c r="H184" s="2" t="s">
        <v>1201</v>
      </c>
      <c r="I184" s="2" t="s">
        <v>1202</v>
      </c>
      <c r="J184" s="22">
        <v>4.25</v>
      </c>
      <c r="K184" s="2" t="s">
        <v>1203</v>
      </c>
      <c r="L184" s="2" t="s">
        <v>1204</v>
      </c>
      <c r="M184" s="2" t="s">
        <v>54</v>
      </c>
      <c r="N184" s="2" t="s">
        <v>1205</v>
      </c>
      <c r="O184" s="2" t="s">
        <v>50</v>
      </c>
      <c r="P184" s="2" t="s">
        <v>173</v>
      </c>
      <c r="Q184" s="2" t="s">
        <v>52</v>
      </c>
      <c r="R184" s="2" t="s">
        <v>53</v>
      </c>
      <c r="S184" s="2" t="s">
        <v>54</v>
      </c>
      <c r="T184" s="2" t="s">
        <v>55</v>
      </c>
      <c r="U184" s="2" t="s">
        <v>56</v>
      </c>
      <c r="V184" s="2" t="s">
        <v>71</v>
      </c>
      <c r="W184" s="22">
        <v>149192434.875</v>
      </c>
      <c r="X184" s="2" t="s">
        <v>58</v>
      </c>
      <c r="Y184" s="2" t="s">
        <v>505</v>
      </c>
      <c r="Z184" s="2" t="s">
        <v>60</v>
      </c>
      <c r="AA184" s="2" t="s">
        <v>61</v>
      </c>
      <c r="AB184" s="2" t="s">
        <v>62</v>
      </c>
      <c r="AC184" s="2" t="s">
        <v>62</v>
      </c>
      <c r="AD184" s="2" t="s">
        <v>3813</v>
      </c>
      <c r="AE184" s="2" t="s">
        <v>54</v>
      </c>
      <c r="AF184" s="2" t="s">
        <v>54</v>
      </c>
    </row>
    <row r="185" spans="1:32" x14ac:dyDescent="0.2">
      <c r="A185" s="2" t="s">
        <v>1208</v>
      </c>
      <c r="B185" s="22">
        <v>1.8640661696232619</v>
      </c>
      <c r="C185" s="22">
        <v>2.0239536573199648</v>
      </c>
      <c r="D185" s="2" t="s">
        <v>367</v>
      </c>
      <c r="E185" s="2" t="s">
        <v>1209</v>
      </c>
      <c r="F185" s="2" t="s">
        <v>3814</v>
      </c>
      <c r="G185" s="2" t="s">
        <v>1210</v>
      </c>
      <c r="H185" s="2" t="s">
        <v>1211</v>
      </c>
      <c r="I185" s="2" t="s">
        <v>367</v>
      </c>
      <c r="J185" s="22">
        <v>1.29</v>
      </c>
      <c r="K185" s="2" t="s">
        <v>1212</v>
      </c>
      <c r="L185" s="2" t="s">
        <v>1213</v>
      </c>
      <c r="M185" s="2" t="s">
        <v>54</v>
      </c>
      <c r="N185" s="2" t="s">
        <v>49</v>
      </c>
      <c r="O185" s="2" t="s">
        <v>50</v>
      </c>
      <c r="P185" s="2" t="s">
        <v>685</v>
      </c>
      <c r="Q185" s="2" t="s">
        <v>52</v>
      </c>
      <c r="R185" s="2" t="s">
        <v>686</v>
      </c>
      <c r="S185" s="2" t="s">
        <v>54</v>
      </c>
      <c r="T185" s="2" t="s">
        <v>55</v>
      </c>
      <c r="U185" s="2" t="s">
        <v>70</v>
      </c>
      <c r="V185" s="2" t="s">
        <v>391</v>
      </c>
      <c r="W185" s="22">
        <v>165808500</v>
      </c>
      <c r="X185" s="2" t="s">
        <v>134</v>
      </c>
      <c r="Y185" s="2" t="s">
        <v>676</v>
      </c>
      <c r="Z185" s="2" t="s">
        <v>60</v>
      </c>
      <c r="AA185" s="2" t="s">
        <v>61</v>
      </c>
      <c r="AB185" s="2" t="s">
        <v>136</v>
      </c>
      <c r="AC185" s="2" t="s">
        <v>310</v>
      </c>
      <c r="AD185" s="2" t="s">
        <v>3815</v>
      </c>
      <c r="AE185" s="2" t="s">
        <v>54</v>
      </c>
      <c r="AF185" s="2" t="s">
        <v>54</v>
      </c>
    </row>
    <row r="186" spans="1:32" x14ac:dyDescent="0.2">
      <c r="A186" s="2" t="s">
        <v>1216</v>
      </c>
      <c r="B186" s="22">
        <v>3.0252473643771984</v>
      </c>
      <c r="C186" s="22">
        <v>3.0950542611552581</v>
      </c>
      <c r="D186" s="2" t="s">
        <v>45</v>
      </c>
      <c r="E186" s="2" t="s">
        <v>1217</v>
      </c>
      <c r="F186" s="2" t="s">
        <v>3816</v>
      </c>
      <c r="G186" s="2" t="s">
        <v>1218</v>
      </c>
      <c r="H186" s="2" t="s">
        <v>1219</v>
      </c>
      <c r="I186" s="2" t="s">
        <v>45</v>
      </c>
      <c r="J186" s="22">
        <v>0.625</v>
      </c>
      <c r="K186" s="2" t="s">
        <v>1220</v>
      </c>
      <c r="L186" s="2" t="s">
        <v>1221</v>
      </c>
      <c r="M186" s="22">
        <v>0.73799999999999999</v>
      </c>
      <c r="N186" s="2" t="s">
        <v>115</v>
      </c>
      <c r="O186" s="2" t="s">
        <v>116</v>
      </c>
      <c r="P186" s="2" t="s">
        <v>225</v>
      </c>
      <c r="Q186" s="2" t="s">
        <v>52</v>
      </c>
      <c r="R186" s="2" t="s">
        <v>53</v>
      </c>
      <c r="S186" s="2" t="s">
        <v>174</v>
      </c>
      <c r="T186" s="2" t="s">
        <v>420</v>
      </c>
      <c r="U186" s="2" t="s">
        <v>56</v>
      </c>
      <c r="V186" s="2" t="s">
        <v>57</v>
      </c>
      <c r="W186" s="22">
        <v>679416000</v>
      </c>
      <c r="X186" s="2" t="s">
        <v>85</v>
      </c>
      <c r="Y186" s="2" t="s">
        <v>514</v>
      </c>
      <c r="Z186" s="2" t="s">
        <v>60</v>
      </c>
      <c r="AA186" s="2" t="s">
        <v>61</v>
      </c>
      <c r="AB186" s="2" t="s">
        <v>87</v>
      </c>
      <c r="AC186" s="2" t="s">
        <v>514</v>
      </c>
      <c r="AD186" s="2" t="s">
        <v>3817</v>
      </c>
      <c r="AE186" s="22">
        <v>0.58099999999999996</v>
      </c>
      <c r="AF186" s="22">
        <v>0.73799999999999999</v>
      </c>
    </row>
    <row r="187" spans="1:32" x14ac:dyDescent="0.2">
      <c r="A187" s="2" t="s">
        <v>1224</v>
      </c>
      <c r="B187" s="22">
        <v>2.3916924067709542</v>
      </c>
      <c r="C187" s="22">
        <v>2.4573293808403518</v>
      </c>
      <c r="D187" s="2" t="s">
        <v>594</v>
      </c>
      <c r="E187" s="2" t="s">
        <v>1225</v>
      </c>
      <c r="F187" s="2" t="s">
        <v>3818</v>
      </c>
      <c r="G187" s="2" t="s">
        <v>1226</v>
      </c>
      <c r="H187" s="2" t="s">
        <v>1227</v>
      </c>
      <c r="I187" s="2" t="s">
        <v>594</v>
      </c>
      <c r="J187" s="22">
        <v>0.875</v>
      </c>
      <c r="K187" s="2" t="s">
        <v>1220</v>
      </c>
      <c r="L187" s="2" t="s">
        <v>1228</v>
      </c>
      <c r="M187" s="22">
        <v>0.93100000000000005</v>
      </c>
      <c r="N187" s="2" t="s">
        <v>115</v>
      </c>
      <c r="O187" s="2" t="s">
        <v>116</v>
      </c>
      <c r="P187" s="2" t="s">
        <v>173</v>
      </c>
      <c r="Q187" s="2" t="s">
        <v>52</v>
      </c>
      <c r="R187" s="2" t="s">
        <v>53</v>
      </c>
      <c r="S187" s="2" t="s">
        <v>174</v>
      </c>
      <c r="T187" s="2" t="s">
        <v>55</v>
      </c>
      <c r="U187" s="2" t="s">
        <v>56</v>
      </c>
      <c r="V187" s="2" t="s">
        <v>57</v>
      </c>
      <c r="W187" s="22">
        <v>849270000</v>
      </c>
      <c r="X187" s="2" t="s">
        <v>421</v>
      </c>
      <c r="Y187" s="2" t="s">
        <v>663</v>
      </c>
      <c r="Z187" s="2" t="s">
        <v>60</v>
      </c>
      <c r="AA187" s="2" t="s">
        <v>61</v>
      </c>
      <c r="AB187" s="2" t="s">
        <v>227</v>
      </c>
      <c r="AC187" s="2" t="s">
        <v>664</v>
      </c>
      <c r="AD187" s="2" t="s">
        <v>3819</v>
      </c>
      <c r="AE187" s="22">
        <v>0.81799999999999995</v>
      </c>
      <c r="AF187" s="22">
        <v>0.93100000000000005</v>
      </c>
    </row>
    <row r="188" spans="1:32" x14ac:dyDescent="0.2">
      <c r="A188" s="2" t="s">
        <v>1231</v>
      </c>
      <c r="B188" s="22">
        <v>6.5813472260025581</v>
      </c>
      <c r="C188" s="22">
        <v>6.9629394216011304</v>
      </c>
      <c r="D188" s="2" t="s">
        <v>367</v>
      </c>
      <c r="E188" s="2" t="s">
        <v>1232</v>
      </c>
      <c r="F188" s="2" t="s">
        <v>3820</v>
      </c>
      <c r="G188" s="2" t="s">
        <v>1233</v>
      </c>
      <c r="H188" s="2" t="s">
        <v>1234</v>
      </c>
      <c r="I188" s="2" t="s">
        <v>367</v>
      </c>
      <c r="J188" s="22">
        <v>6</v>
      </c>
      <c r="K188" s="2" t="s">
        <v>1028</v>
      </c>
      <c r="L188" s="2" t="s">
        <v>1235</v>
      </c>
      <c r="M188" s="2" t="s">
        <v>54</v>
      </c>
      <c r="N188" s="2" t="s">
        <v>115</v>
      </c>
      <c r="O188" s="2" t="s">
        <v>116</v>
      </c>
      <c r="P188" s="2" t="s">
        <v>685</v>
      </c>
      <c r="Q188" s="2" t="s">
        <v>458</v>
      </c>
      <c r="R188" s="2" t="s">
        <v>686</v>
      </c>
      <c r="S188" s="2" t="s">
        <v>54</v>
      </c>
      <c r="T188" s="2" t="s">
        <v>55</v>
      </c>
      <c r="U188" s="2" t="s">
        <v>70</v>
      </c>
      <c r="V188" s="2" t="s">
        <v>391</v>
      </c>
      <c r="W188" s="22">
        <v>158862000</v>
      </c>
      <c r="X188" s="2" t="s">
        <v>134</v>
      </c>
      <c r="Y188" s="2" t="s">
        <v>1236</v>
      </c>
      <c r="Z188" s="2" t="s">
        <v>60</v>
      </c>
      <c r="AA188" s="2" t="s">
        <v>61</v>
      </c>
      <c r="AB188" s="2" t="s">
        <v>176</v>
      </c>
      <c r="AC188" s="2" t="s">
        <v>177</v>
      </c>
      <c r="AD188" s="2" t="s">
        <v>3821</v>
      </c>
      <c r="AE188" s="22">
        <v>5.7210000000000001</v>
      </c>
      <c r="AF188" s="22">
        <v>5.7210000000000001</v>
      </c>
    </row>
    <row r="189" spans="1:32" x14ac:dyDescent="0.2">
      <c r="A189" s="2" t="s">
        <v>1239</v>
      </c>
      <c r="B189" s="22">
        <v>8.846900408753589</v>
      </c>
      <c r="C189" s="22">
        <v>9.1610160739665378</v>
      </c>
      <c r="D189" s="2" t="s">
        <v>199</v>
      </c>
      <c r="E189" s="2" t="s">
        <v>1240</v>
      </c>
      <c r="F189" s="2" t="s">
        <v>3822</v>
      </c>
      <c r="G189" s="2" t="s">
        <v>1241</v>
      </c>
      <c r="H189" s="2" t="s">
        <v>1242</v>
      </c>
      <c r="I189" s="2" t="s">
        <v>199</v>
      </c>
      <c r="J189" s="22">
        <v>5.25</v>
      </c>
      <c r="K189" s="2" t="s">
        <v>1243</v>
      </c>
      <c r="L189" s="2" t="s">
        <v>224</v>
      </c>
      <c r="M189" s="2" t="s">
        <v>54</v>
      </c>
      <c r="N189" s="2" t="s">
        <v>115</v>
      </c>
      <c r="O189" s="2" t="s">
        <v>116</v>
      </c>
      <c r="P189" s="2" t="s">
        <v>261</v>
      </c>
      <c r="Q189" s="2" t="s">
        <v>458</v>
      </c>
      <c r="R189" s="2" t="s">
        <v>53</v>
      </c>
      <c r="S189" s="2" t="s">
        <v>350</v>
      </c>
      <c r="T189" s="2" t="s">
        <v>55</v>
      </c>
      <c r="U189" s="2" t="s">
        <v>70</v>
      </c>
      <c r="V189" s="2" t="s">
        <v>391</v>
      </c>
      <c r="W189" s="22">
        <v>501595100</v>
      </c>
      <c r="X189" s="2" t="s">
        <v>85</v>
      </c>
      <c r="Y189" s="2" t="s">
        <v>264</v>
      </c>
      <c r="Z189" s="2" t="s">
        <v>60</v>
      </c>
      <c r="AA189" s="2" t="s">
        <v>61</v>
      </c>
      <c r="AB189" s="2" t="s">
        <v>87</v>
      </c>
      <c r="AC189" s="2" t="s">
        <v>265</v>
      </c>
      <c r="AD189" s="2" t="s">
        <v>3823</v>
      </c>
      <c r="AE189" s="22">
        <v>5.5110000000000001</v>
      </c>
      <c r="AF189" s="22">
        <v>5.5110000000000001</v>
      </c>
    </row>
    <row r="190" spans="1:32" x14ac:dyDescent="0.2">
      <c r="A190" s="2" t="s">
        <v>1239</v>
      </c>
      <c r="B190" s="22">
        <v>8.8201831320942343</v>
      </c>
      <c r="C190" s="22">
        <v>9.1332753293097078</v>
      </c>
      <c r="D190" s="2" t="s">
        <v>199</v>
      </c>
      <c r="E190" s="2" t="s">
        <v>1246</v>
      </c>
      <c r="F190" s="2" t="s">
        <v>3824</v>
      </c>
      <c r="G190" s="2" t="s">
        <v>1247</v>
      </c>
      <c r="H190" s="2" t="s">
        <v>1242</v>
      </c>
      <c r="I190" s="2" t="s">
        <v>199</v>
      </c>
      <c r="J190" s="22">
        <v>5.25</v>
      </c>
      <c r="K190" s="2" t="s">
        <v>1243</v>
      </c>
      <c r="L190" s="2" t="s">
        <v>224</v>
      </c>
      <c r="M190" s="2" t="s">
        <v>54</v>
      </c>
      <c r="N190" s="2" t="s">
        <v>115</v>
      </c>
      <c r="O190" s="2" t="s">
        <v>116</v>
      </c>
      <c r="P190" s="2" t="s">
        <v>270</v>
      </c>
      <c r="Q190" s="2" t="s">
        <v>458</v>
      </c>
      <c r="R190" s="2" t="s">
        <v>53</v>
      </c>
      <c r="S190" s="2" t="s">
        <v>350</v>
      </c>
      <c r="T190" s="2" t="s">
        <v>55</v>
      </c>
      <c r="U190" s="2" t="s">
        <v>70</v>
      </c>
      <c r="V190" s="2" t="s">
        <v>391</v>
      </c>
      <c r="W190" s="22">
        <v>501595100</v>
      </c>
      <c r="X190" s="2" t="s">
        <v>85</v>
      </c>
      <c r="Y190" s="2" t="s">
        <v>264</v>
      </c>
      <c r="Z190" s="2" t="s">
        <v>60</v>
      </c>
      <c r="AA190" s="2" t="s">
        <v>61</v>
      </c>
      <c r="AB190" s="2" t="s">
        <v>87</v>
      </c>
      <c r="AC190" s="2" t="s">
        <v>265</v>
      </c>
      <c r="AD190" s="2" t="s">
        <v>3825</v>
      </c>
      <c r="AE190" s="22">
        <v>5.5</v>
      </c>
      <c r="AF190" s="22">
        <v>5.5</v>
      </c>
    </row>
    <row r="191" spans="1:32" x14ac:dyDescent="0.2">
      <c r="A191" s="2" t="s">
        <v>1249</v>
      </c>
      <c r="B191" s="22">
        <v>1.492212564304795</v>
      </c>
      <c r="C191" s="22">
        <v>1.633708418771568</v>
      </c>
      <c r="D191" s="2" t="s">
        <v>367</v>
      </c>
      <c r="E191" s="2" t="s">
        <v>1250</v>
      </c>
      <c r="F191" s="2" t="s">
        <v>3826</v>
      </c>
      <c r="G191" s="2" t="s">
        <v>1251</v>
      </c>
      <c r="H191" s="2" t="s">
        <v>1252</v>
      </c>
      <c r="I191" s="2" t="s">
        <v>367</v>
      </c>
      <c r="J191" s="22">
        <v>0.92099999999999993</v>
      </c>
      <c r="K191" s="2" t="s">
        <v>1243</v>
      </c>
      <c r="L191" s="2" t="s">
        <v>224</v>
      </c>
      <c r="M191" s="2" t="s">
        <v>54</v>
      </c>
      <c r="N191" s="2" t="s">
        <v>49</v>
      </c>
      <c r="O191" s="2" t="s">
        <v>50</v>
      </c>
      <c r="P191" s="2" t="s">
        <v>685</v>
      </c>
      <c r="Q191" s="2" t="s">
        <v>52</v>
      </c>
      <c r="R191" s="2" t="s">
        <v>686</v>
      </c>
      <c r="S191" s="2" t="s">
        <v>54</v>
      </c>
      <c r="T191" s="2" t="s">
        <v>55</v>
      </c>
      <c r="U191" s="2" t="s">
        <v>70</v>
      </c>
      <c r="V191" s="2" t="s">
        <v>391</v>
      </c>
      <c r="W191" s="22">
        <v>125879000</v>
      </c>
      <c r="X191" s="2" t="s">
        <v>1049</v>
      </c>
      <c r="Y191" s="2" t="s">
        <v>1253</v>
      </c>
      <c r="Z191" s="2" t="s">
        <v>60</v>
      </c>
      <c r="AA191" s="2" t="s">
        <v>61</v>
      </c>
      <c r="AB191" s="2" t="s">
        <v>227</v>
      </c>
      <c r="AC191" s="2" t="s">
        <v>1254</v>
      </c>
      <c r="AD191" s="2" t="s">
        <v>3827</v>
      </c>
      <c r="AE191" s="22">
        <v>0.69399999999999995</v>
      </c>
      <c r="AF191" s="22">
        <v>0.69399999999999995</v>
      </c>
    </row>
    <row r="192" spans="1:32" x14ac:dyDescent="0.2">
      <c r="A192" s="2" t="s">
        <v>1249</v>
      </c>
      <c r="B192" s="22">
        <v>3.9233500174274987</v>
      </c>
      <c r="C192" s="22">
        <v>4.058965676748965</v>
      </c>
      <c r="D192" s="2" t="s">
        <v>367</v>
      </c>
      <c r="E192" s="2" t="s">
        <v>1257</v>
      </c>
      <c r="F192" s="2" t="s">
        <v>3828</v>
      </c>
      <c r="G192" s="2" t="s">
        <v>1258</v>
      </c>
      <c r="H192" s="2" t="s">
        <v>1252</v>
      </c>
      <c r="I192" s="2" t="s">
        <v>367</v>
      </c>
      <c r="J192" s="22">
        <v>1.925</v>
      </c>
      <c r="K192" s="2" t="s">
        <v>1243</v>
      </c>
      <c r="L192" s="2" t="s">
        <v>249</v>
      </c>
      <c r="M192" s="2" t="s">
        <v>54</v>
      </c>
      <c r="N192" s="2" t="s">
        <v>49</v>
      </c>
      <c r="O192" s="2" t="s">
        <v>50</v>
      </c>
      <c r="P192" s="2" t="s">
        <v>685</v>
      </c>
      <c r="Q192" s="2" t="s">
        <v>52</v>
      </c>
      <c r="R192" s="2" t="s">
        <v>686</v>
      </c>
      <c r="S192" s="2" t="s">
        <v>54</v>
      </c>
      <c r="T192" s="2" t="s">
        <v>55</v>
      </c>
      <c r="U192" s="2" t="s">
        <v>56</v>
      </c>
      <c r="V192" s="2" t="s">
        <v>57</v>
      </c>
      <c r="W192" s="22">
        <v>38311000</v>
      </c>
      <c r="X192" s="2" t="s">
        <v>1049</v>
      </c>
      <c r="Y192" s="2" t="s">
        <v>1253</v>
      </c>
      <c r="Z192" s="2" t="s">
        <v>60</v>
      </c>
      <c r="AA192" s="2" t="s">
        <v>61</v>
      </c>
      <c r="AB192" s="2" t="s">
        <v>227</v>
      </c>
      <c r="AC192" s="2" t="s">
        <v>1254</v>
      </c>
      <c r="AD192" s="2" t="s">
        <v>3829</v>
      </c>
      <c r="AE192" s="22">
        <v>1.843</v>
      </c>
      <c r="AF192" s="22">
        <v>1.843</v>
      </c>
    </row>
    <row r="193" spans="1:32" x14ac:dyDescent="0.2">
      <c r="A193" s="2" t="s">
        <v>1261</v>
      </c>
      <c r="B193" s="22">
        <v>3.982826069367758</v>
      </c>
      <c r="C193" s="22">
        <v>4.0686768284012587</v>
      </c>
      <c r="D193" s="2" t="s">
        <v>407</v>
      </c>
      <c r="E193" s="2" t="s">
        <v>1262</v>
      </c>
      <c r="F193" s="2" t="s">
        <v>3830</v>
      </c>
      <c r="G193" s="2" t="s">
        <v>1263</v>
      </c>
      <c r="H193" s="2" t="s">
        <v>1264</v>
      </c>
      <c r="I193" s="2" t="s">
        <v>407</v>
      </c>
      <c r="J193" s="22">
        <v>2.2999999999999998</v>
      </c>
      <c r="K193" s="2" t="s">
        <v>1243</v>
      </c>
      <c r="L193" s="2" t="s">
        <v>249</v>
      </c>
      <c r="M193" s="2" t="s">
        <v>54</v>
      </c>
      <c r="N193" s="2" t="s">
        <v>115</v>
      </c>
      <c r="O193" s="2" t="s">
        <v>116</v>
      </c>
      <c r="P193" s="2" t="s">
        <v>173</v>
      </c>
      <c r="Q193" s="2" t="s">
        <v>118</v>
      </c>
      <c r="R193" s="2" t="s">
        <v>53</v>
      </c>
      <c r="S193" s="2" t="s">
        <v>54</v>
      </c>
      <c r="T193" s="2" t="s">
        <v>55</v>
      </c>
      <c r="U193" s="2" t="s">
        <v>56</v>
      </c>
      <c r="V193" s="2" t="s">
        <v>71</v>
      </c>
      <c r="W193" s="22">
        <v>338154000</v>
      </c>
      <c r="X193" s="2" t="s">
        <v>58</v>
      </c>
      <c r="Y193" s="2" t="s">
        <v>505</v>
      </c>
      <c r="Z193" s="2" t="s">
        <v>60</v>
      </c>
      <c r="AA193" s="2" t="s">
        <v>61</v>
      </c>
      <c r="AB193" s="2" t="s">
        <v>279</v>
      </c>
      <c r="AC193" s="2" t="s">
        <v>280</v>
      </c>
      <c r="AD193" s="2" t="s">
        <v>3831</v>
      </c>
      <c r="AE193" s="22">
        <v>2.2999999999999998</v>
      </c>
      <c r="AF193" s="22">
        <v>2.2999999999999998</v>
      </c>
    </row>
    <row r="194" spans="1:32" x14ac:dyDescent="0.2">
      <c r="A194" s="2" t="s">
        <v>1024</v>
      </c>
      <c r="B194" s="22">
        <v>2.0334207778004458</v>
      </c>
      <c r="C194" s="22">
        <v>2.1527849773413044</v>
      </c>
      <c r="D194" s="2" t="s">
        <v>257</v>
      </c>
      <c r="E194" s="2" t="s">
        <v>1267</v>
      </c>
      <c r="F194" s="2" t="s">
        <v>173</v>
      </c>
      <c r="G194" s="2" t="s">
        <v>1268</v>
      </c>
      <c r="H194" s="2" t="s">
        <v>1027</v>
      </c>
      <c r="I194" s="2" t="s">
        <v>257</v>
      </c>
      <c r="J194" s="22">
        <v>1.2769999999999999</v>
      </c>
      <c r="K194" s="2" t="s">
        <v>1028</v>
      </c>
      <c r="L194" s="2" t="s">
        <v>1029</v>
      </c>
      <c r="M194" s="2" t="s">
        <v>54</v>
      </c>
      <c r="N194" s="2" t="s">
        <v>49</v>
      </c>
      <c r="O194" s="2" t="s">
        <v>50</v>
      </c>
      <c r="P194" s="2" t="s">
        <v>1269</v>
      </c>
      <c r="Q194" s="2" t="s">
        <v>52</v>
      </c>
      <c r="R194" s="2" t="s">
        <v>53</v>
      </c>
      <c r="S194" s="2" t="s">
        <v>54</v>
      </c>
      <c r="T194" s="2" t="s">
        <v>55</v>
      </c>
      <c r="U194" s="2" t="s">
        <v>56</v>
      </c>
      <c r="V194" s="2" t="s">
        <v>57</v>
      </c>
      <c r="W194" s="22">
        <v>281097500</v>
      </c>
      <c r="X194" s="2" t="s">
        <v>58</v>
      </c>
      <c r="Y194" s="2" t="s">
        <v>59</v>
      </c>
      <c r="Z194" s="2" t="s">
        <v>60</v>
      </c>
      <c r="AA194" s="2" t="s">
        <v>61</v>
      </c>
      <c r="AB194" s="2" t="s">
        <v>176</v>
      </c>
      <c r="AC194" s="2" t="s">
        <v>191</v>
      </c>
      <c r="AD194" s="2" t="s">
        <v>3832</v>
      </c>
      <c r="AE194" s="2" t="s">
        <v>54</v>
      </c>
      <c r="AF194" s="2" t="s">
        <v>54</v>
      </c>
    </row>
    <row r="195" spans="1:32" x14ac:dyDescent="0.2">
      <c r="A195" s="2" t="s">
        <v>1024</v>
      </c>
      <c r="B195" s="2" t="s">
        <v>54</v>
      </c>
      <c r="C195" s="2" t="s">
        <v>54</v>
      </c>
      <c r="D195" s="2" t="s">
        <v>257</v>
      </c>
      <c r="E195" s="2" t="s">
        <v>1271</v>
      </c>
      <c r="F195" s="2" t="s">
        <v>173</v>
      </c>
      <c r="G195" s="2" t="s">
        <v>1272</v>
      </c>
      <c r="H195" s="2" t="s">
        <v>1027</v>
      </c>
      <c r="I195" s="2" t="s">
        <v>257</v>
      </c>
      <c r="J195" s="22">
        <v>0.21299999999999999</v>
      </c>
      <c r="K195" s="2" t="s">
        <v>1028</v>
      </c>
      <c r="L195" s="2" t="s">
        <v>1040</v>
      </c>
      <c r="M195" s="2" t="s">
        <v>54</v>
      </c>
      <c r="N195" s="2" t="s">
        <v>49</v>
      </c>
      <c r="O195" s="2" t="s">
        <v>50</v>
      </c>
      <c r="P195" s="2" t="s">
        <v>1273</v>
      </c>
      <c r="Q195" s="2" t="s">
        <v>52</v>
      </c>
      <c r="R195" s="2" t="s">
        <v>53</v>
      </c>
      <c r="S195" s="2" t="s">
        <v>54</v>
      </c>
      <c r="T195" s="2" t="s">
        <v>55</v>
      </c>
      <c r="U195" s="2" t="s">
        <v>70</v>
      </c>
      <c r="V195" s="2" t="s">
        <v>71</v>
      </c>
      <c r="W195" s="22">
        <v>281097500</v>
      </c>
      <c r="X195" s="2" t="s">
        <v>58</v>
      </c>
      <c r="Y195" s="2" t="s">
        <v>59</v>
      </c>
      <c r="Z195" s="2" t="s">
        <v>60</v>
      </c>
      <c r="AA195" s="2" t="s">
        <v>61</v>
      </c>
      <c r="AB195" s="2" t="s">
        <v>176</v>
      </c>
      <c r="AC195" s="2" t="s">
        <v>191</v>
      </c>
      <c r="AD195" s="2" t="s">
        <v>3833</v>
      </c>
      <c r="AE195" s="2" t="s">
        <v>54</v>
      </c>
      <c r="AF195" s="2" t="s">
        <v>54</v>
      </c>
    </row>
    <row r="196" spans="1:32" x14ac:dyDescent="0.2">
      <c r="A196" s="2" t="s">
        <v>1024</v>
      </c>
      <c r="B196" s="22">
        <v>1.7690297541899695</v>
      </c>
      <c r="C196" s="22">
        <v>1.8641730626753419</v>
      </c>
      <c r="D196" s="2" t="s">
        <v>257</v>
      </c>
      <c r="E196" s="2" t="s">
        <v>1274</v>
      </c>
      <c r="F196" s="2" t="s">
        <v>173</v>
      </c>
      <c r="G196" s="2" t="s">
        <v>1275</v>
      </c>
      <c r="H196" s="2" t="s">
        <v>1027</v>
      </c>
      <c r="I196" s="2" t="s">
        <v>257</v>
      </c>
      <c r="J196" s="22">
        <v>0.85</v>
      </c>
      <c r="K196" s="2" t="s">
        <v>1028</v>
      </c>
      <c r="L196" s="2" t="s">
        <v>242</v>
      </c>
      <c r="M196" s="2" t="s">
        <v>54</v>
      </c>
      <c r="N196" s="2" t="s">
        <v>49</v>
      </c>
      <c r="O196" s="2" t="s">
        <v>50</v>
      </c>
      <c r="P196" s="2" t="s">
        <v>101</v>
      </c>
      <c r="Q196" s="2" t="s">
        <v>52</v>
      </c>
      <c r="R196" s="2" t="s">
        <v>53</v>
      </c>
      <c r="S196" s="2" t="s">
        <v>54</v>
      </c>
      <c r="T196" s="2" t="s">
        <v>55</v>
      </c>
      <c r="U196" s="2" t="s">
        <v>56</v>
      </c>
      <c r="V196" s="2" t="s">
        <v>57</v>
      </c>
      <c r="W196" s="22">
        <v>281097500</v>
      </c>
      <c r="X196" s="2" t="s">
        <v>58</v>
      </c>
      <c r="Y196" s="2" t="s">
        <v>59</v>
      </c>
      <c r="Z196" s="2" t="s">
        <v>60</v>
      </c>
      <c r="AA196" s="2" t="s">
        <v>61</v>
      </c>
      <c r="AB196" s="2" t="s">
        <v>176</v>
      </c>
      <c r="AC196" s="2" t="s">
        <v>191</v>
      </c>
      <c r="AD196" s="2" t="s">
        <v>3834</v>
      </c>
      <c r="AE196" s="22">
        <v>0.157</v>
      </c>
      <c r="AF196" s="22">
        <v>0.157</v>
      </c>
    </row>
    <row r="197" spans="1:32" x14ac:dyDescent="0.2">
      <c r="A197" s="2" t="s">
        <v>1276</v>
      </c>
      <c r="B197" s="22">
        <v>8.6207248384413457</v>
      </c>
      <c r="C197" s="22">
        <v>8.9012287242926185</v>
      </c>
      <c r="D197" s="2" t="s">
        <v>367</v>
      </c>
      <c r="E197" s="2" t="s">
        <v>1277</v>
      </c>
      <c r="F197" s="2" t="s">
        <v>3835</v>
      </c>
      <c r="G197" s="2" t="s">
        <v>1278</v>
      </c>
      <c r="H197" s="2" t="s">
        <v>1279</v>
      </c>
      <c r="I197" s="2" t="s">
        <v>367</v>
      </c>
      <c r="J197" s="22">
        <v>8.8010000000000002</v>
      </c>
      <c r="K197" s="2" t="s">
        <v>1280</v>
      </c>
      <c r="L197" s="2" t="s">
        <v>1281</v>
      </c>
      <c r="M197" s="2" t="s">
        <v>54</v>
      </c>
      <c r="N197" s="2" t="s">
        <v>115</v>
      </c>
      <c r="O197" s="2" t="s">
        <v>116</v>
      </c>
      <c r="P197" s="2" t="s">
        <v>685</v>
      </c>
      <c r="Q197" s="2" t="s">
        <v>458</v>
      </c>
      <c r="R197" s="2" t="s">
        <v>686</v>
      </c>
      <c r="S197" s="2" t="s">
        <v>54</v>
      </c>
      <c r="T197" s="2" t="s">
        <v>55</v>
      </c>
      <c r="U197" s="2" t="s">
        <v>70</v>
      </c>
      <c r="V197" s="2" t="s">
        <v>391</v>
      </c>
      <c r="W197" s="22">
        <v>52704000</v>
      </c>
      <c r="X197" s="2" t="s">
        <v>134</v>
      </c>
      <c r="Y197" s="2" t="s">
        <v>1282</v>
      </c>
      <c r="Z197" s="2" t="s">
        <v>60</v>
      </c>
      <c r="AA197" s="2" t="s">
        <v>61</v>
      </c>
      <c r="AB197" s="2" t="s">
        <v>62</v>
      </c>
      <c r="AC197" s="2" t="s">
        <v>62</v>
      </c>
      <c r="AD197" s="2" t="s">
        <v>3836</v>
      </c>
      <c r="AE197" s="2" t="s">
        <v>54</v>
      </c>
      <c r="AF197" s="2" t="s">
        <v>54</v>
      </c>
    </row>
    <row r="198" spans="1:32" x14ac:dyDescent="0.2">
      <c r="A198" s="2" t="s">
        <v>995</v>
      </c>
      <c r="B198" s="2" t="s">
        <v>54</v>
      </c>
      <c r="C198" s="2" t="s">
        <v>54</v>
      </c>
      <c r="D198" s="2" t="s">
        <v>45</v>
      </c>
      <c r="E198" s="2" t="s">
        <v>1285</v>
      </c>
      <c r="F198" s="2" t="s">
        <v>173</v>
      </c>
      <c r="G198" s="2" t="s">
        <v>1286</v>
      </c>
      <c r="H198" s="2" t="s">
        <v>998</v>
      </c>
      <c r="I198" s="2" t="s">
        <v>45</v>
      </c>
      <c r="J198" s="22">
        <v>0</v>
      </c>
      <c r="K198" s="2" t="s">
        <v>999</v>
      </c>
      <c r="L198" s="2" t="s">
        <v>1287</v>
      </c>
      <c r="M198" s="2" t="s">
        <v>54</v>
      </c>
      <c r="N198" s="2" t="s">
        <v>49</v>
      </c>
      <c r="O198" s="2" t="s">
        <v>50</v>
      </c>
      <c r="P198" s="2" t="s">
        <v>157</v>
      </c>
      <c r="Q198" s="2" t="s">
        <v>52</v>
      </c>
      <c r="R198" s="2" t="s">
        <v>53</v>
      </c>
      <c r="S198" s="2" t="s">
        <v>54</v>
      </c>
      <c r="T198" s="2" t="s">
        <v>55</v>
      </c>
      <c r="U198" s="2" t="s">
        <v>70</v>
      </c>
      <c r="V198" s="2" t="s">
        <v>71</v>
      </c>
      <c r="W198" s="22">
        <v>225864000</v>
      </c>
      <c r="X198" s="2" t="s">
        <v>85</v>
      </c>
      <c r="Y198" s="2" t="s">
        <v>514</v>
      </c>
      <c r="Z198" s="2" t="s">
        <v>60</v>
      </c>
      <c r="AA198" s="2" t="s">
        <v>61</v>
      </c>
      <c r="AB198" s="2" t="s">
        <v>87</v>
      </c>
      <c r="AC198" s="2" t="s">
        <v>514</v>
      </c>
      <c r="AD198" s="2" t="s">
        <v>3837</v>
      </c>
      <c r="AE198" s="2" t="s">
        <v>54</v>
      </c>
      <c r="AF198" s="2" t="s">
        <v>54</v>
      </c>
    </row>
    <row r="199" spans="1:32" x14ac:dyDescent="0.2">
      <c r="A199" s="2" t="s">
        <v>995</v>
      </c>
      <c r="B199" s="2" t="s">
        <v>54</v>
      </c>
      <c r="C199" s="2" t="s">
        <v>54</v>
      </c>
      <c r="D199" s="2" t="s">
        <v>45</v>
      </c>
      <c r="E199" s="2" t="s">
        <v>1288</v>
      </c>
      <c r="F199" s="2" t="s">
        <v>173</v>
      </c>
      <c r="G199" s="2" t="s">
        <v>1289</v>
      </c>
      <c r="H199" s="2" t="s">
        <v>998</v>
      </c>
      <c r="I199" s="2" t="s">
        <v>45</v>
      </c>
      <c r="J199" s="22">
        <v>0</v>
      </c>
      <c r="K199" s="2" t="s">
        <v>999</v>
      </c>
      <c r="L199" s="2" t="s">
        <v>1290</v>
      </c>
      <c r="M199" s="2" t="s">
        <v>54</v>
      </c>
      <c r="N199" s="2" t="s">
        <v>49</v>
      </c>
      <c r="O199" s="2" t="s">
        <v>50</v>
      </c>
      <c r="P199" s="2" t="s">
        <v>161</v>
      </c>
      <c r="Q199" s="2" t="s">
        <v>52</v>
      </c>
      <c r="R199" s="2" t="s">
        <v>53</v>
      </c>
      <c r="S199" s="2" t="s">
        <v>54</v>
      </c>
      <c r="T199" s="2" t="s">
        <v>55</v>
      </c>
      <c r="U199" s="2" t="s">
        <v>70</v>
      </c>
      <c r="V199" s="2" t="s">
        <v>71</v>
      </c>
      <c r="W199" s="22">
        <v>225864000</v>
      </c>
      <c r="X199" s="2" t="s">
        <v>85</v>
      </c>
      <c r="Y199" s="2" t="s">
        <v>514</v>
      </c>
      <c r="Z199" s="2" t="s">
        <v>60</v>
      </c>
      <c r="AA199" s="2" t="s">
        <v>61</v>
      </c>
      <c r="AB199" s="2" t="s">
        <v>87</v>
      </c>
      <c r="AC199" s="2" t="s">
        <v>514</v>
      </c>
      <c r="AD199" s="2" t="s">
        <v>3838</v>
      </c>
      <c r="AE199" s="2" t="s">
        <v>54</v>
      </c>
      <c r="AF199" s="2" t="s">
        <v>54</v>
      </c>
    </row>
    <row r="200" spans="1:32" x14ac:dyDescent="0.2">
      <c r="A200" s="2" t="s">
        <v>1291</v>
      </c>
      <c r="B200" s="2" t="s">
        <v>54</v>
      </c>
      <c r="C200" s="2" t="s">
        <v>54</v>
      </c>
      <c r="D200" s="2" t="s">
        <v>45</v>
      </c>
      <c r="E200" s="2" t="s">
        <v>1292</v>
      </c>
      <c r="F200" s="2" t="s">
        <v>173</v>
      </c>
      <c r="G200" s="2" t="s">
        <v>1293</v>
      </c>
      <c r="H200" s="2" t="s">
        <v>1294</v>
      </c>
      <c r="I200" s="2" t="s">
        <v>45</v>
      </c>
      <c r="J200" s="22">
        <v>0</v>
      </c>
      <c r="K200" s="2" t="s">
        <v>1295</v>
      </c>
      <c r="L200" s="2" t="s">
        <v>1296</v>
      </c>
      <c r="M200" s="2" t="s">
        <v>54</v>
      </c>
      <c r="N200" s="2" t="s">
        <v>49</v>
      </c>
      <c r="O200" s="2" t="s">
        <v>50</v>
      </c>
      <c r="P200" s="2" t="s">
        <v>51</v>
      </c>
      <c r="Q200" s="2" t="s">
        <v>52</v>
      </c>
      <c r="R200" s="2" t="s">
        <v>53</v>
      </c>
      <c r="S200" s="2" t="s">
        <v>54</v>
      </c>
      <c r="T200" s="2" t="s">
        <v>55</v>
      </c>
      <c r="U200" s="2" t="s">
        <v>56</v>
      </c>
      <c r="V200" s="2" t="s">
        <v>57</v>
      </c>
      <c r="W200" s="22">
        <v>394352000</v>
      </c>
      <c r="X200" s="2" t="s">
        <v>421</v>
      </c>
      <c r="Y200" s="2" t="s">
        <v>976</v>
      </c>
      <c r="Z200" s="2" t="s">
        <v>60</v>
      </c>
      <c r="AA200" s="2" t="s">
        <v>61</v>
      </c>
      <c r="AB200" s="2" t="s">
        <v>227</v>
      </c>
      <c r="AC200" s="2" t="s">
        <v>664</v>
      </c>
      <c r="AD200" s="2" t="s">
        <v>3839</v>
      </c>
      <c r="AE200" s="2" t="s">
        <v>54</v>
      </c>
      <c r="AF200" s="2" t="s">
        <v>54</v>
      </c>
    </row>
    <row r="201" spans="1:32" x14ac:dyDescent="0.2">
      <c r="A201" s="2" t="s">
        <v>1291</v>
      </c>
      <c r="B201" s="2" t="s">
        <v>54</v>
      </c>
      <c r="C201" s="2" t="s">
        <v>54</v>
      </c>
      <c r="D201" s="2" t="s">
        <v>45</v>
      </c>
      <c r="E201" s="2" t="s">
        <v>1299</v>
      </c>
      <c r="F201" s="2" t="s">
        <v>173</v>
      </c>
      <c r="G201" s="2" t="s">
        <v>1300</v>
      </c>
      <c r="H201" s="2" t="s">
        <v>1294</v>
      </c>
      <c r="I201" s="2" t="s">
        <v>45</v>
      </c>
      <c r="J201" s="22">
        <v>0</v>
      </c>
      <c r="K201" s="2" t="s">
        <v>1295</v>
      </c>
      <c r="L201" s="2" t="s">
        <v>1301</v>
      </c>
      <c r="M201" s="2" t="s">
        <v>54</v>
      </c>
      <c r="N201" s="2" t="s">
        <v>49</v>
      </c>
      <c r="O201" s="2" t="s">
        <v>50</v>
      </c>
      <c r="P201" s="2" t="s">
        <v>101</v>
      </c>
      <c r="Q201" s="2" t="s">
        <v>52</v>
      </c>
      <c r="R201" s="2" t="s">
        <v>53</v>
      </c>
      <c r="S201" s="2" t="s">
        <v>54</v>
      </c>
      <c r="T201" s="2" t="s">
        <v>55</v>
      </c>
      <c r="U201" s="2" t="s">
        <v>56</v>
      </c>
      <c r="V201" s="2" t="s">
        <v>57</v>
      </c>
      <c r="W201" s="22">
        <v>394352000</v>
      </c>
      <c r="X201" s="2" t="s">
        <v>421</v>
      </c>
      <c r="Y201" s="2" t="s">
        <v>976</v>
      </c>
      <c r="Z201" s="2" t="s">
        <v>60</v>
      </c>
      <c r="AA201" s="2" t="s">
        <v>61</v>
      </c>
      <c r="AB201" s="2" t="s">
        <v>227</v>
      </c>
      <c r="AC201" s="2" t="s">
        <v>664</v>
      </c>
      <c r="AD201" s="2" t="s">
        <v>3840</v>
      </c>
      <c r="AE201" s="2" t="s">
        <v>54</v>
      </c>
      <c r="AF201" s="2" t="s">
        <v>54</v>
      </c>
    </row>
    <row r="202" spans="1:32" x14ac:dyDescent="0.2">
      <c r="A202" s="2" t="s">
        <v>1291</v>
      </c>
      <c r="B202" s="2" t="s">
        <v>54</v>
      </c>
      <c r="C202" s="2" t="s">
        <v>54</v>
      </c>
      <c r="D202" s="2" t="s">
        <v>45</v>
      </c>
      <c r="E202" s="2" t="s">
        <v>1302</v>
      </c>
      <c r="F202" s="2" t="s">
        <v>173</v>
      </c>
      <c r="G202" s="2" t="s">
        <v>1303</v>
      </c>
      <c r="H202" s="2" t="s">
        <v>1294</v>
      </c>
      <c r="I202" s="2" t="s">
        <v>45</v>
      </c>
      <c r="J202" s="22">
        <v>0</v>
      </c>
      <c r="K202" s="2" t="s">
        <v>1295</v>
      </c>
      <c r="L202" s="2" t="s">
        <v>1301</v>
      </c>
      <c r="M202" s="2" t="s">
        <v>54</v>
      </c>
      <c r="N202" s="2" t="s">
        <v>49</v>
      </c>
      <c r="O202" s="2" t="s">
        <v>50</v>
      </c>
      <c r="P202" s="2" t="s">
        <v>84</v>
      </c>
      <c r="Q202" s="2" t="s">
        <v>52</v>
      </c>
      <c r="R202" s="2" t="s">
        <v>53</v>
      </c>
      <c r="S202" s="2" t="s">
        <v>54</v>
      </c>
      <c r="T202" s="2" t="s">
        <v>55</v>
      </c>
      <c r="U202" s="2" t="s">
        <v>70</v>
      </c>
      <c r="V202" s="2" t="s">
        <v>71</v>
      </c>
      <c r="W202" s="22">
        <v>394352000</v>
      </c>
      <c r="X202" s="2" t="s">
        <v>421</v>
      </c>
      <c r="Y202" s="2" t="s">
        <v>976</v>
      </c>
      <c r="Z202" s="2" t="s">
        <v>60</v>
      </c>
      <c r="AA202" s="2" t="s">
        <v>61</v>
      </c>
      <c r="AB202" s="2" t="s">
        <v>227</v>
      </c>
      <c r="AC202" s="2" t="s">
        <v>664</v>
      </c>
      <c r="AD202" s="2" t="s">
        <v>3841</v>
      </c>
      <c r="AE202" s="2" t="s">
        <v>54</v>
      </c>
      <c r="AF202" s="2" t="s">
        <v>54</v>
      </c>
    </row>
    <row r="203" spans="1:32" x14ac:dyDescent="0.2">
      <c r="A203" s="2" t="s">
        <v>1291</v>
      </c>
      <c r="B203" s="2" t="s">
        <v>54</v>
      </c>
      <c r="C203" s="2" t="s">
        <v>54</v>
      </c>
      <c r="D203" s="2" t="s">
        <v>45</v>
      </c>
      <c r="E203" s="2" t="s">
        <v>1304</v>
      </c>
      <c r="F203" s="2" t="s">
        <v>173</v>
      </c>
      <c r="G203" s="2" t="s">
        <v>1305</v>
      </c>
      <c r="H203" s="2" t="s">
        <v>1294</v>
      </c>
      <c r="I203" s="2" t="s">
        <v>45</v>
      </c>
      <c r="J203" s="22">
        <v>0</v>
      </c>
      <c r="K203" s="2" t="s">
        <v>1295</v>
      </c>
      <c r="L203" s="2" t="s">
        <v>1306</v>
      </c>
      <c r="M203" s="2" t="s">
        <v>54</v>
      </c>
      <c r="N203" s="2" t="s">
        <v>49</v>
      </c>
      <c r="O203" s="2" t="s">
        <v>50</v>
      </c>
      <c r="P203" s="2" t="s">
        <v>104</v>
      </c>
      <c r="Q203" s="2" t="s">
        <v>52</v>
      </c>
      <c r="R203" s="2" t="s">
        <v>53</v>
      </c>
      <c r="S203" s="2" t="s">
        <v>54</v>
      </c>
      <c r="T203" s="2" t="s">
        <v>55</v>
      </c>
      <c r="U203" s="2" t="s">
        <v>56</v>
      </c>
      <c r="V203" s="2" t="s">
        <v>57</v>
      </c>
      <c r="W203" s="22">
        <v>394352000</v>
      </c>
      <c r="X203" s="2" t="s">
        <v>421</v>
      </c>
      <c r="Y203" s="2" t="s">
        <v>976</v>
      </c>
      <c r="Z203" s="2" t="s">
        <v>60</v>
      </c>
      <c r="AA203" s="2" t="s">
        <v>61</v>
      </c>
      <c r="AB203" s="2" t="s">
        <v>227</v>
      </c>
      <c r="AC203" s="2" t="s">
        <v>664</v>
      </c>
      <c r="AD203" s="2" t="s">
        <v>3842</v>
      </c>
      <c r="AE203" s="2" t="s">
        <v>54</v>
      </c>
      <c r="AF203" s="2" t="s">
        <v>54</v>
      </c>
    </row>
    <row r="204" spans="1:32" x14ac:dyDescent="0.2">
      <c r="A204" s="2" t="s">
        <v>1291</v>
      </c>
      <c r="B204" s="2" t="s">
        <v>54</v>
      </c>
      <c r="C204" s="2" t="s">
        <v>54</v>
      </c>
      <c r="D204" s="2" t="s">
        <v>45</v>
      </c>
      <c r="E204" s="2" t="s">
        <v>1307</v>
      </c>
      <c r="F204" s="2" t="s">
        <v>173</v>
      </c>
      <c r="G204" s="2" t="s">
        <v>1308</v>
      </c>
      <c r="H204" s="2" t="s">
        <v>1294</v>
      </c>
      <c r="I204" s="2" t="s">
        <v>45</v>
      </c>
      <c r="J204" s="22">
        <v>0</v>
      </c>
      <c r="K204" s="2" t="s">
        <v>1295</v>
      </c>
      <c r="L204" s="2" t="s">
        <v>1306</v>
      </c>
      <c r="M204" s="2" t="s">
        <v>54</v>
      </c>
      <c r="N204" s="2" t="s">
        <v>49</v>
      </c>
      <c r="O204" s="2" t="s">
        <v>50</v>
      </c>
      <c r="P204" s="2" t="s">
        <v>94</v>
      </c>
      <c r="Q204" s="2" t="s">
        <v>52</v>
      </c>
      <c r="R204" s="2" t="s">
        <v>53</v>
      </c>
      <c r="S204" s="2" t="s">
        <v>54</v>
      </c>
      <c r="T204" s="2" t="s">
        <v>55</v>
      </c>
      <c r="U204" s="2" t="s">
        <v>56</v>
      </c>
      <c r="V204" s="2" t="s">
        <v>57</v>
      </c>
      <c r="W204" s="22">
        <v>394352000</v>
      </c>
      <c r="X204" s="2" t="s">
        <v>421</v>
      </c>
      <c r="Y204" s="2" t="s">
        <v>976</v>
      </c>
      <c r="Z204" s="2" t="s">
        <v>60</v>
      </c>
      <c r="AA204" s="2" t="s">
        <v>61</v>
      </c>
      <c r="AB204" s="2" t="s">
        <v>227</v>
      </c>
      <c r="AC204" s="2" t="s">
        <v>664</v>
      </c>
      <c r="AD204" s="2" t="s">
        <v>3843</v>
      </c>
      <c r="AE204" s="2" t="s">
        <v>54</v>
      </c>
      <c r="AF204" s="2" t="s">
        <v>54</v>
      </c>
    </row>
    <row r="205" spans="1:32" x14ac:dyDescent="0.2">
      <c r="A205" s="2" t="s">
        <v>1075</v>
      </c>
      <c r="B205" s="2" t="s">
        <v>54</v>
      </c>
      <c r="C205" s="2" t="s">
        <v>54</v>
      </c>
      <c r="D205" s="2" t="s">
        <v>184</v>
      </c>
      <c r="E205" s="2" t="s">
        <v>1309</v>
      </c>
      <c r="F205" s="2" t="s">
        <v>173</v>
      </c>
      <c r="G205" s="2" t="s">
        <v>1310</v>
      </c>
      <c r="H205" s="2" t="s">
        <v>1078</v>
      </c>
      <c r="I205" s="2" t="s">
        <v>184</v>
      </c>
      <c r="J205" s="22">
        <v>0</v>
      </c>
      <c r="K205" s="2" t="s">
        <v>1079</v>
      </c>
      <c r="L205" s="2" t="s">
        <v>1095</v>
      </c>
      <c r="M205" s="2" t="s">
        <v>54</v>
      </c>
      <c r="N205" s="2" t="s">
        <v>49</v>
      </c>
      <c r="O205" s="2" t="s">
        <v>50</v>
      </c>
      <c r="P205" s="2" t="s">
        <v>1311</v>
      </c>
      <c r="Q205" s="2" t="s">
        <v>52</v>
      </c>
      <c r="R205" s="2" t="s">
        <v>53</v>
      </c>
      <c r="S205" s="2" t="s">
        <v>54</v>
      </c>
      <c r="T205" s="2" t="s">
        <v>884</v>
      </c>
      <c r="U205" s="2" t="s">
        <v>56</v>
      </c>
      <c r="V205" s="2" t="s">
        <v>57</v>
      </c>
      <c r="W205" s="22">
        <v>458828550</v>
      </c>
      <c r="X205" s="2" t="s">
        <v>134</v>
      </c>
      <c r="Y205" s="2" t="s">
        <v>543</v>
      </c>
      <c r="Z205" s="2" t="s">
        <v>60</v>
      </c>
      <c r="AA205" s="2" t="s">
        <v>61</v>
      </c>
      <c r="AB205" s="2" t="s">
        <v>136</v>
      </c>
      <c r="AC205" s="2" t="s">
        <v>544</v>
      </c>
      <c r="AD205" s="2" t="s">
        <v>3844</v>
      </c>
      <c r="AE205" s="2" t="s">
        <v>54</v>
      </c>
      <c r="AF205" s="2" t="s">
        <v>54</v>
      </c>
    </row>
    <row r="206" spans="1:32" x14ac:dyDescent="0.2">
      <c r="A206" s="2" t="s">
        <v>1075</v>
      </c>
      <c r="B206" s="2" t="s">
        <v>54</v>
      </c>
      <c r="C206" s="2" t="s">
        <v>54</v>
      </c>
      <c r="D206" s="2" t="s">
        <v>184</v>
      </c>
      <c r="E206" s="2" t="s">
        <v>1313</v>
      </c>
      <c r="F206" s="2" t="s">
        <v>173</v>
      </c>
      <c r="G206" s="2" t="s">
        <v>1314</v>
      </c>
      <c r="H206" s="2" t="s">
        <v>1078</v>
      </c>
      <c r="I206" s="2" t="s">
        <v>184</v>
      </c>
      <c r="J206" s="22">
        <v>0</v>
      </c>
      <c r="K206" s="2" t="s">
        <v>1079</v>
      </c>
      <c r="L206" s="2" t="s">
        <v>1086</v>
      </c>
      <c r="M206" s="2" t="s">
        <v>54</v>
      </c>
      <c r="N206" s="2" t="s">
        <v>49</v>
      </c>
      <c r="O206" s="2" t="s">
        <v>50</v>
      </c>
      <c r="P206" s="2" t="s">
        <v>1315</v>
      </c>
      <c r="Q206" s="2" t="s">
        <v>52</v>
      </c>
      <c r="R206" s="2" t="s">
        <v>53</v>
      </c>
      <c r="S206" s="2" t="s">
        <v>54</v>
      </c>
      <c r="T206" s="2" t="s">
        <v>884</v>
      </c>
      <c r="U206" s="2" t="s">
        <v>56</v>
      </c>
      <c r="V206" s="2" t="s">
        <v>57</v>
      </c>
      <c r="W206" s="22">
        <v>793037000</v>
      </c>
      <c r="X206" s="2" t="s">
        <v>134</v>
      </c>
      <c r="Y206" s="2" t="s">
        <v>543</v>
      </c>
      <c r="Z206" s="2" t="s">
        <v>60</v>
      </c>
      <c r="AA206" s="2" t="s">
        <v>61</v>
      </c>
      <c r="AB206" s="2" t="s">
        <v>136</v>
      </c>
      <c r="AC206" s="2" t="s">
        <v>544</v>
      </c>
      <c r="AD206" s="2" t="s">
        <v>3845</v>
      </c>
      <c r="AE206" s="2" t="s">
        <v>54</v>
      </c>
      <c r="AF206" s="2" t="s">
        <v>54</v>
      </c>
    </row>
    <row r="207" spans="1:32" x14ac:dyDescent="0.2">
      <c r="A207" s="2" t="s">
        <v>1316</v>
      </c>
      <c r="B207" s="22">
        <v>5.4612891311476393</v>
      </c>
      <c r="C207" s="22">
        <v>5.5850041567223716</v>
      </c>
      <c r="D207" s="2" t="s">
        <v>366</v>
      </c>
      <c r="E207" s="2" t="s">
        <v>1317</v>
      </c>
      <c r="F207" s="2" t="s">
        <v>3846</v>
      </c>
      <c r="G207" s="2" t="s">
        <v>1318</v>
      </c>
      <c r="H207" s="2" t="s">
        <v>1319</v>
      </c>
      <c r="I207" s="2" t="s">
        <v>366</v>
      </c>
      <c r="J207" s="22">
        <v>3.5</v>
      </c>
      <c r="K207" s="2" t="s">
        <v>1320</v>
      </c>
      <c r="L207" s="2" t="s">
        <v>662</v>
      </c>
      <c r="M207" s="22">
        <v>3.5</v>
      </c>
      <c r="N207" s="2" t="s">
        <v>115</v>
      </c>
      <c r="O207" s="2" t="s">
        <v>116</v>
      </c>
      <c r="P207" s="2" t="s">
        <v>261</v>
      </c>
      <c r="Q207" s="2" t="s">
        <v>458</v>
      </c>
      <c r="R207" s="2" t="s">
        <v>53</v>
      </c>
      <c r="S207" s="2" t="s">
        <v>410</v>
      </c>
      <c r="T207" s="2" t="s">
        <v>55</v>
      </c>
      <c r="U207" s="2" t="s">
        <v>56</v>
      </c>
      <c r="V207" s="2" t="s">
        <v>71</v>
      </c>
      <c r="W207" s="22">
        <v>849540000</v>
      </c>
      <c r="X207" s="2" t="s">
        <v>308</v>
      </c>
      <c r="Y207" s="2" t="s">
        <v>1321</v>
      </c>
      <c r="Z207" s="2" t="s">
        <v>60</v>
      </c>
      <c r="AA207" s="2" t="s">
        <v>61</v>
      </c>
      <c r="AB207" s="2" t="s">
        <v>308</v>
      </c>
      <c r="AC207" s="2" t="s">
        <v>1322</v>
      </c>
      <c r="AD207" s="2" t="s">
        <v>3847</v>
      </c>
      <c r="AE207" s="22">
        <v>3.6840000000000002</v>
      </c>
      <c r="AF207" s="22">
        <v>3.5</v>
      </c>
    </row>
    <row r="208" spans="1:32" x14ac:dyDescent="0.2">
      <c r="A208" s="2" t="s">
        <v>1316</v>
      </c>
      <c r="B208" s="22">
        <v>5.4472005611272145</v>
      </c>
      <c r="C208" s="22">
        <v>5.5855815587740754</v>
      </c>
      <c r="D208" s="2" t="s">
        <v>366</v>
      </c>
      <c r="E208" s="2" t="s">
        <v>1325</v>
      </c>
      <c r="F208" s="2" t="s">
        <v>3848</v>
      </c>
      <c r="G208" s="2" t="s">
        <v>1326</v>
      </c>
      <c r="H208" s="2" t="s">
        <v>1319</v>
      </c>
      <c r="I208" s="2" t="s">
        <v>366</v>
      </c>
      <c r="J208" s="22">
        <v>3.5</v>
      </c>
      <c r="K208" s="2" t="s">
        <v>1320</v>
      </c>
      <c r="L208" s="2" t="s">
        <v>662</v>
      </c>
      <c r="M208" s="22">
        <v>3.5</v>
      </c>
      <c r="N208" s="2" t="s">
        <v>115</v>
      </c>
      <c r="O208" s="2" t="s">
        <v>116</v>
      </c>
      <c r="P208" s="2" t="s">
        <v>270</v>
      </c>
      <c r="Q208" s="2" t="s">
        <v>458</v>
      </c>
      <c r="R208" s="2" t="s">
        <v>53</v>
      </c>
      <c r="S208" s="2" t="s">
        <v>410</v>
      </c>
      <c r="T208" s="2" t="s">
        <v>55</v>
      </c>
      <c r="U208" s="2" t="s">
        <v>56</v>
      </c>
      <c r="V208" s="2" t="s">
        <v>71</v>
      </c>
      <c r="W208" s="22">
        <v>849540000</v>
      </c>
      <c r="X208" s="2" t="s">
        <v>308</v>
      </c>
      <c r="Y208" s="2" t="s">
        <v>1321</v>
      </c>
      <c r="Z208" s="2" t="s">
        <v>60</v>
      </c>
      <c r="AA208" s="2" t="s">
        <v>61</v>
      </c>
      <c r="AB208" s="2" t="s">
        <v>308</v>
      </c>
      <c r="AC208" s="2" t="s">
        <v>1322</v>
      </c>
      <c r="AD208" s="2" t="s">
        <v>3849</v>
      </c>
      <c r="AE208" s="22">
        <v>3.6779999999999999</v>
      </c>
      <c r="AF208" s="22">
        <v>3.5</v>
      </c>
    </row>
    <row r="209" spans="1:32" x14ac:dyDescent="0.2">
      <c r="A209" s="2" t="s">
        <v>1316</v>
      </c>
      <c r="B209" s="22">
        <v>6.9485784838517901</v>
      </c>
      <c r="C209" s="22">
        <v>7.163040140094</v>
      </c>
      <c r="D209" s="2" t="s">
        <v>366</v>
      </c>
      <c r="E209" s="2" t="s">
        <v>1327</v>
      </c>
      <c r="F209" s="2" t="s">
        <v>3850</v>
      </c>
      <c r="G209" s="2" t="s">
        <v>1328</v>
      </c>
      <c r="H209" s="2" t="s">
        <v>1319</v>
      </c>
      <c r="I209" s="2" t="s">
        <v>366</v>
      </c>
      <c r="J209" s="22">
        <v>5</v>
      </c>
      <c r="K209" s="2" t="s">
        <v>1320</v>
      </c>
      <c r="L209" s="2" t="s">
        <v>662</v>
      </c>
      <c r="M209" s="22">
        <v>5.125</v>
      </c>
      <c r="N209" s="2" t="s">
        <v>115</v>
      </c>
      <c r="O209" s="2" t="s">
        <v>116</v>
      </c>
      <c r="P209" s="2" t="s">
        <v>1329</v>
      </c>
      <c r="Q209" s="2" t="s">
        <v>458</v>
      </c>
      <c r="R209" s="2" t="s">
        <v>262</v>
      </c>
      <c r="S209" s="2" t="s">
        <v>410</v>
      </c>
      <c r="T209" s="2" t="s">
        <v>55</v>
      </c>
      <c r="U209" s="2" t="s">
        <v>56</v>
      </c>
      <c r="V209" s="2" t="s">
        <v>71</v>
      </c>
      <c r="W209" s="22">
        <v>1525000000</v>
      </c>
      <c r="X209" s="2" t="s">
        <v>308</v>
      </c>
      <c r="Y209" s="2" t="s">
        <v>1321</v>
      </c>
      <c r="Z209" s="2" t="s">
        <v>60</v>
      </c>
      <c r="AA209" s="2" t="s">
        <v>61</v>
      </c>
      <c r="AB209" s="2" t="s">
        <v>308</v>
      </c>
      <c r="AC209" s="2" t="s">
        <v>1322</v>
      </c>
      <c r="AD209" s="2" t="s">
        <v>3851</v>
      </c>
      <c r="AE209" s="22">
        <v>5.1070000000000002</v>
      </c>
      <c r="AF209" s="22">
        <v>5.125</v>
      </c>
    </row>
    <row r="210" spans="1:32" x14ac:dyDescent="0.2">
      <c r="A210" s="2" t="s">
        <v>1316</v>
      </c>
      <c r="B210" s="22">
        <v>7.0458629978000884</v>
      </c>
      <c r="C210" s="22">
        <v>7.0909312947875156</v>
      </c>
      <c r="D210" s="2" t="s">
        <v>366</v>
      </c>
      <c r="E210" s="2" t="s">
        <v>1331</v>
      </c>
      <c r="F210" s="2" t="s">
        <v>3852</v>
      </c>
      <c r="G210" s="2" t="s">
        <v>1332</v>
      </c>
      <c r="H210" s="2" t="s">
        <v>1319</v>
      </c>
      <c r="I210" s="2" t="s">
        <v>366</v>
      </c>
      <c r="J210" s="22">
        <v>5</v>
      </c>
      <c r="K210" s="2" t="s">
        <v>1320</v>
      </c>
      <c r="L210" s="2" t="s">
        <v>662</v>
      </c>
      <c r="M210" s="22">
        <v>5.125</v>
      </c>
      <c r="N210" s="2" t="s">
        <v>115</v>
      </c>
      <c r="O210" s="2" t="s">
        <v>116</v>
      </c>
      <c r="P210" s="2" t="s">
        <v>1333</v>
      </c>
      <c r="Q210" s="2" t="s">
        <v>458</v>
      </c>
      <c r="R210" s="2" t="s">
        <v>262</v>
      </c>
      <c r="S210" s="2" t="s">
        <v>410</v>
      </c>
      <c r="T210" s="2" t="s">
        <v>55</v>
      </c>
      <c r="U210" s="2" t="s">
        <v>56</v>
      </c>
      <c r="V210" s="2" t="s">
        <v>71</v>
      </c>
      <c r="W210" s="22">
        <v>1525000000</v>
      </c>
      <c r="X210" s="2" t="s">
        <v>308</v>
      </c>
      <c r="Y210" s="2" t="s">
        <v>1321</v>
      </c>
      <c r="Z210" s="2" t="s">
        <v>60</v>
      </c>
      <c r="AA210" s="2" t="s">
        <v>61</v>
      </c>
      <c r="AB210" s="2" t="s">
        <v>308</v>
      </c>
      <c r="AC210" s="2" t="s">
        <v>1322</v>
      </c>
      <c r="AD210" s="2" t="s">
        <v>3853</v>
      </c>
      <c r="AE210" s="22">
        <v>5.1379999999999999</v>
      </c>
      <c r="AF210" s="22">
        <v>5.125</v>
      </c>
    </row>
    <row r="211" spans="1:32" x14ac:dyDescent="0.2">
      <c r="A211" s="2" t="s">
        <v>1335</v>
      </c>
      <c r="B211" s="22">
        <v>4.6439641254761748</v>
      </c>
      <c r="C211" s="22">
        <v>4.7530771092387951</v>
      </c>
      <c r="D211" s="2" t="s">
        <v>169</v>
      </c>
      <c r="E211" s="2" t="s">
        <v>1336</v>
      </c>
      <c r="F211" s="2" t="s">
        <v>3854</v>
      </c>
      <c r="G211" s="2" t="s">
        <v>1337</v>
      </c>
      <c r="H211" s="2" t="s">
        <v>1338</v>
      </c>
      <c r="I211" s="2" t="s">
        <v>169</v>
      </c>
      <c r="J211" s="22">
        <v>1.75</v>
      </c>
      <c r="K211" s="2" t="s">
        <v>1340</v>
      </c>
      <c r="L211" s="2" t="s">
        <v>1341</v>
      </c>
      <c r="M211" s="22">
        <v>2.0169999999999999</v>
      </c>
      <c r="N211" s="2" t="s">
        <v>115</v>
      </c>
      <c r="O211" s="2" t="s">
        <v>116</v>
      </c>
      <c r="P211" s="2" t="s">
        <v>225</v>
      </c>
      <c r="Q211" s="2" t="s">
        <v>52</v>
      </c>
      <c r="R211" s="2" t="s">
        <v>53</v>
      </c>
      <c r="S211" s="2" t="s">
        <v>174</v>
      </c>
      <c r="T211" s="2" t="s">
        <v>55</v>
      </c>
      <c r="U211" s="2" t="s">
        <v>56</v>
      </c>
      <c r="V211" s="2" t="s">
        <v>57</v>
      </c>
      <c r="W211" s="22">
        <v>798147000</v>
      </c>
      <c r="X211" s="2" t="s">
        <v>484</v>
      </c>
      <c r="Y211" s="2" t="s">
        <v>598</v>
      </c>
      <c r="Z211" s="2" t="s">
        <v>60</v>
      </c>
      <c r="AA211" s="2" t="s">
        <v>486</v>
      </c>
      <c r="AB211" s="2" t="s">
        <v>1151</v>
      </c>
      <c r="AC211" s="2" t="s">
        <v>1151</v>
      </c>
      <c r="AD211" s="2" t="s">
        <v>3855</v>
      </c>
      <c r="AE211" s="22">
        <v>2.0209999999999999</v>
      </c>
      <c r="AF211" s="22">
        <v>2.0169999999999999</v>
      </c>
    </row>
    <row r="212" spans="1:32" x14ac:dyDescent="0.2">
      <c r="A212" s="2" t="s">
        <v>641</v>
      </c>
      <c r="B212" s="22">
        <v>1.6101924780879899</v>
      </c>
      <c r="C212" s="22">
        <v>1.6647000250314223</v>
      </c>
      <c r="D212" s="2" t="s">
        <v>366</v>
      </c>
      <c r="E212" s="2" t="s">
        <v>1344</v>
      </c>
      <c r="F212" s="2" t="s">
        <v>3856</v>
      </c>
      <c r="G212" s="2" t="s">
        <v>1345</v>
      </c>
      <c r="H212" s="2" t="s">
        <v>644</v>
      </c>
      <c r="I212" s="2" t="s">
        <v>366</v>
      </c>
      <c r="J212" s="22">
        <v>0.25</v>
      </c>
      <c r="K212" s="2" t="s">
        <v>1346</v>
      </c>
      <c r="L212" s="2" t="s">
        <v>1347</v>
      </c>
      <c r="M212" s="2" t="s">
        <v>54</v>
      </c>
      <c r="N212" s="2" t="s">
        <v>115</v>
      </c>
      <c r="O212" s="2" t="s">
        <v>116</v>
      </c>
      <c r="P212" s="2" t="s">
        <v>173</v>
      </c>
      <c r="Q212" s="2" t="s">
        <v>52</v>
      </c>
      <c r="R212" s="2" t="s">
        <v>53</v>
      </c>
      <c r="S212" s="2" t="s">
        <v>619</v>
      </c>
      <c r="T212" s="2" t="s">
        <v>55</v>
      </c>
      <c r="U212" s="2" t="s">
        <v>56</v>
      </c>
      <c r="V212" s="2" t="s">
        <v>57</v>
      </c>
      <c r="W212" s="22">
        <v>1426475000</v>
      </c>
      <c r="X212" s="2" t="s">
        <v>120</v>
      </c>
      <c r="Y212" s="2" t="s">
        <v>120</v>
      </c>
      <c r="Z212" s="2" t="s">
        <v>60</v>
      </c>
      <c r="AA212" s="2" t="s">
        <v>121</v>
      </c>
      <c r="AB212" s="2" t="s">
        <v>122</v>
      </c>
      <c r="AC212" s="2" t="s">
        <v>122</v>
      </c>
      <c r="AD212" s="2" t="s">
        <v>3857</v>
      </c>
      <c r="AE212" s="22">
        <v>0.30199999999999999</v>
      </c>
      <c r="AF212" s="22">
        <v>0.30199999999999999</v>
      </c>
    </row>
    <row r="213" spans="1:32" x14ac:dyDescent="0.2">
      <c r="A213" s="2" t="s">
        <v>641</v>
      </c>
      <c r="B213" s="22">
        <v>2.5261953889047835</v>
      </c>
      <c r="C213" s="22">
        <v>2.5837625862884521</v>
      </c>
      <c r="D213" s="2" t="s">
        <v>366</v>
      </c>
      <c r="E213" s="2" t="s">
        <v>1349</v>
      </c>
      <c r="F213" s="2" t="s">
        <v>3858</v>
      </c>
      <c r="G213" s="2" t="s">
        <v>1350</v>
      </c>
      <c r="H213" s="2" t="s">
        <v>644</v>
      </c>
      <c r="I213" s="2" t="s">
        <v>366</v>
      </c>
      <c r="J213" s="22">
        <v>0.875</v>
      </c>
      <c r="K213" s="2" t="s">
        <v>1346</v>
      </c>
      <c r="L213" s="2" t="s">
        <v>1351</v>
      </c>
      <c r="M213" s="22">
        <v>1.0269999999999999</v>
      </c>
      <c r="N213" s="2" t="s">
        <v>115</v>
      </c>
      <c r="O213" s="2" t="s">
        <v>116</v>
      </c>
      <c r="P213" s="2" t="s">
        <v>1352</v>
      </c>
      <c r="Q213" s="2" t="s">
        <v>52</v>
      </c>
      <c r="R213" s="2" t="s">
        <v>53</v>
      </c>
      <c r="S213" s="2" t="s">
        <v>619</v>
      </c>
      <c r="T213" s="2" t="s">
        <v>55</v>
      </c>
      <c r="U213" s="2" t="s">
        <v>56</v>
      </c>
      <c r="V213" s="2" t="s">
        <v>57</v>
      </c>
      <c r="W213" s="22">
        <v>855885000</v>
      </c>
      <c r="X213" s="2" t="s">
        <v>120</v>
      </c>
      <c r="Y213" s="2" t="s">
        <v>120</v>
      </c>
      <c r="Z213" s="2" t="s">
        <v>60</v>
      </c>
      <c r="AA213" s="2" t="s">
        <v>121</v>
      </c>
      <c r="AB213" s="2" t="s">
        <v>122</v>
      </c>
      <c r="AC213" s="2" t="s">
        <v>122</v>
      </c>
      <c r="AD213" s="2" t="s">
        <v>3859</v>
      </c>
      <c r="AE213" s="22">
        <v>1.032</v>
      </c>
      <c r="AF213" s="22">
        <v>1.0269999999999999</v>
      </c>
    </row>
    <row r="214" spans="1:32" x14ac:dyDescent="0.2">
      <c r="A214" s="2" t="s">
        <v>641</v>
      </c>
      <c r="B214" s="22">
        <v>2.8318988406737096</v>
      </c>
      <c r="C214" s="22">
        <v>2.8967313534731116</v>
      </c>
      <c r="D214" s="2" t="s">
        <v>366</v>
      </c>
      <c r="E214" s="2" t="s">
        <v>1355</v>
      </c>
      <c r="F214" s="2" t="s">
        <v>3860</v>
      </c>
      <c r="G214" s="2" t="s">
        <v>1356</v>
      </c>
      <c r="H214" s="2" t="s">
        <v>644</v>
      </c>
      <c r="I214" s="2" t="s">
        <v>366</v>
      </c>
      <c r="J214" s="22">
        <v>1.25</v>
      </c>
      <c r="K214" s="2" t="s">
        <v>1346</v>
      </c>
      <c r="L214" s="2" t="s">
        <v>1357</v>
      </c>
      <c r="M214" s="22">
        <v>1.306</v>
      </c>
      <c r="N214" s="2" t="s">
        <v>115</v>
      </c>
      <c r="O214" s="2" t="s">
        <v>116</v>
      </c>
      <c r="P214" s="2" t="s">
        <v>1352</v>
      </c>
      <c r="Q214" s="2" t="s">
        <v>52</v>
      </c>
      <c r="R214" s="2" t="s">
        <v>53</v>
      </c>
      <c r="S214" s="2" t="s">
        <v>619</v>
      </c>
      <c r="T214" s="2" t="s">
        <v>55</v>
      </c>
      <c r="U214" s="2" t="s">
        <v>56</v>
      </c>
      <c r="V214" s="2" t="s">
        <v>57</v>
      </c>
      <c r="W214" s="22">
        <v>855885000</v>
      </c>
      <c r="X214" s="2" t="s">
        <v>120</v>
      </c>
      <c r="Y214" s="2" t="s">
        <v>120</v>
      </c>
      <c r="Z214" s="2" t="s">
        <v>60</v>
      </c>
      <c r="AA214" s="2" t="s">
        <v>121</v>
      </c>
      <c r="AB214" s="2" t="s">
        <v>122</v>
      </c>
      <c r="AC214" s="2" t="s">
        <v>122</v>
      </c>
      <c r="AD214" s="2" t="s">
        <v>3861</v>
      </c>
      <c r="AE214" s="22">
        <v>1.3460000000000001</v>
      </c>
      <c r="AF214" s="22">
        <v>1.306</v>
      </c>
    </row>
    <row r="215" spans="1:32" x14ac:dyDescent="0.2">
      <c r="A215" s="2" t="s">
        <v>1359</v>
      </c>
      <c r="B215" s="22">
        <v>2.2883042201562653</v>
      </c>
      <c r="C215" s="22">
        <v>2.34187926073455</v>
      </c>
      <c r="D215" s="2" t="s">
        <v>199</v>
      </c>
      <c r="E215" s="2" t="s">
        <v>1360</v>
      </c>
      <c r="F215" s="2" t="s">
        <v>3862</v>
      </c>
      <c r="G215" s="2" t="s">
        <v>1361</v>
      </c>
      <c r="H215" s="2" t="s">
        <v>1362</v>
      </c>
      <c r="I215" s="2" t="s">
        <v>199</v>
      </c>
      <c r="J215" s="22">
        <v>0.75</v>
      </c>
      <c r="K215" s="2" t="s">
        <v>1320</v>
      </c>
      <c r="L215" s="2" t="s">
        <v>1363</v>
      </c>
      <c r="M215" s="2" t="s">
        <v>54</v>
      </c>
      <c r="N215" s="2" t="s">
        <v>115</v>
      </c>
      <c r="O215" s="2" t="s">
        <v>116</v>
      </c>
      <c r="P215" s="2" t="s">
        <v>225</v>
      </c>
      <c r="Q215" s="2" t="s">
        <v>52</v>
      </c>
      <c r="R215" s="2" t="s">
        <v>53</v>
      </c>
      <c r="S215" s="2" t="s">
        <v>174</v>
      </c>
      <c r="T215" s="2" t="s">
        <v>117</v>
      </c>
      <c r="U215" s="2" t="s">
        <v>56</v>
      </c>
      <c r="V215" s="2" t="s">
        <v>57</v>
      </c>
      <c r="W215" s="22">
        <v>962812000</v>
      </c>
      <c r="X215" s="2" t="s">
        <v>120</v>
      </c>
      <c r="Y215" s="2" t="s">
        <v>120</v>
      </c>
      <c r="Z215" s="2" t="s">
        <v>60</v>
      </c>
      <c r="AA215" s="2" t="s">
        <v>121</v>
      </c>
      <c r="AB215" s="2" t="s">
        <v>1364</v>
      </c>
      <c r="AC215" s="2" t="s">
        <v>1364</v>
      </c>
      <c r="AD215" s="2" t="s">
        <v>3863</v>
      </c>
      <c r="AE215" s="22">
        <v>0.84499999999999997</v>
      </c>
      <c r="AF215" s="22">
        <v>0.84499999999999997</v>
      </c>
    </row>
    <row r="216" spans="1:32" x14ac:dyDescent="0.2">
      <c r="A216" s="2" t="s">
        <v>1359</v>
      </c>
      <c r="B216" s="22">
        <v>2.7453362528311804</v>
      </c>
      <c r="C216" s="22">
        <v>2.7957651135969868</v>
      </c>
      <c r="D216" s="2" t="s">
        <v>199</v>
      </c>
      <c r="E216" s="2" t="s">
        <v>1367</v>
      </c>
      <c r="F216" s="2" t="s">
        <v>3864</v>
      </c>
      <c r="G216" s="2" t="s">
        <v>1368</v>
      </c>
      <c r="H216" s="2" t="s">
        <v>1362</v>
      </c>
      <c r="I216" s="2" t="s">
        <v>199</v>
      </c>
      <c r="J216" s="22">
        <v>1.25</v>
      </c>
      <c r="K216" s="2" t="s">
        <v>1320</v>
      </c>
      <c r="L216" s="2" t="s">
        <v>1369</v>
      </c>
      <c r="M216" s="22">
        <v>1.2710000000000001</v>
      </c>
      <c r="N216" s="2" t="s">
        <v>115</v>
      </c>
      <c r="O216" s="2" t="s">
        <v>116</v>
      </c>
      <c r="P216" s="2" t="s">
        <v>225</v>
      </c>
      <c r="Q216" s="2" t="s">
        <v>52</v>
      </c>
      <c r="R216" s="2" t="s">
        <v>53</v>
      </c>
      <c r="S216" s="2" t="s">
        <v>174</v>
      </c>
      <c r="T216" s="2" t="s">
        <v>117</v>
      </c>
      <c r="U216" s="2" t="s">
        <v>56</v>
      </c>
      <c r="V216" s="2" t="s">
        <v>57</v>
      </c>
      <c r="W216" s="22">
        <v>736268000</v>
      </c>
      <c r="X216" s="2" t="s">
        <v>120</v>
      </c>
      <c r="Y216" s="2" t="s">
        <v>120</v>
      </c>
      <c r="Z216" s="2" t="s">
        <v>60</v>
      </c>
      <c r="AA216" s="2" t="s">
        <v>121</v>
      </c>
      <c r="AB216" s="2" t="s">
        <v>1364</v>
      </c>
      <c r="AC216" s="2" t="s">
        <v>1364</v>
      </c>
      <c r="AD216" s="2" t="s">
        <v>3865</v>
      </c>
      <c r="AE216" s="22">
        <v>1.2769999999999999</v>
      </c>
      <c r="AF216" s="22">
        <v>1.2710000000000001</v>
      </c>
    </row>
    <row r="217" spans="1:32" x14ac:dyDescent="0.2">
      <c r="A217" s="2" t="s">
        <v>1372</v>
      </c>
      <c r="B217" s="2" t="s">
        <v>54</v>
      </c>
      <c r="C217" s="2" t="s">
        <v>54</v>
      </c>
      <c r="D217" s="2" t="s">
        <v>45</v>
      </c>
      <c r="E217" s="2" t="s">
        <v>1373</v>
      </c>
      <c r="F217" s="2" t="s">
        <v>173</v>
      </c>
      <c r="G217" s="2" t="s">
        <v>1374</v>
      </c>
      <c r="H217" s="2" t="s">
        <v>1375</v>
      </c>
      <c r="I217" s="2" t="s">
        <v>45</v>
      </c>
      <c r="J217" s="22">
        <v>0</v>
      </c>
      <c r="K217" s="2" t="s">
        <v>1376</v>
      </c>
      <c r="L217" s="2" t="s">
        <v>1377</v>
      </c>
      <c r="M217" s="2" t="s">
        <v>54</v>
      </c>
      <c r="N217" s="2" t="s">
        <v>49</v>
      </c>
      <c r="O217" s="2" t="s">
        <v>50</v>
      </c>
      <c r="P217" s="2" t="s">
        <v>1378</v>
      </c>
      <c r="Q217" s="2" t="s">
        <v>52</v>
      </c>
      <c r="R217" s="2" t="s">
        <v>53</v>
      </c>
      <c r="S217" s="2" t="s">
        <v>54</v>
      </c>
      <c r="T217" s="2" t="s">
        <v>55</v>
      </c>
      <c r="U217" s="2" t="s">
        <v>70</v>
      </c>
      <c r="V217" s="2" t="s">
        <v>71</v>
      </c>
      <c r="W217" s="22">
        <v>558330000</v>
      </c>
      <c r="X217" s="2" t="s">
        <v>484</v>
      </c>
      <c r="Y217" s="2" t="s">
        <v>598</v>
      </c>
      <c r="Z217" s="2" t="s">
        <v>202</v>
      </c>
      <c r="AA217" s="2" t="s">
        <v>203</v>
      </c>
      <c r="AB217" s="2" t="s">
        <v>203</v>
      </c>
      <c r="AC217" s="2" t="s">
        <v>203</v>
      </c>
      <c r="AD217" s="2" t="s">
        <v>3866</v>
      </c>
      <c r="AE217" s="2" t="s">
        <v>54</v>
      </c>
      <c r="AF217" s="2" t="s">
        <v>54</v>
      </c>
    </row>
    <row r="218" spans="1:32" x14ac:dyDescent="0.2">
      <c r="A218" s="2" t="s">
        <v>1372</v>
      </c>
      <c r="B218" s="2" t="s">
        <v>54</v>
      </c>
      <c r="C218" s="2" t="s">
        <v>54</v>
      </c>
      <c r="D218" s="2" t="s">
        <v>45</v>
      </c>
      <c r="E218" s="2" t="s">
        <v>1381</v>
      </c>
      <c r="F218" s="2" t="s">
        <v>173</v>
      </c>
      <c r="G218" s="2" t="s">
        <v>1382</v>
      </c>
      <c r="H218" s="2" t="s">
        <v>1375</v>
      </c>
      <c r="I218" s="2" t="s">
        <v>45</v>
      </c>
      <c r="J218" s="22">
        <v>0</v>
      </c>
      <c r="K218" s="2" t="s">
        <v>1376</v>
      </c>
      <c r="L218" s="2" t="s">
        <v>1383</v>
      </c>
      <c r="M218" s="2" t="s">
        <v>54</v>
      </c>
      <c r="N218" s="2" t="s">
        <v>49</v>
      </c>
      <c r="O218" s="2" t="s">
        <v>50</v>
      </c>
      <c r="P218" s="2" t="s">
        <v>1384</v>
      </c>
      <c r="Q218" s="2" t="s">
        <v>52</v>
      </c>
      <c r="R218" s="2" t="s">
        <v>53</v>
      </c>
      <c r="S218" s="2" t="s">
        <v>54</v>
      </c>
      <c r="T218" s="2" t="s">
        <v>55</v>
      </c>
      <c r="U218" s="2" t="s">
        <v>70</v>
      </c>
      <c r="V218" s="2" t="s">
        <v>71</v>
      </c>
      <c r="W218" s="22">
        <v>558330000</v>
      </c>
      <c r="X218" s="2" t="s">
        <v>484</v>
      </c>
      <c r="Y218" s="2" t="s">
        <v>598</v>
      </c>
      <c r="Z218" s="2" t="s">
        <v>202</v>
      </c>
      <c r="AA218" s="2" t="s">
        <v>203</v>
      </c>
      <c r="AB218" s="2" t="s">
        <v>203</v>
      </c>
      <c r="AC218" s="2" t="s">
        <v>203</v>
      </c>
      <c r="AD218" s="2" t="s">
        <v>3867</v>
      </c>
      <c r="AE218" s="2" t="s">
        <v>54</v>
      </c>
      <c r="AF218" s="2" t="s">
        <v>54</v>
      </c>
    </row>
    <row r="219" spans="1:32" x14ac:dyDescent="0.2">
      <c r="A219" s="2" t="s">
        <v>1372</v>
      </c>
      <c r="B219" s="2" t="s">
        <v>54</v>
      </c>
      <c r="C219" s="2" t="s">
        <v>54</v>
      </c>
      <c r="D219" s="2" t="s">
        <v>45</v>
      </c>
      <c r="E219" s="2" t="s">
        <v>1385</v>
      </c>
      <c r="F219" s="2" t="s">
        <v>173</v>
      </c>
      <c r="G219" s="2" t="s">
        <v>1386</v>
      </c>
      <c r="H219" s="2" t="s">
        <v>1375</v>
      </c>
      <c r="I219" s="2" t="s">
        <v>45</v>
      </c>
      <c r="J219" s="22">
        <v>0</v>
      </c>
      <c r="K219" s="2" t="s">
        <v>1376</v>
      </c>
      <c r="L219" s="2" t="s">
        <v>1387</v>
      </c>
      <c r="M219" s="2" t="s">
        <v>54</v>
      </c>
      <c r="N219" s="2" t="s">
        <v>49</v>
      </c>
      <c r="O219" s="2" t="s">
        <v>50</v>
      </c>
      <c r="P219" s="2" t="s">
        <v>1388</v>
      </c>
      <c r="Q219" s="2" t="s">
        <v>52</v>
      </c>
      <c r="R219" s="2" t="s">
        <v>53</v>
      </c>
      <c r="S219" s="2" t="s">
        <v>54</v>
      </c>
      <c r="T219" s="2" t="s">
        <v>55</v>
      </c>
      <c r="U219" s="2" t="s">
        <v>70</v>
      </c>
      <c r="V219" s="2" t="s">
        <v>71</v>
      </c>
      <c r="W219" s="22">
        <v>558330000</v>
      </c>
      <c r="X219" s="2" t="s">
        <v>484</v>
      </c>
      <c r="Y219" s="2" t="s">
        <v>598</v>
      </c>
      <c r="Z219" s="2" t="s">
        <v>202</v>
      </c>
      <c r="AA219" s="2" t="s">
        <v>203</v>
      </c>
      <c r="AB219" s="2" t="s">
        <v>203</v>
      </c>
      <c r="AC219" s="2" t="s">
        <v>203</v>
      </c>
      <c r="AD219" s="2" t="s">
        <v>3868</v>
      </c>
      <c r="AE219" s="2" t="s">
        <v>54</v>
      </c>
      <c r="AF219" s="2" t="s">
        <v>54</v>
      </c>
    </row>
    <row r="220" spans="1:32" x14ac:dyDescent="0.2">
      <c r="A220" s="2" t="s">
        <v>1372</v>
      </c>
      <c r="B220" s="2" t="s">
        <v>54</v>
      </c>
      <c r="C220" s="2" t="s">
        <v>54</v>
      </c>
      <c r="D220" s="2" t="s">
        <v>45</v>
      </c>
      <c r="E220" s="2" t="s">
        <v>1389</v>
      </c>
      <c r="F220" s="2" t="s">
        <v>173</v>
      </c>
      <c r="G220" s="2" t="s">
        <v>1390</v>
      </c>
      <c r="H220" s="2" t="s">
        <v>1375</v>
      </c>
      <c r="I220" s="2" t="s">
        <v>45</v>
      </c>
      <c r="J220" s="22">
        <v>0</v>
      </c>
      <c r="K220" s="2" t="s">
        <v>1376</v>
      </c>
      <c r="L220" s="2" t="s">
        <v>1391</v>
      </c>
      <c r="M220" s="2" t="s">
        <v>54</v>
      </c>
      <c r="N220" s="2" t="s">
        <v>49</v>
      </c>
      <c r="O220" s="2" t="s">
        <v>50</v>
      </c>
      <c r="P220" s="2" t="s">
        <v>1392</v>
      </c>
      <c r="Q220" s="2" t="s">
        <v>52</v>
      </c>
      <c r="R220" s="2" t="s">
        <v>53</v>
      </c>
      <c r="S220" s="2" t="s">
        <v>54</v>
      </c>
      <c r="T220" s="2" t="s">
        <v>55</v>
      </c>
      <c r="U220" s="2" t="s">
        <v>70</v>
      </c>
      <c r="V220" s="2" t="s">
        <v>71</v>
      </c>
      <c r="W220" s="22">
        <v>558330000</v>
      </c>
      <c r="X220" s="2" t="s">
        <v>484</v>
      </c>
      <c r="Y220" s="2" t="s">
        <v>598</v>
      </c>
      <c r="Z220" s="2" t="s">
        <v>202</v>
      </c>
      <c r="AA220" s="2" t="s">
        <v>203</v>
      </c>
      <c r="AB220" s="2" t="s">
        <v>203</v>
      </c>
      <c r="AC220" s="2" t="s">
        <v>203</v>
      </c>
      <c r="AD220" s="2" t="s">
        <v>3869</v>
      </c>
      <c r="AE220" s="2" t="s">
        <v>54</v>
      </c>
      <c r="AF220" s="2" t="s">
        <v>54</v>
      </c>
    </row>
    <row r="221" spans="1:32" x14ac:dyDescent="0.2">
      <c r="A221" s="2" t="s">
        <v>1372</v>
      </c>
      <c r="B221" s="2" t="s">
        <v>54</v>
      </c>
      <c r="C221" s="2" t="s">
        <v>54</v>
      </c>
      <c r="D221" s="2" t="s">
        <v>45</v>
      </c>
      <c r="E221" s="2" t="s">
        <v>1393</v>
      </c>
      <c r="F221" s="2" t="s">
        <v>173</v>
      </c>
      <c r="G221" s="2" t="s">
        <v>1394</v>
      </c>
      <c r="H221" s="2" t="s">
        <v>1375</v>
      </c>
      <c r="I221" s="2" t="s">
        <v>45</v>
      </c>
      <c r="J221" s="22">
        <v>0</v>
      </c>
      <c r="K221" s="2" t="s">
        <v>1376</v>
      </c>
      <c r="L221" s="2" t="s">
        <v>1395</v>
      </c>
      <c r="M221" s="2" t="s">
        <v>54</v>
      </c>
      <c r="N221" s="2" t="s">
        <v>49</v>
      </c>
      <c r="O221" s="2" t="s">
        <v>50</v>
      </c>
      <c r="P221" s="2" t="s">
        <v>1396</v>
      </c>
      <c r="Q221" s="2" t="s">
        <v>52</v>
      </c>
      <c r="R221" s="2" t="s">
        <v>53</v>
      </c>
      <c r="S221" s="2" t="s">
        <v>54</v>
      </c>
      <c r="T221" s="2" t="s">
        <v>55</v>
      </c>
      <c r="U221" s="2" t="s">
        <v>70</v>
      </c>
      <c r="V221" s="2" t="s">
        <v>71</v>
      </c>
      <c r="W221" s="22">
        <v>558330000</v>
      </c>
      <c r="X221" s="2" t="s">
        <v>484</v>
      </c>
      <c r="Y221" s="2" t="s">
        <v>598</v>
      </c>
      <c r="Z221" s="2" t="s">
        <v>202</v>
      </c>
      <c r="AA221" s="2" t="s">
        <v>203</v>
      </c>
      <c r="AB221" s="2" t="s">
        <v>203</v>
      </c>
      <c r="AC221" s="2" t="s">
        <v>203</v>
      </c>
      <c r="AD221" s="2" t="s">
        <v>3870</v>
      </c>
      <c r="AE221" s="2" t="s">
        <v>54</v>
      </c>
      <c r="AF221" s="2" t="s">
        <v>54</v>
      </c>
    </row>
    <row r="222" spans="1:32" x14ac:dyDescent="0.2">
      <c r="A222" s="2" t="s">
        <v>1372</v>
      </c>
      <c r="B222" s="2" t="s">
        <v>54</v>
      </c>
      <c r="C222" s="2" t="s">
        <v>54</v>
      </c>
      <c r="D222" s="2" t="s">
        <v>45</v>
      </c>
      <c r="E222" s="2" t="s">
        <v>1397</v>
      </c>
      <c r="F222" s="2" t="s">
        <v>173</v>
      </c>
      <c r="G222" s="2" t="s">
        <v>1398</v>
      </c>
      <c r="H222" s="2" t="s">
        <v>1375</v>
      </c>
      <c r="I222" s="2" t="s">
        <v>45</v>
      </c>
      <c r="J222" s="22">
        <v>0</v>
      </c>
      <c r="K222" s="2" t="s">
        <v>1376</v>
      </c>
      <c r="L222" s="2" t="s">
        <v>1399</v>
      </c>
      <c r="M222" s="2" t="s">
        <v>54</v>
      </c>
      <c r="N222" s="2" t="s">
        <v>49</v>
      </c>
      <c r="O222" s="2" t="s">
        <v>50</v>
      </c>
      <c r="P222" s="2" t="s">
        <v>1400</v>
      </c>
      <c r="Q222" s="2" t="s">
        <v>52</v>
      </c>
      <c r="R222" s="2" t="s">
        <v>53</v>
      </c>
      <c r="S222" s="2" t="s">
        <v>54</v>
      </c>
      <c r="T222" s="2" t="s">
        <v>55</v>
      </c>
      <c r="U222" s="2" t="s">
        <v>70</v>
      </c>
      <c r="V222" s="2" t="s">
        <v>71</v>
      </c>
      <c r="W222" s="22">
        <v>558330000</v>
      </c>
      <c r="X222" s="2" t="s">
        <v>484</v>
      </c>
      <c r="Y222" s="2" t="s">
        <v>598</v>
      </c>
      <c r="Z222" s="2" t="s">
        <v>202</v>
      </c>
      <c r="AA222" s="2" t="s">
        <v>203</v>
      </c>
      <c r="AB222" s="2" t="s">
        <v>203</v>
      </c>
      <c r="AC222" s="2" t="s">
        <v>203</v>
      </c>
      <c r="AD222" s="2" t="s">
        <v>3871</v>
      </c>
      <c r="AE222" s="2" t="s">
        <v>54</v>
      </c>
      <c r="AF222" s="2" t="s">
        <v>54</v>
      </c>
    </row>
    <row r="223" spans="1:32" x14ac:dyDescent="0.2">
      <c r="A223" s="2" t="s">
        <v>1372</v>
      </c>
      <c r="B223" s="2" t="s">
        <v>54</v>
      </c>
      <c r="C223" s="2" t="s">
        <v>54</v>
      </c>
      <c r="D223" s="2" t="s">
        <v>45</v>
      </c>
      <c r="E223" s="2" t="s">
        <v>1401</v>
      </c>
      <c r="F223" s="2" t="s">
        <v>173</v>
      </c>
      <c r="G223" s="2" t="s">
        <v>1402</v>
      </c>
      <c r="H223" s="2" t="s">
        <v>1375</v>
      </c>
      <c r="I223" s="2" t="s">
        <v>45</v>
      </c>
      <c r="J223" s="22">
        <v>0</v>
      </c>
      <c r="K223" s="2" t="s">
        <v>1376</v>
      </c>
      <c r="L223" s="2" t="s">
        <v>1403</v>
      </c>
      <c r="M223" s="2" t="s">
        <v>54</v>
      </c>
      <c r="N223" s="2" t="s">
        <v>49</v>
      </c>
      <c r="O223" s="2" t="s">
        <v>50</v>
      </c>
      <c r="P223" s="2" t="s">
        <v>51</v>
      </c>
      <c r="Q223" s="2" t="s">
        <v>52</v>
      </c>
      <c r="R223" s="2" t="s">
        <v>53</v>
      </c>
      <c r="S223" s="2" t="s">
        <v>54</v>
      </c>
      <c r="T223" s="2" t="s">
        <v>55</v>
      </c>
      <c r="U223" s="2" t="s">
        <v>70</v>
      </c>
      <c r="V223" s="2" t="s">
        <v>71</v>
      </c>
      <c r="W223" s="22">
        <v>558330000</v>
      </c>
      <c r="X223" s="2" t="s">
        <v>484</v>
      </c>
      <c r="Y223" s="2" t="s">
        <v>598</v>
      </c>
      <c r="Z223" s="2" t="s">
        <v>202</v>
      </c>
      <c r="AA223" s="2" t="s">
        <v>203</v>
      </c>
      <c r="AB223" s="2" t="s">
        <v>203</v>
      </c>
      <c r="AC223" s="2" t="s">
        <v>203</v>
      </c>
      <c r="AD223" s="2" t="s">
        <v>3872</v>
      </c>
      <c r="AE223" s="2" t="s">
        <v>54</v>
      </c>
      <c r="AF223" s="2" t="s">
        <v>54</v>
      </c>
    </row>
    <row r="224" spans="1:32" x14ac:dyDescent="0.2">
      <c r="A224" s="2" t="s">
        <v>1372</v>
      </c>
      <c r="B224" s="2" t="s">
        <v>54</v>
      </c>
      <c r="C224" s="2" t="s">
        <v>54</v>
      </c>
      <c r="D224" s="2" t="s">
        <v>45</v>
      </c>
      <c r="E224" s="2" t="s">
        <v>1404</v>
      </c>
      <c r="F224" s="2" t="s">
        <v>173</v>
      </c>
      <c r="G224" s="2" t="s">
        <v>1405</v>
      </c>
      <c r="H224" s="2" t="s">
        <v>1375</v>
      </c>
      <c r="I224" s="2" t="s">
        <v>45</v>
      </c>
      <c r="J224" s="22">
        <v>0</v>
      </c>
      <c r="K224" s="2" t="s">
        <v>1376</v>
      </c>
      <c r="L224" s="2" t="s">
        <v>1406</v>
      </c>
      <c r="M224" s="2" t="s">
        <v>54</v>
      </c>
      <c r="N224" s="2" t="s">
        <v>49</v>
      </c>
      <c r="O224" s="2" t="s">
        <v>50</v>
      </c>
      <c r="P224" s="2" t="s">
        <v>69</v>
      </c>
      <c r="Q224" s="2" t="s">
        <v>52</v>
      </c>
      <c r="R224" s="2" t="s">
        <v>53</v>
      </c>
      <c r="S224" s="2" t="s">
        <v>54</v>
      </c>
      <c r="T224" s="2" t="s">
        <v>55</v>
      </c>
      <c r="U224" s="2" t="s">
        <v>70</v>
      </c>
      <c r="V224" s="2" t="s">
        <v>71</v>
      </c>
      <c r="W224" s="22">
        <v>558330000</v>
      </c>
      <c r="X224" s="2" t="s">
        <v>484</v>
      </c>
      <c r="Y224" s="2" t="s">
        <v>598</v>
      </c>
      <c r="Z224" s="2" t="s">
        <v>202</v>
      </c>
      <c r="AA224" s="2" t="s">
        <v>203</v>
      </c>
      <c r="AB224" s="2" t="s">
        <v>203</v>
      </c>
      <c r="AC224" s="2" t="s">
        <v>203</v>
      </c>
      <c r="AD224" s="2" t="s">
        <v>3873</v>
      </c>
      <c r="AE224" s="2" t="s">
        <v>54</v>
      </c>
      <c r="AF224" s="2" t="s">
        <v>54</v>
      </c>
    </row>
    <row r="225" spans="1:32" x14ac:dyDescent="0.2">
      <c r="A225" s="2" t="s">
        <v>1372</v>
      </c>
      <c r="B225" s="2" t="s">
        <v>54</v>
      </c>
      <c r="C225" s="2" t="s">
        <v>54</v>
      </c>
      <c r="D225" s="2" t="s">
        <v>45</v>
      </c>
      <c r="E225" s="2" t="s">
        <v>1407</v>
      </c>
      <c r="F225" s="2" t="s">
        <v>173</v>
      </c>
      <c r="G225" s="2" t="s">
        <v>1408</v>
      </c>
      <c r="H225" s="2" t="s">
        <v>1375</v>
      </c>
      <c r="I225" s="2" t="s">
        <v>45</v>
      </c>
      <c r="J225" s="22">
        <v>0</v>
      </c>
      <c r="K225" s="2" t="s">
        <v>1376</v>
      </c>
      <c r="L225" s="2" t="s">
        <v>1409</v>
      </c>
      <c r="M225" s="2" t="s">
        <v>54</v>
      </c>
      <c r="N225" s="2" t="s">
        <v>49</v>
      </c>
      <c r="O225" s="2" t="s">
        <v>50</v>
      </c>
      <c r="P225" s="2" t="s">
        <v>76</v>
      </c>
      <c r="Q225" s="2" t="s">
        <v>52</v>
      </c>
      <c r="R225" s="2" t="s">
        <v>53</v>
      </c>
      <c r="S225" s="2" t="s">
        <v>54</v>
      </c>
      <c r="T225" s="2" t="s">
        <v>55</v>
      </c>
      <c r="U225" s="2" t="s">
        <v>70</v>
      </c>
      <c r="V225" s="2" t="s">
        <v>71</v>
      </c>
      <c r="W225" s="22">
        <v>558330000</v>
      </c>
      <c r="X225" s="2" t="s">
        <v>484</v>
      </c>
      <c r="Y225" s="2" t="s">
        <v>598</v>
      </c>
      <c r="Z225" s="2" t="s">
        <v>202</v>
      </c>
      <c r="AA225" s="2" t="s">
        <v>203</v>
      </c>
      <c r="AB225" s="2" t="s">
        <v>203</v>
      </c>
      <c r="AC225" s="2" t="s">
        <v>203</v>
      </c>
      <c r="AD225" s="2" t="s">
        <v>3874</v>
      </c>
      <c r="AE225" s="2" t="s">
        <v>54</v>
      </c>
      <c r="AF225" s="2" t="s">
        <v>54</v>
      </c>
    </row>
    <row r="226" spans="1:32" x14ac:dyDescent="0.2">
      <c r="A226" s="2" t="s">
        <v>1372</v>
      </c>
      <c r="B226" s="2" t="s">
        <v>54</v>
      </c>
      <c r="C226" s="2" t="s">
        <v>54</v>
      </c>
      <c r="D226" s="2" t="s">
        <v>45</v>
      </c>
      <c r="E226" s="2" t="s">
        <v>1410</v>
      </c>
      <c r="F226" s="2" t="s">
        <v>173</v>
      </c>
      <c r="G226" s="2" t="s">
        <v>1411</v>
      </c>
      <c r="H226" s="2" t="s">
        <v>1375</v>
      </c>
      <c r="I226" s="2" t="s">
        <v>45</v>
      </c>
      <c r="J226" s="22">
        <v>0</v>
      </c>
      <c r="K226" s="2" t="s">
        <v>1376</v>
      </c>
      <c r="L226" s="2" t="s">
        <v>1412</v>
      </c>
      <c r="M226" s="2" t="s">
        <v>54</v>
      </c>
      <c r="N226" s="2" t="s">
        <v>49</v>
      </c>
      <c r="O226" s="2" t="s">
        <v>50</v>
      </c>
      <c r="P226" s="2" t="s">
        <v>144</v>
      </c>
      <c r="Q226" s="2" t="s">
        <v>52</v>
      </c>
      <c r="R226" s="2" t="s">
        <v>53</v>
      </c>
      <c r="S226" s="2" t="s">
        <v>54</v>
      </c>
      <c r="T226" s="2" t="s">
        <v>55</v>
      </c>
      <c r="U226" s="2" t="s">
        <v>70</v>
      </c>
      <c r="V226" s="2" t="s">
        <v>71</v>
      </c>
      <c r="W226" s="22">
        <v>558330000</v>
      </c>
      <c r="X226" s="2" t="s">
        <v>484</v>
      </c>
      <c r="Y226" s="2" t="s">
        <v>598</v>
      </c>
      <c r="Z226" s="2" t="s">
        <v>202</v>
      </c>
      <c r="AA226" s="2" t="s">
        <v>203</v>
      </c>
      <c r="AB226" s="2" t="s">
        <v>203</v>
      </c>
      <c r="AC226" s="2" t="s">
        <v>203</v>
      </c>
      <c r="AD226" s="2" t="s">
        <v>3875</v>
      </c>
      <c r="AE226" s="2" t="s">
        <v>54</v>
      </c>
      <c r="AF226" s="2" t="s">
        <v>54</v>
      </c>
    </row>
    <row r="227" spans="1:32" x14ac:dyDescent="0.2">
      <c r="A227" s="2" t="s">
        <v>1413</v>
      </c>
      <c r="B227" s="22">
        <v>6.4573748438256517</v>
      </c>
      <c r="C227" s="22">
        <v>6.833750233877482</v>
      </c>
      <c r="D227" s="2" t="s">
        <v>199</v>
      </c>
      <c r="E227" s="2" t="s">
        <v>1414</v>
      </c>
      <c r="F227" s="2" t="s">
        <v>3876</v>
      </c>
      <c r="G227" s="2" t="s">
        <v>1415</v>
      </c>
      <c r="H227" s="2" t="s">
        <v>1416</v>
      </c>
      <c r="I227" s="2" t="s">
        <v>199</v>
      </c>
      <c r="J227" s="22">
        <v>3.875</v>
      </c>
      <c r="K227" s="2" t="s">
        <v>1417</v>
      </c>
      <c r="L227" s="2" t="s">
        <v>1418</v>
      </c>
      <c r="M227" s="22">
        <v>3.879</v>
      </c>
      <c r="N227" s="2" t="s">
        <v>115</v>
      </c>
      <c r="O227" s="2" t="s">
        <v>116</v>
      </c>
      <c r="P227" s="2" t="s">
        <v>173</v>
      </c>
      <c r="Q227" s="2" t="s">
        <v>52</v>
      </c>
      <c r="R227" s="2" t="s">
        <v>53</v>
      </c>
      <c r="S227" s="2" t="s">
        <v>296</v>
      </c>
      <c r="T227" s="2" t="s">
        <v>55</v>
      </c>
      <c r="U227" s="2" t="s">
        <v>56</v>
      </c>
      <c r="V227" s="2" t="s">
        <v>57</v>
      </c>
      <c r="W227" s="22">
        <v>446048000</v>
      </c>
      <c r="X227" s="2" t="s">
        <v>58</v>
      </c>
      <c r="Y227" s="2" t="s">
        <v>505</v>
      </c>
      <c r="Z227" s="2" t="s">
        <v>60</v>
      </c>
      <c r="AA227" s="2" t="s">
        <v>61</v>
      </c>
      <c r="AB227" s="2" t="s">
        <v>62</v>
      </c>
      <c r="AC227" s="2" t="s">
        <v>62</v>
      </c>
      <c r="AD227" s="2" t="s">
        <v>3877</v>
      </c>
      <c r="AE227" s="22">
        <v>4.0060000000000002</v>
      </c>
      <c r="AF227" s="22">
        <v>3.879</v>
      </c>
    </row>
    <row r="228" spans="1:32" x14ac:dyDescent="0.2">
      <c r="A228" s="2" t="s">
        <v>1421</v>
      </c>
      <c r="B228" s="22">
        <v>7.6394462411974997</v>
      </c>
      <c r="C228" s="22">
        <v>7.8496009763727299</v>
      </c>
      <c r="D228" s="2" t="s">
        <v>199</v>
      </c>
      <c r="E228" s="2" t="s">
        <v>1422</v>
      </c>
      <c r="F228" s="2" t="s">
        <v>3878</v>
      </c>
      <c r="G228" s="2" t="s">
        <v>1423</v>
      </c>
      <c r="H228" s="2" t="s">
        <v>1424</v>
      </c>
      <c r="I228" s="2" t="s">
        <v>199</v>
      </c>
      <c r="J228" s="22">
        <v>5.625</v>
      </c>
      <c r="K228" s="2" t="s">
        <v>1425</v>
      </c>
      <c r="L228" s="2" t="s">
        <v>1426</v>
      </c>
      <c r="M228" s="2" t="s">
        <v>54</v>
      </c>
      <c r="N228" s="2" t="s">
        <v>115</v>
      </c>
      <c r="O228" s="2" t="s">
        <v>116</v>
      </c>
      <c r="P228" s="2" t="s">
        <v>270</v>
      </c>
      <c r="Q228" s="2" t="s">
        <v>458</v>
      </c>
      <c r="R228" s="2" t="s">
        <v>53</v>
      </c>
      <c r="S228" s="2" t="s">
        <v>350</v>
      </c>
      <c r="T228" s="2" t="s">
        <v>55</v>
      </c>
      <c r="U228" s="2" t="s">
        <v>56</v>
      </c>
      <c r="V228" s="2" t="s">
        <v>71</v>
      </c>
      <c r="W228" s="22">
        <v>401278500</v>
      </c>
      <c r="X228" s="2" t="s">
        <v>85</v>
      </c>
      <c r="Y228" s="2" t="s">
        <v>514</v>
      </c>
      <c r="Z228" s="2" t="s">
        <v>60</v>
      </c>
      <c r="AA228" s="2" t="s">
        <v>61</v>
      </c>
      <c r="AB228" s="2" t="s">
        <v>87</v>
      </c>
      <c r="AC228" s="2" t="s">
        <v>514</v>
      </c>
      <c r="AD228" s="2" t="s">
        <v>3879</v>
      </c>
      <c r="AE228" s="22">
        <v>5.7370000000000001</v>
      </c>
      <c r="AF228" s="22">
        <v>5.7370000000000001</v>
      </c>
    </row>
    <row r="229" spans="1:32" x14ac:dyDescent="0.2">
      <c r="A229" s="2" t="s">
        <v>1421</v>
      </c>
      <c r="B229" s="22">
        <v>7.6757200558521141</v>
      </c>
      <c r="C229" s="22">
        <v>7.7979701398700723</v>
      </c>
      <c r="D229" s="2" t="s">
        <v>199</v>
      </c>
      <c r="E229" s="2" t="s">
        <v>1429</v>
      </c>
      <c r="F229" s="2" t="s">
        <v>3880</v>
      </c>
      <c r="G229" s="2" t="s">
        <v>1430</v>
      </c>
      <c r="H229" s="2" t="s">
        <v>1424</v>
      </c>
      <c r="I229" s="2" t="s">
        <v>199</v>
      </c>
      <c r="J229" s="22">
        <v>5.625</v>
      </c>
      <c r="K229" s="2" t="s">
        <v>1425</v>
      </c>
      <c r="L229" s="2" t="s">
        <v>1426</v>
      </c>
      <c r="M229" s="2" t="s">
        <v>54</v>
      </c>
      <c r="N229" s="2" t="s">
        <v>115</v>
      </c>
      <c r="O229" s="2" t="s">
        <v>116</v>
      </c>
      <c r="P229" s="2" t="s">
        <v>261</v>
      </c>
      <c r="Q229" s="2" t="s">
        <v>458</v>
      </c>
      <c r="R229" s="2" t="s">
        <v>53</v>
      </c>
      <c r="S229" s="2" t="s">
        <v>350</v>
      </c>
      <c r="T229" s="2" t="s">
        <v>55</v>
      </c>
      <c r="U229" s="2" t="s">
        <v>56</v>
      </c>
      <c r="V229" s="2" t="s">
        <v>71</v>
      </c>
      <c r="W229" s="22">
        <v>401278500</v>
      </c>
      <c r="X229" s="2" t="s">
        <v>85</v>
      </c>
      <c r="Y229" s="2" t="s">
        <v>514</v>
      </c>
      <c r="Z229" s="2" t="s">
        <v>60</v>
      </c>
      <c r="AA229" s="2" t="s">
        <v>61</v>
      </c>
      <c r="AB229" s="2" t="s">
        <v>87</v>
      </c>
      <c r="AC229" s="2" t="s">
        <v>514</v>
      </c>
      <c r="AD229" s="2" t="s">
        <v>3881</v>
      </c>
      <c r="AE229" s="22">
        <v>5.79</v>
      </c>
      <c r="AF229" s="22">
        <v>5.79</v>
      </c>
    </row>
    <row r="230" spans="1:32" x14ac:dyDescent="0.2">
      <c r="A230" s="2" t="s">
        <v>1431</v>
      </c>
      <c r="B230" s="22">
        <v>2.2481334672839459</v>
      </c>
      <c r="C230" s="22">
        <v>2.3979658341470151</v>
      </c>
      <c r="D230" s="2" t="s">
        <v>367</v>
      </c>
      <c r="E230" s="2" t="s">
        <v>1432</v>
      </c>
      <c r="F230" s="2" t="s">
        <v>3882</v>
      </c>
      <c r="G230" s="2" t="s">
        <v>1433</v>
      </c>
      <c r="H230" s="2" t="s">
        <v>1434</v>
      </c>
      <c r="I230" s="2" t="s">
        <v>367</v>
      </c>
      <c r="J230" s="22">
        <v>1.3320000000000001</v>
      </c>
      <c r="K230" s="2" t="s">
        <v>1435</v>
      </c>
      <c r="L230" s="2" t="s">
        <v>1436</v>
      </c>
      <c r="M230" s="2" t="s">
        <v>54</v>
      </c>
      <c r="N230" s="2" t="s">
        <v>49</v>
      </c>
      <c r="O230" s="2" t="s">
        <v>50</v>
      </c>
      <c r="P230" s="2" t="s">
        <v>173</v>
      </c>
      <c r="Q230" s="2" t="s">
        <v>52</v>
      </c>
      <c r="R230" s="2" t="s">
        <v>686</v>
      </c>
      <c r="S230" s="2" t="s">
        <v>54</v>
      </c>
      <c r="T230" s="2" t="s">
        <v>55</v>
      </c>
      <c r="U230" s="2" t="s">
        <v>70</v>
      </c>
      <c r="V230" s="2" t="s">
        <v>391</v>
      </c>
      <c r="W230" s="22">
        <v>107087000</v>
      </c>
      <c r="X230" s="2" t="s">
        <v>484</v>
      </c>
      <c r="Y230" s="2" t="s">
        <v>598</v>
      </c>
      <c r="Z230" s="2" t="s">
        <v>60</v>
      </c>
      <c r="AA230" s="2" t="s">
        <v>61</v>
      </c>
      <c r="AB230" s="2" t="s">
        <v>136</v>
      </c>
      <c r="AC230" s="2" t="s">
        <v>310</v>
      </c>
      <c r="AD230" s="2" t="s">
        <v>3883</v>
      </c>
      <c r="AE230" s="22">
        <v>1.417</v>
      </c>
      <c r="AF230" s="22">
        <v>1.417</v>
      </c>
    </row>
    <row r="231" spans="1:32" x14ac:dyDescent="0.2">
      <c r="A231" s="2" t="s">
        <v>1439</v>
      </c>
      <c r="B231" s="22">
        <v>2.2077460328763721</v>
      </c>
      <c r="C231" s="22">
        <v>2.2719664213295196</v>
      </c>
      <c r="D231" s="2" t="s">
        <v>366</v>
      </c>
      <c r="E231" s="2" t="s">
        <v>1440</v>
      </c>
      <c r="F231" s="2" t="s">
        <v>3884</v>
      </c>
      <c r="G231" s="2" t="s">
        <v>1441</v>
      </c>
      <c r="H231" s="2" t="s">
        <v>1442</v>
      </c>
      <c r="I231" s="2" t="s">
        <v>366</v>
      </c>
      <c r="J231" s="22">
        <v>1.5</v>
      </c>
      <c r="K231" s="2" t="s">
        <v>1443</v>
      </c>
      <c r="L231" s="2" t="s">
        <v>1444</v>
      </c>
      <c r="M231" s="22">
        <v>1.524</v>
      </c>
      <c r="N231" s="2" t="s">
        <v>115</v>
      </c>
      <c r="O231" s="2" t="s">
        <v>116</v>
      </c>
      <c r="P231" s="2" t="s">
        <v>225</v>
      </c>
      <c r="Q231" s="2" t="s">
        <v>52</v>
      </c>
      <c r="R231" s="2" t="s">
        <v>53</v>
      </c>
      <c r="S231" s="2" t="s">
        <v>189</v>
      </c>
      <c r="T231" s="2" t="s">
        <v>55</v>
      </c>
      <c r="U231" s="2" t="s">
        <v>56</v>
      </c>
      <c r="V231" s="2" t="s">
        <v>57</v>
      </c>
      <c r="W231" s="22">
        <v>546920000</v>
      </c>
      <c r="X231" s="2" t="s">
        <v>213</v>
      </c>
      <c r="Y231" s="2" t="s">
        <v>960</v>
      </c>
      <c r="Z231" s="2" t="s">
        <v>60</v>
      </c>
      <c r="AA231" s="2" t="s">
        <v>61</v>
      </c>
      <c r="AB231" s="2" t="s">
        <v>176</v>
      </c>
      <c r="AC231" s="2" t="s">
        <v>191</v>
      </c>
      <c r="AD231" s="2" t="s">
        <v>3885</v>
      </c>
      <c r="AE231" s="22">
        <v>1.516</v>
      </c>
      <c r="AF231" s="22">
        <v>1.524</v>
      </c>
    </row>
    <row r="232" spans="1:32" x14ac:dyDescent="0.2">
      <c r="A232" s="2" t="s">
        <v>1439</v>
      </c>
      <c r="B232" s="22">
        <v>2.7738651724815702</v>
      </c>
      <c r="C232" s="22">
        <v>2.8471164855677271</v>
      </c>
      <c r="D232" s="2" t="s">
        <v>366</v>
      </c>
      <c r="E232" s="2" t="s">
        <v>1447</v>
      </c>
      <c r="F232" s="2" t="s">
        <v>3886</v>
      </c>
      <c r="G232" s="2" t="s">
        <v>1448</v>
      </c>
      <c r="H232" s="2" t="s">
        <v>1442</v>
      </c>
      <c r="I232" s="2" t="s">
        <v>366</v>
      </c>
      <c r="J232" s="22">
        <v>2</v>
      </c>
      <c r="K232" s="2" t="s">
        <v>1443</v>
      </c>
      <c r="L232" s="2" t="s">
        <v>1449</v>
      </c>
      <c r="M232" s="22">
        <v>2.1190000000000002</v>
      </c>
      <c r="N232" s="2" t="s">
        <v>115</v>
      </c>
      <c r="O232" s="2" t="s">
        <v>116</v>
      </c>
      <c r="P232" s="2" t="s">
        <v>225</v>
      </c>
      <c r="Q232" s="2" t="s">
        <v>52</v>
      </c>
      <c r="R232" s="2" t="s">
        <v>53</v>
      </c>
      <c r="S232" s="2" t="s">
        <v>189</v>
      </c>
      <c r="T232" s="2" t="s">
        <v>55</v>
      </c>
      <c r="U232" s="2" t="s">
        <v>56</v>
      </c>
      <c r="V232" s="2" t="s">
        <v>57</v>
      </c>
      <c r="W232" s="22">
        <v>546920000</v>
      </c>
      <c r="X232" s="2" t="s">
        <v>213</v>
      </c>
      <c r="Y232" s="2" t="s">
        <v>960</v>
      </c>
      <c r="Z232" s="2" t="s">
        <v>60</v>
      </c>
      <c r="AA232" s="2" t="s">
        <v>61</v>
      </c>
      <c r="AB232" s="2" t="s">
        <v>176</v>
      </c>
      <c r="AC232" s="2" t="s">
        <v>191</v>
      </c>
      <c r="AD232" s="2" t="s">
        <v>3887</v>
      </c>
      <c r="AE232" s="22">
        <v>2.1259999999999999</v>
      </c>
      <c r="AF232" s="22">
        <v>2.1190000000000002</v>
      </c>
    </row>
    <row r="233" spans="1:32" x14ac:dyDescent="0.2">
      <c r="A233" s="2" t="s">
        <v>1450</v>
      </c>
      <c r="B233" s="2" t="s">
        <v>54</v>
      </c>
      <c r="C233" s="2" t="s">
        <v>54</v>
      </c>
      <c r="D233" s="2" t="s">
        <v>45</v>
      </c>
      <c r="E233" s="2" t="s">
        <v>1451</v>
      </c>
      <c r="F233" s="2" t="s">
        <v>173</v>
      </c>
      <c r="G233" s="2" t="s">
        <v>1452</v>
      </c>
      <c r="H233" s="2" t="s">
        <v>1453</v>
      </c>
      <c r="I233" s="2" t="s">
        <v>45</v>
      </c>
      <c r="J233" s="22">
        <v>0</v>
      </c>
      <c r="K233" s="2" t="s">
        <v>1454</v>
      </c>
      <c r="L233" s="2" t="s">
        <v>1455</v>
      </c>
      <c r="M233" s="2" t="s">
        <v>54</v>
      </c>
      <c r="N233" s="2" t="s">
        <v>49</v>
      </c>
      <c r="O233" s="2" t="s">
        <v>50</v>
      </c>
      <c r="P233" s="2" t="s">
        <v>69</v>
      </c>
      <c r="Q233" s="2" t="s">
        <v>52</v>
      </c>
      <c r="R233" s="2" t="s">
        <v>53</v>
      </c>
      <c r="S233" s="2" t="s">
        <v>54</v>
      </c>
      <c r="T233" s="2" t="s">
        <v>55</v>
      </c>
      <c r="U233" s="2" t="s">
        <v>70</v>
      </c>
      <c r="V233" s="2" t="s">
        <v>71</v>
      </c>
      <c r="W233" s="22">
        <v>278932500</v>
      </c>
      <c r="X233" s="2" t="s">
        <v>421</v>
      </c>
      <c r="Y233" s="2" t="s">
        <v>228</v>
      </c>
      <c r="Z233" s="2" t="s">
        <v>60</v>
      </c>
      <c r="AA233" s="2" t="s">
        <v>61</v>
      </c>
      <c r="AB233" s="2" t="s">
        <v>176</v>
      </c>
      <c r="AC233" s="2" t="s">
        <v>191</v>
      </c>
      <c r="AD233" s="2" t="s">
        <v>3888</v>
      </c>
      <c r="AE233" s="2" t="s">
        <v>54</v>
      </c>
      <c r="AF233" s="2" t="s">
        <v>54</v>
      </c>
    </row>
    <row r="234" spans="1:32" x14ac:dyDescent="0.2">
      <c r="A234" s="2" t="s">
        <v>1450</v>
      </c>
      <c r="B234" s="2" t="s">
        <v>54</v>
      </c>
      <c r="C234" s="2" t="s">
        <v>54</v>
      </c>
      <c r="D234" s="2" t="s">
        <v>45</v>
      </c>
      <c r="E234" s="2" t="s">
        <v>1458</v>
      </c>
      <c r="F234" s="2" t="s">
        <v>173</v>
      </c>
      <c r="G234" s="2" t="s">
        <v>1459</v>
      </c>
      <c r="H234" s="2" t="s">
        <v>1453</v>
      </c>
      <c r="I234" s="2" t="s">
        <v>45</v>
      </c>
      <c r="J234" s="22">
        <v>0</v>
      </c>
      <c r="K234" s="2" t="s">
        <v>1454</v>
      </c>
      <c r="L234" s="2" t="s">
        <v>1460</v>
      </c>
      <c r="M234" s="2" t="s">
        <v>54</v>
      </c>
      <c r="N234" s="2" t="s">
        <v>49</v>
      </c>
      <c r="O234" s="2" t="s">
        <v>50</v>
      </c>
      <c r="P234" s="2" t="s">
        <v>76</v>
      </c>
      <c r="Q234" s="2" t="s">
        <v>52</v>
      </c>
      <c r="R234" s="2" t="s">
        <v>53</v>
      </c>
      <c r="S234" s="2" t="s">
        <v>54</v>
      </c>
      <c r="T234" s="2" t="s">
        <v>55</v>
      </c>
      <c r="U234" s="2" t="s">
        <v>70</v>
      </c>
      <c r="V234" s="2" t="s">
        <v>71</v>
      </c>
      <c r="W234" s="22">
        <v>278932500</v>
      </c>
      <c r="X234" s="2" t="s">
        <v>421</v>
      </c>
      <c r="Y234" s="2" t="s">
        <v>228</v>
      </c>
      <c r="Z234" s="2" t="s">
        <v>60</v>
      </c>
      <c r="AA234" s="2" t="s">
        <v>61</v>
      </c>
      <c r="AB234" s="2" t="s">
        <v>176</v>
      </c>
      <c r="AC234" s="2" t="s">
        <v>191</v>
      </c>
      <c r="AD234" s="2" t="s">
        <v>3889</v>
      </c>
      <c r="AE234" s="2" t="s">
        <v>54</v>
      </c>
      <c r="AF234" s="2" t="s">
        <v>54</v>
      </c>
    </row>
    <row r="235" spans="1:32" x14ac:dyDescent="0.2">
      <c r="A235" s="2" t="s">
        <v>774</v>
      </c>
      <c r="B235" s="22">
        <v>2.3429198428295162</v>
      </c>
      <c r="C235" s="22">
        <v>2.4129441832965792</v>
      </c>
      <c r="D235" s="2" t="s">
        <v>199</v>
      </c>
      <c r="E235" s="2" t="s">
        <v>1461</v>
      </c>
      <c r="F235" s="2" t="s">
        <v>3890</v>
      </c>
      <c r="G235" s="2" t="s">
        <v>1462</v>
      </c>
      <c r="H235" s="2" t="s">
        <v>777</v>
      </c>
      <c r="I235" s="2" t="s">
        <v>199</v>
      </c>
      <c r="J235" s="22">
        <v>1.5</v>
      </c>
      <c r="K235" s="2" t="s">
        <v>1463</v>
      </c>
      <c r="L235" s="2" t="s">
        <v>1464</v>
      </c>
      <c r="M235" s="22">
        <v>1.6220000000000001</v>
      </c>
      <c r="N235" s="2" t="s">
        <v>115</v>
      </c>
      <c r="O235" s="2" t="s">
        <v>116</v>
      </c>
      <c r="P235" s="2" t="s">
        <v>225</v>
      </c>
      <c r="Q235" s="2" t="s">
        <v>52</v>
      </c>
      <c r="R235" s="2" t="s">
        <v>53</v>
      </c>
      <c r="S235" s="2" t="s">
        <v>174</v>
      </c>
      <c r="T235" s="2" t="s">
        <v>55</v>
      </c>
      <c r="U235" s="2" t="s">
        <v>56</v>
      </c>
      <c r="V235" s="2" t="s">
        <v>57</v>
      </c>
      <c r="W235" s="22">
        <v>549215000</v>
      </c>
      <c r="X235" s="2" t="s">
        <v>120</v>
      </c>
      <c r="Y235" s="2" t="s">
        <v>237</v>
      </c>
      <c r="Z235" s="2" t="s">
        <v>202</v>
      </c>
      <c r="AA235" s="2" t="s">
        <v>203</v>
      </c>
      <c r="AB235" s="2" t="s">
        <v>203</v>
      </c>
      <c r="AC235" s="2" t="s">
        <v>203</v>
      </c>
      <c r="AD235" s="2" t="s">
        <v>3891</v>
      </c>
      <c r="AE235" s="22">
        <v>1.7070000000000001</v>
      </c>
      <c r="AF235" s="22">
        <v>1.6220000000000001</v>
      </c>
    </row>
    <row r="236" spans="1:32" x14ac:dyDescent="0.2">
      <c r="A236" s="2" t="s">
        <v>1216</v>
      </c>
      <c r="B236" s="22">
        <v>2.789710011004912</v>
      </c>
      <c r="C236" s="22">
        <v>2.8515280378334351</v>
      </c>
      <c r="D236" s="2" t="s">
        <v>45</v>
      </c>
      <c r="E236" s="2" t="s">
        <v>1467</v>
      </c>
      <c r="F236" s="2" t="s">
        <v>3892</v>
      </c>
      <c r="G236" s="2" t="s">
        <v>1468</v>
      </c>
      <c r="H236" s="2" t="s">
        <v>1219</v>
      </c>
      <c r="I236" s="2" t="s">
        <v>45</v>
      </c>
      <c r="J236" s="22">
        <v>1.75</v>
      </c>
      <c r="K236" s="2" t="s">
        <v>1469</v>
      </c>
      <c r="L236" s="2" t="s">
        <v>1470</v>
      </c>
      <c r="M236" s="22">
        <v>1.8129999999999999</v>
      </c>
      <c r="N236" s="2" t="s">
        <v>115</v>
      </c>
      <c r="O236" s="2" t="s">
        <v>116</v>
      </c>
      <c r="P236" s="2" t="s">
        <v>225</v>
      </c>
      <c r="Q236" s="2" t="s">
        <v>52</v>
      </c>
      <c r="R236" s="2" t="s">
        <v>53</v>
      </c>
      <c r="S236" s="2" t="s">
        <v>174</v>
      </c>
      <c r="T236" s="2" t="s">
        <v>420</v>
      </c>
      <c r="U236" s="2" t="s">
        <v>56</v>
      </c>
      <c r="V236" s="2" t="s">
        <v>57</v>
      </c>
      <c r="W236" s="22">
        <v>661404000</v>
      </c>
      <c r="X236" s="2" t="s">
        <v>85</v>
      </c>
      <c r="Y236" s="2" t="s">
        <v>514</v>
      </c>
      <c r="Z236" s="2" t="s">
        <v>60</v>
      </c>
      <c r="AA236" s="2" t="s">
        <v>61</v>
      </c>
      <c r="AB236" s="2" t="s">
        <v>87</v>
      </c>
      <c r="AC236" s="2" t="s">
        <v>514</v>
      </c>
      <c r="AD236" s="2" t="s">
        <v>3893</v>
      </c>
      <c r="AE236" s="22">
        <v>1.8520000000000001</v>
      </c>
      <c r="AF236" s="22">
        <v>1.8129999999999999</v>
      </c>
    </row>
    <row r="237" spans="1:32" x14ac:dyDescent="0.2">
      <c r="A237" s="2" t="s">
        <v>1473</v>
      </c>
      <c r="B237" s="22">
        <v>1.1828311609168103</v>
      </c>
      <c r="C237" s="22">
        <v>1.2437499392030491</v>
      </c>
      <c r="D237" s="2" t="s">
        <v>184</v>
      </c>
      <c r="E237" s="2" t="s">
        <v>1474</v>
      </c>
      <c r="F237" s="2" t="s">
        <v>3894</v>
      </c>
      <c r="G237" s="2" t="s">
        <v>1475</v>
      </c>
      <c r="H237" s="2" t="s">
        <v>1476</v>
      </c>
      <c r="I237" s="2" t="s">
        <v>184</v>
      </c>
      <c r="J237" s="22">
        <v>0.875</v>
      </c>
      <c r="K237" s="2" t="s">
        <v>1477</v>
      </c>
      <c r="L237" s="2" t="s">
        <v>1478</v>
      </c>
      <c r="M237" s="22">
        <v>0.90100000000000002</v>
      </c>
      <c r="N237" s="2" t="s">
        <v>115</v>
      </c>
      <c r="O237" s="2" t="s">
        <v>116</v>
      </c>
      <c r="P237" s="2" t="s">
        <v>173</v>
      </c>
      <c r="Q237" s="2" t="s">
        <v>52</v>
      </c>
      <c r="R237" s="2" t="s">
        <v>53</v>
      </c>
      <c r="S237" s="2" t="s">
        <v>420</v>
      </c>
      <c r="T237" s="2" t="s">
        <v>133</v>
      </c>
      <c r="U237" s="2" t="s">
        <v>56</v>
      </c>
      <c r="V237" s="2" t="s">
        <v>57</v>
      </c>
      <c r="W237" s="22">
        <v>1385037500</v>
      </c>
      <c r="X237" s="2" t="s">
        <v>421</v>
      </c>
      <c r="Y237" s="2" t="s">
        <v>228</v>
      </c>
      <c r="Z237" s="2" t="s">
        <v>60</v>
      </c>
      <c r="AA237" s="2" t="s">
        <v>61</v>
      </c>
      <c r="AB237" s="2" t="s">
        <v>227</v>
      </c>
      <c r="AC237" s="2" t="s">
        <v>228</v>
      </c>
      <c r="AD237" s="2" t="s">
        <v>3895</v>
      </c>
      <c r="AE237" s="22">
        <v>0.85699999999999998</v>
      </c>
      <c r="AF237" s="22">
        <v>0.90100000000000002</v>
      </c>
    </row>
    <row r="238" spans="1:32" x14ac:dyDescent="0.2">
      <c r="A238" s="2" t="s">
        <v>1075</v>
      </c>
      <c r="B238" s="2" t="s">
        <v>54</v>
      </c>
      <c r="C238" s="2" t="s">
        <v>54</v>
      </c>
      <c r="D238" s="2" t="s">
        <v>184</v>
      </c>
      <c r="E238" s="2" t="s">
        <v>1481</v>
      </c>
      <c r="F238" s="2" t="s">
        <v>173</v>
      </c>
      <c r="G238" s="2" t="s">
        <v>1482</v>
      </c>
      <c r="H238" s="2" t="s">
        <v>1078</v>
      </c>
      <c r="I238" s="2" t="s">
        <v>184</v>
      </c>
      <c r="J238" s="22">
        <v>0</v>
      </c>
      <c r="K238" s="2" t="s">
        <v>1483</v>
      </c>
      <c r="L238" s="2" t="s">
        <v>1484</v>
      </c>
      <c r="M238" s="2" t="s">
        <v>54</v>
      </c>
      <c r="N238" s="2" t="s">
        <v>49</v>
      </c>
      <c r="O238" s="2" t="s">
        <v>50</v>
      </c>
      <c r="P238" s="2" t="s">
        <v>1035</v>
      </c>
      <c r="Q238" s="2" t="s">
        <v>52</v>
      </c>
      <c r="R238" s="2" t="s">
        <v>53</v>
      </c>
      <c r="S238" s="2" t="s">
        <v>54</v>
      </c>
      <c r="T238" s="2" t="s">
        <v>884</v>
      </c>
      <c r="U238" s="2" t="s">
        <v>70</v>
      </c>
      <c r="V238" s="2" t="s">
        <v>71</v>
      </c>
      <c r="W238" s="22">
        <v>56203500</v>
      </c>
      <c r="X238" s="2" t="s">
        <v>134</v>
      </c>
      <c r="Y238" s="2" t="s">
        <v>543</v>
      </c>
      <c r="Z238" s="2" t="s">
        <v>60</v>
      </c>
      <c r="AA238" s="2" t="s">
        <v>61</v>
      </c>
      <c r="AB238" s="2" t="s">
        <v>136</v>
      </c>
      <c r="AC238" s="2" t="s">
        <v>544</v>
      </c>
      <c r="AD238" s="2" t="s">
        <v>3896</v>
      </c>
      <c r="AE238" s="2" t="s">
        <v>54</v>
      </c>
      <c r="AF238" s="2" t="s">
        <v>54</v>
      </c>
    </row>
    <row r="239" spans="1:32" x14ac:dyDescent="0.2">
      <c r="A239" s="2" t="s">
        <v>1486</v>
      </c>
      <c r="B239" s="22">
        <v>2.3359338249882935</v>
      </c>
      <c r="C239" s="22">
        <v>2.3944542041200259</v>
      </c>
      <c r="D239" s="2" t="s">
        <v>184</v>
      </c>
      <c r="E239" s="2" t="s">
        <v>1487</v>
      </c>
      <c r="F239" s="2" t="s">
        <v>3897</v>
      </c>
      <c r="G239" s="2" t="s">
        <v>1488</v>
      </c>
      <c r="H239" s="2" t="s">
        <v>1489</v>
      </c>
      <c r="I239" s="2" t="s">
        <v>184</v>
      </c>
      <c r="J239" s="22">
        <v>1.875</v>
      </c>
      <c r="K239" s="2" t="s">
        <v>1454</v>
      </c>
      <c r="L239" s="2" t="s">
        <v>1490</v>
      </c>
      <c r="M239" s="2" t="s">
        <v>54</v>
      </c>
      <c r="N239" s="2" t="s">
        <v>115</v>
      </c>
      <c r="O239" s="2" t="s">
        <v>116</v>
      </c>
      <c r="P239" s="2" t="s">
        <v>225</v>
      </c>
      <c r="Q239" s="2" t="s">
        <v>52</v>
      </c>
      <c r="R239" s="2" t="s">
        <v>53</v>
      </c>
      <c r="S239" s="2" t="s">
        <v>189</v>
      </c>
      <c r="T239" s="2" t="s">
        <v>117</v>
      </c>
      <c r="U239" s="2" t="s">
        <v>56</v>
      </c>
      <c r="V239" s="2" t="s">
        <v>57</v>
      </c>
      <c r="W239" s="22">
        <v>836797500</v>
      </c>
      <c r="X239" s="2" t="s">
        <v>421</v>
      </c>
      <c r="Y239" s="2" t="s">
        <v>422</v>
      </c>
      <c r="Z239" s="2" t="s">
        <v>60</v>
      </c>
      <c r="AA239" s="2" t="s">
        <v>61</v>
      </c>
      <c r="AB239" s="2" t="s">
        <v>227</v>
      </c>
      <c r="AC239" s="2" t="s">
        <v>423</v>
      </c>
      <c r="AD239" s="2" t="s">
        <v>3898</v>
      </c>
      <c r="AE239" s="22">
        <v>1.8440000000000001</v>
      </c>
      <c r="AF239" s="22">
        <v>1.8440000000000001</v>
      </c>
    </row>
    <row r="240" spans="1:32" x14ac:dyDescent="0.2">
      <c r="A240" s="2" t="s">
        <v>1486</v>
      </c>
      <c r="B240" s="22">
        <v>2.8119856860941863</v>
      </c>
      <c r="C240" s="22">
        <v>2.8641751522779222</v>
      </c>
      <c r="D240" s="2" t="s">
        <v>184</v>
      </c>
      <c r="E240" s="2" t="s">
        <v>1493</v>
      </c>
      <c r="F240" s="2" t="s">
        <v>3899</v>
      </c>
      <c r="G240" s="2" t="s">
        <v>1494</v>
      </c>
      <c r="H240" s="2" t="s">
        <v>1489</v>
      </c>
      <c r="I240" s="2" t="s">
        <v>184</v>
      </c>
      <c r="J240" s="22">
        <v>2.375</v>
      </c>
      <c r="K240" s="2" t="s">
        <v>1454</v>
      </c>
      <c r="L240" s="2" t="s">
        <v>1495</v>
      </c>
      <c r="M240" s="22">
        <v>2.4710000000000001</v>
      </c>
      <c r="N240" s="2" t="s">
        <v>115</v>
      </c>
      <c r="O240" s="2" t="s">
        <v>116</v>
      </c>
      <c r="P240" s="2" t="s">
        <v>225</v>
      </c>
      <c r="Q240" s="2" t="s">
        <v>52</v>
      </c>
      <c r="R240" s="2" t="s">
        <v>53</v>
      </c>
      <c r="S240" s="2" t="s">
        <v>189</v>
      </c>
      <c r="T240" s="2" t="s">
        <v>117</v>
      </c>
      <c r="U240" s="2" t="s">
        <v>56</v>
      </c>
      <c r="V240" s="2" t="s">
        <v>57</v>
      </c>
      <c r="W240" s="22">
        <v>836797500</v>
      </c>
      <c r="X240" s="2" t="s">
        <v>421</v>
      </c>
      <c r="Y240" s="2" t="s">
        <v>422</v>
      </c>
      <c r="Z240" s="2" t="s">
        <v>60</v>
      </c>
      <c r="AA240" s="2" t="s">
        <v>61</v>
      </c>
      <c r="AB240" s="2" t="s">
        <v>227</v>
      </c>
      <c r="AC240" s="2" t="s">
        <v>423</v>
      </c>
      <c r="AD240" s="2" t="s">
        <v>3900</v>
      </c>
      <c r="AE240" s="22">
        <v>2.2269999999999999</v>
      </c>
      <c r="AF240" s="22">
        <v>2.4710000000000001</v>
      </c>
    </row>
    <row r="241" spans="1:32" x14ac:dyDescent="0.2">
      <c r="A241" s="2" t="s">
        <v>1498</v>
      </c>
      <c r="B241" s="22">
        <v>9.3007442283590418</v>
      </c>
      <c r="C241" s="22">
        <v>9.6003388611904654</v>
      </c>
      <c r="D241" s="2" t="s">
        <v>367</v>
      </c>
      <c r="E241" s="2" t="s">
        <v>1499</v>
      </c>
      <c r="F241" s="2" t="s">
        <v>3901</v>
      </c>
      <c r="G241" s="2" t="s">
        <v>1500</v>
      </c>
      <c r="H241" s="2" t="s">
        <v>1501</v>
      </c>
      <c r="I241" s="2" t="s">
        <v>367</v>
      </c>
      <c r="J241" s="22">
        <v>9.572000000000001</v>
      </c>
      <c r="K241" s="2" t="s">
        <v>1502</v>
      </c>
      <c r="L241" s="2" t="s">
        <v>1503</v>
      </c>
      <c r="M241" s="2" t="s">
        <v>54</v>
      </c>
      <c r="N241" s="2" t="s">
        <v>115</v>
      </c>
      <c r="O241" s="2" t="s">
        <v>116</v>
      </c>
      <c r="P241" s="2" t="s">
        <v>173</v>
      </c>
      <c r="Q241" s="2" t="s">
        <v>458</v>
      </c>
      <c r="R241" s="2" t="s">
        <v>686</v>
      </c>
      <c r="S241" s="2" t="s">
        <v>54</v>
      </c>
      <c r="T241" s="2" t="s">
        <v>55</v>
      </c>
      <c r="U241" s="2" t="s">
        <v>70</v>
      </c>
      <c r="V241" s="2" t="s">
        <v>391</v>
      </c>
      <c r="W241" s="22">
        <v>172665900</v>
      </c>
      <c r="X241" s="2" t="s">
        <v>377</v>
      </c>
      <c r="Y241" s="2" t="s">
        <v>1072</v>
      </c>
      <c r="Z241" s="2" t="s">
        <v>60</v>
      </c>
      <c r="AA241" s="2" t="s">
        <v>61</v>
      </c>
      <c r="AB241" s="2" t="s">
        <v>377</v>
      </c>
      <c r="AC241" s="2" t="s">
        <v>377</v>
      </c>
      <c r="AD241" s="2" t="s">
        <v>3902</v>
      </c>
      <c r="AE241" s="22">
        <v>9.0009999999999994</v>
      </c>
      <c r="AF241" s="22">
        <v>9.0009999999999994</v>
      </c>
    </row>
    <row r="242" spans="1:32" x14ac:dyDescent="0.2">
      <c r="A242" s="2" t="s">
        <v>557</v>
      </c>
      <c r="B242" s="22">
        <v>2.9041421309851336</v>
      </c>
      <c r="C242" s="22">
        <v>2.9805601989998043</v>
      </c>
      <c r="D242" s="2" t="s">
        <v>367</v>
      </c>
      <c r="E242" s="2" t="s">
        <v>1506</v>
      </c>
      <c r="F242" s="2" t="s">
        <v>3903</v>
      </c>
      <c r="G242" s="2" t="s">
        <v>1507</v>
      </c>
      <c r="H242" s="2" t="s">
        <v>560</v>
      </c>
      <c r="I242" s="2" t="s">
        <v>367</v>
      </c>
      <c r="J242" s="22">
        <v>2.375</v>
      </c>
      <c r="K242" s="2" t="s">
        <v>1508</v>
      </c>
      <c r="L242" s="2" t="s">
        <v>1509</v>
      </c>
      <c r="M242" s="22">
        <v>2.46</v>
      </c>
      <c r="N242" s="2" t="s">
        <v>115</v>
      </c>
      <c r="O242" s="2" t="s">
        <v>116</v>
      </c>
      <c r="P242" s="2" t="s">
        <v>173</v>
      </c>
      <c r="Q242" s="2" t="s">
        <v>52</v>
      </c>
      <c r="R242" s="2" t="s">
        <v>53</v>
      </c>
      <c r="S242" s="2" t="s">
        <v>189</v>
      </c>
      <c r="T242" s="2" t="s">
        <v>420</v>
      </c>
      <c r="U242" s="2" t="s">
        <v>56</v>
      </c>
      <c r="V242" s="2" t="s">
        <v>57</v>
      </c>
      <c r="W242" s="22">
        <v>818115000</v>
      </c>
      <c r="X242" s="2" t="s">
        <v>484</v>
      </c>
      <c r="Y242" s="2" t="s">
        <v>562</v>
      </c>
      <c r="Z242" s="2" t="s">
        <v>60</v>
      </c>
      <c r="AA242" s="2" t="s">
        <v>486</v>
      </c>
      <c r="AB242" s="2" t="s">
        <v>563</v>
      </c>
      <c r="AC242" s="2" t="s">
        <v>563</v>
      </c>
      <c r="AD242" s="2" t="s">
        <v>3904</v>
      </c>
      <c r="AE242" s="22">
        <v>2.3929999999999998</v>
      </c>
      <c r="AF242" s="22">
        <v>2.46</v>
      </c>
    </row>
    <row r="243" spans="1:32" x14ac:dyDescent="0.2">
      <c r="A243" s="2" t="s">
        <v>1512</v>
      </c>
      <c r="B243" s="22">
        <v>2.7003278973527194</v>
      </c>
      <c r="C243" s="22">
        <v>2.7563288617659261</v>
      </c>
      <c r="D243" s="2" t="s">
        <v>1339</v>
      </c>
      <c r="E243" s="2" t="s">
        <v>1513</v>
      </c>
      <c r="F243" s="2" t="s">
        <v>3905</v>
      </c>
      <c r="G243" s="2" t="s">
        <v>1514</v>
      </c>
      <c r="H243" s="2" t="s">
        <v>1515</v>
      </c>
      <c r="I243" s="2" t="s">
        <v>1339</v>
      </c>
      <c r="J243" s="22">
        <v>2.375</v>
      </c>
      <c r="K243" s="2" t="s">
        <v>1508</v>
      </c>
      <c r="L243" s="2" t="s">
        <v>68</v>
      </c>
      <c r="M243" s="22">
        <v>2.4620000000000002</v>
      </c>
      <c r="N243" s="2" t="s">
        <v>115</v>
      </c>
      <c r="O243" s="2" t="s">
        <v>116</v>
      </c>
      <c r="P243" s="2" t="s">
        <v>225</v>
      </c>
      <c r="Q243" s="2" t="s">
        <v>52</v>
      </c>
      <c r="R243" s="2" t="s">
        <v>53</v>
      </c>
      <c r="S243" s="2" t="s">
        <v>619</v>
      </c>
      <c r="T243" s="2" t="s">
        <v>420</v>
      </c>
      <c r="U243" s="2" t="s">
        <v>56</v>
      </c>
      <c r="V243" s="2" t="s">
        <v>57</v>
      </c>
      <c r="W243" s="22">
        <v>654492000</v>
      </c>
      <c r="X243" s="2" t="s">
        <v>120</v>
      </c>
      <c r="Y243" s="2" t="s">
        <v>237</v>
      </c>
      <c r="Z243" s="2" t="s">
        <v>202</v>
      </c>
      <c r="AA243" s="2" t="s">
        <v>411</v>
      </c>
      <c r="AB243" s="2" t="s">
        <v>412</v>
      </c>
      <c r="AC243" s="2" t="s">
        <v>412</v>
      </c>
      <c r="AD243" s="2" t="s">
        <v>3906</v>
      </c>
      <c r="AE243" s="22">
        <v>2.2850000000000001</v>
      </c>
      <c r="AF243" s="22">
        <v>2.4620000000000002</v>
      </c>
    </row>
    <row r="244" spans="1:32" x14ac:dyDescent="0.2">
      <c r="A244" s="2" t="s">
        <v>1518</v>
      </c>
      <c r="B244" s="22">
        <v>1.6815563366699244</v>
      </c>
      <c r="C244" s="22">
        <v>1.7159668409635132</v>
      </c>
      <c r="D244" s="2" t="s">
        <v>184</v>
      </c>
      <c r="E244" s="2" t="s">
        <v>1519</v>
      </c>
      <c r="F244" s="2" t="s">
        <v>3907</v>
      </c>
      <c r="G244" s="2" t="s">
        <v>1520</v>
      </c>
      <c r="H244" s="2" t="s">
        <v>1521</v>
      </c>
      <c r="I244" s="2" t="s">
        <v>184</v>
      </c>
      <c r="J244" s="22">
        <v>1.25</v>
      </c>
      <c r="K244" s="2" t="s">
        <v>1508</v>
      </c>
      <c r="L244" s="2" t="s">
        <v>1522</v>
      </c>
      <c r="M244" s="22">
        <v>1.302</v>
      </c>
      <c r="N244" s="2" t="s">
        <v>115</v>
      </c>
      <c r="O244" s="2" t="s">
        <v>116</v>
      </c>
      <c r="P244" s="2" t="s">
        <v>173</v>
      </c>
      <c r="Q244" s="2" t="s">
        <v>52</v>
      </c>
      <c r="R244" s="2" t="s">
        <v>53</v>
      </c>
      <c r="S244" s="2" t="s">
        <v>483</v>
      </c>
      <c r="T244" s="2" t="s">
        <v>117</v>
      </c>
      <c r="U244" s="2" t="s">
        <v>56</v>
      </c>
      <c r="V244" s="2" t="s">
        <v>57</v>
      </c>
      <c r="W244" s="22">
        <v>709033000</v>
      </c>
      <c r="X244" s="2" t="s">
        <v>1049</v>
      </c>
      <c r="Y244" s="2" t="s">
        <v>1050</v>
      </c>
      <c r="Z244" s="2" t="s">
        <v>60</v>
      </c>
      <c r="AA244" s="2" t="s">
        <v>61</v>
      </c>
      <c r="AB244" s="2" t="s">
        <v>227</v>
      </c>
      <c r="AC244" s="2" t="s">
        <v>1050</v>
      </c>
      <c r="AD244" s="2" t="s">
        <v>3908</v>
      </c>
      <c r="AE244" s="22">
        <v>1.3280000000000001</v>
      </c>
      <c r="AF244" s="22">
        <v>1.302</v>
      </c>
    </row>
    <row r="245" spans="1:32" x14ac:dyDescent="0.2">
      <c r="A245" s="2" t="s">
        <v>1525</v>
      </c>
      <c r="B245" s="22">
        <v>2.0052556492398286</v>
      </c>
      <c r="C245" s="22">
        <v>2.0454834916765954</v>
      </c>
      <c r="D245" s="2" t="s">
        <v>184</v>
      </c>
      <c r="E245" s="2" t="s">
        <v>1526</v>
      </c>
      <c r="F245" s="2" t="s">
        <v>3909</v>
      </c>
      <c r="G245" s="2" t="s">
        <v>1527</v>
      </c>
      <c r="H245" s="2" t="s">
        <v>1528</v>
      </c>
      <c r="I245" s="2" t="s">
        <v>184</v>
      </c>
      <c r="J245" s="22">
        <v>1.375</v>
      </c>
      <c r="K245" s="2" t="s">
        <v>1529</v>
      </c>
      <c r="L245" s="2" t="s">
        <v>1530</v>
      </c>
      <c r="M245" s="22">
        <v>1.5629999999999999</v>
      </c>
      <c r="N245" s="2" t="s">
        <v>115</v>
      </c>
      <c r="O245" s="2" t="s">
        <v>116</v>
      </c>
      <c r="P245" s="2" t="s">
        <v>173</v>
      </c>
      <c r="Q245" s="2" t="s">
        <v>52</v>
      </c>
      <c r="R245" s="2" t="s">
        <v>53</v>
      </c>
      <c r="S245" s="2" t="s">
        <v>619</v>
      </c>
      <c r="T245" s="2" t="s">
        <v>420</v>
      </c>
      <c r="U245" s="2" t="s">
        <v>56</v>
      </c>
      <c r="V245" s="2" t="s">
        <v>57</v>
      </c>
      <c r="W245" s="22">
        <v>815782500</v>
      </c>
      <c r="X245" s="2" t="s">
        <v>421</v>
      </c>
      <c r="Y245" s="2" t="s">
        <v>663</v>
      </c>
      <c r="Z245" s="2" t="s">
        <v>60</v>
      </c>
      <c r="AA245" s="2" t="s">
        <v>61</v>
      </c>
      <c r="AB245" s="2" t="s">
        <v>227</v>
      </c>
      <c r="AC245" s="2" t="s">
        <v>664</v>
      </c>
      <c r="AD245" s="2" t="s">
        <v>3910</v>
      </c>
      <c r="AE245" s="22">
        <v>1.6120000000000001</v>
      </c>
      <c r="AF245" s="22">
        <v>1.5629999999999999</v>
      </c>
    </row>
    <row r="246" spans="1:32" x14ac:dyDescent="0.2">
      <c r="A246" s="2" t="s">
        <v>557</v>
      </c>
      <c r="B246" s="22">
        <v>3.5937007589142373</v>
      </c>
      <c r="C246" s="22">
        <v>3.6621872333204069</v>
      </c>
      <c r="D246" s="2" t="s">
        <v>367</v>
      </c>
      <c r="E246" s="2" t="s">
        <v>1533</v>
      </c>
      <c r="F246" s="2" t="s">
        <v>3911</v>
      </c>
      <c r="G246" s="2" t="s">
        <v>1534</v>
      </c>
      <c r="H246" s="2" t="s">
        <v>560</v>
      </c>
      <c r="I246" s="2" t="s">
        <v>367</v>
      </c>
      <c r="J246" s="22">
        <v>2.875</v>
      </c>
      <c r="K246" s="2" t="s">
        <v>1508</v>
      </c>
      <c r="L246" s="2" t="s">
        <v>1535</v>
      </c>
      <c r="M246" s="22">
        <v>2.944</v>
      </c>
      <c r="N246" s="2" t="s">
        <v>115</v>
      </c>
      <c r="O246" s="2" t="s">
        <v>116</v>
      </c>
      <c r="P246" s="2" t="s">
        <v>173</v>
      </c>
      <c r="Q246" s="2" t="s">
        <v>52</v>
      </c>
      <c r="R246" s="2" t="s">
        <v>53</v>
      </c>
      <c r="S246" s="2" t="s">
        <v>189</v>
      </c>
      <c r="T246" s="2" t="s">
        <v>420</v>
      </c>
      <c r="U246" s="2" t="s">
        <v>56</v>
      </c>
      <c r="V246" s="2" t="s">
        <v>57</v>
      </c>
      <c r="W246" s="22">
        <v>818115000</v>
      </c>
      <c r="X246" s="2" t="s">
        <v>484</v>
      </c>
      <c r="Y246" s="2" t="s">
        <v>562</v>
      </c>
      <c r="Z246" s="2" t="s">
        <v>60</v>
      </c>
      <c r="AA246" s="2" t="s">
        <v>486</v>
      </c>
      <c r="AB246" s="2" t="s">
        <v>563</v>
      </c>
      <c r="AC246" s="2" t="s">
        <v>563</v>
      </c>
      <c r="AD246" s="2" t="s">
        <v>3912</v>
      </c>
      <c r="AE246" s="22">
        <v>2.9940000000000002</v>
      </c>
      <c r="AF246" s="22">
        <v>2.944</v>
      </c>
    </row>
    <row r="247" spans="1:32" x14ac:dyDescent="0.2">
      <c r="A247" s="2" t="s">
        <v>165</v>
      </c>
      <c r="B247" s="22">
        <v>1.9481877356223141</v>
      </c>
      <c r="C247" s="22">
        <v>2.0349920541914499</v>
      </c>
      <c r="D247" s="2" t="s">
        <v>169</v>
      </c>
      <c r="E247" s="2" t="s">
        <v>1537</v>
      </c>
      <c r="F247" s="2" t="s">
        <v>3913</v>
      </c>
      <c r="G247" s="2" t="s">
        <v>1538</v>
      </c>
      <c r="H247" s="2" t="s">
        <v>168</v>
      </c>
      <c r="I247" s="2" t="s">
        <v>169</v>
      </c>
      <c r="J247" s="22">
        <v>1.625</v>
      </c>
      <c r="K247" s="2" t="s">
        <v>1539</v>
      </c>
      <c r="L247" s="2" t="s">
        <v>1540</v>
      </c>
      <c r="M247" s="2" t="s">
        <v>54</v>
      </c>
      <c r="N247" s="2" t="s">
        <v>49</v>
      </c>
      <c r="O247" s="2" t="s">
        <v>50</v>
      </c>
      <c r="P247" s="2" t="s">
        <v>225</v>
      </c>
      <c r="Q247" s="2" t="s">
        <v>52</v>
      </c>
      <c r="R247" s="2" t="s">
        <v>53</v>
      </c>
      <c r="S247" s="2" t="s">
        <v>174</v>
      </c>
      <c r="T247" s="2" t="s">
        <v>55</v>
      </c>
      <c r="U247" s="2" t="s">
        <v>56</v>
      </c>
      <c r="V247" s="2" t="s">
        <v>57</v>
      </c>
      <c r="W247" s="22">
        <v>165604500</v>
      </c>
      <c r="X247" s="2" t="s">
        <v>85</v>
      </c>
      <c r="Y247" s="2" t="s">
        <v>175</v>
      </c>
      <c r="Z247" s="2" t="s">
        <v>60</v>
      </c>
      <c r="AA247" s="2" t="s">
        <v>61</v>
      </c>
      <c r="AB247" s="2" t="s">
        <v>176</v>
      </c>
      <c r="AC247" s="2" t="s">
        <v>177</v>
      </c>
      <c r="AD247" s="2" t="s">
        <v>3914</v>
      </c>
      <c r="AE247" s="22">
        <v>1.417</v>
      </c>
      <c r="AF247" s="22">
        <v>1.417</v>
      </c>
    </row>
    <row r="248" spans="1:32" x14ac:dyDescent="0.2">
      <c r="A248" s="2" t="s">
        <v>641</v>
      </c>
      <c r="B248" s="22">
        <v>3.5010775025943719</v>
      </c>
      <c r="C248" s="22">
        <v>3.5718508980436701</v>
      </c>
      <c r="D248" s="2" t="s">
        <v>366</v>
      </c>
      <c r="E248" s="2" t="s">
        <v>1543</v>
      </c>
      <c r="F248" s="2" t="s">
        <v>3915</v>
      </c>
      <c r="G248" s="2" t="s">
        <v>1544</v>
      </c>
      <c r="H248" s="2" t="s">
        <v>644</v>
      </c>
      <c r="I248" s="2" t="s">
        <v>366</v>
      </c>
      <c r="J248" s="22">
        <v>2.875</v>
      </c>
      <c r="K248" s="2" t="s">
        <v>1545</v>
      </c>
      <c r="L248" s="2" t="s">
        <v>1546</v>
      </c>
      <c r="M248" s="2" t="s">
        <v>54</v>
      </c>
      <c r="N248" s="2" t="s">
        <v>115</v>
      </c>
      <c r="O248" s="2" t="s">
        <v>116</v>
      </c>
      <c r="P248" s="2" t="s">
        <v>225</v>
      </c>
      <c r="Q248" s="2" t="s">
        <v>52</v>
      </c>
      <c r="R248" s="2" t="s">
        <v>1547</v>
      </c>
      <c r="S248" s="2" t="s">
        <v>619</v>
      </c>
      <c r="T248" s="2" t="s">
        <v>55</v>
      </c>
      <c r="U248" s="2" t="s">
        <v>56</v>
      </c>
      <c r="V248" s="2" t="s">
        <v>57</v>
      </c>
      <c r="W248" s="22">
        <v>976867500</v>
      </c>
      <c r="X248" s="2" t="s">
        <v>120</v>
      </c>
      <c r="Y248" s="2" t="s">
        <v>120</v>
      </c>
      <c r="Z248" s="2" t="s">
        <v>60</v>
      </c>
      <c r="AA248" s="2" t="s">
        <v>121</v>
      </c>
      <c r="AB248" s="2" t="s">
        <v>122</v>
      </c>
      <c r="AC248" s="2" t="s">
        <v>122</v>
      </c>
      <c r="AD248" s="2" t="s">
        <v>3916</v>
      </c>
      <c r="AE248" s="22">
        <v>3.1659999999999999</v>
      </c>
      <c r="AF248" s="22">
        <v>3.1659999999999999</v>
      </c>
    </row>
    <row r="249" spans="1:32" x14ac:dyDescent="0.2">
      <c r="A249" s="2" t="s">
        <v>1550</v>
      </c>
      <c r="B249" s="22">
        <v>4.635286860897315</v>
      </c>
      <c r="C249" s="22">
        <v>4.8512097753802994</v>
      </c>
      <c r="D249" s="2" t="s">
        <v>1554</v>
      </c>
      <c r="E249" s="2" t="s">
        <v>1551</v>
      </c>
      <c r="F249" s="2" t="s">
        <v>3917</v>
      </c>
      <c r="G249" s="2" t="s">
        <v>1552</v>
      </c>
      <c r="H249" s="2" t="s">
        <v>1553</v>
      </c>
      <c r="I249" s="2" t="s">
        <v>1554</v>
      </c>
      <c r="J249" s="22">
        <v>4.5</v>
      </c>
      <c r="K249" s="2" t="s">
        <v>1555</v>
      </c>
      <c r="L249" s="2" t="s">
        <v>1556</v>
      </c>
      <c r="M249" s="22">
        <v>4.5</v>
      </c>
      <c r="N249" s="2" t="s">
        <v>115</v>
      </c>
      <c r="O249" s="2" t="s">
        <v>116</v>
      </c>
      <c r="P249" s="2" t="s">
        <v>173</v>
      </c>
      <c r="Q249" s="2" t="s">
        <v>52</v>
      </c>
      <c r="R249" s="2" t="s">
        <v>53</v>
      </c>
      <c r="S249" s="2" t="s">
        <v>54</v>
      </c>
      <c r="T249" s="2" t="s">
        <v>55</v>
      </c>
      <c r="U249" s="2" t="s">
        <v>56</v>
      </c>
      <c r="V249" s="2" t="s">
        <v>57</v>
      </c>
      <c r="W249" s="22">
        <v>43528400</v>
      </c>
      <c r="X249" s="2" t="s">
        <v>484</v>
      </c>
      <c r="Y249" s="2" t="s">
        <v>562</v>
      </c>
      <c r="Z249" s="2" t="s">
        <v>60</v>
      </c>
      <c r="AA249" s="2" t="s">
        <v>486</v>
      </c>
      <c r="AB249" s="2" t="s">
        <v>563</v>
      </c>
      <c r="AC249" s="2" t="s">
        <v>563</v>
      </c>
      <c r="AD249" s="2" t="s">
        <v>3918</v>
      </c>
      <c r="AE249" s="22">
        <v>4.5</v>
      </c>
      <c r="AF249" s="22">
        <v>4.5</v>
      </c>
    </row>
    <row r="250" spans="1:32" x14ac:dyDescent="0.2">
      <c r="A250" s="2" t="s">
        <v>1559</v>
      </c>
      <c r="B250" s="22">
        <v>5.4677611449062482</v>
      </c>
      <c r="C250" s="22">
        <v>5.5080746624014942</v>
      </c>
      <c r="D250" s="2" t="s">
        <v>366</v>
      </c>
      <c r="E250" s="2" t="s">
        <v>1560</v>
      </c>
      <c r="F250" s="2" t="s">
        <v>3919</v>
      </c>
      <c r="G250" s="2" t="s">
        <v>1561</v>
      </c>
      <c r="H250" s="2" t="s">
        <v>1562</v>
      </c>
      <c r="I250" s="2" t="s">
        <v>366</v>
      </c>
      <c r="J250" s="22">
        <v>4.5</v>
      </c>
      <c r="K250" s="2" t="s">
        <v>1563</v>
      </c>
      <c r="L250" s="2" t="s">
        <v>1564</v>
      </c>
      <c r="M250" s="22">
        <v>4.6080000000000005</v>
      </c>
      <c r="N250" s="2" t="s">
        <v>115</v>
      </c>
      <c r="O250" s="2" t="s">
        <v>116</v>
      </c>
      <c r="P250" s="2" t="s">
        <v>261</v>
      </c>
      <c r="Q250" s="2" t="s">
        <v>52</v>
      </c>
      <c r="R250" s="2" t="s">
        <v>262</v>
      </c>
      <c r="S250" s="2" t="s">
        <v>174</v>
      </c>
      <c r="T250" s="2" t="s">
        <v>55</v>
      </c>
      <c r="U250" s="2" t="s">
        <v>56</v>
      </c>
      <c r="V250" s="2" t="s">
        <v>71</v>
      </c>
      <c r="W250" s="22">
        <v>500000000</v>
      </c>
      <c r="X250" s="2" t="s">
        <v>484</v>
      </c>
      <c r="Y250" s="2" t="s">
        <v>562</v>
      </c>
      <c r="Z250" s="2" t="s">
        <v>60</v>
      </c>
      <c r="AA250" s="2" t="s">
        <v>61</v>
      </c>
      <c r="AB250" s="2" t="s">
        <v>227</v>
      </c>
      <c r="AC250" s="2" t="s">
        <v>228</v>
      </c>
      <c r="AD250" s="2" t="s">
        <v>3920</v>
      </c>
      <c r="AE250" s="2" t="s">
        <v>54</v>
      </c>
      <c r="AF250" s="22">
        <v>4.6080000000000005</v>
      </c>
    </row>
    <row r="251" spans="1:32" x14ac:dyDescent="0.2">
      <c r="A251" s="2" t="s">
        <v>1559</v>
      </c>
      <c r="B251" s="22">
        <v>5.4686020400718283</v>
      </c>
      <c r="C251" s="22">
        <v>5.4869121113998229</v>
      </c>
      <c r="D251" s="2" t="s">
        <v>366</v>
      </c>
      <c r="E251" s="2" t="s">
        <v>1567</v>
      </c>
      <c r="F251" s="2" t="s">
        <v>3921</v>
      </c>
      <c r="G251" s="2" t="s">
        <v>1568</v>
      </c>
      <c r="H251" s="2" t="s">
        <v>1562</v>
      </c>
      <c r="I251" s="2" t="s">
        <v>366</v>
      </c>
      <c r="J251" s="22">
        <v>4.5</v>
      </c>
      <c r="K251" s="2" t="s">
        <v>1563</v>
      </c>
      <c r="L251" s="2" t="s">
        <v>1564</v>
      </c>
      <c r="M251" s="22">
        <v>4.6080000000000005</v>
      </c>
      <c r="N251" s="2" t="s">
        <v>115</v>
      </c>
      <c r="O251" s="2" t="s">
        <v>116</v>
      </c>
      <c r="P251" s="2" t="s">
        <v>270</v>
      </c>
      <c r="Q251" s="2" t="s">
        <v>52</v>
      </c>
      <c r="R251" s="2" t="s">
        <v>262</v>
      </c>
      <c r="S251" s="2" t="s">
        <v>174</v>
      </c>
      <c r="T251" s="2" t="s">
        <v>55</v>
      </c>
      <c r="U251" s="2" t="s">
        <v>56</v>
      </c>
      <c r="V251" s="2" t="s">
        <v>71</v>
      </c>
      <c r="W251" s="22">
        <v>500000000</v>
      </c>
      <c r="X251" s="2" t="s">
        <v>484</v>
      </c>
      <c r="Y251" s="2" t="s">
        <v>562</v>
      </c>
      <c r="Z251" s="2" t="s">
        <v>60</v>
      </c>
      <c r="AA251" s="2" t="s">
        <v>61</v>
      </c>
      <c r="AB251" s="2" t="s">
        <v>227</v>
      </c>
      <c r="AC251" s="2" t="s">
        <v>228</v>
      </c>
      <c r="AD251" s="2" t="s">
        <v>3922</v>
      </c>
      <c r="AE251" s="22">
        <v>4.9189999999999996</v>
      </c>
      <c r="AF251" s="22">
        <v>4.6080000000000005</v>
      </c>
    </row>
    <row r="252" spans="1:32" x14ac:dyDescent="0.2">
      <c r="A252" s="2" t="s">
        <v>1569</v>
      </c>
      <c r="B252" s="22">
        <v>6.3994990164437766</v>
      </c>
      <c r="C252" s="22">
        <v>6.4975241353050643</v>
      </c>
      <c r="D252" s="2" t="s">
        <v>366</v>
      </c>
      <c r="E252" s="2" t="s">
        <v>1570</v>
      </c>
      <c r="F252" s="2" t="s">
        <v>3923</v>
      </c>
      <c r="G252" s="2" t="s">
        <v>1571</v>
      </c>
      <c r="H252" s="2" t="s">
        <v>1572</v>
      </c>
      <c r="I252" s="2" t="s">
        <v>366</v>
      </c>
      <c r="J252" s="22">
        <v>6.125</v>
      </c>
      <c r="K252" s="2" t="s">
        <v>1573</v>
      </c>
      <c r="L252" s="2" t="s">
        <v>1574</v>
      </c>
      <c r="M252" s="22">
        <v>6.125</v>
      </c>
      <c r="N252" s="2" t="s">
        <v>115</v>
      </c>
      <c r="O252" s="2" t="s">
        <v>116</v>
      </c>
      <c r="P252" s="2" t="s">
        <v>261</v>
      </c>
      <c r="Q252" s="2" t="s">
        <v>52</v>
      </c>
      <c r="R252" s="2" t="s">
        <v>262</v>
      </c>
      <c r="S252" s="2" t="s">
        <v>189</v>
      </c>
      <c r="T252" s="2" t="s">
        <v>55</v>
      </c>
      <c r="U252" s="2" t="s">
        <v>56</v>
      </c>
      <c r="V252" s="2" t="s">
        <v>71</v>
      </c>
      <c r="W252" s="22">
        <v>350000000</v>
      </c>
      <c r="X252" s="2" t="s">
        <v>134</v>
      </c>
      <c r="Y252" s="2" t="s">
        <v>737</v>
      </c>
      <c r="Z252" s="2" t="s">
        <v>60</v>
      </c>
      <c r="AA252" s="2" t="s">
        <v>61</v>
      </c>
      <c r="AB252" s="2" t="s">
        <v>136</v>
      </c>
      <c r="AC252" s="2" t="s">
        <v>737</v>
      </c>
      <c r="AD252" s="2" t="s">
        <v>3924</v>
      </c>
      <c r="AE252" s="22">
        <v>6.2709999999999999</v>
      </c>
      <c r="AF252" s="22">
        <v>6.125</v>
      </c>
    </row>
    <row r="253" spans="1:32" x14ac:dyDescent="0.2">
      <c r="A253" s="2" t="s">
        <v>1569</v>
      </c>
      <c r="B253" s="22">
        <v>6.4230877635177475</v>
      </c>
      <c r="C253" s="22">
        <v>6.4582713795564173</v>
      </c>
      <c r="D253" s="2" t="s">
        <v>366</v>
      </c>
      <c r="E253" s="2" t="s">
        <v>1577</v>
      </c>
      <c r="F253" s="2" t="s">
        <v>3925</v>
      </c>
      <c r="G253" s="2" t="s">
        <v>1578</v>
      </c>
      <c r="H253" s="2" t="s">
        <v>1572</v>
      </c>
      <c r="I253" s="2" t="s">
        <v>366</v>
      </c>
      <c r="J253" s="22">
        <v>6.125</v>
      </c>
      <c r="K253" s="2" t="s">
        <v>1573</v>
      </c>
      <c r="L253" s="2" t="s">
        <v>1574</v>
      </c>
      <c r="M253" s="22">
        <v>6.125</v>
      </c>
      <c r="N253" s="2" t="s">
        <v>115</v>
      </c>
      <c r="O253" s="2" t="s">
        <v>116</v>
      </c>
      <c r="P253" s="2" t="s">
        <v>270</v>
      </c>
      <c r="Q253" s="2" t="s">
        <v>52</v>
      </c>
      <c r="R253" s="2" t="s">
        <v>262</v>
      </c>
      <c r="S253" s="2" t="s">
        <v>189</v>
      </c>
      <c r="T253" s="2" t="s">
        <v>55</v>
      </c>
      <c r="U253" s="2" t="s">
        <v>56</v>
      </c>
      <c r="V253" s="2" t="s">
        <v>71</v>
      </c>
      <c r="W253" s="22">
        <v>350000000</v>
      </c>
      <c r="X253" s="2" t="s">
        <v>134</v>
      </c>
      <c r="Y253" s="2" t="s">
        <v>737</v>
      </c>
      <c r="Z253" s="2" t="s">
        <v>60</v>
      </c>
      <c r="AA253" s="2" t="s">
        <v>61</v>
      </c>
      <c r="AB253" s="2" t="s">
        <v>136</v>
      </c>
      <c r="AC253" s="2" t="s">
        <v>737</v>
      </c>
      <c r="AD253" s="2" t="s">
        <v>3926</v>
      </c>
      <c r="AE253" s="22">
        <v>6.2679999999999998</v>
      </c>
      <c r="AF253" s="22">
        <v>6.125</v>
      </c>
    </row>
    <row r="254" spans="1:32" x14ac:dyDescent="0.2">
      <c r="A254" s="2" t="s">
        <v>1579</v>
      </c>
      <c r="B254" s="22">
        <v>7.0228776346699222</v>
      </c>
      <c r="C254" s="22">
        <v>7.1694598485494234</v>
      </c>
      <c r="D254" s="2" t="s">
        <v>169</v>
      </c>
      <c r="E254" s="2" t="s">
        <v>1580</v>
      </c>
      <c r="F254" s="2" t="s">
        <v>3927</v>
      </c>
      <c r="G254" s="2" t="s">
        <v>1581</v>
      </c>
      <c r="H254" s="2" t="s">
        <v>1582</v>
      </c>
      <c r="I254" s="2" t="s">
        <v>169</v>
      </c>
      <c r="J254" s="22">
        <v>6.75</v>
      </c>
      <c r="K254" s="2" t="s">
        <v>1583</v>
      </c>
      <c r="L254" s="2" t="s">
        <v>1584</v>
      </c>
      <c r="M254" s="22">
        <v>7</v>
      </c>
      <c r="N254" s="2" t="s">
        <v>115</v>
      </c>
      <c r="O254" s="2" t="s">
        <v>116</v>
      </c>
      <c r="P254" s="2" t="s">
        <v>261</v>
      </c>
      <c r="Q254" s="2" t="s">
        <v>52</v>
      </c>
      <c r="R254" s="2" t="s">
        <v>262</v>
      </c>
      <c r="S254" s="2" t="s">
        <v>884</v>
      </c>
      <c r="T254" s="2" t="s">
        <v>55</v>
      </c>
      <c r="U254" s="2" t="s">
        <v>56</v>
      </c>
      <c r="V254" s="2" t="s">
        <v>71</v>
      </c>
      <c r="W254" s="22">
        <v>500000000</v>
      </c>
      <c r="X254" s="2" t="s">
        <v>120</v>
      </c>
      <c r="Y254" s="2" t="s">
        <v>120</v>
      </c>
      <c r="Z254" s="2" t="s">
        <v>60</v>
      </c>
      <c r="AA254" s="2" t="s">
        <v>121</v>
      </c>
      <c r="AB254" s="2" t="s">
        <v>845</v>
      </c>
      <c r="AC254" s="2" t="s">
        <v>845</v>
      </c>
      <c r="AD254" s="2" t="s">
        <v>3928</v>
      </c>
      <c r="AE254" s="2" t="s">
        <v>54</v>
      </c>
      <c r="AF254" s="22">
        <v>7</v>
      </c>
    </row>
    <row r="255" spans="1:32" x14ac:dyDescent="0.2">
      <c r="A255" s="2" t="s">
        <v>1579</v>
      </c>
      <c r="B255" s="22">
        <v>7.0732404485278222</v>
      </c>
      <c r="C255" s="22">
        <v>7.1065406163608564</v>
      </c>
      <c r="D255" s="2" t="s">
        <v>169</v>
      </c>
      <c r="E255" s="2" t="s">
        <v>1586</v>
      </c>
      <c r="F255" s="2" t="s">
        <v>3929</v>
      </c>
      <c r="G255" s="2" t="s">
        <v>1587</v>
      </c>
      <c r="H255" s="2" t="s">
        <v>1582</v>
      </c>
      <c r="I255" s="2" t="s">
        <v>169</v>
      </c>
      <c r="J255" s="22">
        <v>6.75</v>
      </c>
      <c r="K255" s="2" t="s">
        <v>1583</v>
      </c>
      <c r="L255" s="2" t="s">
        <v>1584</v>
      </c>
      <c r="M255" s="22">
        <v>7</v>
      </c>
      <c r="N255" s="2" t="s">
        <v>115</v>
      </c>
      <c r="O255" s="2" t="s">
        <v>116</v>
      </c>
      <c r="P255" s="2" t="s">
        <v>270</v>
      </c>
      <c r="Q255" s="2" t="s">
        <v>52</v>
      </c>
      <c r="R255" s="2" t="s">
        <v>262</v>
      </c>
      <c r="S255" s="2" t="s">
        <v>884</v>
      </c>
      <c r="T255" s="2" t="s">
        <v>55</v>
      </c>
      <c r="U255" s="2" t="s">
        <v>56</v>
      </c>
      <c r="V255" s="2" t="s">
        <v>71</v>
      </c>
      <c r="W255" s="22">
        <v>500000000</v>
      </c>
      <c r="X255" s="2" t="s">
        <v>120</v>
      </c>
      <c r="Y255" s="2" t="s">
        <v>120</v>
      </c>
      <c r="Z255" s="2" t="s">
        <v>60</v>
      </c>
      <c r="AA255" s="2" t="s">
        <v>121</v>
      </c>
      <c r="AB255" s="2" t="s">
        <v>845</v>
      </c>
      <c r="AC255" s="2" t="s">
        <v>845</v>
      </c>
      <c r="AD255" s="2" t="s">
        <v>3930</v>
      </c>
      <c r="AE255" s="2" t="s">
        <v>54</v>
      </c>
      <c r="AF255" s="22">
        <v>7</v>
      </c>
    </row>
    <row r="256" spans="1:32" x14ac:dyDescent="0.2">
      <c r="A256" s="2" t="s">
        <v>1589</v>
      </c>
      <c r="B256" s="2" t="s">
        <v>54</v>
      </c>
      <c r="C256" s="2" t="s">
        <v>54</v>
      </c>
      <c r="D256" s="2" t="s">
        <v>366</v>
      </c>
      <c r="E256" s="2" t="s">
        <v>1590</v>
      </c>
      <c r="F256" s="2" t="s">
        <v>173</v>
      </c>
      <c r="G256" s="2" t="s">
        <v>1591</v>
      </c>
      <c r="H256" s="2" t="s">
        <v>1592</v>
      </c>
      <c r="I256" s="2" t="s">
        <v>366</v>
      </c>
      <c r="J256" s="22">
        <v>0</v>
      </c>
      <c r="K256" s="2" t="s">
        <v>1593</v>
      </c>
      <c r="L256" s="2" t="s">
        <v>1594</v>
      </c>
      <c r="M256" s="2" t="s">
        <v>54</v>
      </c>
      <c r="N256" s="2" t="s">
        <v>49</v>
      </c>
      <c r="O256" s="2" t="s">
        <v>50</v>
      </c>
      <c r="P256" s="2" t="s">
        <v>69</v>
      </c>
      <c r="Q256" s="2" t="s">
        <v>52</v>
      </c>
      <c r="R256" s="2" t="s">
        <v>53</v>
      </c>
      <c r="S256" s="2" t="s">
        <v>54</v>
      </c>
      <c r="T256" s="2" t="s">
        <v>55</v>
      </c>
      <c r="U256" s="2" t="s">
        <v>70</v>
      </c>
      <c r="V256" s="2" t="s">
        <v>71</v>
      </c>
      <c r="W256" s="22">
        <v>176271000</v>
      </c>
      <c r="X256" s="2" t="s">
        <v>58</v>
      </c>
      <c r="Y256" s="2" t="s">
        <v>505</v>
      </c>
      <c r="Z256" s="2" t="s">
        <v>60</v>
      </c>
      <c r="AA256" s="2" t="s">
        <v>61</v>
      </c>
      <c r="AB256" s="2" t="s">
        <v>62</v>
      </c>
      <c r="AC256" s="2" t="s">
        <v>62</v>
      </c>
      <c r="AD256" s="2" t="s">
        <v>3931</v>
      </c>
      <c r="AE256" s="2" t="s">
        <v>54</v>
      </c>
      <c r="AF256" s="2" t="s">
        <v>54</v>
      </c>
    </row>
    <row r="257" spans="1:32" x14ac:dyDescent="0.2">
      <c r="A257" s="2" t="s">
        <v>1589</v>
      </c>
      <c r="B257" s="2" t="s">
        <v>54</v>
      </c>
      <c r="C257" s="2" t="s">
        <v>54</v>
      </c>
      <c r="D257" s="2" t="s">
        <v>366</v>
      </c>
      <c r="E257" s="2" t="s">
        <v>1597</v>
      </c>
      <c r="F257" s="2" t="s">
        <v>173</v>
      </c>
      <c r="G257" s="2" t="s">
        <v>1598</v>
      </c>
      <c r="H257" s="2" t="s">
        <v>1592</v>
      </c>
      <c r="I257" s="2" t="s">
        <v>366</v>
      </c>
      <c r="J257" s="22">
        <v>0</v>
      </c>
      <c r="K257" s="2" t="s">
        <v>1593</v>
      </c>
      <c r="L257" s="2" t="s">
        <v>1599</v>
      </c>
      <c r="M257" s="2" t="s">
        <v>54</v>
      </c>
      <c r="N257" s="2" t="s">
        <v>49</v>
      </c>
      <c r="O257" s="2" t="s">
        <v>50</v>
      </c>
      <c r="P257" s="2" t="s">
        <v>76</v>
      </c>
      <c r="Q257" s="2" t="s">
        <v>52</v>
      </c>
      <c r="R257" s="2" t="s">
        <v>53</v>
      </c>
      <c r="S257" s="2" t="s">
        <v>54</v>
      </c>
      <c r="T257" s="2" t="s">
        <v>55</v>
      </c>
      <c r="U257" s="2" t="s">
        <v>70</v>
      </c>
      <c r="V257" s="2" t="s">
        <v>71</v>
      </c>
      <c r="W257" s="22">
        <v>176271000</v>
      </c>
      <c r="X257" s="2" t="s">
        <v>58</v>
      </c>
      <c r="Y257" s="2" t="s">
        <v>505</v>
      </c>
      <c r="Z257" s="2" t="s">
        <v>60</v>
      </c>
      <c r="AA257" s="2" t="s">
        <v>61</v>
      </c>
      <c r="AB257" s="2" t="s">
        <v>62</v>
      </c>
      <c r="AC257" s="2" t="s">
        <v>62</v>
      </c>
      <c r="AD257" s="2" t="s">
        <v>3932</v>
      </c>
      <c r="AE257" s="2" t="s">
        <v>54</v>
      </c>
      <c r="AF257" s="2" t="s">
        <v>54</v>
      </c>
    </row>
    <row r="258" spans="1:32" x14ac:dyDescent="0.2">
      <c r="A258" s="2" t="s">
        <v>1589</v>
      </c>
      <c r="B258" s="2" t="s">
        <v>54</v>
      </c>
      <c r="C258" s="2" t="s">
        <v>54</v>
      </c>
      <c r="D258" s="2" t="s">
        <v>366</v>
      </c>
      <c r="E258" s="2" t="s">
        <v>1600</v>
      </c>
      <c r="F258" s="2" t="s">
        <v>173</v>
      </c>
      <c r="G258" s="2" t="s">
        <v>1601</v>
      </c>
      <c r="H258" s="2" t="s">
        <v>1592</v>
      </c>
      <c r="I258" s="2" t="s">
        <v>366</v>
      </c>
      <c r="J258" s="22">
        <v>0</v>
      </c>
      <c r="K258" s="2" t="s">
        <v>1593</v>
      </c>
      <c r="L258" s="2" t="s">
        <v>1602</v>
      </c>
      <c r="M258" s="2" t="s">
        <v>54</v>
      </c>
      <c r="N258" s="2" t="s">
        <v>49</v>
      </c>
      <c r="O258" s="2" t="s">
        <v>50</v>
      </c>
      <c r="P258" s="2" t="s">
        <v>144</v>
      </c>
      <c r="Q258" s="2" t="s">
        <v>52</v>
      </c>
      <c r="R258" s="2" t="s">
        <v>53</v>
      </c>
      <c r="S258" s="2" t="s">
        <v>54</v>
      </c>
      <c r="T258" s="2" t="s">
        <v>55</v>
      </c>
      <c r="U258" s="2" t="s">
        <v>70</v>
      </c>
      <c r="V258" s="2" t="s">
        <v>71</v>
      </c>
      <c r="W258" s="22">
        <v>176271000</v>
      </c>
      <c r="X258" s="2" t="s">
        <v>58</v>
      </c>
      <c r="Y258" s="2" t="s">
        <v>505</v>
      </c>
      <c r="Z258" s="2" t="s">
        <v>60</v>
      </c>
      <c r="AA258" s="2" t="s">
        <v>61</v>
      </c>
      <c r="AB258" s="2" t="s">
        <v>62</v>
      </c>
      <c r="AC258" s="2" t="s">
        <v>62</v>
      </c>
      <c r="AD258" s="2" t="s">
        <v>3933</v>
      </c>
      <c r="AE258" s="2" t="s">
        <v>54</v>
      </c>
      <c r="AF258" s="2" t="s">
        <v>54</v>
      </c>
    </row>
    <row r="259" spans="1:32" x14ac:dyDescent="0.2">
      <c r="A259" s="2" t="s">
        <v>1603</v>
      </c>
      <c r="B259" s="2" t="s">
        <v>54</v>
      </c>
      <c r="C259" s="2" t="s">
        <v>54</v>
      </c>
      <c r="D259" s="2" t="s">
        <v>45</v>
      </c>
      <c r="E259" s="2" t="s">
        <v>1604</v>
      </c>
      <c r="F259" s="2" t="s">
        <v>173</v>
      </c>
      <c r="G259" s="2" t="s">
        <v>1605</v>
      </c>
      <c r="H259" s="2" t="s">
        <v>1606</v>
      </c>
      <c r="I259" s="2" t="s">
        <v>45</v>
      </c>
      <c r="J259" s="22">
        <v>0</v>
      </c>
      <c r="K259" s="2" t="s">
        <v>1607</v>
      </c>
      <c r="L259" s="2" t="s">
        <v>1608</v>
      </c>
      <c r="M259" s="2" t="s">
        <v>54</v>
      </c>
      <c r="N259" s="2" t="s">
        <v>49</v>
      </c>
      <c r="O259" s="2" t="s">
        <v>50</v>
      </c>
      <c r="P259" s="2" t="s">
        <v>144</v>
      </c>
      <c r="Q259" s="2" t="s">
        <v>52</v>
      </c>
      <c r="R259" s="2" t="s">
        <v>53</v>
      </c>
      <c r="S259" s="2" t="s">
        <v>54</v>
      </c>
      <c r="T259" s="2" t="s">
        <v>55</v>
      </c>
      <c r="U259" s="2" t="s">
        <v>70</v>
      </c>
      <c r="V259" s="2" t="s">
        <v>71</v>
      </c>
      <c r="W259" s="22">
        <v>119544000</v>
      </c>
      <c r="X259" s="2" t="s">
        <v>58</v>
      </c>
      <c r="Y259" s="2" t="s">
        <v>864</v>
      </c>
      <c r="Z259" s="2" t="s">
        <v>60</v>
      </c>
      <c r="AA259" s="2" t="s">
        <v>61</v>
      </c>
      <c r="AB259" s="2" t="s">
        <v>176</v>
      </c>
      <c r="AC259" s="2" t="s">
        <v>865</v>
      </c>
      <c r="AD259" s="2" t="s">
        <v>3934</v>
      </c>
      <c r="AE259" s="2" t="s">
        <v>54</v>
      </c>
      <c r="AF259" s="2" t="s">
        <v>54</v>
      </c>
    </row>
    <row r="260" spans="1:32" x14ac:dyDescent="0.2">
      <c r="A260" s="2" t="s">
        <v>1603</v>
      </c>
      <c r="B260" s="2" t="s">
        <v>54</v>
      </c>
      <c r="C260" s="2" t="s">
        <v>54</v>
      </c>
      <c r="D260" s="2" t="s">
        <v>45</v>
      </c>
      <c r="E260" s="2" t="s">
        <v>1611</v>
      </c>
      <c r="F260" s="2" t="s">
        <v>173</v>
      </c>
      <c r="G260" s="2" t="s">
        <v>1612</v>
      </c>
      <c r="H260" s="2" t="s">
        <v>1606</v>
      </c>
      <c r="I260" s="2" t="s">
        <v>45</v>
      </c>
      <c r="J260" s="22">
        <v>0</v>
      </c>
      <c r="K260" s="2" t="s">
        <v>1607</v>
      </c>
      <c r="L260" s="2" t="s">
        <v>1613</v>
      </c>
      <c r="M260" s="2" t="s">
        <v>54</v>
      </c>
      <c r="N260" s="2" t="s">
        <v>49</v>
      </c>
      <c r="O260" s="2" t="s">
        <v>50</v>
      </c>
      <c r="P260" s="2" t="s">
        <v>76</v>
      </c>
      <c r="Q260" s="2" t="s">
        <v>52</v>
      </c>
      <c r="R260" s="2" t="s">
        <v>53</v>
      </c>
      <c r="S260" s="2" t="s">
        <v>54</v>
      </c>
      <c r="T260" s="2" t="s">
        <v>55</v>
      </c>
      <c r="U260" s="2" t="s">
        <v>70</v>
      </c>
      <c r="V260" s="2" t="s">
        <v>71</v>
      </c>
      <c r="W260" s="22">
        <v>119544000</v>
      </c>
      <c r="X260" s="2" t="s">
        <v>58</v>
      </c>
      <c r="Y260" s="2" t="s">
        <v>864</v>
      </c>
      <c r="Z260" s="2" t="s">
        <v>60</v>
      </c>
      <c r="AA260" s="2" t="s">
        <v>61</v>
      </c>
      <c r="AB260" s="2" t="s">
        <v>176</v>
      </c>
      <c r="AC260" s="2" t="s">
        <v>865</v>
      </c>
      <c r="AD260" s="2" t="s">
        <v>3935</v>
      </c>
      <c r="AE260" s="2" t="s">
        <v>54</v>
      </c>
      <c r="AF260" s="2" t="s">
        <v>54</v>
      </c>
    </row>
    <row r="261" spans="1:32" x14ac:dyDescent="0.2">
      <c r="A261" s="2" t="s">
        <v>1603</v>
      </c>
      <c r="B261" s="2" t="s">
        <v>54</v>
      </c>
      <c r="C261" s="2" t="s">
        <v>54</v>
      </c>
      <c r="D261" s="2" t="s">
        <v>45</v>
      </c>
      <c r="E261" s="2" t="s">
        <v>1614</v>
      </c>
      <c r="F261" s="2" t="s">
        <v>173</v>
      </c>
      <c r="G261" s="2" t="s">
        <v>1615</v>
      </c>
      <c r="H261" s="2" t="s">
        <v>1606</v>
      </c>
      <c r="I261" s="2" t="s">
        <v>45</v>
      </c>
      <c r="J261" s="22">
        <v>0</v>
      </c>
      <c r="K261" s="2" t="s">
        <v>1607</v>
      </c>
      <c r="L261" s="2" t="s">
        <v>1616</v>
      </c>
      <c r="M261" s="2" t="s">
        <v>54</v>
      </c>
      <c r="N261" s="2" t="s">
        <v>49</v>
      </c>
      <c r="O261" s="2" t="s">
        <v>50</v>
      </c>
      <c r="P261" s="2" t="s">
        <v>69</v>
      </c>
      <c r="Q261" s="2" t="s">
        <v>52</v>
      </c>
      <c r="R261" s="2" t="s">
        <v>53</v>
      </c>
      <c r="S261" s="2" t="s">
        <v>54</v>
      </c>
      <c r="T261" s="2" t="s">
        <v>55</v>
      </c>
      <c r="U261" s="2" t="s">
        <v>70</v>
      </c>
      <c r="V261" s="2" t="s">
        <v>71</v>
      </c>
      <c r="W261" s="22">
        <v>119544000</v>
      </c>
      <c r="X261" s="2" t="s">
        <v>58</v>
      </c>
      <c r="Y261" s="2" t="s">
        <v>864</v>
      </c>
      <c r="Z261" s="2" t="s">
        <v>60</v>
      </c>
      <c r="AA261" s="2" t="s">
        <v>61</v>
      </c>
      <c r="AB261" s="2" t="s">
        <v>176</v>
      </c>
      <c r="AC261" s="2" t="s">
        <v>865</v>
      </c>
      <c r="AD261" s="2" t="s">
        <v>3936</v>
      </c>
      <c r="AE261" s="2" t="s">
        <v>54</v>
      </c>
      <c r="AF261" s="2" t="s">
        <v>54</v>
      </c>
    </row>
    <row r="262" spans="1:32" x14ac:dyDescent="0.2">
      <c r="A262" s="2" t="s">
        <v>1603</v>
      </c>
      <c r="B262" s="2" t="s">
        <v>54</v>
      </c>
      <c r="C262" s="2" t="s">
        <v>54</v>
      </c>
      <c r="D262" s="2" t="s">
        <v>45</v>
      </c>
      <c r="E262" s="2" t="s">
        <v>1617</v>
      </c>
      <c r="F262" s="2" t="s">
        <v>173</v>
      </c>
      <c r="G262" s="2" t="s">
        <v>1618</v>
      </c>
      <c r="H262" s="2" t="s">
        <v>1606</v>
      </c>
      <c r="I262" s="2" t="s">
        <v>45</v>
      </c>
      <c r="J262" s="22">
        <v>0</v>
      </c>
      <c r="K262" s="2" t="s">
        <v>1607</v>
      </c>
      <c r="L262" s="2" t="s">
        <v>1613</v>
      </c>
      <c r="M262" s="2" t="s">
        <v>54</v>
      </c>
      <c r="N262" s="2" t="s">
        <v>49</v>
      </c>
      <c r="O262" s="2" t="s">
        <v>50</v>
      </c>
      <c r="P262" s="2" t="s">
        <v>51</v>
      </c>
      <c r="Q262" s="2" t="s">
        <v>52</v>
      </c>
      <c r="R262" s="2" t="s">
        <v>53</v>
      </c>
      <c r="S262" s="2" t="s">
        <v>54</v>
      </c>
      <c r="T262" s="2" t="s">
        <v>55</v>
      </c>
      <c r="U262" s="2" t="s">
        <v>70</v>
      </c>
      <c r="V262" s="2" t="s">
        <v>71</v>
      </c>
      <c r="W262" s="22">
        <v>119544000</v>
      </c>
      <c r="X262" s="2" t="s">
        <v>58</v>
      </c>
      <c r="Y262" s="2" t="s">
        <v>864</v>
      </c>
      <c r="Z262" s="2" t="s">
        <v>60</v>
      </c>
      <c r="AA262" s="2" t="s">
        <v>61</v>
      </c>
      <c r="AB262" s="2" t="s">
        <v>176</v>
      </c>
      <c r="AC262" s="2" t="s">
        <v>865</v>
      </c>
      <c r="AD262" s="2" t="s">
        <v>3937</v>
      </c>
      <c r="AE262" s="2" t="s">
        <v>54</v>
      </c>
      <c r="AF262" s="2" t="s">
        <v>54</v>
      </c>
    </row>
    <row r="263" spans="1:32" x14ac:dyDescent="0.2">
      <c r="A263" s="2" t="s">
        <v>754</v>
      </c>
      <c r="B263" s="22">
        <v>5.7012902310781026</v>
      </c>
      <c r="C263" s="22">
        <v>5.7392038813168318</v>
      </c>
      <c r="D263" s="2" t="s">
        <v>257</v>
      </c>
      <c r="E263" s="2" t="s">
        <v>1619</v>
      </c>
      <c r="F263" s="2" t="s">
        <v>3938</v>
      </c>
      <c r="G263" s="2" t="s">
        <v>1620</v>
      </c>
      <c r="H263" s="2" t="s">
        <v>757</v>
      </c>
      <c r="I263" s="2" t="s">
        <v>257</v>
      </c>
      <c r="J263" s="22">
        <v>3.75</v>
      </c>
      <c r="K263" s="2" t="s">
        <v>1621</v>
      </c>
      <c r="L263" s="2" t="s">
        <v>1622</v>
      </c>
      <c r="M263" s="22">
        <v>3.9499999999999997</v>
      </c>
      <c r="N263" s="2" t="s">
        <v>115</v>
      </c>
      <c r="O263" s="2" t="s">
        <v>116</v>
      </c>
      <c r="P263" s="2" t="s">
        <v>173</v>
      </c>
      <c r="Q263" s="2" t="s">
        <v>52</v>
      </c>
      <c r="R263" s="2" t="s">
        <v>262</v>
      </c>
      <c r="S263" s="2" t="s">
        <v>496</v>
      </c>
      <c r="T263" s="2" t="s">
        <v>55</v>
      </c>
      <c r="U263" s="2" t="s">
        <v>56</v>
      </c>
      <c r="V263" s="2" t="s">
        <v>71</v>
      </c>
      <c r="W263" s="22">
        <v>1250000000</v>
      </c>
      <c r="X263" s="2" t="s">
        <v>85</v>
      </c>
      <c r="Y263" s="2" t="s">
        <v>759</v>
      </c>
      <c r="Z263" s="2" t="s">
        <v>60</v>
      </c>
      <c r="AA263" s="2" t="s">
        <v>61</v>
      </c>
      <c r="AB263" s="2" t="s">
        <v>87</v>
      </c>
      <c r="AC263" s="2" t="s">
        <v>265</v>
      </c>
      <c r="AD263" s="2" t="s">
        <v>3939</v>
      </c>
      <c r="AE263" s="22">
        <v>3.637</v>
      </c>
      <c r="AF263" s="22">
        <v>3.9499999999999997</v>
      </c>
    </row>
    <row r="264" spans="1:32" x14ac:dyDescent="0.2">
      <c r="A264" s="2" t="s">
        <v>1625</v>
      </c>
      <c r="B264" s="2" t="s">
        <v>54</v>
      </c>
      <c r="C264" s="2" t="s">
        <v>54</v>
      </c>
      <c r="D264" s="2" t="s">
        <v>45</v>
      </c>
      <c r="E264" s="2" t="s">
        <v>1626</v>
      </c>
      <c r="F264" s="2" t="s">
        <v>173</v>
      </c>
      <c r="G264" s="2" t="s">
        <v>1627</v>
      </c>
      <c r="H264" s="2" t="s">
        <v>1628</v>
      </c>
      <c r="I264" s="2" t="s">
        <v>45</v>
      </c>
      <c r="J264" s="22">
        <v>0</v>
      </c>
      <c r="K264" s="2" t="s">
        <v>1629</v>
      </c>
      <c r="L264" s="2" t="s">
        <v>1630</v>
      </c>
      <c r="M264" s="2" t="s">
        <v>54</v>
      </c>
      <c r="N264" s="2" t="s">
        <v>49</v>
      </c>
      <c r="O264" s="2" t="s">
        <v>50</v>
      </c>
      <c r="P264" s="2" t="s">
        <v>51</v>
      </c>
      <c r="Q264" s="2" t="s">
        <v>52</v>
      </c>
      <c r="R264" s="2" t="s">
        <v>53</v>
      </c>
      <c r="S264" s="2" t="s">
        <v>54</v>
      </c>
      <c r="T264" s="2" t="s">
        <v>55</v>
      </c>
      <c r="U264" s="2" t="s">
        <v>70</v>
      </c>
      <c r="V264" s="2" t="s">
        <v>71</v>
      </c>
      <c r="W264" s="22">
        <v>71116800</v>
      </c>
      <c r="X264" s="2" t="s">
        <v>58</v>
      </c>
      <c r="Y264" s="2" t="s">
        <v>1631</v>
      </c>
      <c r="Z264" s="2" t="s">
        <v>60</v>
      </c>
      <c r="AA264" s="2" t="s">
        <v>61</v>
      </c>
      <c r="AB264" s="2" t="s">
        <v>176</v>
      </c>
      <c r="AC264" s="2" t="s">
        <v>191</v>
      </c>
      <c r="AD264" s="2" t="s">
        <v>3940</v>
      </c>
      <c r="AE264" s="2" t="s">
        <v>54</v>
      </c>
      <c r="AF264" s="2" t="s">
        <v>54</v>
      </c>
    </row>
    <row r="265" spans="1:32" x14ac:dyDescent="0.2">
      <c r="A265" s="2" t="s">
        <v>1625</v>
      </c>
      <c r="B265" s="2" t="s">
        <v>54</v>
      </c>
      <c r="C265" s="2" t="s">
        <v>54</v>
      </c>
      <c r="D265" s="2" t="s">
        <v>45</v>
      </c>
      <c r="E265" s="2" t="s">
        <v>1633</v>
      </c>
      <c r="F265" s="2" t="s">
        <v>173</v>
      </c>
      <c r="G265" s="2" t="s">
        <v>1634</v>
      </c>
      <c r="H265" s="2" t="s">
        <v>1628</v>
      </c>
      <c r="I265" s="2" t="s">
        <v>45</v>
      </c>
      <c r="J265" s="22">
        <v>0</v>
      </c>
      <c r="K265" s="2" t="s">
        <v>1629</v>
      </c>
      <c r="L265" s="2" t="s">
        <v>1635</v>
      </c>
      <c r="M265" s="2" t="s">
        <v>54</v>
      </c>
      <c r="N265" s="2" t="s">
        <v>49</v>
      </c>
      <c r="O265" s="2" t="s">
        <v>50</v>
      </c>
      <c r="P265" s="2" t="s">
        <v>69</v>
      </c>
      <c r="Q265" s="2" t="s">
        <v>52</v>
      </c>
      <c r="R265" s="2" t="s">
        <v>53</v>
      </c>
      <c r="S265" s="2" t="s">
        <v>54</v>
      </c>
      <c r="T265" s="2" t="s">
        <v>55</v>
      </c>
      <c r="U265" s="2" t="s">
        <v>70</v>
      </c>
      <c r="V265" s="2" t="s">
        <v>71</v>
      </c>
      <c r="W265" s="22">
        <v>71116800</v>
      </c>
      <c r="X265" s="2" t="s">
        <v>58</v>
      </c>
      <c r="Y265" s="2" t="s">
        <v>1631</v>
      </c>
      <c r="Z265" s="2" t="s">
        <v>60</v>
      </c>
      <c r="AA265" s="2" t="s">
        <v>61</v>
      </c>
      <c r="AB265" s="2" t="s">
        <v>176</v>
      </c>
      <c r="AC265" s="2" t="s">
        <v>191</v>
      </c>
      <c r="AD265" s="2" t="s">
        <v>3941</v>
      </c>
      <c r="AE265" s="2" t="s">
        <v>54</v>
      </c>
      <c r="AF265" s="2" t="s">
        <v>54</v>
      </c>
    </row>
    <row r="266" spans="1:32" x14ac:dyDescent="0.2">
      <c r="A266" s="2" t="s">
        <v>1625</v>
      </c>
      <c r="B266" s="2" t="s">
        <v>54</v>
      </c>
      <c r="C266" s="2" t="s">
        <v>54</v>
      </c>
      <c r="D266" s="2" t="s">
        <v>45</v>
      </c>
      <c r="E266" s="2" t="s">
        <v>1636</v>
      </c>
      <c r="F266" s="2" t="s">
        <v>173</v>
      </c>
      <c r="G266" s="2" t="s">
        <v>1637</v>
      </c>
      <c r="H266" s="2" t="s">
        <v>1628</v>
      </c>
      <c r="I266" s="2" t="s">
        <v>45</v>
      </c>
      <c r="J266" s="22">
        <v>0</v>
      </c>
      <c r="K266" s="2" t="s">
        <v>1629</v>
      </c>
      <c r="L266" s="2" t="s">
        <v>1638</v>
      </c>
      <c r="M266" s="2" t="s">
        <v>54</v>
      </c>
      <c r="N266" s="2" t="s">
        <v>49</v>
      </c>
      <c r="O266" s="2" t="s">
        <v>50</v>
      </c>
      <c r="P266" s="2" t="s">
        <v>76</v>
      </c>
      <c r="Q266" s="2" t="s">
        <v>52</v>
      </c>
      <c r="R266" s="2" t="s">
        <v>53</v>
      </c>
      <c r="S266" s="2" t="s">
        <v>54</v>
      </c>
      <c r="T266" s="2" t="s">
        <v>55</v>
      </c>
      <c r="U266" s="2" t="s">
        <v>70</v>
      </c>
      <c r="V266" s="2" t="s">
        <v>71</v>
      </c>
      <c r="W266" s="22">
        <v>71116800</v>
      </c>
      <c r="X266" s="2" t="s">
        <v>58</v>
      </c>
      <c r="Y266" s="2" t="s">
        <v>1631</v>
      </c>
      <c r="Z266" s="2" t="s">
        <v>60</v>
      </c>
      <c r="AA266" s="2" t="s">
        <v>61</v>
      </c>
      <c r="AB266" s="2" t="s">
        <v>176</v>
      </c>
      <c r="AC266" s="2" t="s">
        <v>191</v>
      </c>
      <c r="AD266" s="2" t="s">
        <v>3942</v>
      </c>
      <c r="AE266" s="2" t="s">
        <v>54</v>
      </c>
      <c r="AF266" s="2" t="s">
        <v>54</v>
      </c>
    </row>
    <row r="267" spans="1:32" x14ac:dyDescent="0.2">
      <c r="A267" s="2" t="s">
        <v>1639</v>
      </c>
      <c r="B267" s="22">
        <v>1.6803056162243202</v>
      </c>
      <c r="C267" s="22">
        <v>1.7397831239167827</v>
      </c>
      <c r="D267" s="2" t="s">
        <v>169</v>
      </c>
      <c r="E267" s="2" t="s">
        <v>1640</v>
      </c>
      <c r="F267" s="2" t="s">
        <v>3943</v>
      </c>
      <c r="G267" s="2" t="s">
        <v>1641</v>
      </c>
      <c r="H267" s="2" t="s">
        <v>1642</v>
      </c>
      <c r="I267" s="2" t="s">
        <v>169</v>
      </c>
      <c r="J267" s="22">
        <v>0</v>
      </c>
      <c r="K267" s="2" t="s">
        <v>1643</v>
      </c>
      <c r="L267" s="2" t="s">
        <v>1644</v>
      </c>
      <c r="M267" s="2" t="s">
        <v>54</v>
      </c>
      <c r="N267" s="2" t="s">
        <v>115</v>
      </c>
      <c r="O267" s="2" t="s">
        <v>116</v>
      </c>
      <c r="P267" s="2" t="s">
        <v>173</v>
      </c>
      <c r="Q267" s="2" t="s">
        <v>52</v>
      </c>
      <c r="R267" s="2" t="s">
        <v>53</v>
      </c>
      <c r="S267" s="2" t="s">
        <v>1645</v>
      </c>
      <c r="T267" s="2" t="s">
        <v>55</v>
      </c>
      <c r="U267" s="2" t="s">
        <v>56</v>
      </c>
      <c r="V267" s="2" t="s">
        <v>57</v>
      </c>
      <c r="W267" s="22">
        <v>2161040500</v>
      </c>
      <c r="X267" s="2" t="s">
        <v>1049</v>
      </c>
      <c r="Y267" s="2" t="s">
        <v>1050</v>
      </c>
      <c r="Z267" s="2" t="s">
        <v>60</v>
      </c>
      <c r="AA267" s="2" t="s">
        <v>61</v>
      </c>
      <c r="AB267" s="2" t="s">
        <v>227</v>
      </c>
      <c r="AC267" s="2" t="s">
        <v>1050</v>
      </c>
      <c r="AD267" s="2" t="s">
        <v>3944</v>
      </c>
      <c r="AE267" s="22">
        <v>3.9E-2</v>
      </c>
      <c r="AF267" s="22">
        <v>3.9E-2</v>
      </c>
    </row>
    <row r="268" spans="1:32" x14ac:dyDescent="0.2">
      <c r="A268" s="2" t="s">
        <v>641</v>
      </c>
      <c r="B268" s="22">
        <v>3.1340459840165025</v>
      </c>
      <c r="C268" s="22">
        <v>3.2060061974203178</v>
      </c>
      <c r="D268" s="2" t="s">
        <v>366</v>
      </c>
      <c r="E268" s="2" t="s">
        <v>1648</v>
      </c>
      <c r="F268" s="2" t="s">
        <v>3945</v>
      </c>
      <c r="G268" s="2" t="s">
        <v>1649</v>
      </c>
      <c r="H268" s="2" t="s">
        <v>644</v>
      </c>
      <c r="I268" s="2" t="s">
        <v>366</v>
      </c>
      <c r="J268" s="22">
        <v>1</v>
      </c>
      <c r="K268" s="2" t="s">
        <v>1650</v>
      </c>
      <c r="L268" s="2" t="s">
        <v>1651</v>
      </c>
      <c r="M268" s="2" t="s">
        <v>54</v>
      </c>
      <c r="N268" s="2" t="s">
        <v>115</v>
      </c>
      <c r="O268" s="2" t="s">
        <v>116</v>
      </c>
      <c r="P268" s="2" t="s">
        <v>225</v>
      </c>
      <c r="Q268" s="2" t="s">
        <v>52</v>
      </c>
      <c r="R268" s="2" t="s">
        <v>1547</v>
      </c>
      <c r="S268" s="2" t="s">
        <v>619</v>
      </c>
      <c r="T268" s="2" t="s">
        <v>55</v>
      </c>
      <c r="U268" s="2" t="s">
        <v>56</v>
      </c>
      <c r="V268" s="2" t="s">
        <v>57</v>
      </c>
      <c r="W268" s="22">
        <v>646985000</v>
      </c>
      <c r="X268" s="2" t="s">
        <v>120</v>
      </c>
      <c r="Y268" s="2" t="s">
        <v>120</v>
      </c>
      <c r="Z268" s="2" t="s">
        <v>60</v>
      </c>
      <c r="AA268" s="2" t="s">
        <v>121</v>
      </c>
      <c r="AB268" s="2" t="s">
        <v>122</v>
      </c>
      <c r="AC268" s="2" t="s">
        <v>122</v>
      </c>
      <c r="AD268" s="2" t="s">
        <v>3946</v>
      </c>
      <c r="AE268" s="22">
        <v>0.92800000000000005</v>
      </c>
      <c r="AF268" s="22">
        <v>0.92800000000000005</v>
      </c>
    </row>
    <row r="269" spans="1:32" x14ac:dyDescent="0.2">
      <c r="A269" s="2" t="s">
        <v>1654</v>
      </c>
      <c r="B269" s="2" t="s">
        <v>54</v>
      </c>
      <c r="C269" s="2" t="s">
        <v>54</v>
      </c>
      <c r="D269" s="2" t="s">
        <v>45</v>
      </c>
      <c r="E269" s="2" t="s">
        <v>1655</v>
      </c>
      <c r="F269" s="2" t="s">
        <v>173</v>
      </c>
      <c r="G269" s="2" t="s">
        <v>1656</v>
      </c>
      <c r="H269" s="2" t="s">
        <v>1657</v>
      </c>
      <c r="I269" s="2" t="s">
        <v>45</v>
      </c>
      <c r="J269" s="22">
        <v>0</v>
      </c>
      <c r="K269" s="2" t="s">
        <v>1658</v>
      </c>
      <c r="L269" s="2" t="s">
        <v>1659</v>
      </c>
      <c r="M269" s="2" t="s">
        <v>54</v>
      </c>
      <c r="N269" s="2" t="s">
        <v>49</v>
      </c>
      <c r="O269" s="2" t="s">
        <v>50</v>
      </c>
      <c r="P269" s="2" t="s">
        <v>69</v>
      </c>
      <c r="Q269" s="2" t="s">
        <v>52</v>
      </c>
      <c r="R269" s="2" t="s">
        <v>53</v>
      </c>
      <c r="S269" s="2" t="s">
        <v>54</v>
      </c>
      <c r="T269" s="2" t="s">
        <v>55</v>
      </c>
      <c r="U269" s="2" t="s">
        <v>56</v>
      </c>
      <c r="V269" s="2" t="s">
        <v>57</v>
      </c>
      <c r="W269" s="22">
        <v>122531000</v>
      </c>
      <c r="X269" s="2" t="s">
        <v>1049</v>
      </c>
      <c r="Y269" s="2" t="s">
        <v>1253</v>
      </c>
      <c r="Z269" s="2" t="s">
        <v>60</v>
      </c>
      <c r="AA269" s="2" t="s">
        <v>61</v>
      </c>
      <c r="AB269" s="2" t="s">
        <v>227</v>
      </c>
      <c r="AC269" s="2" t="s">
        <v>1254</v>
      </c>
      <c r="AD269" s="2" t="s">
        <v>3947</v>
      </c>
      <c r="AE269" s="2" t="s">
        <v>54</v>
      </c>
      <c r="AF269" s="2" t="s">
        <v>54</v>
      </c>
    </row>
    <row r="270" spans="1:32" x14ac:dyDescent="0.2">
      <c r="A270" s="2" t="s">
        <v>1654</v>
      </c>
      <c r="B270" s="2" t="s">
        <v>54</v>
      </c>
      <c r="C270" s="2" t="s">
        <v>54</v>
      </c>
      <c r="D270" s="2" t="s">
        <v>45</v>
      </c>
      <c r="E270" s="2" t="s">
        <v>1662</v>
      </c>
      <c r="F270" s="2" t="s">
        <v>173</v>
      </c>
      <c r="G270" s="2" t="s">
        <v>1663</v>
      </c>
      <c r="H270" s="2" t="s">
        <v>1657</v>
      </c>
      <c r="I270" s="2" t="s">
        <v>45</v>
      </c>
      <c r="J270" s="22">
        <v>0</v>
      </c>
      <c r="K270" s="2" t="s">
        <v>1658</v>
      </c>
      <c r="L270" s="2" t="s">
        <v>1664</v>
      </c>
      <c r="M270" s="2" t="s">
        <v>54</v>
      </c>
      <c r="N270" s="2" t="s">
        <v>49</v>
      </c>
      <c r="O270" s="2" t="s">
        <v>50</v>
      </c>
      <c r="P270" s="2" t="s">
        <v>76</v>
      </c>
      <c r="Q270" s="2" t="s">
        <v>52</v>
      </c>
      <c r="R270" s="2" t="s">
        <v>53</v>
      </c>
      <c r="S270" s="2" t="s">
        <v>54</v>
      </c>
      <c r="T270" s="2" t="s">
        <v>55</v>
      </c>
      <c r="U270" s="2" t="s">
        <v>56</v>
      </c>
      <c r="V270" s="2" t="s">
        <v>57</v>
      </c>
      <c r="W270" s="22">
        <v>122531000</v>
      </c>
      <c r="X270" s="2" t="s">
        <v>1049</v>
      </c>
      <c r="Y270" s="2" t="s">
        <v>1253</v>
      </c>
      <c r="Z270" s="2" t="s">
        <v>60</v>
      </c>
      <c r="AA270" s="2" t="s">
        <v>61</v>
      </c>
      <c r="AB270" s="2" t="s">
        <v>227</v>
      </c>
      <c r="AC270" s="2" t="s">
        <v>1254</v>
      </c>
      <c r="AD270" s="2" t="s">
        <v>3948</v>
      </c>
      <c r="AE270" s="2" t="s">
        <v>54</v>
      </c>
      <c r="AF270" s="2" t="s">
        <v>54</v>
      </c>
    </row>
    <row r="271" spans="1:32" x14ac:dyDescent="0.2">
      <c r="A271" s="2" t="s">
        <v>1665</v>
      </c>
      <c r="B271" s="2" t="s">
        <v>54</v>
      </c>
      <c r="C271" s="2" t="s">
        <v>54</v>
      </c>
      <c r="D271" s="2" t="s">
        <v>45</v>
      </c>
      <c r="E271" s="2" t="s">
        <v>1666</v>
      </c>
      <c r="F271" s="2" t="s">
        <v>173</v>
      </c>
      <c r="G271" s="2" t="s">
        <v>1667</v>
      </c>
      <c r="H271" s="2" t="s">
        <v>1668</v>
      </c>
      <c r="I271" s="2" t="s">
        <v>45</v>
      </c>
      <c r="J271" s="22">
        <v>0</v>
      </c>
      <c r="K271" s="2" t="s">
        <v>1669</v>
      </c>
      <c r="L271" s="2" t="s">
        <v>1670</v>
      </c>
      <c r="M271" s="2" t="s">
        <v>54</v>
      </c>
      <c r="N271" s="2" t="s">
        <v>49</v>
      </c>
      <c r="O271" s="2" t="s">
        <v>50</v>
      </c>
      <c r="P271" s="2" t="s">
        <v>69</v>
      </c>
      <c r="Q271" s="2" t="s">
        <v>52</v>
      </c>
      <c r="R271" s="2" t="s">
        <v>53</v>
      </c>
      <c r="S271" s="2" t="s">
        <v>54</v>
      </c>
      <c r="T271" s="2" t="s">
        <v>55</v>
      </c>
      <c r="U271" s="2" t="s">
        <v>70</v>
      </c>
      <c r="V271" s="2" t="s">
        <v>71</v>
      </c>
      <c r="W271" s="22">
        <v>59355450</v>
      </c>
      <c r="X271" s="2" t="s">
        <v>134</v>
      </c>
      <c r="Y271" s="2" t="s">
        <v>226</v>
      </c>
      <c r="Z271" s="2" t="s">
        <v>60</v>
      </c>
      <c r="AA271" s="2" t="s">
        <v>61</v>
      </c>
      <c r="AB271" s="2" t="s">
        <v>227</v>
      </c>
      <c r="AC271" s="2" t="s">
        <v>228</v>
      </c>
      <c r="AD271" s="2" t="s">
        <v>3949</v>
      </c>
      <c r="AE271" s="2" t="s">
        <v>54</v>
      </c>
      <c r="AF271" s="2" t="s">
        <v>54</v>
      </c>
    </row>
    <row r="272" spans="1:32" x14ac:dyDescent="0.2">
      <c r="A272" s="2" t="s">
        <v>1665</v>
      </c>
      <c r="B272" s="2" t="s">
        <v>54</v>
      </c>
      <c r="C272" s="2" t="s">
        <v>54</v>
      </c>
      <c r="D272" s="2" t="s">
        <v>45</v>
      </c>
      <c r="E272" s="2" t="s">
        <v>1673</v>
      </c>
      <c r="F272" s="2" t="s">
        <v>173</v>
      </c>
      <c r="G272" s="2" t="s">
        <v>1674</v>
      </c>
      <c r="H272" s="2" t="s">
        <v>1668</v>
      </c>
      <c r="I272" s="2" t="s">
        <v>45</v>
      </c>
      <c r="J272" s="22">
        <v>0</v>
      </c>
      <c r="K272" s="2" t="s">
        <v>1669</v>
      </c>
      <c r="L272" s="2" t="s">
        <v>1675</v>
      </c>
      <c r="M272" s="2" t="s">
        <v>54</v>
      </c>
      <c r="N272" s="2" t="s">
        <v>49</v>
      </c>
      <c r="O272" s="2" t="s">
        <v>50</v>
      </c>
      <c r="P272" s="2" t="s">
        <v>76</v>
      </c>
      <c r="Q272" s="2" t="s">
        <v>52</v>
      </c>
      <c r="R272" s="2" t="s">
        <v>53</v>
      </c>
      <c r="S272" s="2" t="s">
        <v>54</v>
      </c>
      <c r="T272" s="2" t="s">
        <v>55</v>
      </c>
      <c r="U272" s="2" t="s">
        <v>70</v>
      </c>
      <c r="V272" s="2" t="s">
        <v>71</v>
      </c>
      <c r="W272" s="22">
        <v>59355450</v>
      </c>
      <c r="X272" s="2" t="s">
        <v>134</v>
      </c>
      <c r="Y272" s="2" t="s">
        <v>226</v>
      </c>
      <c r="Z272" s="2" t="s">
        <v>60</v>
      </c>
      <c r="AA272" s="2" t="s">
        <v>61</v>
      </c>
      <c r="AB272" s="2" t="s">
        <v>227</v>
      </c>
      <c r="AC272" s="2" t="s">
        <v>228</v>
      </c>
      <c r="AD272" s="2" t="s">
        <v>3950</v>
      </c>
      <c r="AE272" s="2" t="s">
        <v>54</v>
      </c>
      <c r="AF272" s="2" t="s">
        <v>54</v>
      </c>
    </row>
    <row r="273" spans="1:32" x14ac:dyDescent="0.2">
      <c r="A273" s="2" t="s">
        <v>1676</v>
      </c>
      <c r="B273" s="2" t="s">
        <v>54</v>
      </c>
      <c r="C273" s="2" t="s">
        <v>54</v>
      </c>
      <c r="D273" s="2" t="s">
        <v>45</v>
      </c>
      <c r="E273" s="2" t="s">
        <v>1677</v>
      </c>
      <c r="F273" s="2" t="s">
        <v>173</v>
      </c>
      <c r="G273" s="2" t="s">
        <v>1678</v>
      </c>
      <c r="H273" s="2" t="s">
        <v>1679</v>
      </c>
      <c r="I273" s="2" t="s">
        <v>45</v>
      </c>
      <c r="J273" s="22">
        <v>0</v>
      </c>
      <c r="K273" s="2" t="s">
        <v>1680</v>
      </c>
      <c r="L273" s="2" t="s">
        <v>1681</v>
      </c>
      <c r="M273" s="2" t="s">
        <v>54</v>
      </c>
      <c r="N273" s="2" t="s">
        <v>49</v>
      </c>
      <c r="O273" s="2" t="s">
        <v>50</v>
      </c>
      <c r="P273" s="2" t="s">
        <v>51</v>
      </c>
      <c r="Q273" s="2" t="s">
        <v>52</v>
      </c>
      <c r="R273" s="2" t="s">
        <v>53</v>
      </c>
      <c r="S273" s="2" t="s">
        <v>54</v>
      </c>
      <c r="T273" s="2" t="s">
        <v>55</v>
      </c>
      <c r="U273" s="2" t="s">
        <v>70</v>
      </c>
      <c r="V273" s="2" t="s">
        <v>71</v>
      </c>
      <c r="W273" s="22">
        <v>435148000</v>
      </c>
      <c r="X273" s="2" t="s">
        <v>58</v>
      </c>
      <c r="Y273" s="2" t="s">
        <v>59</v>
      </c>
      <c r="Z273" s="2" t="s">
        <v>60</v>
      </c>
      <c r="AA273" s="2" t="s">
        <v>61</v>
      </c>
      <c r="AB273" s="2" t="s">
        <v>176</v>
      </c>
      <c r="AC273" s="2" t="s">
        <v>191</v>
      </c>
      <c r="AD273" s="2" t="s">
        <v>3951</v>
      </c>
      <c r="AE273" s="2" t="s">
        <v>54</v>
      </c>
      <c r="AF273" s="2" t="s">
        <v>54</v>
      </c>
    </row>
    <row r="274" spans="1:32" x14ac:dyDescent="0.2">
      <c r="A274" s="2" t="s">
        <v>1676</v>
      </c>
      <c r="B274" s="2" t="s">
        <v>54</v>
      </c>
      <c r="C274" s="2" t="s">
        <v>54</v>
      </c>
      <c r="D274" s="2" t="s">
        <v>45</v>
      </c>
      <c r="E274" s="2" t="s">
        <v>1684</v>
      </c>
      <c r="F274" s="2" t="s">
        <v>173</v>
      </c>
      <c r="G274" s="2" t="s">
        <v>1685</v>
      </c>
      <c r="H274" s="2" t="s">
        <v>1679</v>
      </c>
      <c r="I274" s="2" t="s">
        <v>45</v>
      </c>
      <c r="J274" s="22">
        <v>0</v>
      </c>
      <c r="K274" s="2" t="s">
        <v>1680</v>
      </c>
      <c r="L274" s="2" t="s">
        <v>1686</v>
      </c>
      <c r="M274" s="2" t="s">
        <v>54</v>
      </c>
      <c r="N274" s="2" t="s">
        <v>49</v>
      </c>
      <c r="O274" s="2" t="s">
        <v>50</v>
      </c>
      <c r="P274" s="2" t="s">
        <v>69</v>
      </c>
      <c r="Q274" s="2" t="s">
        <v>52</v>
      </c>
      <c r="R274" s="2" t="s">
        <v>53</v>
      </c>
      <c r="S274" s="2" t="s">
        <v>54</v>
      </c>
      <c r="T274" s="2" t="s">
        <v>55</v>
      </c>
      <c r="U274" s="2" t="s">
        <v>70</v>
      </c>
      <c r="V274" s="2" t="s">
        <v>71</v>
      </c>
      <c r="W274" s="22">
        <v>435148000</v>
      </c>
      <c r="X274" s="2" t="s">
        <v>58</v>
      </c>
      <c r="Y274" s="2" t="s">
        <v>59</v>
      </c>
      <c r="Z274" s="2" t="s">
        <v>60</v>
      </c>
      <c r="AA274" s="2" t="s">
        <v>61</v>
      </c>
      <c r="AB274" s="2" t="s">
        <v>176</v>
      </c>
      <c r="AC274" s="2" t="s">
        <v>191</v>
      </c>
      <c r="AD274" s="2" t="s">
        <v>3952</v>
      </c>
      <c r="AE274" s="2" t="s">
        <v>54</v>
      </c>
      <c r="AF274" s="2" t="s">
        <v>54</v>
      </c>
    </row>
    <row r="275" spans="1:32" x14ac:dyDescent="0.2">
      <c r="A275" s="2" t="s">
        <v>1676</v>
      </c>
      <c r="B275" s="2" t="s">
        <v>54</v>
      </c>
      <c r="C275" s="2" t="s">
        <v>54</v>
      </c>
      <c r="D275" s="2" t="s">
        <v>45</v>
      </c>
      <c r="E275" s="2" t="s">
        <v>1687</v>
      </c>
      <c r="F275" s="2" t="s">
        <v>173</v>
      </c>
      <c r="G275" s="2" t="s">
        <v>1688</v>
      </c>
      <c r="H275" s="2" t="s">
        <v>1679</v>
      </c>
      <c r="I275" s="2" t="s">
        <v>45</v>
      </c>
      <c r="J275" s="22">
        <v>0</v>
      </c>
      <c r="K275" s="2" t="s">
        <v>1680</v>
      </c>
      <c r="L275" s="2" t="s">
        <v>1689</v>
      </c>
      <c r="M275" s="2" t="s">
        <v>54</v>
      </c>
      <c r="N275" s="2" t="s">
        <v>49</v>
      </c>
      <c r="O275" s="2" t="s">
        <v>50</v>
      </c>
      <c r="P275" s="2" t="s">
        <v>76</v>
      </c>
      <c r="Q275" s="2" t="s">
        <v>52</v>
      </c>
      <c r="R275" s="2" t="s">
        <v>53</v>
      </c>
      <c r="S275" s="2" t="s">
        <v>54</v>
      </c>
      <c r="T275" s="2" t="s">
        <v>55</v>
      </c>
      <c r="U275" s="2" t="s">
        <v>70</v>
      </c>
      <c r="V275" s="2" t="s">
        <v>71</v>
      </c>
      <c r="W275" s="22">
        <v>435148000</v>
      </c>
      <c r="X275" s="2" t="s">
        <v>58</v>
      </c>
      <c r="Y275" s="2" t="s">
        <v>59</v>
      </c>
      <c r="Z275" s="2" t="s">
        <v>60</v>
      </c>
      <c r="AA275" s="2" t="s">
        <v>61</v>
      </c>
      <c r="AB275" s="2" t="s">
        <v>176</v>
      </c>
      <c r="AC275" s="2" t="s">
        <v>191</v>
      </c>
      <c r="AD275" s="2" t="s">
        <v>3953</v>
      </c>
      <c r="AE275" s="2" t="s">
        <v>54</v>
      </c>
      <c r="AF275" s="2" t="s">
        <v>54</v>
      </c>
    </row>
    <row r="276" spans="1:32" x14ac:dyDescent="0.2">
      <c r="A276" s="2" t="s">
        <v>641</v>
      </c>
      <c r="B276" s="22">
        <v>1.1194228970780262</v>
      </c>
      <c r="C276" s="22">
        <v>1.1890036666322157</v>
      </c>
      <c r="D276" s="2" t="s">
        <v>366</v>
      </c>
      <c r="E276" s="2" t="s">
        <v>1690</v>
      </c>
      <c r="F276" s="2" t="s">
        <v>3954</v>
      </c>
      <c r="G276" s="2" t="s">
        <v>1691</v>
      </c>
      <c r="H276" s="2" t="s">
        <v>644</v>
      </c>
      <c r="I276" s="2" t="s">
        <v>366</v>
      </c>
      <c r="J276" s="22">
        <v>0</v>
      </c>
      <c r="K276" s="2" t="s">
        <v>1692</v>
      </c>
      <c r="L276" s="2" t="s">
        <v>1693</v>
      </c>
      <c r="M276" s="2" t="s">
        <v>54</v>
      </c>
      <c r="N276" s="2" t="s">
        <v>115</v>
      </c>
      <c r="O276" s="2" t="s">
        <v>116</v>
      </c>
      <c r="P276" s="2" t="s">
        <v>225</v>
      </c>
      <c r="Q276" s="2" t="s">
        <v>52</v>
      </c>
      <c r="R276" s="2" t="s">
        <v>53</v>
      </c>
      <c r="S276" s="2" t="s">
        <v>619</v>
      </c>
      <c r="T276" s="2" t="s">
        <v>55</v>
      </c>
      <c r="U276" s="2" t="s">
        <v>56</v>
      </c>
      <c r="V276" s="2" t="s">
        <v>57</v>
      </c>
      <c r="W276" s="22">
        <v>1112620000</v>
      </c>
      <c r="X276" s="2" t="s">
        <v>120</v>
      </c>
      <c r="Y276" s="2" t="s">
        <v>120</v>
      </c>
      <c r="Z276" s="2" t="s">
        <v>60</v>
      </c>
      <c r="AA276" s="2" t="s">
        <v>121</v>
      </c>
      <c r="AB276" s="2" t="s">
        <v>122</v>
      </c>
      <c r="AC276" s="2" t="s">
        <v>122</v>
      </c>
      <c r="AD276" s="2" t="s">
        <v>3955</v>
      </c>
      <c r="AE276" s="22">
        <v>0.17199999999999999</v>
      </c>
      <c r="AF276" s="22">
        <v>0.17199999999999999</v>
      </c>
    </row>
    <row r="277" spans="1:32" x14ac:dyDescent="0.2">
      <c r="A277" s="2" t="s">
        <v>641</v>
      </c>
      <c r="B277" s="22">
        <v>1.9192304768538309</v>
      </c>
      <c r="C277" s="22">
        <v>1.9877375019132149</v>
      </c>
      <c r="D277" s="2" t="s">
        <v>366</v>
      </c>
      <c r="E277" s="2" t="s">
        <v>1695</v>
      </c>
      <c r="F277" s="2" t="s">
        <v>3956</v>
      </c>
      <c r="G277" s="2" t="s">
        <v>1696</v>
      </c>
      <c r="H277" s="2" t="s">
        <v>644</v>
      </c>
      <c r="I277" s="2" t="s">
        <v>366</v>
      </c>
      <c r="J277" s="22">
        <v>0.375</v>
      </c>
      <c r="K277" s="2" t="s">
        <v>1692</v>
      </c>
      <c r="L277" s="2" t="s">
        <v>646</v>
      </c>
      <c r="M277" s="2" t="s">
        <v>54</v>
      </c>
      <c r="N277" s="2" t="s">
        <v>115</v>
      </c>
      <c r="O277" s="2" t="s">
        <v>116</v>
      </c>
      <c r="P277" s="2" t="s">
        <v>225</v>
      </c>
      <c r="Q277" s="2" t="s">
        <v>52</v>
      </c>
      <c r="R277" s="2" t="s">
        <v>53</v>
      </c>
      <c r="S277" s="2" t="s">
        <v>619</v>
      </c>
      <c r="T277" s="2" t="s">
        <v>55</v>
      </c>
      <c r="U277" s="2" t="s">
        <v>56</v>
      </c>
      <c r="V277" s="2" t="s">
        <v>57</v>
      </c>
      <c r="W277" s="22">
        <v>1112620000</v>
      </c>
      <c r="X277" s="2" t="s">
        <v>120</v>
      </c>
      <c r="Y277" s="2" t="s">
        <v>120</v>
      </c>
      <c r="Z277" s="2" t="s">
        <v>60</v>
      </c>
      <c r="AA277" s="2" t="s">
        <v>121</v>
      </c>
      <c r="AB277" s="2" t="s">
        <v>122</v>
      </c>
      <c r="AC277" s="2" t="s">
        <v>122</v>
      </c>
      <c r="AD277" s="2" t="s">
        <v>3957</v>
      </c>
      <c r="AE277" s="22">
        <v>0.42899999999999999</v>
      </c>
      <c r="AF277" s="22">
        <v>0.42899999999999999</v>
      </c>
    </row>
    <row r="278" spans="1:32" x14ac:dyDescent="0.2">
      <c r="A278" s="2" t="s">
        <v>641</v>
      </c>
      <c r="B278" s="22">
        <v>2.7489236699976054</v>
      </c>
      <c r="C278" s="22">
        <v>2.8188975329180117</v>
      </c>
      <c r="D278" s="2" t="s">
        <v>366</v>
      </c>
      <c r="E278" s="2" t="s">
        <v>1698</v>
      </c>
      <c r="F278" s="2" t="s">
        <v>3958</v>
      </c>
      <c r="G278" s="2" t="s">
        <v>1699</v>
      </c>
      <c r="H278" s="2" t="s">
        <v>644</v>
      </c>
      <c r="I278" s="2" t="s">
        <v>366</v>
      </c>
      <c r="J278" s="22">
        <v>1.125</v>
      </c>
      <c r="K278" s="2" t="s">
        <v>1692</v>
      </c>
      <c r="L278" s="2" t="s">
        <v>1700</v>
      </c>
      <c r="M278" s="2" t="s">
        <v>54</v>
      </c>
      <c r="N278" s="2" t="s">
        <v>115</v>
      </c>
      <c r="O278" s="2" t="s">
        <v>116</v>
      </c>
      <c r="P278" s="2" t="s">
        <v>225</v>
      </c>
      <c r="Q278" s="2" t="s">
        <v>52</v>
      </c>
      <c r="R278" s="2" t="s">
        <v>53</v>
      </c>
      <c r="S278" s="2" t="s">
        <v>619</v>
      </c>
      <c r="T278" s="2" t="s">
        <v>55</v>
      </c>
      <c r="U278" s="2" t="s">
        <v>56</v>
      </c>
      <c r="V278" s="2" t="s">
        <v>57</v>
      </c>
      <c r="W278" s="22">
        <v>556310000</v>
      </c>
      <c r="X278" s="2" t="s">
        <v>120</v>
      </c>
      <c r="Y278" s="2" t="s">
        <v>120</v>
      </c>
      <c r="Z278" s="2" t="s">
        <v>60</v>
      </c>
      <c r="AA278" s="2" t="s">
        <v>121</v>
      </c>
      <c r="AB278" s="2" t="s">
        <v>122</v>
      </c>
      <c r="AC278" s="2" t="s">
        <v>122</v>
      </c>
      <c r="AD278" s="2" t="s">
        <v>3959</v>
      </c>
      <c r="AE278" s="22">
        <v>1.0589999999999999</v>
      </c>
      <c r="AF278" s="22">
        <v>1.0589999999999999</v>
      </c>
    </row>
    <row r="279" spans="1:32" x14ac:dyDescent="0.2">
      <c r="A279" s="2" t="s">
        <v>1703</v>
      </c>
      <c r="B279" s="2" t="s">
        <v>54</v>
      </c>
      <c r="C279" s="2" t="s">
        <v>54</v>
      </c>
      <c r="D279" s="2" t="s">
        <v>257</v>
      </c>
      <c r="E279" s="2" t="s">
        <v>1704</v>
      </c>
      <c r="F279" s="2" t="s">
        <v>173</v>
      </c>
      <c r="G279" s="2" t="s">
        <v>1705</v>
      </c>
      <c r="H279" s="2" t="s">
        <v>1706</v>
      </c>
      <c r="I279" s="2" t="s">
        <v>257</v>
      </c>
      <c r="J279" s="22">
        <v>0</v>
      </c>
      <c r="K279" s="2" t="s">
        <v>1707</v>
      </c>
      <c r="L279" s="2" t="s">
        <v>1708</v>
      </c>
      <c r="M279" s="2" t="s">
        <v>54</v>
      </c>
      <c r="N279" s="2" t="s">
        <v>49</v>
      </c>
      <c r="O279" s="2" t="s">
        <v>50</v>
      </c>
      <c r="P279" s="2" t="s">
        <v>51</v>
      </c>
      <c r="Q279" s="2" t="s">
        <v>52</v>
      </c>
      <c r="R279" s="2" t="s">
        <v>53</v>
      </c>
      <c r="S279" s="2" t="s">
        <v>54</v>
      </c>
      <c r="T279" s="2" t="s">
        <v>55</v>
      </c>
      <c r="U279" s="2" t="s">
        <v>70</v>
      </c>
      <c r="V279" s="2" t="s">
        <v>71</v>
      </c>
      <c r="W279" s="22">
        <v>552845000.28699994</v>
      </c>
      <c r="X279" s="2" t="s">
        <v>85</v>
      </c>
      <c r="Y279" s="2" t="s">
        <v>514</v>
      </c>
      <c r="Z279" s="2" t="s">
        <v>60</v>
      </c>
      <c r="AA279" s="2" t="s">
        <v>61</v>
      </c>
      <c r="AB279" s="2" t="s">
        <v>87</v>
      </c>
      <c r="AC279" s="2" t="s">
        <v>514</v>
      </c>
      <c r="AD279" s="2" t="s">
        <v>3960</v>
      </c>
      <c r="AE279" s="2" t="s">
        <v>54</v>
      </c>
      <c r="AF279" s="2" t="s">
        <v>54</v>
      </c>
    </row>
    <row r="280" spans="1:32" x14ac:dyDescent="0.2">
      <c r="A280" s="2" t="s">
        <v>1703</v>
      </c>
      <c r="B280" s="2" t="s">
        <v>54</v>
      </c>
      <c r="C280" s="2" t="s">
        <v>54</v>
      </c>
      <c r="D280" s="2" t="s">
        <v>257</v>
      </c>
      <c r="E280" s="2" t="s">
        <v>1711</v>
      </c>
      <c r="F280" s="2" t="s">
        <v>173</v>
      </c>
      <c r="G280" s="2" t="s">
        <v>1712</v>
      </c>
      <c r="H280" s="2" t="s">
        <v>1706</v>
      </c>
      <c r="I280" s="2" t="s">
        <v>257</v>
      </c>
      <c r="J280" s="22">
        <v>0</v>
      </c>
      <c r="K280" s="2" t="s">
        <v>1707</v>
      </c>
      <c r="L280" s="2" t="s">
        <v>1713</v>
      </c>
      <c r="M280" s="2" t="s">
        <v>54</v>
      </c>
      <c r="N280" s="2" t="s">
        <v>49</v>
      </c>
      <c r="O280" s="2" t="s">
        <v>50</v>
      </c>
      <c r="P280" s="2" t="s">
        <v>1714</v>
      </c>
      <c r="Q280" s="2" t="s">
        <v>52</v>
      </c>
      <c r="R280" s="2" t="s">
        <v>53</v>
      </c>
      <c r="S280" s="2" t="s">
        <v>54</v>
      </c>
      <c r="T280" s="2" t="s">
        <v>55</v>
      </c>
      <c r="U280" s="2" t="s">
        <v>70</v>
      </c>
      <c r="V280" s="2" t="s">
        <v>71</v>
      </c>
      <c r="W280" s="22">
        <v>487609290</v>
      </c>
      <c r="X280" s="2" t="s">
        <v>85</v>
      </c>
      <c r="Y280" s="2" t="s">
        <v>514</v>
      </c>
      <c r="Z280" s="2" t="s">
        <v>60</v>
      </c>
      <c r="AA280" s="2" t="s">
        <v>61</v>
      </c>
      <c r="AB280" s="2" t="s">
        <v>87</v>
      </c>
      <c r="AC280" s="2" t="s">
        <v>514</v>
      </c>
      <c r="AD280" s="2" t="s">
        <v>3961</v>
      </c>
      <c r="AE280" s="2" t="s">
        <v>54</v>
      </c>
      <c r="AF280" s="2" t="s">
        <v>54</v>
      </c>
    </row>
    <row r="281" spans="1:32" x14ac:dyDescent="0.2">
      <c r="A281" s="2" t="s">
        <v>1703</v>
      </c>
      <c r="B281" s="2" t="s">
        <v>54</v>
      </c>
      <c r="C281" s="2" t="s">
        <v>54</v>
      </c>
      <c r="D281" s="2" t="s">
        <v>257</v>
      </c>
      <c r="E281" s="2" t="s">
        <v>1715</v>
      </c>
      <c r="F281" s="2" t="s">
        <v>173</v>
      </c>
      <c r="G281" s="2" t="s">
        <v>1716</v>
      </c>
      <c r="H281" s="2" t="s">
        <v>1706</v>
      </c>
      <c r="I281" s="2" t="s">
        <v>257</v>
      </c>
      <c r="J281" s="22">
        <v>0</v>
      </c>
      <c r="K281" s="2" t="s">
        <v>1707</v>
      </c>
      <c r="L281" s="2" t="s">
        <v>1717</v>
      </c>
      <c r="M281" s="2" t="s">
        <v>54</v>
      </c>
      <c r="N281" s="2" t="s">
        <v>49</v>
      </c>
      <c r="O281" s="2" t="s">
        <v>50</v>
      </c>
      <c r="P281" s="2" t="s">
        <v>1718</v>
      </c>
      <c r="Q281" s="2" t="s">
        <v>52</v>
      </c>
      <c r="R281" s="2" t="s">
        <v>53</v>
      </c>
      <c r="S281" s="2" t="s">
        <v>54</v>
      </c>
      <c r="T281" s="2" t="s">
        <v>55</v>
      </c>
      <c r="U281" s="2" t="s">
        <v>70</v>
      </c>
      <c r="V281" s="2" t="s">
        <v>71</v>
      </c>
      <c r="W281" s="22">
        <v>487609290</v>
      </c>
      <c r="X281" s="2" t="s">
        <v>85</v>
      </c>
      <c r="Y281" s="2" t="s">
        <v>514</v>
      </c>
      <c r="Z281" s="2" t="s">
        <v>60</v>
      </c>
      <c r="AA281" s="2" t="s">
        <v>61</v>
      </c>
      <c r="AB281" s="2" t="s">
        <v>87</v>
      </c>
      <c r="AC281" s="2" t="s">
        <v>514</v>
      </c>
      <c r="AD281" s="2" t="s">
        <v>3962</v>
      </c>
      <c r="AE281" s="2" t="s">
        <v>54</v>
      </c>
      <c r="AF281" s="2" t="s">
        <v>54</v>
      </c>
    </row>
    <row r="282" spans="1:32" x14ac:dyDescent="0.2">
      <c r="A282" s="2" t="s">
        <v>1703</v>
      </c>
      <c r="B282" s="2" t="s">
        <v>54</v>
      </c>
      <c r="C282" s="2" t="s">
        <v>54</v>
      </c>
      <c r="D282" s="2" t="s">
        <v>257</v>
      </c>
      <c r="E282" s="2" t="s">
        <v>1719</v>
      </c>
      <c r="F282" s="2" t="s">
        <v>173</v>
      </c>
      <c r="G282" s="2" t="s">
        <v>1720</v>
      </c>
      <c r="H282" s="2" t="s">
        <v>1706</v>
      </c>
      <c r="I282" s="2" t="s">
        <v>257</v>
      </c>
      <c r="J282" s="22">
        <v>0</v>
      </c>
      <c r="K282" s="2" t="s">
        <v>1707</v>
      </c>
      <c r="L282" s="2" t="s">
        <v>1713</v>
      </c>
      <c r="M282" s="2" t="s">
        <v>54</v>
      </c>
      <c r="N282" s="2" t="s">
        <v>49</v>
      </c>
      <c r="O282" s="2" t="s">
        <v>50</v>
      </c>
      <c r="P282" s="2" t="s">
        <v>1721</v>
      </c>
      <c r="Q282" s="2" t="s">
        <v>52</v>
      </c>
      <c r="R282" s="2" t="s">
        <v>262</v>
      </c>
      <c r="S282" s="2" t="s">
        <v>54</v>
      </c>
      <c r="T282" s="2" t="s">
        <v>55</v>
      </c>
      <c r="U282" s="2" t="s">
        <v>70</v>
      </c>
      <c r="V282" s="2" t="s">
        <v>391</v>
      </c>
      <c r="W282" s="22">
        <v>65000000</v>
      </c>
      <c r="X282" s="2" t="s">
        <v>85</v>
      </c>
      <c r="Y282" s="2" t="s">
        <v>514</v>
      </c>
      <c r="Z282" s="2" t="s">
        <v>60</v>
      </c>
      <c r="AA282" s="2" t="s">
        <v>61</v>
      </c>
      <c r="AB282" s="2" t="s">
        <v>87</v>
      </c>
      <c r="AC282" s="2" t="s">
        <v>514</v>
      </c>
      <c r="AD282" s="2" t="s">
        <v>3963</v>
      </c>
      <c r="AE282" s="2" t="s">
        <v>54</v>
      </c>
      <c r="AF282" s="2" t="s">
        <v>54</v>
      </c>
    </row>
    <row r="283" spans="1:32" x14ac:dyDescent="0.2">
      <c r="A283" s="2" t="s">
        <v>1703</v>
      </c>
      <c r="B283" s="2" t="s">
        <v>54</v>
      </c>
      <c r="C283" s="2" t="s">
        <v>54</v>
      </c>
      <c r="D283" s="2" t="s">
        <v>257</v>
      </c>
      <c r="E283" s="2" t="s">
        <v>1722</v>
      </c>
      <c r="F283" s="2" t="s">
        <v>173</v>
      </c>
      <c r="G283" s="2" t="s">
        <v>1723</v>
      </c>
      <c r="H283" s="2" t="s">
        <v>1706</v>
      </c>
      <c r="I283" s="2" t="s">
        <v>257</v>
      </c>
      <c r="J283" s="22">
        <v>0</v>
      </c>
      <c r="K283" s="2" t="s">
        <v>1707</v>
      </c>
      <c r="L283" s="2" t="s">
        <v>1717</v>
      </c>
      <c r="M283" s="2" t="s">
        <v>54</v>
      </c>
      <c r="N283" s="2" t="s">
        <v>49</v>
      </c>
      <c r="O283" s="2" t="s">
        <v>50</v>
      </c>
      <c r="P283" s="2" t="s">
        <v>390</v>
      </c>
      <c r="Q283" s="2" t="s">
        <v>52</v>
      </c>
      <c r="R283" s="2" t="s">
        <v>262</v>
      </c>
      <c r="S283" s="2" t="s">
        <v>54</v>
      </c>
      <c r="T283" s="2" t="s">
        <v>55</v>
      </c>
      <c r="U283" s="2" t="s">
        <v>70</v>
      </c>
      <c r="V283" s="2" t="s">
        <v>391</v>
      </c>
      <c r="W283" s="22">
        <v>65000000</v>
      </c>
      <c r="X283" s="2" t="s">
        <v>85</v>
      </c>
      <c r="Y283" s="2" t="s">
        <v>514</v>
      </c>
      <c r="Z283" s="2" t="s">
        <v>60</v>
      </c>
      <c r="AA283" s="2" t="s">
        <v>61</v>
      </c>
      <c r="AB283" s="2" t="s">
        <v>87</v>
      </c>
      <c r="AC283" s="2" t="s">
        <v>514</v>
      </c>
      <c r="AD283" s="2" t="s">
        <v>3964</v>
      </c>
      <c r="AE283" s="2" t="s">
        <v>54</v>
      </c>
      <c r="AF283" s="2" t="s">
        <v>54</v>
      </c>
    </row>
    <row r="284" spans="1:32" x14ac:dyDescent="0.2">
      <c r="A284" s="2" t="s">
        <v>1724</v>
      </c>
      <c r="B284" s="2" t="s">
        <v>54</v>
      </c>
      <c r="C284" s="2" t="s">
        <v>54</v>
      </c>
      <c r="D284" s="2" t="s">
        <v>199</v>
      </c>
      <c r="E284" s="2" t="s">
        <v>1725</v>
      </c>
      <c r="F284" s="2" t="s">
        <v>173</v>
      </c>
      <c r="G284" s="2" t="s">
        <v>1726</v>
      </c>
      <c r="H284" s="2" t="s">
        <v>1727</v>
      </c>
      <c r="I284" s="2" t="s">
        <v>199</v>
      </c>
      <c r="J284" s="22">
        <v>0</v>
      </c>
      <c r="K284" s="2" t="s">
        <v>1728</v>
      </c>
      <c r="L284" s="2" t="s">
        <v>1729</v>
      </c>
      <c r="M284" s="2" t="s">
        <v>54</v>
      </c>
      <c r="N284" s="2" t="s">
        <v>49</v>
      </c>
      <c r="O284" s="2" t="s">
        <v>50</v>
      </c>
      <c r="P284" s="2" t="s">
        <v>76</v>
      </c>
      <c r="Q284" s="2" t="s">
        <v>52</v>
      </c>
      <c r="R284" s="2" t="s">
        <v>53</v>
      </c>
      <c r="S284" s="2" t="s">
        <v>54</v>
      </c>
      <c r="T284" s="2" t="s">
        <v>55</v>
      </c>
      <c r="U284" s="2" t="s">
        <v>70</v>
      </c>
      <c r="V284" s="2" t="s">
        <v>71</v>
      </c>
      <c r="W284" s="22">
        <v>69326875</v>
      </c>
      <c r="X284" s="2" t="s">
        <v>58</v>
      </c>
      <c r="Y284" s="2" t="s">
        <v>505</v>
      </c>
      <c r="Z284" s="2" t="s">
        <v>60</v>
      </c>
      <c r="AA284" s="2" t="s">
        <v>61</v>
      </c>
      <c r="AB284" s="2" t="s">
        <v>213</v>
      </c>
      <c r="AC284" s="2" t="s">
        <v>215</v>
      </c>
      <c r="AD284" s="2" t="s">
        <v>3965</v>
      </c>
      <c r="AE284" s="2" t="s">
        <v>54</v>
      </c>
      <c r="AF284" s="2" t="s">
        <v>54</v>
      </c>
    </row>
    <row r="285" spans="1:32" x14ac:dyDescent="0.2">
      <c r="A285" s="2" t="s">
        <v>1724</v>
      </c>
      <c r="B285" s="2" t="s">
        <v>54</v>
      </c>
      <c r="C285" s="2" t="s">
        <v>54</v>
      </c>
      <c r="D285" s="2" t="s">
        <v>199</v>
      </c>
      <c r="E285" s="2" t="s">
        <v>1732</v>
      </c>
      <c r="F285" s="2" t="s">
        <v>173</v>
      </c>
      <c r="G285" s="2" t="s">
        <v>1733</v>
      </c>
      <c r="H285" s="2" t="s">
        <v>1727</v>
      </c>
      <c r="I285" s="2" t="s">
        <v>199</v>
      </c>
      <c r="J285" s="22">
        <v>0</v>
      </c>
      <c r="K285" s="2" t="s">
        <v>1728</v>
      </c>
      <c r="L285" s="2" t="s">
        <v>1734</v>
      </c>
      <c r="M285" s="2" t="s">
        <v>54</v>
      </c>
      <c r="N285" s="2" t="s">
        <v>49</v>
      </c>
      <c r="O285" s="2" t="s">
        <v>50</v>
      </c>
      <c r="P285" s="2" t="s">
        <v>144</v>
      </c>
      <c r="Q285" s="2" t="s">
        <v>52</v>
      </c>
      <c r="R285" s="2" t="s">
        <v>53</v>
      </c>
      <c r="S285" s="2" t="s">
        <v>54</v>
      </c>
      <c r="T285" s="2" t="s">
        <v>55</v>
      </c>
      <c r="U285" s="2" t="s">
        <v>70</v>
      </c>
      <c r="V285" s="2" t="s">
        <v>71</v>
      </c>
      <c r="W285" s="22">
        <v>69326875</v>
      </c>
      <c r="X285" s="2" t="s">
        <v>58</v>
      </c>
      <c r="Y285" s="2" t="s">
        <v>505</v>
      </c>
      <c r="Z285" s="2" t="s">
        <v>60</v>
      </c>
      <c r="AA285" s="2" t="s">
        <v>61</v>
      </c>
      <c r="AB285" s="2" t="s">
        <v>213</v>
      </c>
      <c r="AC285" s="2" t="s">
        <v>215</v>
      </c>
      <c r="AD285" s="2" t="s">
        <v>3966</v>
      </c>
      <c r="AE285" s="2" t="s">
        <v>54</v>
      </c>
      <c r="AF285" s="2" t="s">
        <v>54</v>
      </c>
    </row>
    <row r="286" spans="1:32" x14ac:dyDescent="0.2">
      <c r="A286" s="2" t="s">
        <v>641</v>
      </c>
      <c r="B286" s="22">
        <v>3.7420004637360131</v>
      </c>
      <c r="C286" s="22">
        <v>3.7794309463929046</v>
      </c>
      <c r="D286" s="2" t="s">
        <v>366</v>
      </c>
      <c r="E286" s="2" t="s">
        <v>1735</v>
      </c>
      <c r="F286" s="2" t="s">
        <v>3967</v>
      </c>
      <c r="G286" s="2" t="s">
        <v>1736</v>
      </c>
      <c r="H286" s="2" t="s">
        <v>644</v>
      </c>
      <c r="I286" s="2" t="s">
        <v>366</v>
      </c>
      <c r="J286" s="22">
        <v>2.65</v>
      </c>
      <c r="K286" s="2" t="s">
        <v>1737</v>
      </c>
      <c r="L286" s="2" t="s">
        <v>1738</v>
      </c>
      <c r="M286" s="22">
        <v>2.6760000000000002</v>
      </c>
      <c r="N286" s="2" t="s">
        <v>49</v>
      </c>
      <c r="O286" s="2" t="s">
        <v>50</v>
      </c>
      <c r="P286" s="2" t="s">
        <v>261</v>
      </c>
      <c r="Q286" s="2" t="s">
        <v>52</v>
      </c>
      <c r="R286" s="2" t="s">
        <v>262</v>
      </c>
      <c r="S286" s="2" t="s">
        <v>619</v>
      </c>
      <c r="T286" s="2" t="s">
        <v>55</v>
      </c>
      <c r="U286" s="2" t="s">
        <v>56</v>
      </c>
      <c r="V286" s="2" t="s">
        <v>71</v>
      </c>
      <c r="W286" s="22">
        <v>1500000000</v>
      </c>
      <c r="X286" s="2" t="s">
        <v>120</v>
      </c>
      <c r="Y286" s="2" t="s">
        <v>120</v>
      </c>
      <c r="Z286" s="2" t="s">
        <v>60</v>
      </c>
      <c r="AA286" s="2" t="s">
        <v>121</v>
      </c>
      <c r="AB286" s="2" t="s">
        <v>122</v>
      </c>
      <c r="AC286" s="2" t="s">
        <v>122</v>
      </c>
      <c r="AD286" s="2" t="s">
        <v>3968</v>
      </c>
      <c r="AE286" s="22">
        <v>2.677</v>
      </c>
      <c r="AF286" s="22">
        <v>2.6760000000000002</v>
      </c>
    </row>
    <row r="287" spans="1:32" x14ac:dyDescent="0.2">
      <c r="A287" s="2" t="s">
        <v>641</v>
      </c>
      <c r="B287" s="22">
        <v>3.6672556736277646</v>
      </c>
      <c r="C287" s="22">
        <v>3.7401755783348256</v>
      </c>
      <c r="D287" s="2" t="s">
        <v>366</v>
      </c>
      <c r="E287" s="2" t="s">
        <v>1741</v>
      </c>
      <c r="F287" s="2" t="s">
        <v>3969</v>
      </c>
      <c r="G287" s="2" t="s">
        <v>1742</v>
      </c>
      <c r="H287" s="2" t="s">
        <v>644</v>
      </c>
      <c r="I287" s="2" t="s">
        <v>366</v>
      </c>
      <c r="J287" s="22">
        <v>2.65</v>
      </c>
      <c r="K287" s="2" t="s">
        <v>1737</v>
      </c>
      <c r="L287" s="2" t="s">
        <v>1738</v>
      </c>
      <c r="M287" s="22">
        <v>2.6760000000000002</v>
      </c>
      <c r="N287" s="2" t="s">
        <v>49</v>
      </c>
      <c r="O287" s="2" t="s">
        <v>50</v>
      </c>
      <c r="P287" s="2" t="s">
        <v>270</v>
      </c>
      <c r="Q287" s="2" t="s">
        <v>52</v>
      </c>
      <c r="R287" s="2" t="s">
        <v>262</v>
      </c>
      <c r="S287" s="2" t="s">
        <v>619</v>
      </c>
      <c r="T287" s="2" t="s">
        <v>55</v>
      </c>
      <c r="U287" s="2" t="s">
        <v>56</v>
      </c>
      <c r="V287" s="2" t="s">
        <v>71</v>
      </c>
      <c r="W287" s="22">
        <v>1500000000</v>
      </c>
      <c r="X287" s="2" t="s">
        <v>120</v>
      </c>
      <c r="Y287" s="2" t="s">
        <v>120</v>
      </c>
      <c r="Z287" s="2" t="s">
        <v>60</v>
      </c>
      <c r="AA287" s="2" t="s">
        <v>121</v>
      </c>
      <c r="AB287" s="2" t="s">
        <v>122</v>
      </c>
      <c r="AC287" s="2" t="s">
        <v>122</v>
      </c>
      <c r="AD287" s="2" t="s">
        <v>3970</v>
      </c>
      <c r="AE287" s="22">
        <v>2.677</v>
      </c>
      <c r="AF287" s="22">
        <v>2.6760000000000002</v>
      </c>
    </row>
    <row r="288" spans="1:32" x14ac:dyDescent="0.2">
      <c r="A288" s="2" t="s">
        <v>41</v>
      </c>
      <c r="B288" s="2" t="s">
        <v>54</v>
      </c>
      <c r="C288" s="2" t="s">
        <v>54</v>
      </c>
      <c r="D288" s="2" t="s">
        <v>45</v>
      </c>
      <c r="E288" s="2" t="s">
        <v>1744</v>
      </c>
      <c r="F288" s="2" t="s">
        <v>173</v>
      </c>
      <c r="G288" s="2" t="s">
        <v>1745</v>
      </c>
      <c r="H288" s="2" t="s">
        <v>44</v>
      </c>
      <c r="I288" s="2" t="s">
        <v>45</v>
      </c>
      <c r="J288" s="22">
        <v>0</v>
      </c>
      <c r="K288" s="2" t="s">
        <v>1746</v>
      </c>
      <c r="L288" s="2" t="s">
        <v>1747</v>
      </c>
      <c r="M288" s="2" t="s">
        <v>54</v>
      </c>
      <c r="N288" s="2" t="s">
        <v>49</v>
      </c>
      <c r="O288" s="2" t="s">
        <v>50</v>
      </c>
      <c r="P288" s="2" t="s">
        <v>51</v>
      </c>
      <c r="Q288" s="2" t="s">
        <v>52</v>
      </c>
      <c r="R288" s="2" t="s">
        <v>53</v>
      </c>
      <c r="S288" s="2" t="s">
        <v>54</v>
      </c>
      <c r="T288" s="2" t="s">
        <v>55</v>
      </c>
      <c r="U288" s="2" t="s">
        <v>56</v>
      </c>
      <c r="V288" s="2" t="s">
        <v>57</v>
      </c>
      <c r="W288" s="22">
        <v>225626000</v>
      </c>
      <c r="X288" s="2" t="s">
        <v>58</v>
      </c>
      <c r="Y288" s="2" t="s">
        <v>59</v>
      </c>
      <c r="Z288" s="2" t="s">
        <v>60</v>
      </c>
      <c r="AA288" s="2" t="s">
        <v>61</v>
      </c>
      <c r="AB288" s="2" t="s">
        <v>62</v>
      </c>
      <c r="AC288" s="2" t="s">
        <v>62</v>
      </c>
      <c r="AD288" s="2" t="s">
        <v>3971</v>
      </c>
      <c r="AE288" s="2" t="s">
        <v>54</v>
      </c>
      <c r="AF288" s="2" t="s">
        <v>54</v>
      </c>
    </row>
    <row r="289" spans="1:32" x14ac:dyDescent="0.2">
      <c r="A289" s="2" t="s">
        <v>41</v>
      </c>
      <c r="B289" s="2" t="s">
        <v>54</v>
      </c>
      <c r="C289" s="2" t="s">
        <v>54</v>
      </c>
      <c r="D289" s="2" t="s">
        <v>45</v>
      </c>
      <c r="E289" s="2" t="s">
        <v>1749</v>
      </c>
      <c r="F289" s="2" t="s">
        <v>173</v>
      </c>
      <c r="G289" s="2" t="s">
        <v>1750</v>
      </c>
      <c r="H289" s="2" t="s">
        <v>44</v>
      </c>
      <c r="I289" s="2" t="s">
        <v>45</v>
      </c>
      <c r="J289" s="22">
        <v>0</v>
      </c>
      <c r="K289" s="2" t="s">
        <v>1746</v>
      </c>
      <c r="L289" s="2" t="s">
        <v>1751</v>
      </c>
      <c r="M289" s="2" t="s">
        <v>54</v>
      </c>
      <c r="N289" s="2" t="s">
        <v>49</v>
      </c>
      <c r="O289" s="2" t="s">
        <v>50</v>
      </c>
      <c r="P289" s="2" t="s">
        <v>1752</v>
      </c>
      <c r="Q289" s="2" t="s">
        <v>52</v>
      </c>
      <c r="R289" s="2" t="s">
        <v>53</v>
      </c>
      <c r="S289" s="2" t="s">
        <v>54</v>
      </c>
      <c r="T289" s="2" t="s">
        <v>55</v>
      </c>
      <c r="U289" s="2" t="s">
        <v>56</v>
      </c>
      <c r="V289" s="2" t="s">
        <v>57</v>
      </c>
      <c r="W289" s="22">
        <v>225626000</v>
      </c>
      <c r="X289" s="2" t="s">
        <v>58</v>
      </c>
      <c r="Y289" s="2" t="s">
        <v>59</v>
      </c>
      <c r="Z289" s="2" t="s">
        <v>60</v>
      </c>
      <c r="AA289" s="2" t="s">
        <v>61</v>
      </c>
      <c r="AB289" s="2" t="s">
        <v>62</v>
      </c>
      <c r="AC289" s="2" t="s">
        <v>62</v>
      </c>
      <c r="AD289" s="2" t="s">
        <v>3972</v>
      </c>
      <c r="AE289" s="2" t="s">
        <v>54</v>
      </c>
      <c r="AF289" s="2" t="s">
        <v>54</v>
      </c>
    </row>
    <row r="290" spans="1:32" x14ac:dyDescent="0.2">
      <c r="A290" s="2" t="s">
        <v>41</v>
      </c>
      <c r="B290" s="2" t="s">
        <v>54</v>
      </c>
      <c r="C290" s="2" t="s">
        <v>54</v>
      </c>
      <c r="D290" s="2" t="s">
        <v>45</v>
      </c>
      <c r="E290" s="2" t="s">
        <v>1753</v>
      </c>
      <c r="F290" s="2" t="s">
        <v>173</v>
      </c>
      <c r="G290" s="2" t="s">
        <v>1754</v>
      </c>
      <c r="H290" s="2" t="s">
        <v>44</v>
      </c>
      <c r="I290" s="2" t="s">
        <v>45</v>
      </c>
      <c r="J290" s="22">
        <v>0</v>
      </c>
      <c r="K290" s="2" t="s">
        <v>1746</v>
      </c>
      <c r="L290" s="2" t="s">
        <v>1755</v>
      </c>
      <c r="M290" s="2" t="s">
        <v>54</v>
      </c>
      <c r="N290" s="2" t="s">
        <v>49</v>
      </c>
      <c r="O290" s="2" t="s">
        <v>50</v>
      </c>
      <c r="P290" s="2" t="s">
        <v>1311</v>
      </c>
      <c r="Q290" s="2" t="s">
        <v>52</v>
      </c>
      <c r="R290" s="2" t="s">
        <v>53</v>
      </c>
      <c r="S290" s="2" t="s">
        <v>54</v>
      </c>
      <c r="T290" s="2" t="s">
        <v>55</v>
      </c>
      <c r="U290" s="2" t="s">
        <v>56</v>
      </c>
      <c r="V290" s="2" t="s">
        <v>57</v>
      </c>
      <c r="W290" s="22">
        <v>225626000</v>
      </c>
      <c r="X290" s="2" t="s">
        <v>58</v>
      </c>
      <c r="Y290" s="2" t="s">
        <v>59</v>
      </c>
      <c r="Z290" s="2" t="s">
        <v>60</v>
      </c>
      <c r="AA290" s="2" t="s">
        <v>61</v>
      </c>
      <c r="AB290" s="2" t="s">
        <v>62</v>
      </c>
      <c r="AC290" s="2" t="s">
        <v>62</v>
      </c>
      <c r="AD290" s="2" t="s">
        <v>3973</v>
      </c>
      <c r="AE290" s="2" t="s">
        <v>54</v>
      </c>
      <c r="AF290" s="2" t="s">
        <v>54</v>
      </c>
    </row>
    <row r="291" spans="1:32" x14ac:dyDescent="0.2">
      <c r="A291" s="2" t="s">
        <v>41</v>
      </c>
      <c r="B291" s="2" t="s">
        <v>54</v>
      </c>
      <c r="C291" s="2" t="s">
        <v>54</v>
      </c>
      <c r="D291" s="2" t="s">
        <v>45</v>
      </c>
      <c r="E291" s="2" t="s">
        <v>1756</v>
      </c>
      <c r="F291" s="2" t="s">
        <v>173</v>
      </c>
      <c r="G291" s="2" t="s">
        <v>1757</v>
      </c>
      <c r="H291" s="2" t="s">
        <v>44</v>
      </c>
      <c r="I291" s="2" t="s">
        <v>45</v>
      </c>
      <c r="J291" s="22">
        <v>0</v>
      </c>
      <c r="K291" s="2" t="s">
        <v>1746</v>
      </c>
      <c r="L291" s="2" t="s">
        <v>1758</v>
      </c>
      <c r="M291" s="2" t="s">
        <v>54</v>
      </c>
      <c r="N291" s="2" t="s">
        <v>49</v>
      </c>
      <c r="O291" s="2" t="s">
        <v>50</v>
      </c>
      <c r="P291" s="2" t="s">
        <v>104</v>
      </c>
      <c r="Q291" s="2" t="s">
        <v>52</v>
      </c>
      <c r="R291" s="2" t="s">
        <v>53</v>
      </c>
      <c r="S291" s="2" t="s">
        <v>54</v>
      </c>
      <c r="T291" s="2" t="s">
        <v>55</v>
      </c>
      <c r="U291" s="2" t="s">
        <v>56</v>
      </c>
      <c r="V291" s="2" t="s">
        <v>57</v>
      </c>
      <c r="W291" s="22">
        <v>225626000</v>
      </c>
      <c r="X291" s="2" t="s">
        <v>58</v>
      </c>
      <c r="Y291" s="2" t="s">
        <v>59</v>
      </c>
      <c r="Z291" s="2" t="s">
        <v>60</v>
      </c>
      <c r="AA291" s="2" t="s">
        <v>61</v>
      </c>
      <c r="AB291" s="2" t="s">
        <v>62</v>
      </c>
      <c r="AC291" s="2" t="s">
        <v>62</v>
      </c>
      <c r="AD291" s="2" t="s">
        <v>3974</v>
      </c>
      <c r="AE291" s="2" t="s">
        <v>54</v>
      </c>
      <c r="AF291" s="2" t="s">
        <v>54</v>
      </c>
    </row>
    <row r="292" spans="1:32" x14ac:dyDescent="0.2">
      <c r="A292" s="2" t="s">
        <v>41</v>
      </c>
      <c r="B292" s="2" t="s">
        <v>54</v>
      </c>
      <c r="C292" s="2" t="s">
        <v>54</v>
      </c>
      <c r="D292" s="2" t="s">
        <v>45</v>
      </c>
      <c r="E292" s="2" t="s">
        <v>1759</v>
      </c>
      <c r="F292" s="2" t="s">
        <v>173</v>
      </c>
      <c r="G292" s="2" t="s">
        <v>1760</v>
      </c>
      <c r="H292" s="2" t="s">
        <v>44</v>
      </c>
      <c r="I292" s="2" t="s">
        <v>45</v>
      </c>
      <c r="J292" s="22">
        <v>0</v>
      </c>
      <c r="K292" s="2" t="s">
        <v>1746</v>
      </c>
      <c r="L292" s="2" t="s">
        <v>1755</v>
      </c>
      <c r="M292" s="2" t="s">
        <v>54</v>
      </c>
      <c r="N292" s="2" t="s">
        <v>49</v>
      </c>
      <c r="O292" s="2" t="s">
        <v>50</v>
      </c>
      <c r="P292" s="2" t="s">
        <v>1096</v>
      </c>
      <c r="Q292" s="2" t="s">
        <v>52</v>
      </c>
      <c r="R292" s="2" t="s">
        <v>53</v>
      </c>
      <c r="S292" s="2" t="s">
        <v>54</v>
      </c>
      <c r="T292" s="2" t="s">
        <v>55</v>
      </c>
      <c r="U292" s="2" t="s">
        <v>70</v>
      </c>
      <c r="V292" s="2" t="s">
        <v>71</v>
      </c>
      <c r="W292" s="22">
        <v>225626000</v>
      </c>
      <c r="X292" s="2" t="s">
        <v>58</v>
      </c>
      <c r="Y292" s="2" t="s">
        <v>59</v>
      </c>
      <c r="Z292" s="2" t="s">
        <v>60</v>
      </c>
      <c r="AA292" s="2" t="s">
        <v>61</v>
      </c>
      <c r="AB292" s="2" t="s">
        <v>62</v>
      </c>
      <c r="AC292" s="2" t="s">
        <v>62</v>
      </c>
      <c r="AD292" s="2" t="s">
        <v>3975</v>
      </c>
      <c r="AE292" s="2" t="s">
        <v>54</v>
      </c>
      <c r="AF292" s="2" t="s">
        <v>54</v>
      </c>
    </row>
    <row r="293" spans="1:32" x14ac:dyDescent="0.2">
      <c r="A293" s="2" t="s">
        <v>41</v>
      </c>
      <c r="B293" s="2" t="s">
        <v>54</v>
      </c>
      <c r="C293" s="2" t="s">
        <v>54</v>
      </c>
      <c r="D293" s="2" t="s">
        <v>45</v>
      </c>
      <c r="E293" s="2" t="s">
        <v>1761</v>
      </c>
      <c r="F293" s="2" t="s">
        <v>173</v>
      </c>
      <c r="G293" s="2" t="s">
        <v>1762</v>
      </c>
      <c r="H293" s="2" t="s">
        <v>44</v>
      </c>
      <c r="I293" s="2" t="s">
        <v>45</v>
      </c>
      <c r="J293" s="22">
        <v>0</v>
      </c>
      <c r="K293" s="2" t="s">
        <v>1746</v>
      </c>
      <c r="L293" s="2" t="s">
        <v>1758</v>
      </c>
      <c r="M293" s="2" t="s">
        <v>54</v>
      </c>
      <c r="N293" s="2" t="s">
        <v>49</v>
      </c>
      <c r="O293" s="2" t="s">
        <v>50</v>
      </c>
      <c r="P293" s="2" t="s">
        <v>94</v>
      </c>
      <c r="Q293" s="2" t="s">
        <v>52</v>
      </c>
      <c r="R293" s="2" t="s">
        <v>53</v>
      </c>
      <c r="S293" s="2" t="s">
        <v>54</v>
      </c>
      <c r="T293" s="2" t="s">
        <v>55</v>
      </c>
      <c r="U293" s="2" t="s">
        <v>70</v>
      </c>
      <c r="V293" s="2" t="s">
        <v>71</v>
      </c>
      <c r="W293" s="22">
        <v>225626000</v>
      </c>
      <c r="X293" s="2" t="s">
        <v>58</v>
      </c>
      <c r="Y293" s="2" t="s">
        <v>59</v>
      </c>
      <c r="Z293" s="2" t="s">
        <v>60</v>
      </c>
      <c r="AA293" s="2" t="s">
        <v>61</v>
      </c>
      <c r="AB293" s="2" t="s">
        <v>62</v>
      </c>
      <c r="AC293" s="2" t="s">
        <v>62</v>
      </c>
      <c r="AD293" s="2" t="s">
        <v>3976</v>
      </c>
      <c r="AE293" s="2" t="s">
        <v>54</v>
      </c>
      <c r="AF293" s="2" t="s">
        <v>54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427"/>
  <sheetViews>
    <sheetView workbookViewId="0"/>
  </sheetViews>
  <sheetFormatPr baseColWidth="10" defaultColWidth="14.5" defaultRowHeight="15" customHeight="1" x14ac:dyDescent="0.2"/>
  <sheetData>
    <row r="1" spans="1:23" x14ac:dyDescent="0.2">
      <c r="A1" s="2" t="s">
        <v>1</v>
      </c>
      <c r="B1" s="2" t="s">
        <v>5</v>
      </c>
      <c r="C1" s="2" t="s">
        <v>21</v>
      </c>
      <c r="D1" s="2" t="s">
        <v>8</v>
      </c>
      <c r="E1" s="2" t="s">
        <v>3</v>
      </c>
      <c r="F1" s="2" t="s">
        <v>2</v>
      </c>
      <c r="G1" s="2" t="s">
        <v>4</v>
      </c>
      <c r="H1" s="2" t="s">
        <v>1763</v>
      </c>
      <c r="I1" s="2" t="s">
        <v>19</v>
      </c>
      <c r="J1" s="2" t="s">
        <v>20</v>
      </c>
      <c r="K1" s="2" t="s">
        <v>22</v>
      </c>
      <c r="L1" s="2" t="s">
        <v>16</v>
      </c>
      <c r="M1" s="2" t="s">
        <v>1764</v>
      </c>
      <c r="N1" s="2" t="s">
        <v>7</v>
      </c>
      <c r="O1" s="2" t="s">
        <v>10</v>
      </c>
      <c r="P1" s="2" t="s">
        <v>9</v>
      </c>
      <c r="Q1" s="2" t="s">
        <v>11</v>
      </c>
      <c r="R1" s="2" t="s">
        <v>15</v>
      </c>
      <c r="S1" s="2" t="s">
        <v>18</v>
      </c>
      <c r="T1" s="2" t="s">
        <v>13</v>
      </c>
      <c r="U1" s="2" t="s">
        <v>17</v>
      </c>
      <c r="V1" s="2" t="s">
        <v>1765</v>
      </c>
      <c r="W1" s="2" t="s">
        <v>36</v>
      </c>
    </row>
    <row r="2" spans="1:23" x14ac:dyDescent="0.2">
      <c r="A2" s="2" t="s">
        <v>813</v>
      </c>
      <c r="B2" s="2" t="s">
        <v>816</v>
      </c>
      <c r="C2" s="2" t="s">
        <v>57</v>
      </c>
      <c r="D2" s="2" t="s">
        <v>184</v>
      </c>
      <c r="E2" s="2" t="s">
        <v>3426</v>
      </c>
      <c r="F2" s="2" t="s">
        <v>3427</v>
      </c>
      <c r="G2" s="2" t="s">
        <v>3428</v>
      </c>
      <c r="H2" s="2" t="s">
        <v>54</v>
      </c>
      <c r="I2" s="2" t="s">
        <v>133</v>
      </c>
      <c r="J2" s="2" t="s">
        <v>56</v>
      </c>
      <c r="K2" s="22">
        <v>527930000</v>
      </c>
      <c r="L2" s="2" t="s">
        <v>52</v>
      </c>
      <c r="M2" s="2" t="s">
        <v>1770</v>
      </c>
      <c r="N2" s="2" t="s">
        <v>184</v>
      </c>
      <c r="O2" s="2" t="s">
        <v>3977</v>
      </c>
      <c r="P2" s="22">
        <v>0.625</v>
      </c>
      <c r="Q2" s="2" t="s">
        <v>3978</v>
      </c>
      <c r="R2" s="2" t="s">
        <v>225</v>
      </c>
      <c r="S2" s="2" t="s">
        <v>263</v>
      </c>
      <c r="T2" s="2" t="s">
        <v>115</v>
      </c>
      <c r="U2" s="2" t="s">
        <v>53</v>
      </c>
      <c r="V2" s="2" t="s">
        <v>3429</v>
      </c>
      <c r="W2" s="22">
        <v>0.67300000000000004</v>
      </c>
    </row>
    <row r="3" spans="1:23" x14ac:dyDescent="0.2">
      <c r="A3" s="2" t="s">
        <v>566</v>
      </c>
      <c r="B3" s="2" t="s">
        <v>569</v>
      </c>
      <c r="C3" s="2" t="s">
        <v>57</v>
      </c>
      <c r="D3" s="2" t="s">
        <v>184</v>
      </c>
      <c r="E3" s="2" t="s">
        <v>2686</v>
      </c>
      <c r="F3" s="2" t="s">
        <v>2687</v>
      </c>
      <c r="G3" s="2" t="s">
        <v>2688</v>
      </c>
      <c r="H3" s="2" t="s">
        <v>54</v>
      </c>
      <c r="I3" s="2" t="s">
        <v>55</v>
      </c>
      <c r="J3" s="2" t="s">
        <v>56</v>
      </c>
      <c r="K3" s="22">
        <v>641964000</v>
      </c>
      <c r="L3" s="2" t="s">
        <v>52</v>
      </c>
      <c r="M3" s="2" t="s">
        <v>173</v>
      </c>
      <c r="N3" s="2" t="s">
        <v>184</v>
      </c>
      <c r="O3" s="2" t="s">
        <v>3979</v>
      </c>
      <c r="P3" s="22">
        <v>1.5</v>
      </c>
      <c r="Q3" s="2" t="s">
        <v>3980</v>
      </c>
      <c r="R3" s="2" t="s">
        <v>225</v>
      </c>
      <c r="S3" s="2" t="s">
        <v>496</v>
      </c>
      <c r="T3" s="2" t="s">
        <v>115</v>
      </c>
      <c r="U3" s="2" t="s">
        <v>53</v>
      </c>
      <c r="V3" s="2" t="s">
        <v>2689</v>
      </c>
      <c r="W3" s="22">
        <v>1.6080000000000001</v>
      </c>
    </row>
    <row r="4" spans="1:23" x14ac:dyDescent="0.2">
      <c r="A4" s="2" t="s">
        <v>613</v>
      </c>
      <c r="B4" s="2" t="s">
        <v>616</v>
      </c>
      <c r="C4" s="2" t="s">
        <v>57</v>
      </c>
      <c r="D4" s="2" t="s">
        <v>199</v>
      </c>
      <c r="E4" s="2" t="s">
        <v>2441</v>
      </c>
      <c r="F4" s="2" t="s">
        <v>2442</v>
      </c>
      <c r="G4" s="2" t="s">
        <v>2443</v>
      </c>
      <c r="H4" s="22">
        <v>1.5840000000000001</v>
      </c>
      <c r="I4" s="2" t="s">
        <v>117</v>
      </c>
      <c r="J4" s="2" t="s">
        <v>56</v>
      </c>
      <c r="K4" s="22">
        <v>802455000</v>
      </c>
      <c r="L4" s="2" t="s">
        <v>52</v>
      </c>
      <c r="M4" s="2" t="s">
        <v>1770</v>
      </c>
      <c r="N4" s="2" t="s">
        <v>199</v>
      </c>
      <c r="O4" s="2" t="s">
        <v>3979</v>
      </c>
      <c r="P4" s="22">
        <v>1.5</v>
      </c>
      <c r="Q4" s="2" t="s">
        <v>3981</v>
      </c>
      <c r="R4" s="2" t="s">
        <v>225</v>
      </c>
      <c r="S4" s="2" t="s">
        <v>619</v>
      </c>
      <c r="T4" s="2" t="s">
        <v>49</v>
      </c>
      <c r="U4" s="2" t="s">
        <v>53</v>
      </c>
      <c r="V4" s="2" t="s">
        <v>2444</v>
      </c>
      <c r="W4" s="22">
        <v>1.554</v>
      </c>
    </row>
    <row r="5" spans="1:23" x14ac:dyDescent="0.2">
      <c r="A5" s="2" t="s">
        <v>1359</v>
      </c>
      <c r="B5" s="2" t="s">
        <v>1362</v>
      </c>
      <c r="C5" s="2" t="s">
        <v>57</v>
      </c>
      <c r="D5" s="2" t="s">
        <v>199</v>
      </c>
      <c r="E5" s="2" t="s">
        <v>3208</v>
      </c>
      <c r="F5" s="2" t="s">
        <v>3209</v>
      </c>
      <c r="G5" s="2" t="s">
        <v>3210</v>
      </c>
      <c r="H5" s="22">
        <v>1.3180000000000001</v>
      </c>
      <c r="I5" s="2" t="s">
        <v>117</v>
      </c>
      <c r="J5" s="2" t="s">
        <v>56</v>
      </c>
      <c r="K5" s="22">
        <v>536885000</v>
      </c>
      <c r="L5" s="2" t="s">
        <v>52</v>
      </c>
      <c r="M5" s="2" t="s">
        <v>1770</v>
      </c>
      <c r="N5" s="2" t="s">
        <v>199</v>
      </c>
      <c r="O5" s="2" t="s">
        <v>3982</v>
      </c>
      <c r="P5" s="22">
        <v>1.25</v>
      </c>
      <c r="Q5" s="2" t="s">
        <v>3983</v>
      </c>
      <c r="R5" s="2" t="s">
        <v>225</v>
      </c>
      <c r="S5" s="2" t="s">
        <v>174</v>
      </c>
      <c r="T5" s="2" t="s">
        <v>49</v>
      </c>
      <c r="U5" s="2" t="s">
        <v>53</v>
      </c>
      <c r="V5" s="2" t="s">
        <v>3211</v>
      </c>
      <c r="W5" s="22">
        <v>1.3420000000000001</v>
      </c>
    </row>
    <row r="6" spans="1:23" x14ac:dyDescent="0.2">
      <c r="A6" s="2" t="s">
        <v>1157</v>
      </c>
      <c r="B6" s="2" t="s">
        <v>1160</v>
      </c>
      <c r="C6" s="2" t="s">
        <v>57</v>
      </c>
      <c r="D6" s="2" t="s">
        <v>184</v>
      </c>
      <c r="E6" s="2" t="s">
        <v>1789</v>
      </c>
      <c r="F6" s="2" t="s">
        <v>1790</v>
      </c>
      <c r="G6" s="2" t="s">
        <v>1791</v>
      </c>
      <c r="H6" s="22">
        <v>1.373</v>
      </c>
      <c r="I6" s="2" t="s">
        <v>117</v>
      </c>
      <c r="J6" s="2" t="s">
        <v>56</v>
      </c>
      <c r="K6" s="22">
        <v>644262000</v>
      </c>
      <c r="L6" s="2" t="s">
        <v>52</v>
      </c>
      <c r="M6" s="2" t="s">
        <v>1792</v>
      </c>
      <c r="N6" s="2" t="s">
        <v>184</v>
      </c>
      <c r="O6" s="2" t="s">
        <v>3982</v>
      </c>
      <c r="P6" s="22">
        <v>2.5</v>
      </c>
      <c r="Q6" s="2" t="s">
        <v>3984</v>
      </c>
      <c r="R6" s="2" t="s">
        <v>173</v>
      </c>
      <c r="S6" s="2" t="s">
        <v>263</v>
      </c>
      <c r="T6" s="2" t="s">
        <v>49</v>
      </c>
      <c r="U6" s="2" t="s">
        <v>53</v>
      </c>
      <c r="V6" s="2" t="s">
        <v>1793</v>
      </c>
      <c r="W6" s="22">
        <v>1.9319999999999999</v>
      </c>
    </row>
    <row r="7" spans="1:23" x14ac:dyDescent="0.2">
      <c r="A7" s="2" t="s">
        <v>476</v>
      </c>
      <c r="B7" s="2" t="s">
        <v>479</v>
      </c>
      <c r="C7" s="2" t="s">
        <v>57</v>
      </c>
      <c r="D7" s="2" t="s">
        <v>45</v>
      </c>
      <c r="E7" s="2" t="s">
        <v>1896</v>
      </c>
      <c r="F7" s="2" t="s">
        <v>1897</v>
      </c>
      <c r="G7" s="2" t="s">
        <v>1898</v>
      </c>
      <c r="H7" s="2" t="s">
        <v>54</v>
      </c>
      <c r="I7" s="2" t="s">
        <v>55</v>
      </c>
      <c r="J7" s="2" t="s">
        <v>56</v>
      </c>
      <c r="K7" s="22">
        <v>527325000</v>
      </c>
      <c r="L7" s="2" t="s">
        <v>458</v>
      </c>
      <c r="M7" s="2" t="s">
        <v>173</v>
      </c>
      <c r="N7" s="2" t="s">
        <v>45</v>
      </c>
      <c r="O7" s="2" t="s">
        <v>3985</v>
      </c>
      <c r="P7" s="22">
        <v>0.375</v>
      </c>
      <c r="Q7" s="2" t="s">
        <v>3986</v>
      </c>
      <c r="R7" s="2" t="s">
        <v>3987</v>
      </c>
      <c r="S7" s="2" t="s">
        <v>189</v>
      </c>
      <c r="T7" s="2" t="s">
        <v>49</v>
      </c>
      <c r="U7" s="2" t="s">
        <v>53</v>
      </c>
      <c r="V7" s="2" t="s">
        <v>1899</v>
      </c>
      <c r="W7" s="22">
        <v>0.38100000000000001</v>
      </c>
    </row>
    <row r="8" spans="1:23" x14ac:dyDescent="0.2">
      <c r="A8" s="2" t="s">
        <v>641</v>
      </c>
      <c r="B8" s="2" t="s">
        <v>644</v>
      </c>
      <c r="C8" s="2" t="s">
        <v>57</v>
      </c>
      <c r="D8" s="2" t="s">
        <v>199</v>
      </c>
      <c r="E8" s="2" t="s">
        <v>2397</v>
      </c>
      <c r="F8" s="2" t="s">
        <v>2398</v>
      </c>
      <c r="G8" s="2" t="s">
        <v>2399</v>
      </c>
      <c r="H8" s="2" t="s">
        <v>54</v>
      </c>
      <c r="I8" s="2" t="s">
        <v>55</v>
      </c>
      <c r="J8" s="2" t="s">
        <v>56</v>
      </c>
      <c r="K8" s="22">
        <v>222563025</v>
      </c>
      <c r="L8" s="2" t="s">
        <v>52</v>
      </c>
      <c r="M8" s="2" t="s">
        <v>173</v>
      </c>
      <c r="N8" s="2" t="s">
        <v>366</v>
      </c>
      <c r="O8" s="2" t="s">
        <v>3988</v>
      </c>
      <c r="P8" s="22">
        <v>0.55000000000000004</v>
      </c>
      <c r="Q8" s="2" t="s">
        <v>3989</v>
      </c>
      <c r="R8" s="2" t="s">
        <v>225</v>
      </c>
      <c r="S8" s="2" t="s">
        <v>619</v>
      </c>
      <c r="T8" s="2" t="s">
        <v>49</v>
      </c>
      <c r="U8" s="2" t="s">
        <v>1806</v>
      </c>
      <c r="V8" s="2" t="s">
        <v>2400</v>
      </c>
      <c r="W8" s="22">
        <v>0.47699999999999998</v>
      </c>
    </row>
    <row r="9" spans="1:23" x14ac:dyDescent="0.2">
      <c r="A9" s="2" t="s">
        <v>754</v>
      </c>
      <c r="B9" s="2" t="s">
        <v>757</v>
      </c>
      <c r="C9" s="2" t="s">
        <v>71</v>
      </c>
      <c r="D9" s="2" t="s">
        <v>258</v>
      </c>
      <c r="E9" s="2" t="s">
        <v>3294</v>
      </c>
      <c r="F9" s="2" t="s">
        <v>3295</v>
      </c>
      <c r="G9" s="2" t="s">
        <v>3296</v>
      </c>
      <c r="H9" s="22">
        <v>7.375</v>
      </c>
      <c r="I9" s="2" t="s">
        <v>55</v>
      </c>
      <c r="J9" s="2" t="s">
        <v>56</v>
      </c>
      <c r="K9" s="22">
        <v>1250000000</v>
      </c>
      <c r="L9" s="2" t="s">
        <v>52</v>
      </c>
      <c r="M9" s="2" t="s">
        <v>1775</v>
      </c>
      <c r="N9" s="2" t="s">
        <v>257</v>
      </c>
      <c r="O9" s="2" t="s">
        <v>3990</v>
      </c>
      <c r="P9" s="22">
        <v>7</v>
      </c>
      <c r="Q9" s="2" t="s">
        <v>3991</v>
      </c>
      <c r="R9" s="2" t="s">
        <v>261</v>
      </c>
      <c r="S9" s="2" t="s">
        <v>496</v>
      </c>
      <c r="T9" s="2" t="s">
        <v>115</v>
      </c>
      <c r="U9" s="2" t="s">
        <v>262</v>
      </c>
      <c r="V9" s="2" t="s">
        <v>3297</v>
      </c>
      <c r="W9" s="22">
        <v>7.1769999999999996</v>
      </c>
    </row>
    <row r="10" spans="1:23" x14ac:dyDescent="0.2">
      <c r="A10" s="2" t="s">
        <v>774</v>
      </c>
      <c r="B10" s="2" t="s">
        <v>777</v>
      </c>
      <c r="C10" s="2" t="s">
        <v>57</v>
      </c>
      <c r="D10" s="2" t="s">
        <v>199</v>
      </c>
      <c r="E10" s="2" t="s">
        <v>1767</v>
      </c>
      <c r="F10" s="2" t="s">
        <v>1768</v>
      </c>
      <c r="G10" s="2" t="s">
        <v>1769</v>
      </c>
      <c r="H10" s="2" t="s">
        <v>54</v>
      </c>
      <c r="I10" s="2" t="s">
        <v>55</v>
      </c>
      <c r="J10" s="2" t="s">
        <v>56</v>
      </c>
      <c r="K10" s="22">
        <v>321444000</v>
      </c>
      <c r="L10" s="2" t="s">
        <v>52</v>
      </c>
      <c r="M10" s="2" t="s">
        <v>1770</v>
      </c>
      <c r="N10" s="2" t="s">
        <v>199</v>
      </c>
      <c r="O10" s="2" t="s">
        <v>3990</v>
      </c>
      <c r="P10" s="22">
        <v>1.25</v>
      </c>
      <c r="Q10" s="2" t="s">
        <v>3992</v>
      </c>
      <c r="R10" s="2" t="s">
        <v>225</v>
      </c>
      <c r="S10" s="2" t="s">
        <v>189</v>
      </c>
      <c r="T10" s="2" t="s">
        <v>49</v>
      </c>
      <c r="U10" s="2" t="s">
        <v>53</v>
      </c>
      <c r="V10" s="2" t="s">
        <v>1771</v>
      </c>
      <c r="W10" s="22">
        <v>1.34</v>
      </c>
    </row>
    <row r="11" spans="1:23" x14ac:dyDescent="0.2">
      <c r="A11" s="2" t="s">
        <v>754</v>
      </c>
      <c r="B11" s="2" t="s">
        <v>757</v>
      </c>
      <c r="C11" s="2" t="s">
        <v>71</v>
      </c>
      <c r="D11" s="2" t="s">
        <v>258</v>
      </c>
      <c r="E11" s="2" t="s">
        <v>3298</v>
      </c>
      <c r="F11" s="2" t="s">
        <v>3299</v>
      </c>
      <c r="G11" s="2" t="s">
        <v>3300</v>
      </c>
      <c r="H11" s="22">
        <v>7.375</v>
      </c>
      <c r="I11" s="2" t="s">
        <v>55</v>
      </c>
      <c r="J11" s="2" t="s">
        <v>56</v>
      </c>
      <c r="K11" s="22">
        <v>1250000000</v>
      </c>
      <c r="L11" s="2" t="s">
        <v>52</v>
      </c>
      <c r="M11" s="2" t="s">
        <v>1775</v>
      </c>
      <c r="N11" s="2" t="s">
        <v>257</v>
      </c>
      <c r="O11" s="2" t="s">
        <v>3990</v>
      </c>
      <c r="P11" s="22">
        <v>7</v>
      </c>
      <c r="Q11" s="2" t="s">
        <v>3991</v>
      </c>
      <c r="R11" s="2" t="s">
        <v>270</v>
      </c>
      <c r="S11" s="2" t="s">
        <v>496</v>
      </c>
      <c r="T11" s="2" t="s">
        <v>115</v>
      </c>
      <c r="U11" s="2" t="s">
        <v>262</v>
      </c>
      <c r="V11" s="2" t="s">
        <v>3301</v>
      </c>
      <c r="W11" s="22">
        <v>7.1859999999999999</v>
      </c>
    </row>
    <row r="12" spans="1:23" x14ac:dyDescent="0.2">
      <c r="A12" s="2" t="s">
        <v>1559</v>
      </c>
      <c r="B12" s="2" t="s">
        <v>1562</v>
      </c>
      <c r="C12" s="2" t="s">
        <v>57</v>
      </c>
      <c r="D12" s="2" t="s">
        <v>257</v>
      </c>
      <c r="E12" s="2" t="s">
        <v>2722</v>
      </c>
      <c r="F12" s="2" t="s">
        <v>2723</v>
      </c>
      <c r="G12" s="2" t="s">
        <v>2724</v>
      </c>
      <c r="H12" s="2" t="s">
        <v>54</v>
      </c>
      <c r="I12" s="2" t="s">
        <v>55</v>
      </c>
      <c r="J12" s="2" t="s">
        <v>56</v>
      </c>
      <c r="K12" s="22">
        <v>834412500</v>
      </c>
      <c r="L12" s="2" t="s">
        <v>52</v>
      </c>
      <c r="M12" s="2" t="s">
        <v>1770</v>
      </c>
      <c r="N12" s="2" t="s">
        <v>366</v>
      </c>
      <c r="O12" s="2" t="s">
        <v>3993</v>
      </c>
      <c r="P12" s="22">
        <v>1.25</v>
      </c>
      <c r="Q12" s="2" t="s">
        <v>3994</v>
      </c>
      <c r="R12" s="2" t="s">
        <v>173</v>
      </c>
      <c r="S12" s="2" t="s">
        <v>174</v>
      </c>
      <c r="T12" s="2" t="s">
        <v>49</v>
      </c>
      <c r="U12" s="2" t="s">
        <v>53</v>
      </c>
      <c r="V12" s="2" t="s">
        <v>2725</v>
      </c>
      <c r="W12" s="22">
        <v>1.222</v>
      </c>
    </row>
    <row r="13" spans="1:23" x14ac:dyDescent="0.2">
      <c r="A13" s="2" t="s">
        <v>1559</v>
      </c>
      <c r="B13" s="2" t="s">
        <v>1562</v>
      </c>
      <c r="C13" s="2" t="s">
        <v>57</v>
      </c>
      <c r="D13" s="2" t="s">
        <v>257</v>
      </c>
      <c r="E13" s="2" t="s">
        <v>2726</v>
      </c>
      <c r="F13" s="2" t="s">
        <v>2727</v>
      </c>
      <c r="G13" s="2" t="s">
        <v>2728</v>
      </c>
      <c r="H13" s="2" t="s">
        <v>54</v>
      </c>
      <c r="I13" s="2" t="s">
        <v>55</v>
      </c>
      <c r="J13" s="2" t="s">
        <v>56</v>
      </c>
      <c r="K13" s="22">
        <v>834412500</v>
      </c>
      <c r="L13" s="2" t="s">
        <v>52</v>
      </c>
      <c r="M13" s="2" t="s">
        <v>173</v>
      </c>
      <c r="N13" s="2" t="s">
        <v>366</v>
      </c>
      <c r="O13" s="2" t="s">
        <v>3993</v>
      </c>
      <c r="P13" s="22">
        <v>2</v>
      </c>
      <c r="Q13" s="2" t="s">
        <v>3995</v>
      </c>
      <c r="R13" s="2" t="s">
        <v>173</v>
      </c>
      <c r="S13" s="2" t="s">
        <v>174</v>
      </c>
      <c r="T13" s="2" t="s">
        <v>49</v>
      </c>
      <c r="U13" s="2" t="s">
        <v>53</v>
      </c>
      <c r="V13" s="2" t="s">
        <v>2729</v>
      </c>
      <c r="W13" s="22">
        <v>1.919</v>
      </c>
    </row>
    <row r="14" spans="1:23" x14ac:dyDescent="0.2">
      <c r="A14" s="2" t="s">
        <v>670</v>
      </c>
      <c r="B14" s="2" t="s">
        <v>673</v>
      </c>
      <c r="C14" s="2" t="s">
        <v>57</v>
      </c>
      <c r="D14" s="2" t="s">
        <v>184</v>
      </c>
      <c r="E14" s="2" t="s">
        <v>2366</v>
      </c>
      <c r="F14" s="2" t="s">
        <v>2367</v>
      </c>
      <c r="G14" s="2" t="s">
        <v>2368</v>
      </c>
      <c r="H14" s="2" t="s">
        <v>54</v>
      </c>
      <c r="I14" s="2" t="s">
        <v>420</v>
      </c>
      <c r="J14" s="2" t="s">
        <v>56</v>
      </c>
      <c r="K14" s="22">
        <v>535195000</v>
      </c>
      <c r="L14" s="2" t="s">
        <v>52</v>
      </c>
      <c r="M14" s="2" t="s">
        <v>1770</v>
      </c>
      <c r="N14" s="2" t="s">
        <v>184</v>
      </c>
      <c r="O14" s="2" t="s">
        <v>3996</v>
      </c>
      <c r="P14" s="22">
        <v>1.875</v>
      </c>
      <c r="Q14" s="2" t="s">
        <v>1460</v>
      </c>
      <c r="R14" s="2" t="s">
        <v>173</v>
      </c>
      <c r="S14" s="2" t="s">
        <v>189</v>
      </c>
      <c r="T14" s="2" t="s">
        <v>115</v>
      </c>
      <c r="U14" s="2" t="s">
        <v>53</v>
      </c>
      <c r="V14" s="2" t="s">
        <v>2369</v>
      </c>
      <c r="W14" s="22">
        <v>1.89</v>
      </c>
    </row>
    <row r="15" spans="1:23" x14ac:dyDescent="0.2">
      <c r="A15" s="2" t="s">
        <v>1639</v>
      </c>
      <c r="B15" s="2" t="s">
        <v>1642</v>
      </c>
      <c r="C15" s="2" t="s">
        <v>57</v>
      </c>
      <c r="D15" s="2" t="s">
        <v>170</v>
      </c>
      <c r="E15" s="2" t="s">
        <v>2968</v>
      </c>
      <c r="F15" s="2" t="s">
        <v>2969</v>
      </c>
      <c r="G15" s="2" t="s">
        <v>2970</v>
      </c>
      <c r="H15" s="2" t="s">
        <v>54</v>
      </c>
      <c r="I15" s="2" t="s">
        <v>55</v>
      </c>
      <c r="J15" s="2" t="s">
        <v>56</v>
      </c>
      <c r="K15" s="22">
        <v>641838000</v>
      </c>
      <c r="L15" s="2" t="s">
        <v>52</v>
      </c>
      <c r="M15" s="2" t="s">
        <v>1770</v>
      </c>
      <c r="N15" s="2" t="s">
        <v>169</v>
      </c>
      <c r="O15" s="2" t="s">
        <v>3997</v>
      </c>
      <c r="P15" s="22">
        <v>1.125</v>
      </c>
      <c r="Q15" s="2" t="s">
        <v>3998</v>
      </c>
      <c r="R15" s="2" t="s">
        <v>173</v>
      </c>
      <c r="S15" s="2" t="s">
        <v>1645</v>
      </c>
      <c r="T15" s="2" t="s">
        <v>115</v>
      </c>
      <c r="U15" s="2" t="s">
        <v>53</v>
      </c>
      <c r="V15" s="2" t="s">
        <v>2971</v>
      </c>
      <c r="W15" s="22">
        <v>1.0169999999999999</v>
      </c>
    </row>
    <row r="16" spans="1:23" x14ac:dyDescent="0.2">
      <c r="A16" s="2" t="s">
        <v>641</v>
      </c>
      <c r="B16" s="2" t="s">
        <v>644</v>
      </c>
      <c r="C16" s="2" t="s">
        <v>71</v>
      </c>
      <c r="D16" s="2" t="s">
        <v>199</v>
      </c>
      <c r="E16" s="2" t="s">
        <v>2401</v>
      </c>
      <c r="F16" s="2" t="s">
        <v>2402</v>
      </c>
      <c r="G16" s="2" t="s">
        <v>2403</v>
      </c>
      <c r="H16" s="22">
        <v>4.7600000000000007</v>
      </c>
      <c r="I16" s="2" t="s">
        <v>55</v>
      </c>
      <c r="J16" s="2" t="s">
        <v>56</v>
      </c>
      <c r="K16" s="22">
        <v>1500000000</v>
      </c>
      <c r="L16" s="2" t="s">
        <v>52</v>
      </c>
      <c r="M16" s="2" t="s">
        <v>1775</v>
      </c>
      <c r="N16" s="2" t="s">
        <v>366</v>
      </c>
      <c r="O16" s="2" t="s">
        <v>3999</v>
      </c>
      <c r="P16" s="22">
        <v>4.75</v>
      </c>
      <c r="Q16" s="2" t="s">
        <v>4000</v>
      </c>
      <c r="R16" s="2" t="s">
        <v>270</v>
      </c>
      <c r="S16" s="2" t="s">
        <v>619</v>
      </c>
      <c r="T16" s="2" t="s">
        <v>49</v>
      </c>
      <c r="U16" s="2" t="s">
        <v>262</v>
      </c>
      <c r="V16" s="2" t="s">
        <v>2404</v>
      </c>
      <c r="W16" s="22">
        <v>4.72</v>
      </c>
    </row>
    <row r="17" spans="1:23" x14ac:dyDescent="0.2">
      <c r="A17" s="2" t="s">
        <v>641</v>
      </c>
      <c r="B17" s="2" t="s">
        <v>644</v>
      </c>
      <c r="C17" s="2" t="s">
        <v>71</v>
      </c>
      <c r="D17" s="2" t="s">
        <v>199</v>
      </c>
      <c r="E17" s="2" t="s">
        <v>2405</v>
      </c>
      <c r="F17" s="2" t="s">
        <v>2406</v>
      </c>
      <c r="G17" s="2" t="s">
        <v>2407</v>
      </c>
      <c r="H17" s="22">
        <v>4.7600000000000007</v>
      </c>
      <c r="I17" s="2" t="s">
        <v>55</v>
      </c>
      <c r="J17" s="2" t="s">
        <v>56</v>
      </c>
      <c r="K17" s="22">
        <v>1500000000</v>
      </c>
      <c r="L17" s="2" t="s">
        <v>52</v>
      </c>
      <c r="M17" s="2" t="s">
        <v>1775</v>
      </c>
      <c r="N17" s="2" t="s">
        <v>366</v>
      </c>
      <c r="O17" s="2" t="s">
        <v>3999</v>
      </c>
      <c r="P17" s="22">
        <v>4.75</v>
      </c>
      <c r="Q17" s="2" t="s">
        <v>4000</v>
      </c>
      <c r="R17" s="2" t="s">
        <v>261</v>
      </c>
      <c r="S17" s="2" t="s">
        <v>619</v>
      </c>
      <c r="T17" s="2" t="s">
        <v>49</v>
      </c>
      <c r="U17" s="2" t="s">
        <v>262</v>
      </c>
      <c r="V17" s="2" t="s">
        <v>2408</v>
      </c>
      <c r="W17" s="22">
        <v>4.7149999999999999</v>
      </c>
    </row>
    <row r="18" spans="1:23" x14ac:dyDescent="0.2">
      <c r="A18" s="2" t="s">
        <v>641</v>
      </c>
      <c r="B18" s="2" t="s">
        <v>644</v>
      </c>
      <c r="C18" s="2" t="s">
        <v>71</v>
      </c>
      <c r="D18" s="2" t="s">
        <v>199</v>
      </c>
      <c r="E18" s="2" t="s">
        <v>2409</v>
      </c>
      <c r="F18" s="2" t="s">
        <v>2410</v>
      </c>
      <c r="G18" s="2" t="s">
        <v>2411</v>
      </c>
      <c r="H18" s="22">
        <v>3.7470000000000003</v>
      </c>
      <c r="I18" s="2" t="s">
        <v>55</v>
      </c>
      <c r="J18" s="2" t="s">
        <v>56</v>
      </c>
      <c r="K18" s="22">
        <v>2000000000</v>
      </c>
      <c r="L18" s="2" t="s">
        <v>52</v>
      </c>
      <c r="M18" s="2" t="s">
        <v>1775</v>
      </c>
      <c r="N18" s="2" t="s">
        <v>366</v>
      </c>
      <c r="O18" s="2" t="s">
        <v>3999</v>
      </c>
      <c r="P18" s="22">
        <v>3.625</v>
      </c>
      <c r="Q18" s="2" t="s">
        <v>4001</v>
      </c>
      <c r="R18" s="2" t="s">
        <v>261</v>
      </c>
      <c r="S18" s="2" t="s">
        <v>619</v>
      </c>
      <c r="T18" s="2" t="s">
        <v>49</v>
      </c>
      <c r="U18" s="2" t="s">
        <v>262</v>
      </c>
      <c r="V18" s="2" t="s">
        <v>2412</v>
      </c>
      <c r="W18" s="22">
        <v>3.742</v>
      </c>
    </row>
    <row r="19" spans="1:23" x14ac:dyDescent="0.2">
      <c r="A19" s="2" t="s">
        <v>641</v>
      </c>
      <c r="B19" s="2" t="s">
        <v>644</v>
      </c>
      <c r="C19" s="2" t="s">
        <v>71</v>
      </c>
      <c r="D19" s="2" t="s">
        <v>199</v>
      </c>
      <c r="E19" s="2" t="s">
        <v>2413</v>
      </c>
      <c r="F19" s="2" t="s">
        <v>2414</v>
      </c>
      <c r="G19" s="2" t="s">
        <v>2415</v>
      </c>
      <c r="H19" s="22">
        <v>3.7470000000000003</v>
      </c>
      <c r="I19" s="2" t="s">
        <v>55</v>
      </c>
      <c r="J19" s="2" t="s">
        <v>56</v>
      </c>
      <c r="K19" s="22">
        <v>2000000000</v>
      </c>
      <c r="L19" s="2" t="s">
        <v>52</v>
      </c>
      <c r="M19" s="2" t="s">
        <v>1775</v>
      </c>
      <c r="N19" s="2" t="s">
        <v>366</v>
      </c>
      <c r="O19" s="2" t="s">
        <v>3999</v>
      </c>
      <c r="P19" s="22">
        <v>3.625</v>
      </c>
      <c r="Q19" s="2" t="s">
        <v>4001</v>
      </c>
      <c r="R19" s="2" t="s">
        <v>270</v>
      </c>
      <c r="S19" s="2" t="s">
        <v>619</v>
      </c>
      <c r="T19" s="2" t="s">
        <v>49</v>
      </c>
      <c r="U19" s="2" t="s">
        <v>262</v>
      </c>
      <c r="V19" s="2" t="s">
        <v>2416</v>
      </c>
      <c r="W19" s="22">
        <v>3.74</v>
      </c>
    </row>
    <row r="20" spans="1:23" x14ac:dyDescent="0.2">
      <c r="A20" s="2" t="s">
        <v>490</v>
      </c>
      <c r="B20" s="2" t="s">
        <v>493</v>
      </c>
      <c r="C20" s="2" t="s">
        <v>57</v>
      </c>
      <c r="D20" s="2" t="s">
        <v>199</v>
      </c>
      <c r="E20" s="2" t="s">
        <v>1821</v>
      </c>
      <c r="F20" s="2" t="s">
        <v>1822</v>
      </c>
      <c r="G20" s="2" t="s">
        <v>1823</v>
      </c>
      <c r="H20" s="22">
        <v>1.7010000000000001</v>
      </c>
      <c r="I20" s="2" t="s">
        <v>55</v>
      </c>
      <c r="J20" s="2" t="s">
        <v>56</v>
      </c>
      <c r="K20" s="22">
        <v>560580000</v>
      </c>
      <c r="L20" s="2" t="s">
        <v>52</v>
      </c>
      <c r="M20" s="2" t="s">
        <v>1824</v>
      </c>
      <c r="N20" s="2" t="s">
        <v>199</v>
      </c>
      <c r="O20" s="2" t="s">
        <v>4002</v>
      </c>
      <c r="P20" s="22">
        <v>1.625</v>
      </c>
      <c r="Q20" s="2" t="s">
        <v>4003</v>
      </c>
      <c r="R20" s="2" t="s">
        <v>225</v>
      </c>
      <c r="S20" s="2" t="s">
        <v>496</v>
      </c>
      <c r="T20" s="2" t="s">
        <v>115</v>
      </c>
      <c r="U20" s="2" t="s">
        <v>53</v>
      </c>
      <c r="V20" s="2" t="s">
        <v>1825</v>
      </c>
      <c r="W20" s="22">
        <v>1.647</v>
      </c>
    </row>
    <row r="21" spans="1:23" x14ac:dyDescent="0.2">
      <c r="A21" s="2" t="s">
        <v>1486</v>
      </c>
      <c r="B21" s="2" t="s">
        <v>1489</v>
      </c>
      <c r="C21" s="2" t="s">
        <v>173</v>
      </c>
      <c r="D21" s="2" t="s">
        <v>184</v>
      </c>
      <c r="E21" s="2" t="s">
        <v>2250</v>
      </c>
      <c r="F21" s="2" t="s">
        <v>2251</v>
      </c>
      <c r="G21" s="2" t="s">
        <v>2252</v>
      </c>
      <c r="H21" s="22">
        <v>0.29000000000000004</v>
      </c>
      <c r="I21" s="2" t="s">
        <v>117</v>
      </c>
      <c r="J21" s="2" t="s">
        <v>675</v>
      </c>
      <c r="K21" s="22">
        <v>500000000</v>
      </c>
      <c r="L21" s="2" t="s">
        <v>52</v>
      </c>
      <c r="M21" s="2" t="s">
        <v>1770</v>
      </c>
      <c r="N21" s="2" t="s">
        <v>184</v>
      </c>
      <c r="O21" s="2" t="s">
        <v>4004</v>
      </c>
      <c r="P21" s="22">
        <v>0</v>
      </c>
      <c r="Q21" s="2" t="s">
        <v>4005</v>
      </c>
      <c r="R21" s="2" t="s">
        <v>1489</v>
      </c>
      <c r="S21" s="2" t="s">
        <v>54</v>
      </c>
      <c r="T21" s="2" t="s">
        <v>188</v>
      </c>
      <c r="U21" s="2" t="s">
        <v>262</v>
      </c>
      <c r="V21" s="2" t="s">
        <v>2253</v>
      </c>
      <c r="W21" s="22">
        <v>0.2</v>
      </c>
    </row>
    <row r="22" spans="1:23" x14ac:dyDescent="0.2">
      <c r="A22" s="2" t="s">
        <v>244</v>
      </c>
      <c r="B22" s="2" t="s">
        <v>247</v>
      </c>
      <c r="C22" s="2" t="s">
        <v>57</v>
      </c>
      <c r="D22" s="2" t="s">
        <v>184</v>
      </c>
      <c r="E22" s="2" t="s">
        <v>2287</v>
      </c>
      <c r="F22" s="2" t="s">
        <v>2288</v>
      </c>
      <c r="G22" s="2" t="s">
        <v>2289</v>
      </c>
      <c r="H22" s="2" t="s">
        <v>54</v>
      </c>
      <c r="I22" s="2" t="s">
        <v>55</v>
      </c>
      <c r="J22" s="2" t="s">
        <v>56</v>
      </c>
      <c r="K22" s="22">
        <v>45059200</v>
      </c>
      <c r="L22" s="2" t="s">
        <v>52</v>
      </c>
      <c r="M22" s="2" t="s">
        <v>173</v>
      </c>
      <c r="N22" s="2" t="s">
        <v>184</v>
      </c>
      <c r="O22" s="2" t="s">
        <v>4006</v>
      </c>
      <c r="P22" s="22">
        <v>3.16</v>
      </c>
      <c r="Q22" s="2" t="s">
        <v>4007</v>
      </c>
      <c r="R22" s="2" t="s">
        <v>173</v>
      </c>
      <c r="S22" s="2" t="s">
        <v>54</v>
      </c>
      <c r="T22" s="2" t="s">
        <v>49</v>
      </c>
      <c r="U22" s="2" t="s">
        <v>53</v>
      </c>
      <c r="V22" s="2" t="s">
        <v>2290</v>
      </c>
      <c r="W22" s="2" t="s">
        <v>54</v>
      </c>
    </row>
    <row r="23" spans="1:23" x14ac:dyDescent="0.2">
      <c r="A23" s="2" t="s">
        <v>108</v>
      </c>
      <c r="B23" s="2" t="s">
        <v>111</v>
      </c>
      <c r="C23" s="2" t="s">
        <v>57</v>
      </c>
      <c r="D23" s="2" t="s">
        <v>112</v>
      </c>
      <c r="E23" s="2" t="s">
        <v>3326</v>
      </c>
      <c r="F23" s="2" t="s">
        <v>3327</v>
      </c>
      <c r="G23" s="2" t="s">
        <v>3328</v>
      </c>
      <c r="H23" s="2" t="s">
        <v>54</v>
      </c>
      <c r="I23" s="2" t="s">
        <v>55</v>
      </c>
      <c r="J23" s="2" t="s">
        <v>56</v>
      </c>
      <c r="K23" s="22">
        <v>566920000</v>
      </c>
      <c r="L23" s="2" t="s">
        <v>52</v>
      </c>
      <c r="M23" s="2" t="s">
        <v>1775</v>
      </c>
      <c r="N23" s="2" t="s">
        <v>112</v>
      </c>
      <c r="O23" s="2" t="s">
        <v>4008</v>
      </c>
      <c r="P23" s="22">
        <v>2.375</v>
      </c>
      <c r="Q23" s="2" t="s">
        <v>4009</v>
      </c>
      <c r="R23" s="2" t="s">
        <v>173</v>
      </c>
      <c r="S23" s="2" t="s">
        <v>189</v>
      </c>
      <c r="T23" s="2" t="s">
        <v>49</v>
      </c>
      <c r="U23" s="2" t="s">
        <v>53</v>
      </c>
      <c r="V23" s="2" t="s">
        <v>3329</v>
      </c>
      <c r="W23" s="22">
        <v>2.3220000000000001</v>
      </c>
    </row>
    <row r="24" spans="1:23" x14ac:dyDescent="0.2">
      <c r="A24" s="2" t="s">
        <v>916</v>
      </c>
      <c r="B24" s="2" t="s">
        <v>919</v>
      </c>
      <c r="C24" s="2" t="s">
        <v>57</v>
      </c>
      <c r="D24" s="2" t="s">
        <v>184</v>
      </c>
      <c r="E24" s="2" t="s">
        <v>2891</v>
      </c>
      <c r="F24" s="2" t="s">
        <v>2892</v>
      </c>
      <c r="G24" s="2" t="s">
        <v>2893</v>
      </c>
      <c r="H24" s="2" t="s">
        <v>54</v>
      </c>
      <c r="I24" s="2" t="s">
        <v>420</v>
      </c>
      <c r="J24" s="2" t="s">
        <v>56</v>
      </c>
      <c r="K24" s="22">
        <v>570980000</v>
      </c>
      <c r="L24" s="2" t="s">
        <v>52</v>
      </c>
      <c r="M24" s="2" t="s">
        <v>2894</v>
      </c>
      <c r="N24" s="2" t="s">
        <v>184</v>
      </c>
      <c r="O24" s="2" t="s">
        <v>4010</v>
      </c>
      <c r="P24" s="22">
        <v>1.875</v>
      </c>
      <c r="Q24" s="2" t="s">
        <v>4011</v>
      </c>
      <c r="R24" s="2" t="s">
        <v>173</v>
      </c>
      <c r="S24" s="2" t="s">
        <v>189</v>
      </c>
      <c r="T24" s="2" t="s">
        <v>115</v>
      </c>
      <c r="U24" s="2" t="s">
        <v>53</v>
      </c>
      <c r="V24" s="2" t="s">
        <v>2895</v>
      </c>
      <c r="W24" s="22">
        <v>1.879</v>
      </c>
    </row>
    <row r="25" spans="1:23" x14ac:dyDescent="0.2">
      <c r="A25" s="2" t="s">
        <v>916</v>
      </c>
      <c r="B25" s="2" t="s">
        <v>919</v>
      </c>
      <c r="C25" s="2" t="s">
        <v>57</v>
      </c>
      <c r="D25" s="2" t="s">
        <v>184</v>
      </c>
      <c r="E25" s="2" t="s">
        <v>2896</v>
      </c>
      <c r="F25" s="2" t="s">
        <v>2897</v>
      </c>
      <c r="G25" s="2" t="s">
        <v>2898</v>
      </c>
      <c r="H25" s="2" t="s">
        <v>54</v>
      </c>
      <c r="I25" s="2" t="s">
        <v>420</v>
      </c>
      <c r="J25" s="2" t="s">
        <v>56</v>
      </c>
      <c r="K25" s="22">
        <v>570980000</v>
      </c>
      <c r="L25" s="2" t="s">
        <v>52</v>
      </c>
      <c r="M25" s="2" t="s">
        <v>2894</v>
      </c>
      <c r="N25" s="2" t="s">
        <v>184</v>
      </c>
      <c r="O25" s="2" t="s">
        <v>4010</v>
      </c>
      <c r="P25" s="22">
        <v>0.75</v>
      </c>
      <c r="Q25" s="2" t="s">
        <v>4012</v>
      </c>
      <c r="R25" s="2" t="s">
        <v>173</v>
      </c>
      <c r="S25" s="2" t="s">
        <v>189</v>
      </c>
      <c r="T25" s="2" t="s">
        <v>115</v>
      </c>
      <c r="U25" s="2" t="s">
        <v>53</v>
      </c>
      <c r="V25" s="2" t="s">
        <v>2899</v>
      </c>
      <c r="W25" s="22">
        <v>0.84699999999999998</v>
      </c>
    </row>
    <row r="26" spans="1:23" x14ac:dyDescent="0.2">
      <c r="A26" s="2" t="s">
        <v>1359</v>
      </c>
      <c r="B26" s="2" t="s">
        <v>1362</v>
      </c>
      <c r="C26" s="2" t="s">
        <v>391</v>
      </c>
      <c r="D26" s="2" t="s">
        <v>199</v>
      </c>
      <c r="E26" s="2" t="s">
        <v>3212</v>
      </c>
      <c r="F26" s="2" t="s">
        <v>3213</v>
      </c>
      <c r="G26" s="2" t="s">
        <v>3214</v>
      </c>
      <c r="H26" s="2" t="s">
        <v>54</v>
      </c>
      <c r="I26" s="2" t="s">
        <v>117</v>
      </c>
      <c r="J26" s="2" t="s">
        <v>70</v>
      </c>
      <c r="K26" s="22">
        <v>415376500</v>
      </c>
      <c r="L26" s="2" t="s">
        <v>52</v>
      </c>
      <c r="M26" s="2" t="s">
        <v>1770</v>
      </c>
      <c r="N26" s="2" t="s">
        <v>199</v>
      </c>
      <c r="O26" s="2" t="s">
        <v>4013</v>
      </c>
      <c r="P26" s="22">
        <v>0</v>
      </c>
      <c r="Q26" s="2" t="s">
        <v>4014</v>
      </c>
      <c r="R26" s="2" t="s">
        <v>225</v>
      </c>
      <c r="S26" s="2" t="s">
        <v>174</v>
      </c>
      <c r="T26" s="2" t="s">
        <v>49</v>
      </c>
      <c r="U26" s="2" t="s">
        <v>53</v>
      </c>
      <c r="V26" s="2" t="s">
        <v>3215</v>
      </c>
      <c r="W26" s="22">
        <v>8.1000000000000003E-2</v>
      </c>
    </row>
    <row r="27" spans="1:23" x14ac:dyDescent="0.2">
      <c r="A27" s="2" t="s">
        <v>165</v>
      </c>
      <c r="B27" s="2" t="s">
        <v>168</v>
      </c>
      <c r="C27" s="2" t="s">
        <v>57</v>
      </c>
      <c r="D27" s="2" t="s">
        <v>170</v>
      </c>
      <c r="E27" s="2" t="s">
        <v>2634</v>
      </c>
      <c r="F27" s="2" t="s">
        <v>2635</v>
      </c>
      <c r="G27" s="2" t="s">
        <v>2636</v>
      </c>
      <c r="H27" s="2" t="s">
        <v>54</v>
      </c>
      <c r="I27" s="2" t="s">
        <v>55</v>
      </c>
      <c r="J27" s="2" t="s">
        <v>56</v>
      </c>
      <c r="K27" s="22">
        <v>901207500</v>
      </c>
      <c r="L27" s="2" t="s">
        <v>52</v>
      </c>
      <c r="M27" s="2" t="s">
        <v>1770</v>
      </c>
      <c r="N27" s="2" t="s">
        <v>169</v>
      </c>
      <c r="O27" s="2" t="s">
        <v>4015</v>
      </c>
      <c r="P27" s="22">
        <v>1.75</v>
      </c>
      <c r="Q27" s="2" t="s">
        <v>4016</v>
      </c>
      <c r="R27" s="2" t="s">
        <v>225</v>
      </c>
      <c r="S27" s="2" t="s">
        <v>174</v>
      </c>
      <c r="T27" s="2" t="s">
        <v>115</v>
      </c>
      <c r="U27" s="2" t="s">
        <v>53</v>
      </c>
      <c r="V27" s="2" t="s">
        <v>2637</v>
      </c>
      <c r="W27" s="22">
        <v>1.7869999999999999</v>
      </c>
    </row>
    <row r="28" spans="1:23" x14ac:dyDescent="0.2">
      <c r="A28" s="2" t="s">
        <v>476</v>
      </c>
      <c r="B28" s="2" t="s">
        <v>479</v>
      </c>
      <c r="C28" s="2" t="s">
        <v>57</v>
      </c>
      <c r="D28" s="2" t="s">
        <v>45</v>
      </c>
      <c r="E28" s="2" t="s">
        <v>1900</v>
      </c>
      <c r="F28" s="2" t="s">
        <v>1901</v>
      </c>
      <c r="G28" s="2" t="s">
        <v>1902</v>
      </c>
      <c r="H28" s="2" t="s">
        <v>54</v>
      </c>
      <c r="I28" s="2" t="s">
        <v>55</v>
      </c>
      <c r="J28" s="2" t="s">
        <v>56</v>
      </c>
      <c r="K28" s="22">
        <v>595155000</v>
      </c>
      <c r="L28" s="2" t="s">
        <v>458</v>
      </c>
      <c r="M28" s="2" t="s">
        <v>1770</v>
      </c>
      <c r="N28" s="2" t="s">
        <v>45</v>
      </c>
      <c r="O28" s="2" t="s">
        <v>4017</v>
      </c>
      <c r="P28" s="22">
        <v>0.125</v>
      </c>
      <c r="Q28" s="2" t="s">
        <v>4018</v>
      </c>
      <c r="R28" s="2" t="s">
        <v>4019</v>
      </c>
      <c r="S28" s="2" t="s">
        <v>189</v>
      </c>
      <c r="T28" s="2" t="s">
        <v>49</v>
      </c>
      <c r="U28" s="2" t="s">
        <v>53</v>
      </c>
      <c r="V28" s="2" t="s">
        <v>1903</v>
      </c>
      <c r="W28" s="22">
        <v>0.153</v>
      </c>
    </row>
    <row r="29" spans="1:23" x14ac:dyDescent="0.2">
      <c r="A29" s="2" t="s">
        <v>813</v>
      </c>
      <c r="B29" s="2" t="s">
        <v>816</v>
      </c>
      <c r="C29" s="2" t="s">
        <v>57</v>
      </c>
      <c r="D29" s="2" t="s">
        <v>184</v>
      </c>
      <c r="E29" s="2" t="s">
        <v>3430</v>
      </c>
      <c r="F29" s="2" t="s">
        <v>3431</v>
      </c>
      <c r="G29" s="2" t="s">
        <v>3432</v>
      </c>
      <c r="H29" s="2" t="s">
        <v>54</v>
      </c>
      <c r="I29" s="2" t="s">
        <v>133</v>
      </c>
      <c r="J29" s="2" t="s">
        <v>56</v>
      </c>
      <c r="K29" s="22">
        <v>717768000</v>
      </c>
      <c r="L29" s="2" t="s">
        <v>52</v>
      </c>
      <c r="M29" s="2" t="s">
        <v>1770</v>
      </c>
      <c r="N29" s="2" t="s">
        <v>184</v>
      </c>
      <c r="O29" s="2" t="s">
        <v>4020</v>
      </c>
      <c r="P29" s="22">
        <v>0.375</v>
      </c>
      <c r="Q29" s="2" t="s">
        <v>4021</v>
      </c>
      <c r="R29" s="2" t="s">
        <v>225</v>
      </c>
      <c r="S29" s="2" t="s">
        <v>263</v>
      </c>
      <c r="T29" s="2" t="s">
        <v>115</v>
      </c>
      <c r="U29" s="2" t="s">
        <v>53</v>
      </c>
      <c r="V29" s="2" t="s">
        <v>3433</v>
      </c>
      <c r="W29" s="22">
        <v>0.39700000000000002</v>
      </c>
    </row>
    <row r="30" spans="1:23" x14ac:dyDescent="0.2">
      <c r="A30" s="2" t="s">
        <v>613</v>
      </c>
      <c r="B30" s="2" t="s">
        <v>616</v>
      </c>
      <c r="C30" s="2" t="s">
        <v>57</v>
      </c>
      <c r="D30" s="2" t="s">
        <v>199</v>
      </c>
      <c r="E30" s="2" t="s">
        <v>2445</v>
      </c>
      <c r="F30" s="2" t="s">
        <v>2446</v>
      </c>
      <c r="G30" s="2" t="s">
        <v>2447</v>
      </c>
      <c r="H30" s="2" t="s">
        <v>54</v>
      </c>
      <c r="I30" s="2" t="s">
        <v>117</v>
      </c>
      <c r="J30" s="2" t="s">
        <v>56</v>
      </c>
      <c r="K30" s="22">
        <v>776444500</v>
      </c>
      <c r="L30" s="2" t="s">
        <v>52</v>
      </c>
      <c r="M30" s="2" t="s">
        <v>1770</v>
      </c>
      <c r="N30" s="2" t="s">
        <v>199</v>
      </c>
      <c r="O30" s="2" t="s">
        <v>4022</v>
      </c>
      <c r="P30" s="22">
        <v>1</v>
      </c>
      <c r="Q30" s="2" t="s">
        <v>4023</v>
      </c>
      <c r="R30" s="2" t="s">
        <v>225</v>
      </c>
      <c r="S30" s="2" t="s">
        <v>619</v>
      </c>
      <c r="T30" s="2" t="s">
        <v>49</v>
      </c>
      <c r="U30" s="2" t="s">
        <v>53</v>
      </c>
      <c r="V30" s="2" t="s">
        <v>2448</v>
      </c>
      <c r="W30" s="22">
        <v>1.111</v>
      </c>
    </row>
    <row r="31" spans="1:23" x14ac:dyDescent="0.2">
      <c r="A31" s="2" t="s">
        <v>415</v>
      </c>
      <c r="B31" s="2" t="s">
        <v>418</v>
      </c>
      <c r="C31" s="2" t="s">
        <v>57</v>
      </c>
      <c r="D31" s="2" t="s">
        <v>366</v>
      </c>
      <c r="E31" s="2" t="s">
        <v>2846</v>
      </c>
      <c r="F31" s="2" t="s">
        <v>2847</v>
      </c>
      <c r="G31" s="2" t="s">
        <v>2848</v>
      </c>
      <c r="H31" s="2" t="s">
        <v>54</v>
      </c>
      <c r="I31" s="2" t="s">
        <v>420</v>
      </c>
      <c r="J31" s="2" t="s">
        <v>56</v>
      </c>
      <c r="K31" s="22">
        <v>898057500</v>
      </c>
      <c r="L31" s="2" t="s">
        <v>52</v>
      </c>
      <c r="M31" s="2" t="s">
        <v>1775</v>
      </c>
      <c r="N31" s="2" t="s">
        <v>366</v>
      </c>
      <c r="O31" s="2" t="s">
        <v>4024</v>
      </c>
      <c r="P31" s="22">
        <v>0.875</v>
      </c>
      <c r="Q31" s="2" t="s">
        <v>4025</v>
      </c>
      <c r="R31" s="2" t="s">
        <v>173</v>
      </c>
      <c r="S31" s="2" t="s">
        <v>174</v>
      </c>
      <c r="T31" s="2" t="s">
        <v>115</v>
      </c>
      <c r="U31" s="2" t="s">
        <v>53</v>
      </c>
      <c r="V31" s="2" t="s">
        <v>2849</v>
      </c>
      <c r="W31" s="22">
        <v>0.91200000000000003</v>
      </c>
    </row>
    <row r="32" spans="1:23" x14ac:dyDescent="0.2">
      <c r="A32" s="2" t="s">
        <v>528</v>
      </c>
      <c r="B32" s="2" t="s">
        <v>531</v>
      </c>
      <c r="C32" s="2" t="s">
        <v>57</v>
      </c>
      <c r="D32" s="2" t="s">
        <v>257</v>
      </c>
      <c r="E32" s="2" t="s">
        <v>3410</v>
      </c>
      <c r="F32" s="2" t="s">
        <v>3411</v>
      </c>
      <c r="G32" s="2" t="s">
        <v>3412</v>
      </c>
      <c r="H32" s="2" t="s">
        <v>54</v>
      </c>
      <c r="I32" s="2" t="s">
        <v>55</v>
      </c>
      <c r="J32" s="2" t="s">
        <v>56</v>
      </c>
      <c r="K32" s="22">
        <v>177684000</v>
      </c>
      <c r="L32" s="2" t="s">
        <v>118</v>
      </c>
      <c r="M32" s="2" t="s">
        <v>173</v>
      </c>
      <c r="N32" s="2" t="s">
        <v>257</v>
      </c>
      <c r="O32" s="2" t="s">
        <v>4026</v>
      </c>
      <c r="P32" s="22">
        <v>3.25</v>
      </c>
      <c r="Q32" s="2" t="s">
        <v>4027</v>
      </c>
      <c r="R32" s="2" t="s">
        <v>173</v>
      </c>
      <c r="S32" s="2" t="s">
        <v>54</v>
      </c>
      <c r="T32" s="2" t="s">
        <v>49</v>
      </c>
      <c r="U32" s="2" t="s">
        <v>53</v>
      </c>
      <c r="V32" s="2" t="s">
        <v>3413</v>
      </c>
      <c r="W32" s="22">
        <v>2.6970000000000001</v>
      </c>
    </row>
    <row r="33" spans="1:23" x14ac:dyDescent="0.2">
      <c r="A33" s="2" t="s">
        <v>641</v>
      </c>
      <c r="B33" s="2" t="s">
        <v>644</v>
      </c>
      <c r="C33" s="2" t="s">
        <v>71</v>
      </c>
      <c r="D33" s="2" t="s">
        <v>199</v>
      </c>
      <c r="E33" s="2" t="s">
        <v>2417</v>
      </c>
      <c r="F33" s="2" t="s">
        <v>2418</v>
      </c>
      <c r="G33" s="2" t="s">
        <v>2419</v>
      </c>
      <c r="H33" s="22">
        <v>3.6430000000000002</v>
      </c>
      <c r="I33" s="2" t="s">
        <v>55</v>
      </c>
      <c r="J33" s="2" t="s">
        <v>56</v>
      </c>
      <c r="K33" s="22">
        <v>1250000000</v>
      </c>
      <c r="L33" s="2" t="s">
        <v>52</v>
      </c>
      <c r="M33" s="2" t="s">
        <v>1775</v>
      </c>
      <c r="N33" s="2" t="s">
        <v>366</v>
      </c>
      <c r="O33" s="2" t="s">
        <v>4028</v>
      </c>
      <c r="P33" s="22">
        <v>3.5</v>
      </c>
      <c r="Q33" s="2" t="s">
        <v>1509</v>
      </c>
      <c r="R33" s="2" t="s">
        <v>261</v>
      </c>
      <c r="S33" s="2" t="s">
        <v>619</v>
      </c>
      <c r="T33" s="2" t="s">
        <v>49</v>
      </c>
      <c r="U33" s="2" t="s">
        <v>262</v>
      </c>
      <c r="V33" s="2" t="s">
        <v>2420</v>
      </c>
      <c r="W33" s="22">
        <v>3.621</v>
      </c>
    </row>
    <row r="34" spans="1:23" x14ac:dyDescent="0.2">
      <c r="A34" s="2" t="s">
        <v>641</v>
      </c>
      <c r="B34" s="2" t="s">
        <v>644</v>
      </c>
      <c r="C34" s="2" t="s">
        <v>71</v>
      </c>
      <c r="D34" s="2" t="s">
        <v>199</v>
      </c>
      <c r="E34" s="2" t="s">
        <v>2421</v>
      </c>
      <c r="F34" s="2" t="s">
        <v>2422</v>
      </c>
      <c r="G34" s="2" t="s">
        <v>2423</v>
      </c>
      <c r="H34" s="22">
        <v>3.6430000000000002</v>
      </c>
      <c r="I34" s="2" t="s">
        <v>55</v>
      </c>
      <c r="J34" s="2" t="s">
        <v>56</v>
      </c>
      <c r="K34" s="22">
        <v>1250000000</v>
      </c>
      <c r="L34" s="2" t="s">
        <v>52</v>
      </c>
      <c r="M34" s="2" t="s">
        <v>1775</v>
      </c>
      <c r="N34" s="2" t="s">
        <v>366</v>
      </c>
      <c r="O34" s="2" t="s">
        <v>4028</v>
      </c>
      <c r="P34" s="22">
        <v>3.5</v>
      </c>
      <c r="Q34" s="2" t="s">
        <v>1509</v>
      </c>
      <c r="R34" s="2" t="s">
        <v>270</v>
      </c>
      <c r="S34" s="2" t="s">
        <v>619</v>
      </c>
      <c r="T34" s="2" t="s">
        <v>49</v>
      </c>
      <c r="U34" s="2" t="s">
        <v>262</v>
      </c>
      <c r="V34" s="2" t="s">
        <v>2424</v>
      </c>
      <c r="W34" s="22">
        <v>3.6230000000000002</v>
      </c>
    </row>
    <row r="35" spans="1:23" x14ac:dyDescent="0.2">
      <c r="A35" s="2" t="s">
        <v>1579</v>
      </c>
      <c r="B35" s="2" t="s">
        <v>1582</v>
      </c>
      <c r="C35" s="2" t="s">
        <v>71</v>
      </c>
      <c r="D35" s="2" t="s">
        <v>258</v>
      </c>
      <c r="E35" s="2" t="s">
        <v>1812</v>
      </c>
      <c r="F35" s="2" t="s">
        <v>1813</v>
      </c>
      <c r="G35" s="2" t="s">
        <v>1814</v>
      </c>
      <c r="H35" s="22">
        <v>5.7500000000000018</v>
      </c>
      <c r="I35" s="2" t="s">
        <v>55</v>
      </c>
      <c r="J35" s="2" t="s">
        <v>56</v>
      </c>
      <c r="K35" s="22">
        <v>400000000</v>
      </c>
      <c r="L35" s="2" t="s">
        <v>52</v>
      </c>
      <c r="M35" s="2" t="s">
        <v>1815</v>
      </c>
      <c r="N35" s="2" t="s">
        <v>169</v>
      </c>
      <c r="O35" s="2" t="s">
        <v>4029</v>
      </c>
      <c r="P35" s="22">
        <v>5.75</v>
      </c>
      <c r="Q35" s="2" t="s">
        <v>4030</v>
      </c>
      <c r="R35" s="2" t="s">
        <v>261</v>
      </c>
      <c r="S35" s="2" t="s">
        <v>884</v>
      </c>
      <c r="T35" s="2" t="s">
        <v>115</v>
      </c>
      <c r="U35" s="2" t="s">
        <v>262</v>
      </c>
      <c r="V35" s="2" t="s">
        <v>1816</v>
      </c>
      <c r="W35" s="22">
        <v>5.38</v>
      </c>
    </row>
    <row r="36" spans="1:23" x14ac:dyDescent="0.2">
      <c r="A36" s="2" t="s">
        <v>1579</v>
      </c>
      <c r="B36" s="2" t="s">
        <v>1582</v>
      </c>
      <c r="C36" s="2" t="s">
        <v>71</v>
      </c>
      <c r="D36" s="2" t="s">
        <v>258</v>
      </c>
      <c r="E36" s="2" t="s">
        <v>1817</v>
      </c>
      <c r="F36" s="2" t="s">
        <v>1818</v>
      </c>
      <c r="G36" s="2" t="s">
        <v>1819</v>
      </c>
      <c r="H36" s="22">
        <v>5.7500000000000018</v>
      </c>
      <c r="I36" s="2" t="s">
        <v>55</v>
      </c>
      <c r="J36" s="2" t="s">
        <v>56</v>
      </c>
      <c r="K36" s="22">
        <v>400000000</v>
      </c>
      <c r="L36" s="2" t="s">
        <v>52</v>
      </c>
      <c r="M36" s="2" t="s">
        <v>1815</v>
      </c>
      <c r="N36" s="2" t="s">
        <v>169</v>
      </c>
      <c r="O36" s="2" t="s">
        <v>4029</v>
      </c>
      <c r="P36" s="22">
        <v>5.75</v>
      </c>
      <c r="Q36" s="2" t="s">
        <v>4030</v>
      </c>
      <c r="R36" s="2" t="s">
        <v>270</v>
      </c>
      <c r="S36" s="2" t="s">
        <v>884</v>
      </c>
      <c r="T36" s="2" t="s">
        <v>115</v>
      </c>
      <c r="U36" s="2" t="s">
        <v>262</v>
      </c>
      <c r="V36" s="2" t="s">
        <v>1820</v>
      </c>
      <c r="W36" s="22">
        <v>5.35</v>
      </c>
    </row>
    <row r="37" spans="1:23" x14ac:dyDescent="0.2">
      <c r="A37" s="2" t="s">
        <v>916</v>
      </c>
      <c r="B37" s="2" t="s">
        <v>919</v>
      </c>
      <c r="C37" s="2" t="s">
        <v>57</v>
      </c>
      <c r="D37" s="2" t="s">
        <v>184</v>
      </c>
      <c r="E37" s="2" t="s">
        <v>2900</v>
      </c>
      <c r="F37" s="2" t="s">
        <v>2901</v>
      </c>
      <c r="G37" s="2" t="s">
        <v>2902</v>
      </c>
      <c r="H37" s="2" t="s">
        <v>54</v>
      </c>
      <c r="I37" s="2" t="s">
        <v>420</v>
      </c>
      <c r="J37" s="2" t="s">
        <v>56</v>
      </c>
      <c r="K37" s="22">
        <v>469984000</v>
      </c>
      <c r="L37" s="2" t="s">
        <v>52</v>
      </c>
      <c r="M37" s="2" t="s">
        <v>1770</v>
      </c>
      <c r="N37" s="2" t="s">
        <v>184</v>
      </c>
      <c r="O37" s="2" t="s">
        <v>4031</v>
      </c>
      <c r="P37" s="22">
        <v>0.5</v>
      </c>
      <c r="Q37" s="2" t="s">
        <v>4032</v>
      </c>
      <c r="R37" s="2" t="s">
        <v>173</v>
      </c>
      <c r="S37" s="2" t="s">
        <v>189</v>
      </c>
      <c r="T37" s="2" t="s">
        <v>115</v>
      </c>
      <c r="U37" s="2" t="s">
        <v>53</v>
      </c>
      <c r="V37" s="2" t="s">
        <v>2903</v>
      </c>
      <c r="W37" s="22">
        <v>0.58799999999999997</v>
      </c>
    </row>
    <row r="38" spans="1:23" x14ac:dyDescent="0.2">
      <c r="A38" s="2" t="s">
        <v>1359</v>
      </c>
      <c r="B38" s="2" t="s">
        <v>1362</v>
      </c>
      <c r="C38" s="2" t="s">
        <v>57</v>
      </c>
      <c r="D38" s="2" t="s">
        <v>199</v>
      </c>
      <c r="E38" s="2" t="s">
        <v>3216</v>
      </c>
      <c r="F38" s="2" t="s">
        <v>3217</v>
      </c>
      <c r="G38" s="2" t="s">
        <v>3218</v>
      </c>
      <c r="H38" s="2" t="s">
        <v>54</v>
      </c>
      <c r="I38" s="2" t="s">
        <v>117</v>
      </c>
      <c r="J38" s="2" t="s">
        <v>56</v>
      </c>
      <c r="K38" s="22">
        <v>767851500</v>
      </c>
      <c r="L38" s="2" t="s">
        <v>52</v>
      </c>
      <c r="M38" s="2" t="s">
        <v>1775</v>
      </c>
      <c r="N38" s="2" t="s">
        <v>199</v>
      </c>
      <c r="O38" s="2" t="s">
        <v>4033</v>
      </c>
      <c r="P38" s="22">
        <v>1.375</v>
      </c>
      <c r="Q38" s="2" t="s">
        <v>4034</v>
      </c>
      <c r="R38" s="2" t="s">
        <v>225</v>
      </c>
      <c r="S38" s="2" t="s">
        <v>174</v>
      </c>
      <c r="T38" s="2" t="s">
        <v>115</v>
      </c>
      <c r="U38" s="2" t="s">
        <v>53</v>
      </c>
      <c r="V38" s="2" t="s">
        <v>3219</v>
      </c>
      <c r="W38" s="22">
        <v>1.4490000000000001</v>
      </c>
    </row>
    <row r="39" spans="1:23" x14ac:dyDescent="0.2">
      <c r="A39" s="2" t="s">
        <v>774</v>
      </c>
      <c r="B39" s="2" t="s">
        <v>777</v>
      </c>
      <c r="C39" s="2" t="s">
        <v>57</v>
      </c>
      <c r="D39" s="2" t="s">
        <v>199</v>
      </c>
      <c r="E39" s="2" t="s">
        <v>1772</v>
      </c>
      <c r="F39" s="2" t="s">
        <v>1773</v>
      </c>
      <c r="G39" s="2" t="s">
        <v>1774</v>
      </c>
      <c r="H39" s="2" t="s">
        <v>54</v>
      </c>
      <c r="I39" s="2" t="s">
        <v>55</v>
      </c>
      <c r="J39" s="2" t="s">
        <v>56</v>
      </c>
      <c r="K39" s="22">
        <v>355038000</v>
      </c>
      <c r="L39" s="2" t="s">
        <v>52</v>
      </c>
      <c r="M39" s="2" t="s">
        <v>1775</v>
      </c>
      <c r="N39" s="2" t="s">
        <v>199</v>
      </c>
      <c r="O39" s="2" t="s">
        <v>4035</v>
      </c>
      <c r="P39" s="22">
        <v>1.625</v>
      </c>
      <c r="Q39" s="2" t="s">
        <v>4036</v>
      </c>
      <c r="R39" s="2" t="s">
        <v>225</v>
      </c>
      <c r="S39" s="2" t="s">
        <v>174</v>
      </c>
      <c r="T39" s="2" t="s">
        <v>115</v>
      </c>
      <c r="U39" s="2" t="s">
        <v>53</v>
      </c>
      <c r="V39" s="2" t="s">
        <v>1776</v>
      </c>
      <c r="W39" s="22">
        <v>1.68</v>
      </c>
    </row>
    <row r="40" spans="1:23" x14ac:dyDescent="0.2">
      <c r="A40" s="2" t="s">
        <v>1413</v>
      </c>
      <c r="B40" s="2" t="s">
        <v>1416</v>
      </c>
      <c r="C40" s="2" t="s">
        <v>57</v>
      </c>
      <c r="D40" s="2" t="s">
        <v>199</v>
      </c>
      <c r="E40" s="2" t="s">
        <v>3461</v>
      </c>
      <c r="F40" s="2" t="s">
        <v>3462</v>
      </c>
      <c r="G40" s="2" t="s">
        <v>3463</v>
      </c>
      <c r="H40" s="2" t="s">
        <v>54</v>
      </c>
      <c r="I40" s="2" t="s">
        <v>55</v>
      </c>
      <c r="J40" s="2" t="s">
        <v>56</v>
      </c>
      <c r="K40" s="22">
        <v>584115000</v>
      </c>
      <c r="L40" s="2" t="s">
        <v>52</v>
      </c>
      <c r="M40" s="2" t="s">
        <v>1839</v>
      </c>
      <c r="N40" s="2" t="s">
        <v>199</v>
      </c>
      <c r="O40" s="2" t="s">
        <v>4037</v>
      </c>
      <c r="P40" s="22">
        <v>1.75</v>
      </c>
      <c r="Q40" s="2" t="s">
        <v>4038</v>
      </c>
      <c r="R40" s="2" t="s">
        <v>173</v>
      </c>
      <c r="S40" s="2" t="s">
        <v>189</v>
      </c>
      <c r="T40" s="2" t="s">
        <v>49</v>
      </c>
      <c r="U40" s="2" t="s">
        <v>53</v>
      </c>
      <c r="V40" s="2" t="s">
        <v>3464</v>
      </c>
      <c r="W40" s="22">
        <v>1.7649999999999999</v>
      </c>
    </row>
    <row r="41" spans="1:23" x14ac:dyDescent="0.2">
      <c r="A41" s="2" t="s">
        <v>344</v>
      </c>
      <c r="B41" s="2" t="s">
        <v>347</v>
      </c>
      <c r="C41" s="2" t="s">
        <v>71</v>
      </c>
      <c r="D41" s="2" t="s">
        <v>185</v>
      </c>
      <c r="E41" s="2" t="s">
        <v>2295</v>
      </c>
      <c r="F41" s="2" t="s">
        <v>2296</v>
      </c>
      <c r="G41" s="2" t="s">
        <v>2297</v>
      </c>
      <c r="H41" s="22">
        <v>5.875</v>
      </c>
      <c r="I41" s="2" t="s">
        <v>55</v>
      </c>
      <c r="J41" s="2" t="s">
        <v>56</v>
      </c>
      <c r="K41" s="22">
        <v>500000000</v>
      </c>
      <c r="L41" s="2" t="s">
        <v>52</v>
      </c>
      <c r="M41" s="2" t="s">
        <v>1839</v>
      </c>
      <c r="N41" s="2" t="s">
        <v>184</v>
      </c>
      <c r="O41" s="2" t="s">
        <v>4039</v>
      </c>
      <c r="P41" s="22">
        <v>5.875</v>
      </c>
      <c r="Q41" s="2" t="s">
        <v>4040</v>
      </c>
      <c r="R41" s="2" t="s">
        <v>261</v>
      </c>
      <c r="S41" s="2" t="s">
        <v>350</v>
      </c>
      <c r="T41" s="2" t="s">
        <v>115</v>
      </c>
      <c r="U41" s="2" t="s">
        <v>262</v>
      </c>
      <c r="V41" s="2" t="s">
        <v>2298</v>
      </c>
      <c r="W41" s="22">
        <v>5.7389999999999999</v>
      </c>
    </row>
    <row r="42" spans="1:23" x14ac:dyDescent="0.2">
      <c r="A42" s="2" t="s">
        <v>344</v>
      </c>
      <c r="B42" s="2" t="s">
        <v>347</v>
      </c>
      <c r="C42" s="2" t="s">
        <v>71</v>
      </c>
      <c r="D42" s="2" t="s">
        <v>185</v>
      </c>
      <c r="E42" s="2" t="s">
        <v>2299</v>
      </c>
      <c r="F42" s="2" t="s">
        <v>2300</v>
      </c>
      <c r="G42" s="2" t="s">
        <v>2301</v>
      </c>
      <c r="H42" s="2" t="s">
        <v>54</v>
      </c>
      <c r="I42" s="2" t="s">
        <v>55</v>
      </c>
      <c r="J42" s="2" t="s">
        <v>56</v>
      </c>
      <c r="K42" s="22">
        <v>465612000</v>
      </c>
      <c r="L42" s="2" t="s">
        <v>52</v>
      </c>
      <c r="M42" s="2" t="s">
        <v>1839</v>
      </c>
      <c r="N42" s="2" t="s">
        <v>184</v>
      </c>
      <c r="O42" s="2" t="s">
        <v>4039</v>
      </c>
      <c r="P42" s="22">
        <v>4.25</v>
      </c>
      <c r="Q42" s="2" t="s">
        <v>4040</v>
      </c>
      <c r="R42" s="2" t="s">
        <v>270</v>
      </c>
      <c r="S42" s="2" t="s">
        <v>350</v>
      </c>
      <c r="T42" s="2" t="s">
        <v>115</v>
      </c>
      <c r="U42" s="2" t="s">
        <v>53</v>
      </c>
      <c r="V42" s="2" t="s">
        <v>2302</v>
      </c>
      <c r="W42" s="22">
        <v>4.1719999999999997</v>
      </c>
    </row>
    <row r="43" spans="1:23" x14ac:dyDescent="0.2">
      <c r="A43" s="2" t="s">
        <v>344</v>
      </c>
      <c r="B43" s="2" t="s">
        <v>347</v>
      </c>
      <c r="C43" s="2" t="s">
        <v>71</v>
      </c>
      <c r="D43" s="2" t="s">
        <v>185</v>
      </c>
      <c r="E43" s="2" t="s">
        <v>2303</v>
      </c>
      <c r="F43" s="2" t="s">
        <v>2304</v>
      </c>
      <c r="G43" s="2" t="s">
        <v>2305</v>
      </c>
      <c r="H43" s="2" t="s">
        <v>54</v>
      </c>
      <c r="I43" s="2" t="s">
        <v>55</v>
      </c>
      <c r="J43" s="2" t="s">
        <v>56</v>
      </c>
      <c r="K43" s="22">
        <v>465612000</v>
      </c>
      <c r="L43" s="2" t="s">
        <v>52</v>
      </c>
      <c r="M43" s="2" t="s">
        <v>1839</v>
      </c>
      <c r="N43" s="2" t="s">
        <v>184</v>
      </c>
      <c r="O43" s="2" t="s">
        <v>4039</v>
      </c>
      <c r="P43" s="22">
        <v>4.25</v>
      </c>
      <c r="Q43" s="2" t="s">
        <v>4040</v>
      </c>
      <c r="R43" s="2" t="s">
        <v>261</v>
      </c>
      <c r="S43" s="2" t="s">
        <v>350</v>
      </c>
      <c r="T43" s="2" t="s">
        <v>115</v>
      </c>
      <c r="U43" s="2" t="s">
        <v>53</v>
      </c>
      <c r="V43" s="2" t="s">
        <v>2306</v>
      </c>
      <c r="W43" s="22">
        <v>4.1779999999999999</v>
      </c>
    </row>
    <row r="44" spans="1:23" x14ac:dyDescent="0.2">
      <c r="A44" s="2" t="s">
        <v>344</v>
      </c>
      <c r="B44" s="2" t="s">
        <v>347</v>
      </c>
      <c r="C44" s="2" t="s">
        <v>71</v>
      </c>
      <c r="D44" s="2" t="s">
        <v>185</v>
      </c>
      <c r="E44" s="2" t="s">
        <v>2307</v>
      </c>
      <c r="F44" s="2" t="s">
        <v>2308</v>
      </c>
      <c r="G44" s="2" t="s">
        <v>2309</v>
      </c>
      <c r="H44" s="22">
        <v>5.875</v>
      </c>
      <c r="I44" s="2" t="s">
        <v>55</v>
      </c>
      <c r="J44" s="2" t="s">
        <v>56</v>
      </c>
      <c r="K44" s="22">
        <v>500000000</v>
      </c>
      <c r="L44" s="2" t="s">
        <v>52</v>
      </c>
      <c r="M44" s="2" t="s">
        <v>1839</v>
      </c>
      <c r="N44" s="2" t="s">
        <v>184</v>
      </c>
      <c r="O44" s="2" t="s">
        <v>4039</v>
      </c>
      <c r="P44" s="22">
        <v>5.875</v>
      </c>
      <c r="Q44" s="2" t="s">
        <v>4040</v>
      </c>
      <c r="R44" s="2" t="s">
        <v>270</v>
      </c>
      <c r="S44" s="2" t="s">
        <v>350</v>
      </c>
      <c r="T44" s="2" t="s">
        <v>115</v>
      </c>
      <c r="U44" s="2" t="s">
        <v>262</v>
      </c>
      <c r="V44" s="2" t="s">
        <v>2310</v>
      </c>
      <c r="W44" s="22">
        <v>5.6769999999999996</v>
      </c>
    </row>
    <row r="45" spans="1:23" x14ac:dyDescent="0.2">
      <c r="A45" s="2" t="s">
        <v>1421</v>
      </c>
      <c r="B45" s="2" t="s">
        <v>1424</v>
      </c>
      <c r="C45" s="2" t="s">
        <v>57</v>
      </c>
      <c r="D45" s="2" t="s">
        <v>199</v>
      </c>
      <c r="E45" s="2" t="s">
        <v>2582</v>
      </c>
      <c r="F45" s="2" t="s">
        <v>2583</v>
      </c>
      <c r="G45" s="2" t="s">
        <v>2584</v>
      </c>
      <c r="H45" s="2" t="s">
        <v>54</v>
      </c>
      <c r="I45" s="2" t="s">
        <v>55</v>
      </c>
      <c r="J45" s="2" t="s">
        <v>56</v>
      </c>
      <c r="K45" s="22">
        <v>58619500</v>
      </c>
      <c r="L45" s="2" t="s">
        <v>52</v>
      </c>
      <c r="M45" s="2" t="s">
        <v>173</v>
      </c>
      <c r="N45" s="2" t="s">
        <v>199</v>
      </c>
      <c r="O45" s="2" t="s">
        <v>4028</v>
      </c>
      <c r="P45" s="22">
        <v>2.7469999999999999</v>
      </c>
      <c r="Q45" s="2" t="s">
        <v>4041</v>
      </c>
      <c r="R45" s="2" t="s">
        <v>173</v>
      </c>
      <c r="S45" s="2" t="s">
        <v>54</v>
      </c>
      <c r="T45" s="2" t="s">
        <v>49</v>
      </c>
      <c r="U45" s="2" t="s">
        <v>53</v>
      </c>
      <c r="V45" s="2" t="s">
        <v>2585</v>
      </c>
      <c r="W45" s="2" t="s">
        <v>54</v>
      </c>
    </row>
    <row r="46" spans="1:23" x14ac:dyDescent="0.2">
      <c r="A46" s="2" t="s">
        <v>180</v>
      </c>
      <c r="B46" s="2" t="s">
        <v>183</v>
      </c>
      <c r="C46" s="2" t="s">
        <v>57</v>
      </c>
      <c r="D46" s="2" t="s">
        <v>185</v>
      </c>
      <c r="E46" s="2" t="s">
        <v>3160</v>
      </c>
      <c r="F46" s="2" t="s">
        <v>3161</v>
      </c>
      <c r="G46" s="2" t="s">
        <v>3162</v>
      </c>
      <c r="H46" s="2" t="s">
        <v>54</v>
      </c>
      <c r="I46" s="2" t="s">
        <v>133</v>
      </c>
      <c r="J46" s="2" t="s">
        <v>56</v>
      </c>
      <c r="K46" s="22">
        <v>882225000</v>
      </c>
      <c r="L46" s="2" t="s">
        <v>52</v>
      </c>
      <c r="M46" s="2" t="s">
        <v>1770</v>
      </c>
      <c r="N46" s="2" t="s">
        <v>184</v>
      </c>
      <c r="O46" s="2" t="s">
        <v>4042</v>
      </c>
      <c r="P46" s="22">
        <v>0.875</v>
      </c>
      <c r="Q46" s="2" t="s">
        <v>1009</v>
      </c>
      <c r="R46" s="2" t="s">
        <v>225</v>
      </c>
      <c r="S46" s="2" t="s">
        <v>189</v>
      </c>
      <c r="T46" s="2" t="s">
        <v>115</v>
      </c>
      <c r="U46" s="2" t="s">
        <v>53</v>
      </c>
      <c r="V46" s="2" t="s">
        <v>3163</v>
      </c>
      <c r="W46" s="22">
        <v>0.93200000000000005</v>
      </c>
    </row>
    <row r="47" spans="1:23" x14ac:dyDescent="0.2">
      <c r="A47" s="2" t="s">
        <v>206</v>
      </c>
      <c r="B47" s="2" t="s">
        <v>209</v>
      </c>
      <c r="C47" s="2" t="s">
        <v>71</v>
      </c>
      <c r="D47" s="2" t="s">
        <v>112</v>
      </c>
      <c r="E47" s="2" t="s">
        <v>3049</v>
      </c>
      <c r="F47" s="2" t="s">
        <v>3050</v>
      </c>
      <c r="G47" s="2" t="s">
        <v>3051</v>
      </c>
      <c r="H47" s="2" t="s">
        <v>54</v>
      </c>
      <c r="I47" s="2" t="s">
        <v>174</v>
      </c>
      <c r="J47" s="2" t="s">
        <v>70</v>
      </c>
      <c r="K47" s="22">
        <v>56484000</v>
      </c>
      <c r="L47" s="2" t="s">
        <v>52</v>
      </c>
      <c r="M47" s="2" t="s">
        <v>173</v>
      </c>
      <c r="N47" s="2" t="s">
        <v>112</v>
      </c>
      <c r="O47" s="2" t="s">
        <v>4043</v>
      </c>
      <c r="P47" s="22">
        <v>3.5100000000000002</v>
      </c>
      <c r="Q47" s="2" t="s">
        <v>4044</v>
      </c>
      <c r="R47" s="2" t="s">
        <v>350</v>
      </c>
      <c r="S47" s="2" t="s">
        <v>54</v>
      </c>
      <c r="T47" s="2" t="s">
        <v>49</v>
      </c>
      <c r="U47" s="2" t="s">
        <v>119</v>
      </c>
      <c r="V47" s="2" t="s">
        <v>3052</v>
      </c>
      <c r="W47" s="2" t="s">
        <v>54</v>
      </c>
    </row>
    <row r="48" spans="1:23" x14ac:dyDescent="0.2">
      <c r="A48" s="2" t="s">
        <v>1198</v>
      </c>
      <c r="B48" s="2" t="s">
        <v>1201</v>
      </c>
      <c r="C48" s="2" t="s">
        <v>71</v>
      </c>
      <c r="D48" s="2" t="s">
        <v>1202</v>
      </c>
      <c r="E48" s="2" t="s">
        <v>2937</v>
      </c>
      <c r="F48" s="2" t="s">
        <v>2938</v>
      </c>
      <c r="G48" s="2" t="s">
        <v>2939</v>
      </c>
      <c r="H48" s="2" t="s">
        <v>54</v>
      </c>
      <c r="I48" s="2" t="s">
        <v>55</v>
      </c>
      <c r="J48" s="2" t="s">
        <v>56</v>
      </c>
      <c r="K48" s="22">
        <v>73062799.5</v>
      </c>
      <c r="L48" s="2" t="s">
        <v>52</v>
      </c>
      <c r="M48" s="2" t="s">
        <v>173</v>
      </c>
      <c r="N48" s="2" t="s">
        <v>1202</v>
      </c>
      <c r="O48" s="2" t="s">
        <v>4045</v>
      </c>
      <c r="P48" s="22">
        <v>4</v>
      </c>
      <c r="Q48" s="2" t="s">
        <v>4046</v>
      </c>
      <c r="R48" s="2" t="s">
        <v>173</v>
      </c>
      <c r="S48" s="2" t="s">
        <v>54</v>
      </c>
      <c r="T48" s="2" t="s">
        <v>49</v>
      </c>
      <c r="U48" s="2" t="s">
        <v>53</v>
      </c>
      <c r="V48" s="2" t="s">
        <v>2941</v>
      </c>
      <c r="W48" s="22">
        <v>3.9990000000000001</v>
      </c>
    </row>
    <row r="49" spans="1:23" x14ac:dyDescent="0.2">
      <c r="A49" s="2" t="s">
        <v>1166</v>
      </c>
      <c r="B49" s="2" t="s">
        <v>1169</v>
      </c>
      <c r="C49" s="2" t="s">
        <v>57</v>
      </c>
      <c r="D49" s="2" t="s">
        <v>199</v>
      </c>
      <c r="E49" s="2" t="s">
        <v>1826</v>
      </c>
      <c r="F49" s="2" t="s">
        <v>1827</v>
      </c>
      <c r="G49" s="2" t="s">
        <v>1828</v>
      </c>
      <c r="H49" s="2" t="s">
        <v>54</v>
      </c>
      <c r="I49" s="2" t="s">
        <v>55</v>
      </c>
      <c r="J49" s="2" t="s">
        <v>56</v>
      </c>
      <c r="K49" s="22">
        <v>673766500</v>
      </c>
      <c r="L49" s="2" t="s">
        <v>1829</v>
      </c>
      <c r="M49" s="2" t="s">
        <v>1830</v>
      </c>
      <c r="N49" s="2" t="s">
        <v>199</v>
      </c>
      <c r="O49" s="2" t="s">
        <v>4047</v>
      </c>
      <c r="P49" s="22">
        <v>1.625</v>
      </c>
      <c r="Q49" s="2" t="s">
        <v>4048</v>
      </c>
      <c r="R49" s="2" t="s">
        <v>225</v>
      </c>
      <c r="S49" s="2" t="s">
        <v>496</v>
      </c>
      <c r="T49" s="2" t="s">
        <v>115</v>
      </c>
      <c r="U49" s="2" t="s">
        <v>53</v>
      </c>
      <c r="V49" s="2" t="s">
        <v>1831</v>
      </c>
      <c r="W49" s="22">
        <v>1.756</v>
      </c>
    </row>
    <row r="50" spans="1:23" x14ac:dyDescent="0.2">
      <c r="A50" s="2" t="s">
        <v>1639</v>
      </c>
      <c r="B50" s="2" t="s">
        <v>1642</v>
      </c>
      <c r="C50" s="2" t="s">
        <v>57</v>
      </c>
      <c r="D50" s="2" t="s">
        <v>170</v>
      </c>
      <c r="E50" s="2" t="s">
        <v>2972</v>
      </c>
      <c r="F50" s="2" t="s">
        <v>2973</v>
      </c>
      <c r="G50" s="2" t="s">
        <v>2974</v>
      </c>
      <c r="H50" s="2" t="s">
        <v>54</v>
      </c>
      <c r="I50" s="2" t="s">
        <v>55</v>
      </c>
      <c r="J50" s="2" t="s">
        <v>56</v>
      </c>
      <c r="K50" s="22">
        <v>931342500</v>
      </c>
      <c r="L50" s="2" t="s">
        <v>52</v>
      </c>
      <c r="M50" s="2" t="s">
        <v>1770</v>
      </c>
      <c r="N50" s="2" t="s">
        <v>169</v>
      </c>
      <c r="O50" s="2" t="s">
        <v>4049</v>
      </c>
      <c r="P50" s="22">
        <v>0.5</v>
      </c>
      <c r="Q50" s="2" t="s">
        <v>4050</v>
      </c>
      <c r="R50" s="2" t="s">
        <v>173</v>
      </c>
      <c r="S50" s="2" t="s">
        <v>1645</v>
      </c>
      <c r="T50" s="2" t="s">
        <v>115</v>
      </c>
      <c r="U50" s="2" t="s">
        <v>53</v>
      </c>
      <c r="V50" s="2" t="s">
        <v>2975</v>
      </c>
      <c r="W50" s="22">
        <v>0.59899999999999998</v>
      </c>
    </row>
    <row r="51" spans="1:23" x14ac:dyDescent="0.2">
      <c r="A51" s="2" t="s">
        <v>1639</v>
      </c>
      <c r="B51" s="2" t="s">
        <v>1642</v>
      </c>
      <c r="C51" s="2" t="s">
        <v>57</v>
      </c>
      <c r="D51" s="2" t="s">
        <v>170</v>
      </c>
      <c r="E51" s="2" t="s">
        <v>2976</v>
      </c>
      <c r="F51" s="2" t="s">
        <v>2977</v>
      </c>
      <c r="G51" s="2" t="s">
        <v>2978</v>
      </c>
      <c r="H51" s="2" t="s">
        <v>54</v>
      </c>
      <c r="I51" s="2" t="s">
        <v>55</v>
      </c>
      <c r="J51" s="2" t="s">
        <v>56</v>
      </c>
      <c r="K51" s="22">
        <v>931342500</v>
      </c>
      <c r="L51" s="2" t="s">
        <v>52</v>
      </c>
      <c r="M51" s="2" t="s">
        <v>1770</v>
      </c>
      <c r="N51" s="2" t="s">
        <v>169</v>
      </c>
      <c r="O51" s="2" t="s">
        <v>4049</v>
      </c>
      <c r="P51" s="22">
        <v>1.375</v>
      </c>
      <c r="Q51" s="2" t="s">
        <v>4051</v>
      </c>
      <c r="R51" s="2" t="s">
        <v>173</v>
      </c>
      <c r="S51" s="2" t="s">
        <v>1645</v>
      </c>
      <c r="T51" s="2" t="s">
        <v>115</v>
      </c>
      <c r="U51" s="2" t="s">
        <v>53</v>
      </c>
      <c r="V51" s="2" t="s">
        <v>2979</v>
      </c>
      <c r="W51" s="22">
        <v>1.4450000000000001</v>
      </c>
    </row>
    <row r="52" spans="1:23" x14ac:dyDescent="0.2">
      <c r="A52" s="2" t="s">
        <v>1639</v>
      </c>
      <c r="B52" s="2" t="s">
        <v>1642</v>
      </c>
      <c r="C52" s="2" t="s">
        <v>57</v>
      </c>
      <c r="D52" s="2" t="s">
        <v>170</v>
      </c>
      <c r="E52" s="2" t="s">
        <v>2980</v>
      </c>
      <c r="F52" s="2" t="s">
        <v>2981</v>
      </c>
      <c r="G52" s="2" t="s">
        <v>2982</v>
      </c>
      <c r="H52" s="2" t="s">
        <v>54</v>
      </c>
      <c r="I52" s="2" t="s">
        <v>55</v>
      </c>
      <c r="J52" s="2" t="s">
        <v>56</v>
      </c>
      <c r="K52" s="22">
        <v>931342500</v>
      </c>
      <c r="L52" s="2" t="s">
        <v>52</v>
      </c>
      <c r="M52" s="2" t="s">
        <v>1770</v>
      </c>
      <c r="N52" s="2" t="s">
        <v>169</v>
      </c>
      <c r="O52" s="2" t="s">
        <v>4049</v>
      </c>
      <c r="P52" s="22">
        <v>1.7</v>
      </c>
      <c r="Q52" s="2" t="s">
        <v>4052</v>
      </c>
      <c r="R52" s="2" t="s">
        <v>173</v>
      </c>
      <c r="S52" s="2" t="s">
        <v>1645</v>
      </c>
      <c r="T52" s="2" t="s">
        <v>115</v>
      </c>
      <c r="U52" s="2" t="s">
        <v>53</v>
      </c>
      <c r="V52" s="2" t="s">
        <v>2983</v>
      </c>
      <c r="W52" s="22">
        <v>1.827</v>
      </c>
    </row>
    <row r="53" spans="1:23" x14ac:dyDescent="0.2">
      <c r="A53" s="2" t="s">
        <v>476</v>
      </c>
      <c r="B53" s="2" t="s">
        <v>479</v>
      </c>
      <c r="C53" s="2" t="s">
        <v>391</v>
      </c>
      <c r="D53" s="2" t="s">
        <v>45</v>
      </c>
      <c r="E53" s="2" t="s">
        <v>1904</v>
      </c>
      <c r="F53" s="2" t="s">
        <v>1905</v>
      </c>
      <c r="G53" s="2" t="s">
        <v>1906</v>
      </c>
      <c r="H53" s="2" t="s">
        <v>54</v>
      </c>
      <c r="I53" s="2" t="s">
        <v>55</v>
      </c>
      <c r="J53" s="2" t="s">
        <v>70</v>
      </c>
      <c r="K53" s="22">
        <v>62358000</v>
      </c>
      <c r="L53" s="2" t="s">
        <v>458</v>
      </c>
      <c r="M53" s="2" t="s">
        <v>1770</v>
      </c>
      <c r="N53" s="2" t="s">
        <v>45</v>
      </c>
      <c r="O53" s="2" t="s">
        <v>4053</v>
      </c>
      <c r="P53" s="22">
        <v>0</v>
      </c>
      <c r="Q53" s="2" t="s">
        <v>4054</v>
      </c>
      <c r="R53" s="2" t="s">
        <v>225</v>
      </c>
      <c r="S53" s="2" t="s">
        <v>189</v>
      </c>
      <c r="T53" s="2" t="s">
        <v>49</v>
      </c>
      <c r="U53" s="2" t="s">
        <v>53</v>
      </c>
      <c r="V53" s="2" t="s">
        <v>1907</v>
      </c>
      <c r="W53" s="2" t="s">
        <v>54</v>
      </c>
    </row>
    <row r="54" spans="1:23" x14ac:dyDescent="0.2">
      <c r="A54" s="2" t="s">
        <v>476</v>
      </c>
      <c r="B54" s="2" t="s">
        <v>479</v>
      </c>
      <c r="C54" s="2" t="s">
        <v>57</v>
      </c>
      <c r="D54" s="2" t="s">
        <v>45</v>
      </c>
      <c r="E54" s="2" t="s">
        <v>1908</v>
      </c>
      <c r="F54" s="2" t="s">
        <v>1909</v>
      </c>
      <c r="G54" s="2" t="s">
        <v>1910</v>
      </c>
      <c r="H54" s="2" t="s">
        <v>54</v>
      </c>
      <c r="I54" s="2" t="s">
        <v>55</v>
      </c>
      <c r="J54" s="2" t="s">
        <v>56</v>
      </c>
      <c r="K54" s="22">
        <v>615385000</v>
      </c>
      <c r="L54" s="2" t="s">
        <v>458</v>
      </c>
      <c r="M54" s="2" t="s">
        <v>173</v>
      </c>
      <c r="N54" s="2" t="s">
        <v>45</v>
      </c>
      <c r="O54" s="2" t="s">
        <v>4055</v>
      </c>
      <c r="P54" s="22">
        <v>0.75</v>
      </c>
      <c r="Q54" s="2" t="s">
        <v>4056</v>
      </c>
      <c r="R54" s="2" t="s">
        <v>4057</v>
      </c>
      <c r="S54" s="2" t="s">
        <v>189</v>
      </c>
      <c r="T54" s="2" t="s">
        <v>49</v>
      </c>
      <c r="U54" s="2" t="s">
        <v>53</v>
      </c>
      <c r="V54" s="2" t="s">
        <v>1911</v>
      </c>
      <c r="W54" s="22">
        <v>0.7</v>
      </c>
    </row>
    <row r="55" spans="1:23" x14ac:dyDescent="0.2">
      <c r="A55" s="2" t="s">
        <v>1075</v>
      </c>
      <c r="B55" s="2" t="s">
        <v>1078</v>
      </c>
      <c r="C55" s="2" t="s">
        <v>71</v>
      </c>
      <c r="D55" s="2" t="s">
        <v>184</v>
      </c>
      <c r="E55" s="2" t="s">
        <v>2556</v>
      </c>
      <c r="F55" s="2" t="s">
        <v>2557</v>
      </c>
      <c r="G55" s="2" t="s">
        <v>2558</v>
      </c>
      <c r="H55" s="22">
        <v>2.625</v>
      </c>
      <c r="I55" s="2" t="s">
        <v>884</v>
      </c>
      <c r="J55" s="2" t="s">
        <v>56</v>
      </c>
      <c r="K55" s="22">
        <v>1231880000</v>
      </c>
      <c r="L55" s="2" t="s">
        <v>52</v>
      </c>
      <c r="M55" s="2" t="s">
        <v>1839</v>
      </c>
      <c r="N55" s="2" t="s">
        <v>184</v>
      </c>
      <c r="O55" s="2" t="s">
        <v>4058</v>
      </c>
      <c r="P55" s="22">
        <v>2.625</v>
      </c>
      <c r="Q55" s="2" t="s">
        <v>4059</v>
      </c>
      <c r="R55" s="2" t="s">
        <v>173</v>
      </c>
      <c r="S55" s="2" t="s">
        <v>884</v>
      </c>
      <c r="T55" s="2" t="s">
        <v>115</v>
      </c>
      <c r="U55" s="2" t="s">
        <v>53</v>
      </c>
      <c r="V55" s="2" t="s">
        <v>2559</v>
      </c>
      <c r="W55" s="22">
        <v>2.4670000000000001</v>
      </c>
    </row>
    <row r="56" spans="1:23" x14ac:dyDescent="0.2">
      <c r="A56" s="2" t="s">
        <v>916</v>
      </c>
      <c r="B56" s="2" t="s">
        <v>919</v>
      </c>
      <c r="C56" s="2" t="s">
        <v>57</v>
      </c>
      <c r="D56" s="2" t="s">
        <v>184</v>
      </c>
      <c r="E56" s="2" t="s">
        <v>2904</v>
      </c>
      <c r="F56" s="2" t="s">
        <v>2905</v>
      </c>
      <c r="G56" s="2" t="s">
        <v>2906</v>
      </c>
      <c r="H56" s="22">
        <v>1.0820000000000001</v>
      </c>
      <c r="I56" s="2" t="s">
        <v>420</v>
      </c>
      <c r="J56" s="2" t="s">
        <v>56</v>
      </c>
      <c r="K56" s="22">
        <v>495736000</v>
      </c>
      <c r="L56" s="2" t="s">
        <v>52</v>
      </c>
      <c r="M56" s="2" t="s">
        <v>1770</v>
      </c>
      <c r="N56" s="2" t="s">
        <v>184</v>
      </c>
      <c r="O56" s="2" t="s">
        <v>4060</v>
      </c>
      <c r="P56" s="22">
        <v>1</v>
      </c>
      <c r="Q56" s="2" t="s">
        <v>4061</v>
      </c>
      <c r="R56" s="2" t="s">
        <v>173</v>
      </c>
      <c r="S56" s="2" t="s">
        <v>189</v>
      </c>
      <c r="T56" s="2" t="s">
        <v>115</v>
      </c>
      <c r="U56" s="2" t="s">
        <v>53</v>
      </c>
      <c r="V56" s="2" t="s">
        <v>2907</v>
      </c>
      <c r="W56" s="22">
        <v>1.0409999999999999</v>
      </c>
    </row>
    <row r="57" spans="1:23" x14ac:dyDescent="0.2">
      <c r="A57" s="2" t="s">
        <v>1058</v>
      </c>
      <c r="B57" s="2" t="s">
        <v>1045</v>
      </c>
      <c r="C57" s="2" t="s">
        <v>71</v>
      </c>
      <c r="D57" s="2" t="s">
        <v>1046</v>
      </c>
      <c r="E57" s="2" t="s">
        <v>3362</v>
      </c>
      <c r="F57" s="2" t="s">
        <v>3363</v>
      </c>
      <c r="G57" s="2" t="s">
        <v>3364</v>
      </c>
      <c r="H57" s="22">
        <v>6</v>
      </c>
      <c r="I57" s="2" t="s">
        <v>55</v>
      </c>
      <c r="J57" s="2" t="s">
        <v>56</v>
      </c>
      <c r="K57" s="22">
        <v>1250000000</v>
      </c>
      <c r="L57" s="2" t="s">
        <v>52</v>
      </c>
      <c r="M57" s="2" t="s">
        <v>1775</v>
      </c>
      <c r="N57" s="2" t="s">
        <v>366</v>
      </c>
      <c r="O57" s="2" t="s">
        <v>4062</v>
      </c>
      <c r="P57" s="22">
        <v>6</v>
      </c>
      <c r="Q57" s="2" t="s">
        <v>4063</v>
      </c>
      <c r="R57" s="2" t="s">
        <v>261</v>
      </c>
      <c r="S57" s="2" t="s">
        <v>296</v>
      </c>
      <c r="T57" s="2" t="s">
        <v>115</v>
      </c>
      <c r="U57" s="2" t="s">
        <v>262</v>
      </c>
      <c r="V57" s="2" t="s">
        <v>3365</v>
      </c>
      <c r="W57" s="22">
        <v>6.26</v>
      </c>
    </row>
    <row r="58" spans="1:23" x14ac:dyDescent="0.2">
      <c r="A58" s="2" t="s">
        <v>1058</v>
      </c>
      <c r="B58" s="2" t="s">
        <v>1045</v>
      </c>
      <c r="C58" s="2" t="s">
        <v>71</v>
      </c>
      <c r="D58" s="2" t="s">
        <v>1046</v>
      </c>
      <c r="E58" s="2" t="s">
        <v>3366</v>
      </c>
      <c r="F58" s="2" t="s">
        <v>3367</v>
      </c>
      <c r="G58" s="2" t="s">
        <v>3368</v>
      </c>
      <c r="H58" s="22">
        <v>6.75</v>
      </c>
      <c r="I58" s="2" t="s">
        <v>55</v>
      </c>
      <c r="J58" s="2" t="s">
        <v>56</v>
      </c>
      <c r="K58" s="22">
        <v>1250000000</v>
      </c>
      <c r="L58" s="2" t="s">
        <v>52</v>
      </c>
      <c r="M58" s="2" t="s">
        <v>1775</v>
      </c>
      <c r="N58" s="2" t="s">
        <v>366</v>
      </c>
      <c r="O58" s="2" t="s">
        <v>4062</v>
      </c>
      <c r="P58" s="22">
        <v>6.75</v>
      </c>
      <c r="Q58" s="2" t="s">
        <v>4064</v>
      </c>
      <c r="R58" s="2" t="s">
        <v>261</v>
      </c>
      <c r="S58" s="2" t="s">
        <v>296</v>
      </c>
      <c r="T58" s="2" t="s">
        <v>115</v>
      </c>
      <c r="U58" s="2" t="s">
        <v>262</v>
      </c>
      <c r="V58" s="2" t="s">
        <v>3369</v>
      </c>
      <c r="W58" s="22">
        <v>6.7039999999999997</v>
      </c>
    </row>
    <row r="59" spans="1:23" x14ac:dyDescent="0.2">
      <c r="A59" s="2" t="s">
        <v>1058</v>
      </c>
      <c r="B59" s="2" t="s">
        <v>1045</v>
      </c>
      <c r="C59" s="2" t="s">
        <v>71</v>
      </c>
      <c r="D59" s="2" t="s">
        <v>1046</v>
      </c>
      <c r="E59" s="2" t="s">
        <v>3370</v>
      </c>
      <c r="F59" s="2" t="s">
        <v>3371</v>
      </c>
      <c r="G59" s="2" t="s">
        <v>3372</v>
      </c>
      <c r="H59" s="22">
        <v>6</v>
      </c>
      <c r="I59" s="2" t="s">
        <v>55</v>
      </c>
      <c r="J59" s="2" t="s">
        <v>56</v>
      </c>
      <c r="K59" s="22">
        <v>1250000000</v>
      </c>
      <c r="L59" s="2" t="s">
        <v>52</v>
      </c>
      <c r="M59" s="2" t="s">
        <v>1775</v>
      </c>
      <c r="N59" s="2" t="s">
        <v>366</v>
      </c>
      <c r="O59" s="2" t="s">
        <v>4062</v>
      </c>
      <c r="P59" s="22">
        <v>6</v>
      </c>
      <c r="Q59" s="2" t="s">
        <v>4063</v>
      </c>
      <c r="R59" s="2" t="s">
        <v>270</v>
      </c>
      <c r="S59" s="2" t="s">
        <v>296</v>
      </c>
      <c r="T59" s="2" t="s">
        <v>115</v>
      </c>
      <c r="U59" s="2" t="s">
        <v>262</v>
      </c>
      <c r="V59" s="2" t="s">
        <v>3373</v>
      </c>
      <c r="W59" s="22">
        <v>6.26</v>
      </c>
    </row>
    <row r="60" spans="1:23" x14ac:dyDescent="0.2">
      <c r="A60" s="2" t="s">
        <v>1058</v>
      </c>
      <c r="B60" s="2" t="s">
        <v>1045</v>
      </c>
      <c r="C60" s="2" t="s">
        <v>71</v>
      </c>
      <c r="D60" s="2" t="s">
        <v>1046</v>
      </c>
      <c r="E60" s="2" t="s">
        <v>3374</v>
      </c>
      <c r="F60" s="2" t="s">
        <v>3375</v>
      </c>
      <c r="G60" s="2" t="s">
        <v>3376</v>
      </c>
      <c r="H60" s="22">
        <v>6.75</v>
      </c>
      <c r="I60" s="2" t="s">
        <v>55</v>
      </c>
      <c r="J60" s="2" t="s">
        <v>56</v>
      </c>
      <c r="K60" s="22">
        <v>1250000000</v>
      </c>
      <c r="L60" s="2" t="s">
        <v>52</v>
      </c>
      <c r="M60" s="2" t="s">
        <v>1775</v>
      </c>
      <c r="N60" s="2" t="s">
        <v>366</v>
      </c>
      <c r="O60" s="2" t="s">
        <v>4062</v>
      </c>
      <c r="P60" s="22">
        <v>6.75</v>
      </c>
      <c r="Q60" s="2" t="s">
        <v>4064</v>
      </c>
      <c r="R60" s="2" t="s">
        <v>270</v>
      </c>
      <c r="S60" s="2" t="s">
        <v>296</v>
      </c>
      <c r="T60" s="2" t="s">
        <v>115</v>
      </c>
      <c r="U60" s="2" t="s">
        <v>262</v>
      </c>
      <c r="V60" s="2" t="s">
        <v>3377</v>
      </c>
      <c r="W60" s="22">
        <v>6.7039999999999997</v>
      </c>
    </row>
    <row r="61" spans="1:23" x14ac:dyDescent="0.2">
      <c r="A61" s="2" t="s">
        <v>1042</v>
      </c>
      <c r="B61" s="2" t="s">
        <v>1045</v>
      </c>
      <c r="C61" s="2" t="s">
        <v>71</v>
      </c>
      <c r="D61" s="2" t="s">
        <v>1046</v>
      </c>
      <c r="E61" s="2" t="s">
        <v>3330</v>
      </c>
      <c r="F61" s="2" t="s">
        <v>3331</v>
      </c>
      <c r="G61" s="2" t="s">
        <v>3332</v>
      </c>
      <c r="H61" s="22">
        <v>4.5</v>
      </c>
      <c r="I61" s="2" t="s">
        <v>55</v>
      </c>
      <c r="J61" s="2" t="s">
        <v>56</v>
      </c>
      <c r="K61" s="22">
        <v>1113759000</v>
      </c>
      <c r="L61" s="2" t="s">
        <v>52</v>
      </c>
      <c r="M61" s="2" t="s">
        <v>1775</v>
      </c>
      <c r="N61" s="2" t="s">
        <v>366</v>
      </c>
      <c r="O61" s="2" t="s">
        <v>4062</v>
      </c>
      <c r="P61" s="22">
        <v>4.5</v>
      </c>
      <c r="Q61" s="2" t="s">
        <v>4065</v>
      </c>
      <c r="R61" s="2" t="s">
        <v>261</v>
      </c>
      <c r="S61" s="2" t="s">
        <v>296</v>
      </c>
      <c r="T61" s="2" t="s">
        <v>115</v>
      </c>
      <c r="U61" s="2" t="s">
        <v>53</v>
      </c>
      <c r="V61" s="2" t="s">
        <v>3333</v>
      </c>
      <c r="W61" s="22">
        <v>4.282</v>
      </c>
    </row>
    <row r="62" spans="1:23" x14ac:dyDescent="0.2">
      <c r="A62" s="2" t="s">
        <v>1042</v>
      </c>
      <c r="B62" s="2" t="s">
        <v>1045</v>
      </c>
      <c r="C62" s="2" t="s">
        <v>71</v>
      </c>
      <c r="D62" s="2" t="s">
        <v>1046</v>
      </c>
      <c r="E62" s="2" t="s">
        <v>3334</v>
      </c>
      <c r="F62" s="2" t="s">
        <v>3335</v>
      </c>
      <c r="G62" s="2" t="s">
        <v>3336</v>
      </c>
      <c r="H62" s="22">
        <v>4.5</v>
      </c>
      <c r="I62" s="2" t="s">
        <v>55</v>
      </c>
      <c r="J62" s="2" t="s">
        <v>56</v>
      </c>
      <c r="K62" s="22">
        <v>1113759000</v>
      </c>
      <c r="L62" s="2" t="s">
        <v>52</v>
      </c>
      <c r="M62" s="2" t="s">
        <v>1775</v>
      </c>
      <c r="N62" s="2" t="s">
        <v>366</v>
      </c>
      <c r="O62" s="2" t="s">
        <v>4062</v>
      </c>
      <c r="P62" s="22">
        <v>4.5</v>
      </c>
      <c r="Q62" s="2" t="s">
        <v>4065</v>
      </c>
      <c r="R62" s="2" t="s">
        <v>270</v>
      </c>
      <c r="S62" s="2" t="s">
        <v>296</v>
      </c>
      <c r="T62" s="2" t="s">
        <v>115</v>
      </c>
      <c r="U62" s="2" t="s">
        <v>53</v>
      </c>
      <c r="V62" s="2" t="s">
        <v>3337</v>
      </c>
      <c r="W62" s="22">
        <v>4.282</v>
      </c>
    </row>
    <row r="63" spans="1:23" x14ac:dyDescent="0.2">
      <c r="A63" s="2" t="s">
        <v>415</v>
      </c>
      <c r="B63" s="2" t="s">
        <v>418</v>
      </c>
      <c r="C63" s="2" t="s">
        <v>57</v>
      </c>
      <c r="D63" s="2" t="s">
        <v>366</v>
      </c>
      <c r="E63" s="2" t="s">
        <v>2850</v>
      </c>
      <c r="F63" s="2" t="s">
        <v>2851</v>
      </c>
      <c r="G63" s="2" t="s">
        <v>2852</v>
      </c>
      <c r="H63" s="2" t="s">
        <v>54</v>
      </c>
      <c r="I63" s="2" t="s">
        <v>420</v>
      </c>
      <c r="J63" s="2" t="s">
        <v>56</v>
      </c>
      <c r="K63" s="22">
        <v>617410000</v>
      </c>
      <c r="L63" s="2" t="s">
        <v>52</v>
      </c>
      <c r="M63" s="2" t="s">
        <v>1775</v>
      </c>
      <c r="N63" s="2" t="s">
        <v>366</v>
      </c>
      <c r="O63" s="2" t="s">
        <v>4066</v>
      </c>
      <c r="P63" s="22">
        <v>1.125</v>
      </c>
      <c r="Q63" s="2" t="s">
        <v>4067</v>
      </c>
      <c r="R63" s="2" t="s">
        <v>173</v>
      </c>
      <c r="S63" s="2" t="s">
        <v>174</v>
      </c>
      <c r="T63" s="2" t="s">
        <v>115</v>
      </c>
      <c r="U63" s="2" t="s">
        <v>53</v>
      </c>
      <c r="V63" s="2" t="s">
        <v>2853</v>
      </c>
      <c r="W63" s="22">
        <v>1.2549999999999999</v>
      </c>
    </row>
    <row r="64" spans="1:23" x14ac:dyDescent="0.2">
      <c r="A64" s="2" t="s">
        <v>1518</v>
      </c>
      <c r="B64" s="2" t="s">
        <v>1521</v>
      </c>
      <c r="C64" s="2" t="s">
        <v>57</v>
      </c>
      <c r="D64" s="2" t="s">
        <v>184</v>
      </c>
      <c r="E64" s="2" t="s">
        <v>3075</v>
      </c>
      <c r="F64" s="2" t="s">
        <v>3076</v>
      </c>
      <c r="G64" s="2" t="s">
        <v>3077</v>
      </c>
      <c r="H64" s="22">
        <v>0.54</v>
      </c>
      <c r="I64" s="2" t="s">
        <v>117</v>
      </c>
      <c r="J64" s="2" t="s">
        <v>56</v>
      </c>
      <c r="K64" s="22">
        <v>2149052500</v>
      </c>
      <c r="L64" s="2" t="s">
        <v>52</v>
      </c>
      <c r="M64" s="2" t="s">
        <v>1775</v>
      </c>
      <c r="N64" s="2" t="s">
        <v>184</v>
      </c>
      <c r="O64" s="2" t="s">
        <v>4068</v>
      </c>
      <c r="P64" s="22">
        <v>0.5</v>
      </c>
      <c r="Q64" s="2" t="s">
        <v>4069</v>
      </c>
      <c r="R64" s="2" t="s">
        <v>3078</v>
      </c>
      <c r="S64" s="2" t="s">
        <v>483</v>
      </c>
      <c r="T64" s="2" t="s">
        <v>115</v>
      </c>
      <c r="U64" s="2" t="s">
        <v>53</v>
      </c>
      <c r="V64" s="2" t="s">
        <v>3079</v>
      </c>
      <c r="W64" s="22">
        <v>0.50600000000000001</v>
      </c>
    </row>
    <row r="65" spans="1:23" x14ac:dyDescent="0.2">
      <c r="A65" s="2" t="s">
        <v>1518</v>
      </c>
      <c r="B65" s="2" t="s">
        <v>1521</v>
      </c>
      <c r="C65" s="2" t="s">
        <v>57</v>
      </c>
      <c r="D65" s="2" t="s">
        <v>184</v>
      </c>
      <c r="E65" s="2" t="s">
        <v>3080</v>
      </c>
      <c r="F65" s="2" t="s">
        <v>3081</v>
      </c>
      <c r="G65" s="2" t="s">
        <v>3082</v>
      </c>
      <c r="H65" s="2" t="s">
        <v>54</v>
      </c>
      <c r="I65" s="2" t="s">
        <v>117</v>
      </c>
      <c r="J65" s="2" t="s">
        <v>56</v>
      </c>
      <c r="K65" s="22">
        <v>1535037500</v>
      </c>
      <c r="L65" s="2" t="s">
        <v>52</v>
      </c>
      <c r="M65" s="2" t="s">
        <v>2894</v>
      </c>
      <c r="N65" s="2" t="s">
        <v>184</v>
      </c>
      <c r="O65" s="2" t="s">
        <v>4068</v>
      </c>
      <c r="P65" s="22">
        <v>1.875</v>
      </c>
      <c r="Q65" s="2" t="s">
        <v>4070</v>
      </c>
      <c r="R65" s="2" t="s">
        <v>3083</v>
      </c>
      <c r="S65" s="2" t="s">
        <v>483</v>
      </c>
      <c r="T65" s="2" t="s">
        <v>115</v>
      </c>
      <c r="U65" s="2" t="s">
        <v>53</v>
      </c>
      <c r="V65" s="2" t="s">
        <v>3084</v>
      </c>
      <c r="W65" s="22">
        <v>1.889</v>
      </c>
    </row>
    <row r="66" spans="1:23" x14ac:dyDescent="0.2">
      <c r="A66" s="2" t="s">
        <v>1518</v>
      </c>
      <c r="B66" s="2" t="s">
        <v>1521</v>
      </c>
      <c r="C66" s="2" t="s">
        <v>57</v>
      </c>
      <c r="D66" s="2" t="s">
        <v>184</v>
      </c>
      <c r="E66" s="2" t="s">
        <v>3085</v>
      </c>
      <c r="F66" s="2" t="s">
        <v>3086</v>
      </c>
      <c r="G66" s="2" t="s">
        <v>3087</v>
      </c>
      <c r="H66" s="2" t="s">
        <v>54</v>
      </c>
      <c r="I66" s="2" t="s">
        <v>117</v>
      </c>
      <c r="J66" s="2" t="s">
        <v>56</v>
      </c>
      <c r="K66" s="22">
        <v>2456060000</v>
      </c>
      <c r="L66" s="2" t="s">
        <v>52</v>
      </c>
      <c r="M66" s="2" t="s">
        <v>2894</v>
      </c>
      <c r="N66" s="2" t="s">
        <v>184</v>
      </c>
      <c r="O66" s="2" t="s">
        <v>4068</v>
      </c>
      <c r="P66" s="22">
        <v>1.375</v>
      </c>
      <c r="Q66" s="2" t="s">
        <v>4071</v>
      </c>
      <c r="R66" s="2" t="s">
        <v>3088</v>
      </c>
      <c r="S66" s="2" t="s">
        <v>483</v>
      </c>
      <c r="T66" s="2" t="s">
        <v>115</v>
      </c>
      <c r="U66" s="2" t="s">
        <v>53</v>
      </c>
      <c r="V66" s="2" t="s">
        <v>3089</v>
      </c>
      <c r="W66" s="22">
        <v>1.472</v>
      </c>
    </row>
    <row r="67" spans="1:23" x14ac:dyDescent="0.2">
      <c r="A67" s="2" t="s">
        <v>1518</v>
      </c>
      <c r="B67" s="2" t="s">
        <v>1521</v>
      </c>
      <c r="C67" s="2" t="s">
        <v>57</v>
      </c>
      <c r="D67" s="2" t="s">
        <v>184</v>
      </c>
      <c r="E67" s="2" t="s">
        <v>3090</v>
      </c>
      <c r="F67" s="2" t="s">
        <v>3091</v>
      </c>
      <c r="G67" s="2" t="s">
        <v>3092</v>
      </c>
      <c r="H67" s="22">
        <v>1.05</v>
      </c>
      <c r="I67" s="2" t="s">
        <v>117</v>
      </c>
      <c r="J67" s="2" t="s">
        <v>56</v>
      </c>
      <c r="K67" s="22">
        <v>1842045000</v>
      </c>
      <c r="L67" s="2" t="s">
        <v>52</v>
      </c>
      <c r="M67" s="2" t="s">
        <v>1775</v>
      </c>
      <c r="N67" s="2" t="s">
        <v>184</v>
      </c>
      <c r="O67" s="2" t="s">
        <v>4068</v>
      </c>
      <c r="P67" s="22">
        <v>1</v>
      </c>
      <c r="Q67" s="2" t="s">
        <v>4072</v>
      </c>
      <c r="R67" s="2" t="s">
        <v>3093</v>
      </c>
      <c r="S67" s="2" t="s">
        <v>483</v>
      </c>
      <c r="T67" s="2" t="s">
        <v>115</v>
      </c>
      <c r="U67" s="2" t="s">
        <v>53</v>
      </c>
      <c r="V67" s="2" t="s">
        <v>3094</v>
      </c>
      <c r="W67" s="22">
        <v>1.028</v>
      </c>
    </row>
    <row r="68" spans="1:23" x14ac:dyDescent="0.2">
      <c r="A68" s="2" t="s">
        <v>1486</v>
      </c>
      <c r="B68" s="2" t="s">
        <v>1489</v>
      </c>
      <c r="C68" s="2" t="s">
        <v>173</v>
      </c>
      <c r="D68" s="2" t="s">
        <v>184</v>
      </c>
      <c r="E68" s="2" t="s">
        <v>2254</v>
      </c>
      <c r="F68" s="2" t="s">
        <v>2255</v>
      </c>
      <c r="G68" s="2" t="s">
        <v>2256</v>
      </c>
      <c r="H68" s="2" t="s">
        <v>54</v>
      </c>
      <c r="I68" s="2" t="s">
        <v>117</v>
      </c>
      <c r="J68" s="2" t="s">
        <v>675</v>
      </c>
      <c r="K68" s="22">
        <v>500000000</v>
      </c>
      <c r="L68" s="2" t="s">
        <v>52</v>
      </c>
      <c r="M68" s="2" t="s">
        <v>2257</v>
      </c>
      <c r="N68" s="2" t="s">
        <v>184</v>
      </c>
      <c r="O68" s="2" t="s">
        <v>4073</v>
      </c>
      <c r="P68" s="22">
        <v>0</v>
      </c>
      <c r="Q68" s="2" t="s">
        <v>4074</v>
      </c>
      <c r="R68" s="2" t="s">
        <v>173</v>
      </c>
      <c r="S68" s="2" t="s">
        <v>54</v>
      </c>
      <c r="T68" s="2" t="s">
        <v>188</v>
      </c>
      <c r="U68" s="2" t="s">
        <v>262</v>
      </c>
      <c r="V68" s="2" t="s">
        <v>2258</v>
      </c>
      <c r="W68" s="2" t="s">
        <v>54</v>
      </c>
    </row>
    <row r="69" spans="1:23" x14ac:dyDescent="0.2">
      <c r="A69" s="2" t="s">
        <v>1261</v>
      </c>
      <c r="B69" s="2" t="s">
        <v>1264</v>
      </c>
      <c r="C69" s="2" t="s">
        <v>71</v>
      </c>
      <c r="D69" s="2" t="s">
        <v>407</v>
      </c>
      <c r="E69" s="2" t="s">
        <v>2589</v>
      </c>
      <c r="F69" s="2" t="s">
        <v>2590</v>
      </c>
      <c r="G69" s="2" t="s">
        <v>2591</v>
      </c>
      <c r="H69" s="2" t="s">
        <v>54</v>
      </c>
      <c r="I69" s="2" t="s">
        <v>55</v>
      </c>
      <c r="J69" s="2" t="s">
        <v>56</v>
      </c>
      <c r="K69" s="22">
        <v>147529200</v>
      </c>
      <c r="L69" s="2" t="s">
        <v>52</v>
      </c>
      <c r="M69" s="2" t="s">
        <v>173</v>
      </c>
      <c r="N69" s="2" t="s">
        <v>407</v>
      </c>
      <c r="O69" s="2" t="s">
        <v>4075</v>
      </c>
      <c r="P69" s="22">
        <v>3.95</v>
      </c>
      <c r="Q69" s="2" t="s">
        <v>4076</v>
      </c>
      <c r="R69" s="2" t="s">
        <v>173</v>
      </c>
      <c r="S69" s="2" t="s">
        <v>54</v>
      </c>
      <c r="T69" s="2" t="s">
        <v>49</v>
      </c>
      <c r="U69" s="2" t="s">
        <v>53</v>
      </c>
      <c r="V69" s="2" t="s">
        <v>2592</v>
      </c>
      <c r="W69" s="2" t="s">
        <v>54</v>
      </c>
    </row>
    <row r="70" spans="1:23" x14ac:dyDescent="0.2">
      <c r="A70" s="2" t="s">
        <v>1724</v>
      </c>
      <c r="B70" s="2" t="s">
        <v>1727</v>
      </c>
      <c r="C70" s="2" t="s">
        <v>71</v>
      </c>
      <c r="D70" s="2" t="s">
        <v>199</v>
      </c>
      <c r="E70" s="2" t="s">
        <v>2933</v>
      </c>
      <c r="F70" s="2" t="s">
        <v>2934</v>
      </c>
      <c r="G70" s="2" t="s">
        <v>2935</v>
      </c>
      <c r="H70" s="22">
        <v>2.2650000000000001</v>
      </c>
      <c r="I70" s="2" t="s">
        <v>55</v>
      </c>
      <c r="J70" s="2" t="s">
        <v>56</v>
      </c>
      <c r="K70" s="22">
        <v>197805300</v>
      </c>
      <c r="L70" s="2" t="s">
        <v>52</v>
      </c>
      <c r="M70" s="2" t="s">
        <v>1839</v>
      </c>
      <c r="N70" s="2" t="s">
        <v>199</v>
      </c>
      <c r="O70" s="2" t="s">
        <v>4077</v>
      </c>
      <c r="P70" s="22">
        <v>2.625</v>
      </c>
      <c r="Q70" s="2" t="s">
        <v>4078</v>
      </c>
      <c r="R70" s="2" t="s">
        <v>173</v>
      </c>
      <c r="S70" s="2" t="s">
        <v>54</v>
      </c>
      <c r="T70" s="2" t="s">
        <v>115</v>
      </c>
      <c r="U70" s="2" t="s">
        <v>53</v>
      </c>
      <c r="V70" s="2" t="s">
        <v>2936</v>
      </c>
      <c r="W70" s="2" t="s">
        <v>54</v>
      </c>
    </row>
    <row r="71" spans="1:23" x14ac:dyDescent="0.2">
      <c r="A71" s="2" t="s">
        <v>1058</v>
      </c>
      <c r="B71" s="2" t="s">
        <v>1045</v>
      </c>
      <c r="C71" s="2" t="s">
        <v>71</v>
      </c>
      <c r="D71" s="2" t="s">
        <v>1046</v>
      </c>
      <c r="E71" s="2" t="s">
        <v>3378</v>
      </c>
      <c r="F71" s="2" t="s">
        <v>3379</v>
      </c>
      <c r="G71" s="2" t="s">
        <v>3380</v>
      </c>
      <c r="H71" s="2" t="s">
        <v>54</v>
      </c>
      <c r="I71" s="2" t="s">
        <v>55</v>
      </c>
      <c r="J71" s="2" t="s">
        <v>56</v>
      </c>
      <c r="K71" s="22">
        <v>1248206000</v>
      </c>
      <c r="L71" s="2" t="s">
        <v>52</v>
      </c>
      <c r="M71" s="2" t="s">
        <v>1775</v>
      </c>
      <c r="N71" s="2" t="s">
        <v>366</v>
      </c>
      <c r="O71" s="2" t="s">
        <v>4079</v>
      </c>
      <c r="P71" s="22">
        <v>6</v>
      </c>
      <c r="Q71" s="2" t="s">
        <v>4063</v>
      </c>
      <c r="R71" s="2" t="s">
        <v>173</v>
      </c>
      <c r="S71" s="2" t="s">
        <v>296</v>
      </c>
      <c r="T71" s="2" t="s">
        <v>115</v>
      </c>
      <c r="U71" s="2" t="s">
        <v>262</v>
      </c>
      <c r="V71" s="2" t="s">
        <v>3381</v>
      </c>
      <c r="W71" s="2" t="s">
        <v>54</v>
      </c>
    </row>
    <row r="72" spans="1:23" x14ac:dyDescent="0.2">
      <c r="A72" s="2" t="s">
        <v>1058</v>
      </c>
      <c r="B72" s="2" t="s">
        <v>1045</v>
      </c>
      <c r="C72" s="2" t="s">
        <v>71</v>
      </c>
      <c r="D72" s="2" t="s">
        <v>1046</v>
      </c>
      <c r="E72" s="2" t="s">
        <v>3382</v>
      </c>
      <c r="F72" s="2" t="s">
        <v>3383</v>
      </c>
      <c r="G72" s="2" t="s">
        <v>3384</v>
      </c>
      <c r="H72" s="2" t="s">
        <v>54</v>
      </c>
      <c r="I72" s="2" t="s">
        <v>55</v>
      </c>
      <c r="J72" s="2" t="s">
        <v>56</v>
      </c>
      <c r="K72" s="22">
        <v>1249745000</v>
      </c>
      <c r="L72" s="2" t="s">
        <v>52</v>
      </c>
      <c r="M72" s="2" t="s">
        <v>1775</v>
      </c>
      <c r="N72" s="2" t="s">
        <v>366</v>
      </c>
      <c r="O72" s="2" t="s">
        <v>4079</v>
      </c>
      <c r="P72" s="22">
        <v>6.75</v>
      </c>
      <c r="Q72" s="2" t="s">
        <v>4064</v>
      </c>
      <c r="R72" s="2" t="s">
        <v>173</v>
      </c>
      <c r="S72" s="2" t="s">
        <v>296</v>
      </c>
      <c r="T72" s="2" t="s">
        <v>115</v>
      </c>
      <c r="U72" s="2" t="s">
        <v>262</v>
      </c>
      <c r="V72" s="2" t="s">
        <v>3385</v>
      </c>
      <c r="W72" s="2" t="s">
        <v>54</v>
      </c>
    </row>
    <row r="73" spans="1:23" x14ac:dyDescent="0.2">
      <c r="A73" s="2" t="s">
        <v>1042</v>
      </c>
      <c r="B73" s="2" t="s">
        <v>1045</v>
      </c>
      <c r="C73" s="2" t="s">
        <v>71</v>
      </c>
      <c r="D73" s="2" t="s">
        <v>1046</v>
      </c>
      <c r="E73" s="2" t="s">
        <v>3338</v>
      </c>
      <c r="F73" s="2" t="s">
        <v>3339</v>
      </c>
      <c r="G73" s="2" t="s">
        <v>3340</v>
      </c>
      <c r="H73" s="2" t="s">
        <v>54</v>
      </c>
      <c r="I73" s="2" t="s">
        <v>55</v>
      </c>
      <c r="J73" s="2" t="s">
        <v>56</v>
      </c>
      <c r="K73" s="22">
        <v>1059816988</v>
      </c>
      <c r="L73" s="2" t="s">
        <v>52</v>
      </c>
      <c r="M73" s="2" t="s">
        <v>1775</v>
      </c>
      <c r="N73" s="2" t="s">
        <v>366</v>
      </c>
      <c r="O73" s="2" t="s">
        <v>4079</v>
      </c>
      <c r="P73" s="22">
        <v>4.5</v>
      </c>
      <c r="Q73" s="2" t="s">
        <v>4065</v>
      </c>
      <c r="R73" s="2" t="s">
        <v>173</v>
      </c>
      <c r="S73" s="2" t="s">
        <v>296</v>
      </c>
      <c r="T73" s="2" t="s">
        <v>115</v>
      </c>
      <c r="U73" s="2" t="s">
        <v>53</v>
      </c>
      <c r="V73" s="2" t="s">
        <v>3341</v>
      </c>
      <c r="W73" s="2" t="s">
        <v>54</v>
      </c>
    </row>
    <row r="74" spans="1:23" x14ac:dyDescent="0.2">
      <c r="A74" s="2" t="s">
        <v>932</v>
      </c>
      <c r="B74" s="2" t="s">
        <v>935</v>
      </c>
      <c r="C74" s="2" t="s">
        <v>71</v>
      </c>
      <c r="D74" s="2" t="s">
        <v>45</v>
      </c>
      <c r="E74" s="2" t="s">
        <v>2237</v>
      </c>
      <c r="F74" s="2" t="s">
        <v>173</v>
      </c>
      <c r="G74" s="2" t="s">
        <v>2238</v>
      </c>
      <c r="H74" s="2" t="s">
        <v>54</v>
      </c>
      <c r="I74" s="2" t="s">
        <v>55</v>
      </c>
      <c r="J74" s="2" t="s">
        <v>70</v>
      </c>
      <c r="K74" s="22">
        <v>71857200</v>
      </c>
      <c r="L74" s="2" t="s">
        <v>52</v>
      </c>
      <c r="M74" s="2" t="s">
        <v>173</v>
      </c>
      <c r="N74" s="2" t="s">
        <v>45</v>
      </c>
      <c r="O74" s="2" t="s">
        <v>4080</v>
      </c>
      <c r="P74" s="22">
        <v>0</v>
      </c>
      <c r="Q74" s="2" t="s">
        <v>4081</v>
      </c>
      <c r="R74" s="2" t="s">
        <v>76</v>
      </c>
      <c r="S74" s="2" t="s">
        <v>54</v>
      </c>
      <c r="T74" s="2" t="s">
        <v>49</v>
      </c>
      <c r="U74" s="2" t="s">
        <v>53</v>
      </c>
      <c r="V74" s="2" t="s">
        <v>2239</v>
      </c>
      <c r="W74" s="2" t="s">
        <v>54</v>
      </c>
    </row>
    <row r="75" spans="1:23" x14ac:dyDescent="0.2">
      <c r="A75" s="2" t="s">
        <v>932</v>
      </c>
      <c r="B75" s="2" t="s">
        <v>935</v>
      </c>
      <c r="C75" s="2" t="s">
        <v>71</v>
      </c>
      <c r="D75" s="2" t="s">
        <v>45</v>
      </c>
      <c r="E75" s="2" t="s">
        <v>2240</v>
      </c>
      <c r="F75" s="2" t="s">
        <v>173</v>
      </c>
      <c r="G75" s="2" t="s">
        <v>2241</v>
      </c>
      <c r="H75" s="2" t="s">
        <v>54</v>
      </c>
      <c r="I75" s="2" t="s">
        <v>55</v>
      </c>
      <c r="J75" s="2" t="s">
        <v>70</v>
      </c>
      <c r="K75" s="22">
        <v>71857200</v>
      </c>
      <c r="L75" s="2" t="s">
        <v>52</v>
      </c>
      <c r="M75" s="2" t="s">
        <v>173</v>
      </c>
      <c r="N75" s="2" t="s">
        <v>45</v>
      </c>
      <c r="O75" s="2" t="s">
        <v>4080</v>
      </c>
      <c r="P75" s="22">
        <v>0</v>
      </c>
      <c r="Q75" s="2" t="s">
        <v>4082</v>
      </c>
      <c r="R75" s="2" t="s">
        <v>157</v>
      </c>
      <c r="S75" s="2" t="s">
        <v>54</v>
      </c>
      <c r="T75" s="2" t="s">
        <v>49</v>
      </c>
      <c r="U75" s="2" t="s">
        <v>53</v>
      </c>
      <c r="V75" s="2" t="s">
        <v>2242</v>
      </c>
      <c r="W75" s="2" t="s">
        <v>54</v>
      </c>
    </row>
    <row r="76" spans="1:23" x14ac:dyDescent="0.2">
      <c r="A76" s="2" t="s">
        <v>932</v>
      </c>
      <c r="B76" s="2" t="s">
        <v>935</v>
      </c>
      <c r="C76" s="2" t="s">
        <v>71</v>
      </c>
      <c r="D76" s="2" t="s">
        <v>45</v>
      </c>
      <c r="E76" s="2" t="s">
        <v>2243</v>
      </c>
      <c r="F76" s="2" t="s">
        <v>173</v>
      </c>
      <c r="G76" s="2" t="s">
        <v>2244</v>
      </c>
      <c r="H76" s="2" t="s">
        <v>54</v>
      </c>
      <c r="I76" s="2" t="s">
        <v>55</v>
      </c>
      <c r="J76" s="2" t="s">
        <v>70</v>
      </c>
      <c r="K76" s="22">
        <v>71857200</v>
      </c>
      <c r="L76" s="2" t="s">
        <v>52</v>
      </c>
      <c r="M76" s="2" t="s">
        <v>173</v>
      </c>
      <c r="N76" s="2" t="s">
        <v>45</v>
      </c>
      <c r="O76" s="2" t="s">
        <v>4080</v>
      </c>
      <c r="P76" s="22">
        <v>0</v>
      </c>
      <c r="Q76" s="2" t="s">
        <v>4083</v>
      </c>
      <c r="R76" s="2" t="s">
        <v>69</v>
      </c>
      <c r="S76" s="2" t="s">
        <v>54</v>
      </c>
      <c r="T76" s="2" t="s">
        <v>49</v>
      </c>
      <c r="U76" s="2" t="s">
        <v>53</v>
      </c>
      <c r="V76" s="2" t="s">
        <v>2245</v>
      </c>
      <c r="W76" s="2" t="s">
        <v>54</v>
      </c>
    </row>
    <row r="77" spans="1:23" x14ac:dyDescent="0.2">
      <c r="A77" s="2" t="s">
        <v>1603</v>
      </c>
      <c r="B77" s="2" t="s">
        <v>1606</v>
      </c>
      <c r="C77" s="2" t="s">
        <v>71</v>
      </c>
      <c r="D77" s="2" t="s">
        <v>45</v>
      </c>
      <c r="E77" s="2" t="s">
        <v>3151</v>
      </c>
      <c r="F77" s="2" t="s">
        <v>173</v>
      </c>
      <c r="G77" s="2" t="s">
        <v>3152</v>
      </c>
      <c r="H77" s="2" t="s">
        <v>54</v>
      </c>
      <c r="I77" s="2" t="s">
        <v>55</v>
      </c>
      <c r="J77" s="2" t="s">
        <v>70</v>
      </c>
      <c r="K77" s="22">
        <v>308828115</v>
      </c>
      <c r="L77" s="2" t="s">
        <v>52</v>
      </c>
      <c r="M77" s="2" t="s">
        <v>173</v>
      </c>
      <c r="N77" s="2" t="s">
        <v>45</v>
      </c>
      <c r="O77" s="2" t="s">
        <v>4084</v>
      </c>
      <c r="P77" s="22">
        <v>0</v>
      </c>
      <c r="Q77" s="2" t="s">
        <v>4085</v>
      </c>
      <c r="R77" s="2" t="s">
        <v>76</v>
      </c>
      <c r="S77" s="2" t="s">
        <v>54</v>
      </c>
      <c r="T77" s="2" t="s">
        <v>49</v>
      </c>
      <c r="U77" s="2" t="s">
        <v>53</v>
      </c>
      <c r="V77" s="2" t="s">
        <v>3153</v>
      </c>
      <c r="W77" s="2" t="s">
        <v>54</v>
      </c>
    </row>
    <row r="78" spans="1:23" x14ac:dyDescent="0.2">
      <c r="A78" s="2" t="s">
        <v>1603</v>
      </c>
      <c r="B78" s="2" t="s">
        <v>1606</v>
      </c>
      <c r="C78" s="2" t="s">
        <v>71</v>
      </c>
      <c r="D78" s="2" t="s">
        <v>45</v>
      </c>
      <c r="E78" s="2" t="s">
        <v>3154</v>
      </c>
      <c r="F78" s="2" t="s">
        <v>173</v>
      </c>
      <c r="G78" s="2" t="s">
        <v>3155</v>
      </c>
      <c r="H78" s="2" t="s">
        <v>54</v>
      </c>
      <c r="I78" s="2" t="s">
        <v>55</v>
      </c>
      <c r="J78" s="2" t="s">
        <v>70</v>
      </c>
      <c r="K78" s="22">
        <v>308828115</v>
      </c>
      <c r="L78" s="2" t="s">
        <v>52</v>
      </c>
      <c r="M78" s="2" t="s">
        <v>173</v>
      </c>
      <c r="N78" s="2" t="s">
        <v>45</v>
      </c>
      <c r="O78" s="2" t="s">
        <v>4084</v>
      </c>
      <c r="P78" s="22">
        <v>0</v>
      </c>
      <c r="Q78" s="2" t="s">
        <v>4086</v>
      </c>
      <c r="R78" s="2" t="s">
        <v>69</v>
      </c>
      <c r="S78" s="2" t="s">
        <v>54</v>
      </c>
      <c r="T78" s="2" t="s">
        <v>49</v>
      </c>
      <c r="U78" s="2" t="s">
        <v>53</v>
      </c>
      <c r="V78" s="2" t="s">
        <v>3156</v>
      </c>
      <c r="W78" s="2" t="s">
        <v>54</v>
      </c>
    </row>
    <row r="79" spans="1:23" x14ac:dyDescent="0.2">
      <c r="A79" s="2" t="s">
        <v>1603</v>
      </c>
      <c r="B79" s="2" t="s">
        <v>1606</v>
      </c>
      <c r="C79" s="2" t="s">
        <v>71</v>
      </c>
      <c r="D79" s="2" t="s">
        <v>45</v>
      </c>
      <c r="E79" s="2" t="s">
        <v>3157</v>
      </c>
      <c r="F79" s="2" t="s">
        <v>173</v>
      </c>
      <c r="G79" s="2" t="s">
        <v>3158</v>
      </c>
      <c r="H79" s="2" t="s">
        <v>54</v>
      </c>
      <c r="I79" s="2" t="s">
        <v>55</v>
      </c>
      <c r="J79" s="2" t="s">
        <v>70</v>
      </c>
      <c r="K79" s="22">
        <v>308828115</v>
      </c>
      <c r="L79" s="2" t="s">
        <v>52</v>
      </c>
      <c r="M79" s="2" t="s">
        <v>173</v>
      </c>
      <c r="N79" s="2" t="s">
        <v>45</v>
      </c>
      <c r="O79" s="2" t="s">
        <v>4084</v>
      </c>
      <c r="P79" s="22">
        <v>0</v>
      </c>
      <c r="Q79" s="2" t="s">
        <v>1095</v>
      </c>
      <c r="R79" s="2" t="s">
        <v>51</v>
      </c>
      <c r="S79" s="2" t="s">
        <v>54</v>
      </c>
      <c r="T79" s="2" t="s">
        <v>49</v>
      </c>
      <c r="U79" s="2" t="s">
        <v>53</v>
      </c>
      <c r="V79" s="2" t="s">
        <v>3159</v>
      </c>
      <c r="W79" s="2" t="s">
        <v>54</v>
      </c>
    </row>
    <row r="80" spans="1:23" x14ac:dyDescent="0.2">
      <c r="A80" s="2" t="s">
        <v>1216</v>
      </c>
      <c r="B80" s="2" t="s">
        <v>1219</v>
      </c>
      <c r="C80" s="2" t="s">
        <v>57</v>
      </c>
      <c r="D80" s="2" t="s">
        <v>45</v>
      </c>
      <c r="E80" s="2" t="s">
        <v>2879</v>
      </c>
      <c r="F80" s="2" t="s">
        <v>2880</v>
      </c>
      <c r="G80" s="2" t="s">
        <v>2881</v>
      </c>
      <c r="H80" s="2" t="s">
        <v>54</v>
      </c>
      <c r="I80" s="2" t="s">
        <v>420</v>
      </c>
      <c r="J80" s="2" t="s">
        <v>56</v>
      </c>
      <c r="K80" s="22">
        <v>590635000</v>
      </c>
      <c r="L80" s="2" t="s">
        <v>52</v>
      </c>
      <c r="M80" s="2" t="s">
        <v>1775</v>
      </c>
      <c r="N80" s="2" t="s">
        <v>45</v>
      </c>
      <c r="O80" s="2" t="s">
        <v>4087</v>
      </c>
      <c r="P80" s="22">
        <v>1.125</v>
      </c>
      <c r="Q80" s="2" t="s">
        <v>4088</v>
      </c>
      <c r="R80" s="2" t="s">
        <v>225</v>
      </c>
      <c r="S80" s="2" t="s">
        <v>174</v>
      </c>
      <c r="T80" s="2" t="s">
        <v>115</v>
      </c>
      <c r="U80" s="2" t="s">
        <v>53</v>
      </c>
      <c r="V80" s="2" t="s">
        <v>2882</v>
      </c>
      <c r="W80" s="22">
        <v>1.403</v>
      </c>
    </row>
    <row r="81" spans="1:23" x14ac:dyDescent="0.2">
      <c r="A81" s="2" t="s">
        <v>476</v>
      </c>
      <c r="B81" s="2" t="s">
        <v>479</v>
      </c>
      <c r="C81" s="2" t="s">
        <v>57</v>
      </c>
      <c r="D81" s="2" t="s">
        <v>45</v>
      </c>
      <c r="E81" s="2" t="s">
        <v>1912</v>
      </c>
      <c r="F81" s="2" t="s">
        <v>1913</v>
      </c>
      <c r="G81" s="2" t="s">
        <v>1914</v>
      </c>
      <c r="H81" s="2" t="s">
        <v>54</v>
      </c>
      <c r="I81" s="2" t="s">
        <v>55</v>
      </c>
      <c r="J81" s="2" t="s">
        <v>56</v>
      </c>
      <c r="K81" s="22">
        <v>874792500</v>
      </c>
      <c r="L81" s="2" t="s">
        <v>458</v>
      </c>
      <c r="M81" s="2" t="s">
        <v>1770</v>
      </c>
      <c r="N81" s="2" t="s">
        <v>45</v>
      </c>
      <c r="O81" s="2" t="s">
        <v>4089</v>
      </c>
      <c r="P81" s="22">
        <v>0.25</v>
      </c>
      <c r="Q81" s="2" t="s">
        <v>4090</v>
      </c>
      <c r="R81" s="2" t="s">
        <v>225</v>
      </c>
      <c r="S81" s="2" t="s">
        <v>189</v>
      </c>
      <c r="T81" s="2" t="s">
        <v>49</v>
      </c>
      <c r="U81" s="2" t="s">
        <v>53</v>
      </c>
      <c r="V81" s="2" t="s">
        <v>1915</v>
      </c>
      <c r="W81" s="22">
        <v>0.189</v>
      </c>
    </row>
    <row r="82" spans="1:23" x14ac:dyDescent="0.2">
      <c r="A82" s="2" t="s">
        <v>206</v>
      </c>
      <c r="B82" s="2" t="s">
        <v>209</v>
      </c>
      <c r="C82" s="2" t="s">
        <v>71</v>
      </c>
      <c r="D82" s="2" t="s">
        <v>112</v>
      </c>
      <c r="E82" s="2" t="s">
        <v>3053</v>
      </c>
      <c r="F82" s="2" t="s">
        <v>3054</v>
      </c>
      <c r="G82" s="2" t="s">
        <v>3055</v>
      </c>
      <c r="H82" s="2" t="s">
        <v>54</v>
      </c>
      <c r="I82" s="2" t="s">
        <v>174</v>
      </c>
      <c r="J82" s="2" t="s">
        <v>70</v>
      </c>
      <c r="K82" s="22">
        <v>54746800</v>
      </c>
      <c r="L82" s="2" t="s">
        <v>52</v>
      </c>
      <c r="M82" s="2" t="s">
        <v>173</v>
      </c>
      <c r="N82" s="2" t="s">
        <v>112</v>
      </c>
      <c r="O82" s="2" t="s">
        <v>4091</v>
      </c>
      <c r="P82" s="22">
        <v>3.63</v>
      </c>
      <c r="Q82" s="2" t="s">
        <v>4092</v>
      </c>
      <c r="R82" s="2" t="s">
        <v>212</v>
      </c>
      <c r="S82" s="2" t="s">
        <v>54</v>
      </c>
      <c r="T82" s="2" t="s">
        <v>49</v>
      </c>
      <c r="U82" s="2" t="s">
        <v>119</v>
      </c>
      <c r="V82" s="2" t="s">
        <v>3056</v>
      </c>
      <c r="W82" s="2" t="s">
        <v>54</v>
      </c>
    </row>
    <row r="83" spans="1:23" x14ac:dyDescent="0.2">
      <c r="A83" s="2" t="s">
        <v>1486</v>
      </c>
      <c r="B83" s="2" t="s">
        <v>1489</v>
      </c>
      <c r="C83" s="2" t="s">
        <v>57</v>
      </c>
      <c r="D83" s="2" t="s">
        <v>184</v>
      </c>
      <c r="E83" s="2" t="s">
        <v>2259</v>
      </c>
      <c r="F83" s="2" t="s">
        <v>2260</v>
      </c>
      <c r="G83" s="2" t="s">
        <v>2261</v>
      </c>
      <c r="H83" s="2" t="s">
        <v>54</v>
      </c>
      <c r="I83" s="2" t="s">
        <v>117</v>
      </c>
      <c r="J83" s="2" t="s">
        <v>56</v>
      </c>
      <c r="K83" s="22">
        <v>588680000</v>
      </c>
      <c r="L83" s="2" t="s">
        <v>52</v>
      </c>
      <c r="M83" s="2" t="s">
        <v>1770</v>
      </c>
      <c r="N83" s="2" t="s">
        <v>184</v>
      </c>
      <c r="O83" s="2" t="s">
        <v>4093</v>
      </c>
      <c r="P83" s="22">
        <v>0.875</v>
      </c>
      <c r="Q83" s="2" t="s">
        <v>4094</v>
      </c>
      <c r="R83" s="2" t="s">
        <v>225</v>
      </c>
      <c r="S83" s="2" t="s">
        <v>189</v>
      </c>
      <c r="T83" s="2" t="s">
        <v>115</v>
      </c>
      <c r="U83" s="2" t="s">
        <v>53</v>
      </c>
      <c r="V83" s="2" t="s">
        <v>2262</v>
      </c>
      <c r="W83" s="22">
        <v>0.95399999999999996</v>
      </c>
    </row>
    <row r="84" spans="1:23" x14ac:dyDescent="0.2">
      <c r="A84" s="2" t="s">
        <v>1291</v>
      </c>
      <c r="B84" s="2" t="s">
        <v>1294</v>
      </c>
      <c r="C84" s="2" t="s">
        <v>71</v>
      </c>
      <c r="D84" s="2" t="s">
        <v>45</v>
      </c>
      <c r="E84" s="2" t="s">
        <v>1881</v>
      </c>
      <c r="F84" s="2" t="s">
        <v>173</v>
      </c>
      <c r="G84" s="2" t="s">
        <v>1882</v>
      </c>
      <c r="H84" s="2" t="s">
        <v>54</v>
      </c>
      <c r="I84" s="2" t="s">
        <v>55</v>
      </c>
      <c r="J84" s="2" t="s">
        <v>70</v>
      </c>
      <c r="K84" s="22">
        <v>67322340</v>
      </c>
      <c r="L84" s="2" t="s">
        <v>52</v>
      </c>
      <c r="M84" s="2" t="s">
        <v>173</v>
      </c>
      <c r="N84" s="2" t="s">
        <v>45</v>
      </c>
      <c r="O84" s="2" t="s">
        <v>4095</v>
      </c>
      <c r="P84" s="22">
        <v>0</v>
      </c>
      <c r="Q84" s="2" t="s">
        <v>4096</v>
      </c>
      <c r="R84" s="2" t="s">
        <v>76</v>
      </c>
      <c r="S84" s="2" t="s">
        <v>54</v>
      </c>
      <c r="T84" s="2" t="s">
        <v>49</v>
      </c>
      <c r="U84" s="2" t="s">
        <v>53</v>
      </c>
      <c r="V84" s="2" t="s">
        <v>1883</v>
      </c>
      <c r="W84" s="2" t="s">
        <v>54</v>
      </c>
    </row>
    <row r="85" spans="1:23" x14ac:dyDescent="0.2">
      <c r="A85" s="2" t="s">
        <v>1291</v>
      </c>
      <c r="B85" s="2" t="s">
        <v>1294</v>
      </c>
      <c r="C85" s="2" t="s">
        <v>71</v>
      </c>
      <c r="D85" s="2" t="s">
        <v>45</v>
      </c>
      <c r="E85" s="2" t="s">
        <v>1884</v>
      </c>
      <c r="F85" s="2" t="s">
        <v>173</v>
      </c>
      <c r="G85" s="2" t="s">
        <v>1885</v>
      </c>
      <c r="H85" s="2" t="s">
        <v>54</v>
      </c>
      <c r="I85" s="2" t="s">
        <v>55</v>
      </c>
      <c r="J85" s="2" t="s">
        <v>70</v>
      </c>
      <c r="K85" s="22">
        <v>67322340</v>
      </c>
      <c r="L85" s="2" t="s">
        <v>52</v>
      </c>
      <c r="M85" s="2" t="s">
        <v>173</v>
      </c>
      <c r="N85" s="2" t="s">
        <v>45</v>
      </c>
      <c r="O85" s="2" t="s">
        <v>4095</v>
      </c>
      <c r="P85" s="22">
        <v>0</v>
      </c>
      <c r="Q85" s="2" t="s">
        <v>4097</v>
      </c>
      <c r="R85" s="2" t="s">
        <v>69</v>
      </c>
      <c r="S85" s="2" t="s">
        <v>54</v>
      </c>
      <c r="T85" s="2" t="s">
        <v>49</v>
      </c>
      <c r="U85" s="2" t="s">
        <v>53</v>
      </c>
      <c r="V85" s="2" t="s">
        <v>1886</v>
      </c>
      <c r="W85" s="2" t="s">
        <v>54</v>
      </c>
    </row>
    <row r="86" spans="1:23" x14ac:dyDescent="0.2">
      <c r="A86" s="2" t="s">
        <v>1559</v>
      </c>
      <c r="B86" s="2" t="s">
        <v>1562</v>
      </c>
      <c r="C86" s="2" t="s">
        <v>57</v>
      </c>
      <c r="D86" s="2" t="s">
        <v>257</v>
      </c>
      <c r="E86" s="2" t="s">
        <v>2730</v>
      </c>
      <c r="F86" s="2" t="s">
        <v>2731</v>
      </c>
      <c r="G86" s="2" t="s">
        <v>2732</v>
      </c>
      <c r="H86" s="22">
        <v>1.855</v>
      </c>
      <c r="I86" s="2" t="s">
        <v>55</v>
      </c>
      <c r="J86" s="2" t="s">
        <v>56</v>
      </c>
      <c r="K86" s="22">
        <v>876900000</v>
      </c>
      <c r="L86" s="2" t="s">
        <v>52</v>
      </c>
      <c r="M86" s="2" t="s">
        <v>1770</v>
      </c>
      <c r="N86" s="2" t="s">
        <v>366</v>
      </c>
      <c r="O86" s="2" t="s">
        <v>4098</v>
      </c>
      <c r="P86" s="22">
        <v>1.75</v>
      </c>
      <c r="Q86" s="2" t="s">
        <v>4099</v>
      </c>
      <c r="R86" s="2" t="s">
        <v>173</v>
      </c>
      <c r="S86" s="2" t="s">
        <v>174</v>
      </c>
      <c r="T86" s="2" t="s">
        <v>49</v>
      </c>
      <c r="U86" s="2" t="s">
        <v>53</v>
      </c>
      <c r="V86" s="2" t="s">
        <v>2733</v>
      </c>
      <c r="W86" s="22">
        <v>1.746</v>
      </c>
    </row>
    <row r="87" spans="1:23" x14ac:dyDescent="0.2">
      <c r="A87" s="2" t="s">
        <v>813</v>
      </c>
      <c r="B87" s="2" t="s">
        <v>816</v>
      </c>
      <c r="C87" s="2" t="s">
        <v>57</v>
      </c>
      <c r="D87" s="2" t="s">
        <v>184</v>
      </c>
      <c r="E87" s="2" t="s">
        <v>3434</v>
      </c>
      <c r="F87" s="2" t="s">
        <v>3435</v>
      </c>
      <c r="G87" s="2" t="s">
        <v>3436</v>
      </c>
      <c r="H87" s="22">
        <v>1.554</v>
      </c>
      <c r="I87" s="2" t="s">
        <v>133</v>
      </c>
      <c r="J87" s="2" t="s">
        <v>56</v>
      </c>
      <c r="K87" s="22">
        <v>696276000</v>
      </c>
      <c r="L87" s="2" t="s">
        <v>52</v>
      </c>
      <c r="M87" s="2" t="s">
        <v>1770</v>
      </c>
      <c r="N87" s="2" t="s">
        <v>184</v>
      </c>
      <c r="O87" s="2" t="s">
        <v>4100</v>
      </c>
      <c r="P87" s="22">
        <v>1.5</v>
      </c>
      <c r="Q87" s="2" t="s">
        <v>4101</v>
      </c>
      <c r="R87" s="2" t="s">
        <v>2134</v>
      </c>
      <c r="S87" s="2" t="s">
        <v>263</v>
      </c>
      <c r="T87" s="2" t="s">
        <v>115</v>
      </c>
      <c r="U87" s="2" t="s">
        <v>53</v>
      </c>
      <c r="V87" s="2" t="s">
        <v>3437</v>
      </c>
      <c r="W87" s="22">
        <v>1.306</v>
      </c>
    </row>
    <row r="88" spans="1:23" x14ac:dyDescent="0.2">
      <c r="A88" s="2" t="s">
        <v>1518</v>
      </c>
      <c r="B88" s="2" t="s">
        <v>1521</v>
      </c>
      <c r="C88" s="2" t="s">
        <v>71</v>
      </c>
      <c r="D88" s="2" t="s">
        <v>184</v>
      </c>
      <c r="E88" s="2" t="s">
        <v>3095</v>
      </c>
      <c r="F88" s="2" t="s">
        <v>3096</v>
      </c>
      <c r="G88" s="2" t="s">
        <v>3097</v>
      </c>
      <c r="H88" s="22">
        <v>3.4129999999999998</v>
      </c>
      <c r="I88" s="2" t="s">
        <v>117</v>
      </c>
      <c r="J88" s="2" t="s">
        <v>56</v>
      </c>
      <c r="K88" s="22">
        <v>1000000000</v>
      </c>
      <c r="L88" s="2" t="s">
        <v>52</v>
      </c>
      <c r="M88" s="2" t="s">
        <v>1770</v>
      </c>
      <c r="N88" s="2" t="s">
        <v>184</v>
      </c>
      <c r="O88" s="2" t="s">
        <v>4102</v>
      </c>
      <c r="P88" s="22">
        <v>3.375</v>
      </c>
      <c r="Q88" s="2" t="s">
        <v>4103</v>
      </c>
      <c r="R88" s="2" t="s">
        <v>173</v>
      </c>
      <c r="S88" s="2" t="s">
        <v>483</v>
      </c>
      <c r="T88" s="2" t="s">
        <v>115</v>
      </c>
      <c r="U88" s="2" t="s">
        <v>262</v>
      </c>
      <c r="V88" s="2" t="s">
        <v>3098</v>
      </c>
      <c r="W88" s="2" t="s">
        <v>54</v>
      </c>
    </row>
    <row r="89" spans="1:23" x14ac:dyDescent="0.2">
      <c r="A89" s="2" t="s">
        <v>1518</v>
      </c>
      <c r="B89" s="2" t="s">
        <v>1521</v>
      </c>
      <c r="C89" s="2" t="s">
        <v>71</v>
      </c>
      <c r="D89" s="2" t="s">
        <v>184</v>
      </c>
      <c r="E89" s="2" t="s">
        <v>3099</v>
      </c>
      <c r="F89" s="2" t="s">
        <v>3100</v>
      </c>
      <c r="G89" s="2" t="s">
        <v>3101</v>
      </c>
      <c r="H89" s="22">
        <v>3.7130000000000001</v>
      </c>
      <c r="I89" s="2" t="s">
        <v>117</v>
      </c>
      <c r="J89" s="2" t="s">
        <v>56</v>
      </c>
      <c r="K89" s="22">
        <v>1000000000</v>
      </c>
      <c r="L89" s="2" t="s">
        <v>52</v>
      </c>
      <c r="M89" s="2" t="s">
        <v>1770</v>
      </c>
      <c r="N89" s="2" t="s">
        <v>184</v>
      </c>
      <c r="O89" s="2" t="s">
        <v>4102</v>
      </c>
      <c r="P89" s="22">
        <v>3.625</v>
      </c>
      <c r="Q89" s="2" t="s">
        <v>4104</v>
      </c>
      <c r="R89" s="2" t="s">
        <v>173</v>
      </c>
      <c r="S89" s="2" t="s">
        <v>483</v>
      </c>
      <c r="T89" s="2" t="s">
        <v>115</v>
      </c>
      <c r="U89" s="2" t="s">
        <v>262</v>
      </c>
      <c r="V89" s="2" t="s">
        <v>3102</v>
      </c>
      <c r="W89" s="2" t="s">
        <v>54</v>
      </c>
    </row>
    <row r="90" spans="1:23" x14ac:dyDescent="0.2">
      <c r="A90" s="2" t="s">
        <v>180</v>
      </c>
      <c r="B90" s="2" t="s">
        <v>183</v>
      </c>
      <c r="C90" s="2" t="s">
        <v>57</v>
      </c>
      <c r="D90" s="2" t="s">
        <v>185</v>
      </c>
      <c r="E90" s="2" t="s">
        <v>3164</v>
      </c>
      <c r="F90" s="2" t="s">
        <v>3165</v>
      </c>
      <c r="G90" s="2" t="s">
        <v>3166</v>
      </c>
      <c r="H90" s="2" t="s">
        <v>54</v>
      </c>
      <c r="I90" s="2" t="s">
        <v>133</v>
      </c>
      <c r="J90" s="2" t="s">
        <v>56</v>
      </c>
      <c r="K90" s="22">
        <v>870547500</v>
      </c>
      <c r="L90" s="2" t="s">
        <v>52</v>
      </c>
      <c r="M90" s="2" t="s">
        <v>1770</v>
      </c>
      <c r="N90" s="2" t="s">
        <v>184</v>
      </c>
      <c r="O90" s="2" t="s">
        <v>4105</v>
      </c>
      <c r="P90" s="22">
        <v>1.375</v>
      </c>
      <c r="Q90" s="2" t="s">
        <v>4106</v>
      </c>
      <c r="R90" s="2" t="s">
        <v>225</v>
      </c>
      <c r="S90" s="2" t="s">
        <v>189</v>
      </c>
      <c r="T90" s="2" t="s">
        <v>115</v>
      </c>
      <c r="U90" s="2" t="s">
        <v>53</v>
      </c>
      <c r="V90" s="2" t="s">
        <v>3167</v>
      </c>
      <c r="W90" s="22">
        <v>1.2470000000000001</v>
      </c>
    </row>
    <row r="91" spans="1:23" x14ac:dyDescent="0.2">
      <c r="A91" s="2" t="s">
        <v>127</v>
      </c>
      <c r="B91" s="2" t="s">
        <v>130</v>
      </c>
      <c r="C91" s="2" t="s">
        <v>71</v>
      </c>
      <c r="D91" s="2" t="s">
        <v>45</v>
      </c>
      <c r="E91" s="2" t="s">
        <v>3066</v>
      </c>
      <c r="F91" s="2" t="s">
        <v>173</v>
      </c>
      <c r="G91" s="2" t="s">
        <v>3067</v>
      </c>
      <c r="H91" s="2" t="s">
        <v>54</v>
      </c>
      <c r="I91" s="2" t="s">
        <v>133</v>
      </c>
      <c r="J91" s="2" t="s">
        <v>70</v>
      </c>
      <c r="K91" s="22">
        <v>187291200</v>
      </c>
      <c r="L91" s="2" t="s">
        <v>52</v>
      </c>
      <c r="M91" s="2" t="s">
        <v>173</v>
      </c>
      <c r="N91" s="2" t="s">
        <v>45</v>
      </c>
      <c r="O91" s="2" t="s">
        <v>4107</v>
      </c>
      <c r="P91" s="22">
        <v>0</v>
      </c>
      <c r="Q91" s="2" t="s">
        <v>4108</v>
      </c>
      <c r="R91" s="2" t="s">
        <v>76</v>
      </c>
      <c r="S91" s="2" t="s">
        <v>54</v>
      </c>
      <c r="T91" s="2" t="s">
        <v>49</v>
      </c>
      <c r="U91" s="2" t="s">
        <v>53</v>
      </c>
      <c r="V91" s="2" t="s">
        <v>3068</v>
      </c>
      <c r="W91" s="2" t="s">
        <v>54</v>
      </c>
    </row>
    <row r="92" spans="1:23" x14ac:dyDescent="0.2">
      <c r="A92" s="2" t="s">
        <v>1559</v>
      </c>
      <c r="B92" s="2" t="s">
        <v>1562</v>
      </c>
      <c r="C92" s="2" t="s">
        <v>57</v>
      </c>
      <c r="D92" s="2" t="s">
        <v>257</v>
      </c>
      <c r="E92" s="2" t="s">
        <v>2734</v>
      </c>
      <c r="F92" s="2" t="s">
        <v>2735</v>
      </c>
      <c r="G92" s="2" t="s">
        <v>2736</v>
      </c>
      <c r="H92" s="22">
        <v>2.5140000000000002</v>
      </c>
      <c r="I92" s="2" t="s">
        <v>55</v>
      </c>
      <c r="J92" s="2" t="s">
        <v>56</v>
      </c>
      <c r="K92" s="22">
        <v>876900000</v>
      </c>
      <c r="L92" s="2" t="s">
        <v>52</v>
      </c>
      <c r="M92" s="2" t="s">
        <v>1770</v>
      </c>
      <c r="N92" s="2" t="s">
        <v>366</v>
      </c>
      <c r="O92" s="2" t="s">
        <v>4098</v>
      </c>
      <c r="P92" s="22">
        <v>2.5</v>
      </c>
      <c r="Q92" s="2" t="s">
        <v>4109</v>
      </c>
      <c r="R92" s="2" t="s">
        <v>2737</v>
      </c>
      <c r="S92" s="2" t="s">
        <v>174</v>
      </c>
      <c r="T92" s="2" t="s">
        <v>49</v>
      </c>
      <c r="U92" s="2" t="s">
        <v>53</v>
      </c>
      <c r="V92" s="2" t="s">
        <v>2738</v>
      </c>
      <c r="W92" s="22">
        <v>2.4119999999999999</v>
      </c>
    </row>
    <row r="93" spans="1:23" x14ac:dyDescent="0.2">
      <c r="A93" s="2" t="s">
        <v>206</v>
      </c>
      <c r="B93" s="2" t="s">
        <v>209</v>
      </c>
      <c r="C93" s="2" t="s">
        <v>71</v>
      </c>
      <c r="D93" s="2" t="s">
        <v>112</v>
      </c>
      <c r="E93" s="2" t="s">
        <v>3057</v>
      </c>
      <c r="F93" s="2" t="s">
        <v>3058</v>
      </c>
      <c r="G93" s="2" t="s">
        <v>3059</v>
      </c>
      <c r="H93" s="2" t="s">
        <v>54</v>
      </c>
      <c r="I93" s="2" t="s">
        <v>174</v>
      </c>
      <c r="J93" s="2" t="s">
        <v>70</v>
      </c>
      <c r="K93" s="22">
        <v>53614200</v>
      </c>
      <c r="L93" s="2" t="s">
        <v>52</v>
      </c>
      <c r="M93" s="2" t="s">
        <v>173</v>
      </c>
      <c r="N93" s="2" t="s">
        <v>112</v>
      </c>
      <c r="O93" s="2" t="s">
        <v>4102</v>
      </c>
      <c r="P93" s="22">
        <v>3.8000000000000003</v>
      </c>
      <c r="Q93" s="2" t="s">
        <v>4110</v>
      </c>
      <c r="R93" s="2" t="s">
        <v>430</v>
      </c>
      <c r="S93" s="2" t="s">
        <v>54</v>
      </c>
      <c r="T93" s="2" t="s">
        <v>49</v>
      </c>
      <c r="U93" s="2" t="s">
        <v>119</v>
      </c>
      <c r="V93" s="2" t="s">
        <v>3060</v>
      </c>
      <c r="W93" s="2" t="s">
        <v>54</v>
      </c>
    </row>
    <row r="94" spans="1:23" x14ac:dyDescent="0.2">
      <c r="A94" s="2" t="s">
        <v>1625</v>
      </c>
      <c r="B94" s="2" t="s">
        <v>1628</v>
      </c>
      <c r="C94" s="2" t="s">
        <v>71</v>
      </c>
      <c r="D94" s="2" t="s">
        <v>45</v>
      </c>
      <c r="E94" s="2" t="s">
        <v>2698</v>
      </c>
      <c r="F94" s="2" t="s">
        <v>173</v>
      </c>
      <c r="G94" s="2" t="s">
        <v>2699</v>
      </c>
      <c r="H94" s="2" t="s">
        <v>54</v>
      </c>
      <c r="I94" s="2" t="s">
        <v>55</v>
      </c>
      <c r="J94" s="2" t="s">
        <v>70</v>
      </c>
      <c r="K94" s="22">
        <v>71193600</v>
      </c>
      <c r="L94" s="2" t="s">
        <v>52</v>
      </c>
      <c r="M94" s="2" t="s">
        <v>173</v>
      </c>
      <c r="N94" s="2" t="s">
        <v>45</v>
      </c>
      <c r="O94" s="2" t="s">
        <v>4111</v>
      </c>
      <c r="P94" s="22">
        <v>0</v>
      </c>
      <c r="Q94" s="2" t="s">
        <v>4112</v>
      </c>
      <c r="R94" s="2" t="s">
        <v>76</v>
      </c>
      <c r="S94" s="2" t="s">
        <v>54</v>
      </c>
      <c r="T94" s="2" t="s">
        <v>49</v>
      </c>
      <c r="U94" s="2" t="s">
        <v>53</v>
      </c>
      <c r="V94" s="2" t="s">
        <v>2700</v>
      </c>
      <c r="W94" s="2" t="s">
        <v>54</v>
      </c>
    </row>
    <row r="95" spans="1:23" x14ac:dyDescent="0.2">
      <c r="A95" s="2" t="s">
        <v>1625</v>
      </c>
      <c r="B95" s="2" t="s">
        <v>1628</v>
      </c>
      <c r="C95" s="2" t="s">
        <v>71</v>
      </c>
      <c r="D95" s="2" t="s">
        <v>45</v>
      </c>
      <c r="E95" s="2" t="s">
        <v>2701</v>
      </c>
      <c r="F95" s="2" t="s">
        <v>173</v>
      </c>
      <c r="G95" s="2" t="s">
        <v>2702</v>
      </c>
      <c r="H95" s="2" t="s">
        <v>54</v>
      </c>
      <c r="I95" s="2" t="s">
        <v>55</v>
      </c>
      <c r="J95" s="2" t="s">
        <v>70</v>
      </c>
      <c r="K95" s="22">
        <v>71193600</v>
      </c>
      <c r="L95" s="2" t="s">
        <v>52</v>
      </c>
      <c r="M95" s="2" t="s">
        <v>173</v>
      </c>
      <c r="N95" s="2" t="s">
        <v>45</v>
      </c>
      <c r="O95" s="2" t="s">
        <v>4111</v>
      </c>
      <c r="P95" s="22">
        <v>0</v>
      </c>
      <c r="Q95" s="2" t="s">
        <v>4113</v>
      </c>
      <c r="R95" s="2" t="s">
        <v>69</v>
      </c>
      <c r="S95" s="2" t="s">
        <v>54</v>
      </c>
      <c r="T95" s="2" t="s">
        <v>49</v>
      </c>
      <c r="U95" s="2" t="s">
        <v>53</v>
      </c>
      <c r="V95" s="2" t="s">
        <v>2703</v>
      </c>
      <c r="W95" s="2" t="s">
        <v>54</v>
      </c>
    </row>
    <row r="96" spans="1:23" x14ac:dyDescent="0.2">
      <c r="A96" s="2" t="s">
        <v>476</v>
      </c>
      <c r="B96" s="2" t="s">
        <v>479</v>
      </c>
      <c r="C96" s="2" t="s">
        <v>57</v>
      </c>
      <c r="D96" s="2" t="s">
        <v>45</v>
      </c>
      <c r="E96" s="2" t="s">
        <v>1916</v>
      </c>
      <c r="F96" s="2" t="s">
        <v>1917</v>
      </c>
      <c r="G96" s="2" t="s">
        <v>1918</v>
      </c>
      <c r="H96" s="2" t="s">
        <v>54</v>
      </c>
      <c r="I96" s="2" t="s">
        <v>55</v>
      </c>
      <c r="J96" s="2" t="s">
        <v>56</v>
      </c>
      <c r="K96" s="22">
        <v>881025000</v>
      </c>
      <c r="L96" s="2" t="s">
        <v>458</v>
      </c>
      <c r="M96" s="2" t="s">
        <v>1770</v>
      </c>
      <c r="N96" s="2" t="s">
        <v>45</v>
      </c>
      <c r="O96" s="2" t="s">
        <v>4114</v>
      </c>
      <c r="P96" s="22">
        <v>0</v>
      </c>
      <c r="Q96" s="2" t="s">
        <v>4115</v>
      </c>
      <c r="R96" s="2" t="s">
        <v>225</v>
      </c>
      <c r="S96" s="2" t="s">
        <v>189</v>
      </c>
      <c r="T96" s="2" t="s">
        <v>49</v>
      </c>
      <c r="U96" s="2" t="s">
        <v>53</v>
      </c>
      <c r="V96" s="2" t="s">
        <v>1919</v>
      </c>
      <c r="W96" s="22">
        <v>2.5000000000000001E-2</v>
      </c>
    </row>
    <row r="97" spans="1:23" x14ac:dyDescent="0.2">
      <c r="A97" s="2" t="s">
        <v>206</v>
      </c>
      <c r="B97" s="2" t="s">
        <v>209</v>
      </c>
      <c r="C97" s="2" t="s">
        <v>71</v>
      </c>
      <c r="D97" s="2" t="s">
        <v>112</v>
      </c>
      <c r="E97" s="2" t="s">
        <v>3061</v>
      </c>
      <c r="F97" s="2" t="s">
        <v>3062</v>
      </c>
      <c r="G97" s="2" t="s">
        <v>3063</v>
      </c>
      <c r="H97" s="2" t="s">
        <v>54</v>
      </c>
      <c r="I97" s="2" t="s">
        <v>174</v>
      </c>
      <c r="J97" s="2" t="s">
        <v>70</v>
      </c>
      <c r="K97" s="22">
        <v>54126400</v>
      </c>
      <c r="L97" s="2" t="s">
        <v>52</v>
      </c>
      <c r="M97" s="2" t="s">
        <v>173</v>
      </c>
      <c r="N97" s="2" t="s">
        <v>112</v>
      </c>
      <c r="O97" s="2" t="s">
        <v>4116</v>
      </c>
      <c r="P97" s="22">
        <v>4.24</v>
      </c>
      <c r="Q97" s="2" t="s">
        <v>4117</v>
      </c>
      <c r="R97" s="2" t="s">
        <v>3064</v>
      </c>
      <c r="S97" s="2" t="s">
        <v>54</v>
      </c>
      <c r="T97" s="2" t="s">
        <v>49</v>
      </c>
      <c r="U97" s="2" t="s">
        <v>119</v>
      </c>
      <c r="V97" s="2" t="s">
        <v>3065</v>
      </c>
      <c r="W97" s="2" t="s">
        <v>54</v>
      </c>
    </row>
    <row r="98" spans="1:23" x14ac:dyDescent="0.2">
      <c r="A98" s="2" t="s">
        <v>1010</v>
      </c>
      <c r="B98" s="2" t="s">
        <v>1013</v>
      </c>
      <c r="C98" s="2" t="s">
        <v>71</v>
      </c>
      <c r="D98" s="2" t="s">
        <v>184</v>
      </c>
      <c r="E98" s="2" t="s">
        <v>3196</v>
      </c>
      <c r="F98" s="2" t="s">
        <v>3197</v>
      </c>
      <c r="G98" s="2" t="s">
        <v>3198</v>
      </c>
      <c r="H98" s="2" t="s">
        <v>54</v>
      </c>
      <c r="I98" s="2" t="s">
        <v>55</v>
      </c>
      <c r="J98" s="2" t="s">
        <v>56</v>
      </c>
      <c r="K98" s="22">
        <v>149155840</v>
      </c>
      <c r="L98" s="2" t="s">
        <v>52</v>
      </c>
      <c r="M98" s="2" t="s">
        <v>173</v>
      </c>
      <c r="N98" s="2" t="s">
        <v>184</v>
      </c>
      <c r="O98" s="2" t="s">
        <v>4118</v>
      </c>
      <c r="P98" s="22">
        <v>3.25</v>
      </c>
      <c r="Q98" s="2" t="s">
        <v>4119</v>
      </c>
      <c r="R98" s="2" t="s">
        <v>173</v>
      </c>
      <c r="S98" s="2" t="s">
        <v>54</v>
      </c>
      <c r="T98" s="2" t="s">
        <v>115</v>
      </c>
      <c r="U98" s="2" t="s">
        <v>53</v>
      </c>
      <c r="V98" s="2" t="s">
        <v>3199</v>
      </c>
      <c r="W98" s="2" t="s">
        <v>54</v>
      </c>
    </row>
    <row r="99" spans="1:23" x14ac:dyDescent="0.2">
      <c r="A99" s="2" t="s">
        <v>476</v>
      </c>
      <c r="B99" s="2" t="s">
        <v>479</v>
      </c>
      <c r="C99" s="2" t="s">
        <v>57</v>
      </c>
      <c r="D99" s="2" t="s">
        <v>45</v>
      </c>
      <c r="E99" s="2" t="s">
        <v>1920</v>
      </c>
      <c r="F99" s="2" t="s">
        <v>1921</v>
      </c>
      <c r="G99" s="2" t="s">
        <v>1922</v>
      </c>
      <c r="H99" s="22">
        <v>0.39</v>
      </c>
      <c r="I99" s="2" t="s">
        <v>55</v>
      </c>
      <c r="J99" s="2" t="s">
        <v>56</v>
      </c>
      <c r="K99" s="22">
        <v>584405000</v>
      </c>
      <c r="L99" s="2" t="s">
        <v>482</v>
      </c>
      <c r="M99" s="2" t="s">
        <v>173</v>
      </c>
      <c r="N99" s="2" t="s">
        <v>45</v>
      </c>
      <c r="O99" s="2" t="s">
        <v>4120</v>
      </c>
      <c r="P99" s="22">
        <v>0.375</v>
      </c>
      <c r="Q99" s="2" t="s">
        <v>4121</v>
      </c>
      <c r="R99" s="2" t="s">
        <v>225</v>
      </c>
      <c r="S99" s="2" t="s">
        <v>483</v>
      </c>
      <c r="T99" s="2" t="s">
        <v>49</v>
      </c>
      <c r="U99" s="2" t="s">
        <v>53</v>
      </c>
      <c r="V99" s="2" t="s">
        <v>1923</v>
      </c>
      <c r="W99" s="22">
        <v>0.44500000000000001</v>
      </c>
    </row>
    <row r="100" spans="1:23" x14ac:dyDescent="0.2">
      <c r="A100" s="2" t="s">
        <v>1010</v>
      </c>
      <c r="B100" s="2" t="s">
        <v>1013</v>
      </c>
      <c r="C100" s="2" t="s">
        <v>71</v>
      </c>
      <c r="D100" s="2" t="s">
        <v>184</v>
      </c>
      <c r="E100" s="2" t="s">
        <v>3200</v>
      </c>
      <c r="F100" s="2" t="s">
        <v>3201</v>
      </c>
      <c r="G100" s="2" t="s">
        <v>3202</v>
      </c>
      <c r="H100" s="2" t="s">
        <v>54</v>
      </c>
      <c r="I100" s="2" t="s">
        <v>55</v>
      </c>
      <c r="J100" s="2" t="s">
        <v>56</v>
      </c>
      <c r="K100" s="22">
        <v>2330560</v>
      </c>
      <c r="L100" s="2" t="s">
        <v>52</v>
      </c>
      <c r="M100" s="2" t="s">
        <v>173</v>
      </c>
      <c r="N100" s="2" t="s">
        <v>184</v>
      </c>
      <c r="O100" s="2" t="s">
        <v>4118</v>
      </c>
      <c r="P100" s="22">
        <v>3</v>
      </c>
      <c r="Q100" s="2" t="s">
        <v>4122</v>
      </c>
      <c r="R100" s="2" t="s">
        <v>173</v>
      </c>
      <c r="S100" s="2" t="s">
        <v>54</v>
      </c>
      <c r="T100" s="2" t="s">
        <v>115</v>
      </c>
      <c r="U100" s="2" t="s">
        <v>53</v>
      </c>
      <c r="V100" s="2" t="s">
        <v>3203</v>
      </c>
      <c r="W100" s="2" t="s">
        <v>54</v>
      </c>
    </row>
    <row r="101" spans="1:23" x14ac:dyDescent="0.2">
      <c r="A101" s="2" t="s">
        <v>679</v>
      </c>
      <c r="B101" s="2" t="s">
        <v>682</v>
      </c>
      <c r="C101" s="2" t="s">
        <v>57</v>
      </c>
      <c r="D101" s="2" t="s">
        <v>367</v>
      </c>
      <c r="E101" s="2" t="s">
        <v>3273</v>
      </c>
      <c r="F101" s="2" t="s">
        <v>3274</v>
      </c>
      <c r="G101" s="2" t="s">
        <v>3275</v>
      </c>
      <c r="H101" s="2" t="s">
        <v>54</v>
      </c>
      <c r="I101" s="2" t="s">
        <v>55</v>
      </c>
      <c r="J101" s="2" t="s">
        <v>56</v>
      </c>
      <c r="K101" s="22">
        <v>174369000</v>
      </c>
      <c r="L101" s="2" t="s">
        <v>52</v>
      </c>
      <c r="M101" s="2" t="s">
        <v>1770</v>
      </c>
      <c r="N101" s="2" t="s">
        <v>367</v>
      </c>
      <c r="O101" s="2" t="s">
        <v>4123</v>
      </c>
      <c r="P101" s="22">
        <v>2.875</v>
      </c>
      <c r="Q101" s="2" t="s">
        <v>4124</v>
      </c>
      <c r="R101" s="2" t="s">
        <v>225</v>
      </c>
      <c r="S101" s="2" t="s">
        <v>54</v>
      </c>
      <c r="T101" s="2" t="s">
        <v>49</v>
      </c>
      <c r="U101" s="2" t="s">
        <v>53</v>
      </c>
      <c r="V101" s="2" t="s">
        <v>3276</v>
      </c>
      <c r="W101" s="22">
        <v>2.7959999999999998</v>
      </c>
    </row>
    <row r="102" spans="1:23" x14ac:dyDescent="0.2">
      <c r="A102" s="2" t="s">
        <v>613</v>
      </c>
      <c r="B102" s="2" t="s">
        <v>616</v>
      </c>
      <c r="C102" s="2" t="s">
        <v>71</v>
      </c>
      <c r="D102" s="2" t="s">
        <v>199</v>
      </c>
      <c r="E102" s="2" t="s">
        <v>2449</v>
      </c>
      <c r="F102" s="2" t="s">
        <v>2450</v>
      </c>
      <c r="G102" s="2" t="s">
        <v>2451</v>
      </c>
      <c r="H102" s="22">
        <v>4.12</v>
      </c>
      <c r="I102" s="2" t="s">
        <v>117</v>
      </c>
      <c r="J102" s="2" t="s">
        <v>56</v>
      </c>
      <c r="K102" s="22">
        <v>1000000000</v>
      </c>
      <c r="L102" s="2" t="s">
        <v>52</v>
      </c>
      <c r="M102" s="2" t="s">
        <v>1775</v>
      </c>
      <c r="N102" s="2" t="s">
        <v>199</v>
      </c>
      <c r="O102" s="2" t="s">
        <v>4125</v>
      </c>
      <c r="P102" s="22">
        <v>4</v>
      </c>
      <c r="Q102" s="2" t="s">
        <v>4126</v>
      </c>
      <c r="R102" s="2" t="s">
        <v>2452</v>
      </c>
      <c r="S102" s="2" t="s">
        <v>619</v>
      </c>
      <c r="T102" s="2" t="s">
        <v>49</v>
      </c>
      <c r="U102" s="2" t="s">
        <v>262</v>
      </c>
      <c r="V102" s="2" t="s">
        <v>2453</v>
      </c>
      <c r="W102" s="22">
        <v>4.0060000000000002</v>
      </c>
    </row>
    <row r="103" spans="1:23" x14ac:dyDescent="0.2">
      <c r="A103" s="2" t="s">
        <v>613</v>
      </c>
      <c r="B103" s="2" t="s">
        <v>616</v>
      </c>
      <c r="C103" s="2" t="s">
        <v>71</v>
      </c>
      <c r="D103" s="2" t="s">
        <v>199</v>
      </c>
      <c r="E103" s="2" t="s">
        <v>2454</v>
      </c>
      <c r="F103" s="2" t="s">
        <v>2455</v>
      </c>
      <c r="G103" s="2" t="s">
        <v>2456</v>
      </c>
      <c r="H103" s="22">
        <v>4.12</v>
      </c>
      <c r="I103" s="2" t="s">
        <v>117</v>
      </c>
      <c r="J103" s="2" t="s">
        <v>56</v>
      </c>
      <c r="K103" s="22">
        <v>1000000000</v>
      </c>
      <c r="L103" s="2" t="s">
        <v>52</v>
      </c>
      <c r="M103" s="2" t="s">
        <v>1775</v>
      </c>
      <c r="N103" s="2" t="s">
        <v>199</v>
      </c>
      <c r="O103" s="2" t="s">
        <v>4125</v>
      </c>
      <c r="P103" s="22">
        <v>4</v>
      </c>
      <c r="Q103" s="2" t="s">
        <v>4126</v>
      </c>
      <c r="R103" s="2" t="s">
        <v>270</v>
      </c>
      <c r="S103" s="2" t="s">
        <v>619</v>
      </c>
      <c r="T103" s="2" t="s">
        <v>49</v>
      </c>
      <c r="U103" s="2" t="s">
        <v>262</v>
      </c>
      <c r="V103" s="2" t="s">
        <v>2457</v>
      </c>
      <c r="W103" s="22">
        <v>4.0250000000000004</v>
      </c>
    </row>
    <row r="104" spans="1:23" x14ac:dyDescent="0.2">
      <c r="A104" s="2" t="s">
        <v>613</v>
      </c>
      <c r="B104" s="2" t="s">
        <v>616</v>
      </c>
      <c r="C104" s="2" t="s">
        <v>71</v>
      </c>
      <c r="D104" s="2" t="s">
        <v>199</v>
      </c>
      <c r="E104" s="2" t="s">
        <v>2458</v>
      </c>
      <c r="F104" s="2" t="s">
        <v>2459</v>
      </c>
      <c r="G104" s="2" t="s">
        <v>2460</v>
      </c>
      <c r="H104" s="22">
        <v>4.8520000000000003</v>
      </c>
      <c r="I104" s="2" t="s">
        <v>117</v>
      </c>
      <c r="J104" s="2" t="s">
        <v>56</v>
      </c>
      <c r="K104" s="22">
        <v>1000000000</v>
      </c>
      <c r="L104" s="2" t="s">
        <v>52</v>
      </c>
      <c r="M104" s="2" t="s">
        <v>1775</v>
      </c>
      <c r="N104" s="2" t="s">
        <v>199</v>
      </c>
      <c r="O104" s="2" t="s">
        <v>4125</v>
      </c>
      <c r="P104" s="22">
        <v>4.75</v>
      </c>
      <c r="Q104" s="2" t="s">
        <v>4127</v>
      </c>
      <c r="R104" s="2" t="s">
        <v>2452</v>
      </c>
      <c r="S104" s="2" t="s">
        <v>619</v>
      </c>
      <c r="T104" s="2" t="s">
        <v>49</v>
      </c>
      <c r="U104" s="2" t="s">
        <v>262</v>
      </c>
      <c r="V104" s="2" t="s">
        <v>2461</v>
      </c>
      <c r="W104" s="22">
        <v>4.7480000000000002</v>
      </c>
    </row>
    <row r="105" spans="1:23" x14ac:dyDescent="0.2">
      <c r="A105" s="2" t="s">
        <v>613</v>
      </c>
      <c r="B105" s="2" t="s">
        <v>616</v>
      </c>
      <c r="C105" s="2" t="s">
        <v>71</v>
      </c>
      <c r="D105" s="2" t="s">
        <v>199</v>
      </c>
      <c r="E105" s="2" t="s">
        <v>2462</v>
      </c>
      <c r="F105" s="2" t="s">
        <v>2463</v>
      </c>
      <c r="G105" s="2" t="s">
        <v>2464</v>
      </c>
      <c r="H105" s="22">
        <v>4.8520000000000003</v>
      </c>
      <c r="I105" s="2" t="s">
        <v>117</v>
      </c>
      <c r="J105" s="2" t="s">
        <v>56</v>
      </c>
      <c r="K105" s="22">
        <v>1000000000</v>
      </c>
      <c r="L105" s="2" t="s">
        <v>52</v>
      </c>
      <c r="M105" s="2" t="s">
        <v>1775</v>
      </c>
      <c r="N105" s="2" t="s">
        <v>199</v>
      </c>
      <c r="O105" s="2" t="s">
        <v>4125</v>
      </c>
      <c r="P105" s="22">
        <v>4.75</v>
      </c>
      <c r="Q105" s="2" t="s">
        <v>4127</v>
      </c>
      <c r="R105" s="2" t="s">
        <v>270</v>
      </c>
      <c r="S105" s="2" t="s">
        <v>619</v>
      </c>
      <c r="T105" s="2" t="s">
        <v>49</v>
      </c>
      <c r="U105" s="2" t="s">
        <v>262</v>
      </c>
      <c r="V105" s="2" t="s">
        <v>2465</v>
      </c>
      <c r="W105" s="2" t="s">
        <v>54</v>
      </c>
    </row>
    <row r="106" spans="1:23" x14ac:dyDescent="0.2">
      <c r="A106" s="2" t="s">
        <v>613</v>
      </c>
      <c r="B106" s="2" t="s">
        <v>616</v>
      </c>
      <c r="C106" s="2" t="s">
        <v>71</v>
      </c>
      <c r="D106" s="2" t="s">
        <v>199</v>
      </c>
      <c r="E106" s="2" t="s">
        <v>2466</v>
      </c>
      <c r="F106" s="2" t="s">
        <v>2467</v>
      </c>
      <c r="G106" s="2" t="s">
        <v>2468</v>
      </c>
      <c r="H106" s="22">
        <v>4.8520000000000003</v>
      </c>
      <c r="I106" s="2" t="s">
        <v>117</v>
      </c>
      <c r="J106" s="2" t="s">
        <v>56</v>
      </c>
      <c r="K106" s="22">
        <v>1000000000</v>
      </c>
      <c r="L106" s="2" t="s">
        <v>52</v>
      </c>
      <c r="M106" s="2" t="s">
        <v>1775</v>
      </c>
      <c r="N106" s="2" t="s">
        <v>199</v>
      </c>
      <c r="O106" s="2" t="s">
        <v>4125</v>
      </c>
      <c r="P106" s="22">
        <v>4.75</v>
      </c>
      <c r="Q106" s="2" t="s">
        <v>4127</v>
      </c>
      <c r="R106" s="2" t="s">
        <v>2469</v>
      </c>
      <c r="S106" s="2" t="s">
        <v>619</v>
      </c>
      <c r="T106" s="2" t="s">
        <v>49</v>
      </c>
      <c r="U106" s="2" t="s">
        <v>262</v>
      </c>
      <c r="V106" s="2" t="s">
        <v>2470</v>
      </c>
      <c r="W106" s="22">
        <v>4.7939999999999996</v>
      </c>
    </row>
    <row r="107" spans="1:23" x14ac:dyDescent="0.2">
      <c r="A107" s="2" t="s">
        <v>613</v>
      </c>
      <c r="B107" s="2" t="s">
        <v>616</v>
      </c>
      <c r="C107" s="2" t="s">
        <v>71</v>
      </c>
      <c r="D107" s="2" t="s">
        <v>199</v>
      </c>
      <c r="E107" s="2" t="s">
        <v>2471</v>
      </c>
      <c r="F107" s="2" t="s">
        <v>2472</v>
      </c>
      <c r="G107" s="2" t="s">
        <v>2473</v>
      </c>
      <c r="H107" s="22">
        <v>4.8520000000000003</v>
      </c>
      <c r="I107" s="2" t="s">
        <v>117</v>
      </c>
      <c r="J107" s="2" t="s">
        <v>56</v>
      </c>
      <c r="K107" s="22">
        <v>1000000000</v>
      </c>
      <c r="L107" s="2" t="s">
        <v>52</v>
      </c>
      <c r="M107" s="2" t="s">
        <v>1775</v>
      </c>
      <c r="N107" s="2" t="s">
        <v>199</v>
      </c>
      <c r="O107" s="2" t="s">
        <v>4125</v>
      </c>
      <c r="P107" s="22">
        <v>4.75</v>
      </c>
      <c r="Q107" s="2" t="s">
        <v>4127</v>
      </c>
      <c r="R107" s="2" t="s">
        <v>2474</v>
      </c>
      <c r="S107" s="2" t="s">
        <v>619</v>
      </c>
      <c r="T107" s="2" t="s">
        <v>49</v>
      </c>
      <c r="U107" s="2" t="s">
        <v>262</v>
      </c>
      <c r="V107" s="2" t="s">
        <v>2475</v>
      </c>
      <c r="W107" s="2" t="s">
        <v>54</v>
      </c>
    </row>
    <row r="108" spans="1:23" x14ac:dyDescent="0.2">
      <c r="A108" s="2" t="s">
        <v>613</v>
      </c>
      <c r="B108" s="2" t="s">
        <v>616</v>
      </c>
      <c r="C108" s="2" t="s">
        <v>71</v>
      </c>
      <c r="D108" s="2" t="s">
        <v>199</v>
      </c>
      <c r="E108" s="2" t="s">
        <v>2476</v>
      </c>
      <c r="F108" s="2" t="s">
        <v>2477</v>
      </c>
      <c r="G108" s="2" t="s">
        <v>2478</v>
      </c>
      <c r="H108" s="22">
        <v>4.12</v>
      </c>
      <c r="I108" s="2" t="s">
        <v>117</v>
      </c>
      <c r="J108" s="2" t="s">
        <v>56</v>
      </c>
      <c r="K108" s="22">
        <v>1000000000</v>
      </c>
      <c r="L108" s="2" t="s">
        <v>52</v>
      </c>
      <c r="M108" s="2" t="s">
        <v>1775</v>
      </c>
      <c r="N108" s="2" t="s">
        <v>199</v>
      </c>
      <c r="O108" s="2" t="s">
        <v>4125</v>
      </c>
      <c r="P108" s="22">
        <v>4</v>
      </c>
      <c r="Q108" s="2" t="s">
        <v>4126</v>
      </c>
      <c r="R108" s="2" t="s">
        <v>2469</v>
      </c>
      <c r="S108" s="2" t="s">
        <v>619</v>
      </c>
      <c r="T108" s="2" t="s">
        <v>49</v>
      </c>
      <c r="U108" s="2" t="s">
        <v>262</v>
      </c>
      <c r="V108" s="2" t="s">
        <v>2479</v>
      </c>
      <c r="W108" s="22">
        <v>4.0579999999999998</v>
      </c>
    </row>
    <row r="109" spans="1:23" x14ac:dyDescent="0.2">
      <c r="A109" s="2" t="s">
        <v>613</v>
      </c>
      <c r="B109" s="2" t="s">
        <v>616</v>
      </c>
      <c r="C109" s="2" t="s">
        <v>71</v>
      </c>
      <c r="D109" s="2" t="s">
        <v>199</v>
      </c>
      <c r="E109" s="2" t="s">
        <v>2480</v>
      </c>
      <c r="F109" s="2" t="s">
        <v>2481</v>
      </c>
      <c r="G109" s="2" t="s">
        <v>2482</v>
      </c>
      <c r="H109" s="22">
        <v>4.12</v>
      </c>
      <c r="I109" s="2" t="s">
        <v>117</v>
      </c>
      <c r="J109" s="2" t="s">
        <v>56</v>
      </c>
      <c r="K109" s="22">
        <v>1000000000</v>
      </c>
      <c r="L109" s="2" t="s">
        <v>52</v>
      </c>
      <c r="M109" s="2" t="s">
        <v>1775</v>
      </c>
      <c r="N109" s="2" t="s">
        <v>199</v>
      </c>
      <c r="O109" s="2" t="s">
        <v>4125</v>
      </c>
      <c r="P109" s="22">
        <v>4</v>
      </c>
      <c r="Q109" s="2" t="s">
        <v>4126</v>
      </c>
      <c r="R109" s="2" t="s">
        <v>2474</v>
      </c>
      <c r="S109" s="2" t="s">
        <v>619</v>
      </c>
      <c r="T109" s="2" t="s">
        <v>49</v>
      </c>
      <c r="U109" s="2" t="s">
        <v>262</v>
      </c>
      <c r="V109" s="2" t="s">
        <v>2483</v>
      </c>
      <c r="W109" s="2" t="s">
        <v>54</v>
      </c>
    </row>
    <row r="110" spans="1:23" x14ac:dyDescent="0.2">
      <c r="A110" s="2" t="s">
        <v>613</v>
      </c>
      <c r="B110" s="2" t="s">
        <v>616</v>
      </c>
      <c r="C110" s="2" t="s">
        <v>71</v>
      </c>
      <c r="D110" s="2" t="s">
        <v>199</v>
      </c>
      <c r="E110" s="2" t="s">
        <v>2484</v>
      </c>
      <c r="F110" s="2" t="s">
        <v>2485</v>
      </c>
      <c r="G110" s="2" t="s">
        <v>2486</v>
      </c>
      <c r="H110" s="22">
        <v>4.8520000000000003</v>
      </c>
      <c r="I110" s="2" t="s">
        <v>117</v>
      </c>
      <c r="J110" s="2" t="s">
        <v>56</v>
      </c>
      <c r="K110" s="22">
        <v>1000000000</v>
      </c>
      <c r="L110" s="2" t="s">
        <v>52</v>
      </c>
      <c r="M110" s="2" t="s">
        <v>1775</v>
      </c>
      <c r="N110" s="2" t="s">
        <v>199</v>
      </c>
      <c r="O110" s="2" t="s">
        <v>4125</v>
      </c>
      <c r="P110" s="22">
        <v>4.75</v>
      </c>
      <c r="Q110" s="2" t="s">
        <v>4127</v>
      </c>
      <c r="R110" s="2" t="s">
        <v>50</v>
      </c>
      <c r="S110" s="2" t="s">
        <v>189</v>
      </c>
      <c r="T110" s="2" t="s">
        <v>49</v>
      </c>
      <c r="U110" s="2" t="s">
        <v>262</v>
      </c>
      <c r="V110" s="2" t="s">
        <v>2487</v>
      </c>
      <c r="W110" s="22">
        <v>4.798</v>
      </c>
    </row>
    <row r="111" spans="1:23" x14ac:dyDescent="0.2">
      <c r="A111" s="2" t="s">
        <v>613</v>
      </c>
      <c r="B111" s="2" t="s">
        <v>616</v>
      </c>
      <c r="C111" s="2" t="s">
        <v>71</v>
      </c>
      <c r="D111" s="2" t="s">
        <v>199</v>
      </c>
      <c r="E111" s="2" t="s">
        <v>2488</v>
      </c>
      <c r="F111" s="2" t="s">
        <v>2489</v>
      </c>
      <c r="G111" s="2" t="s">
        <v>2490</v>
      </c>
      <c r="H111" s="22">
        <v>4.12</v>
      </c>
      <c r="I111" s="2" t="s">
        <v>117</v>
      </c>
      <c r="J111" s="2" t="s">
        <v>56</v>
      </c>
      <c r="K111" s="22">
        <v>1000000000</v>
      </c>
      <c r="L111" s="2" t="s">
        <v>52</v>
      </c>
      <c r="M111" s="2" t="s">
        <v>1775</v>
      </c>
      <c r="N111" s="2" t="s">
        <v>199</v>
      </c>
      <c r="O111" s="2" t="s">
        <v>4125</v>
      </c>
      <c r="P111" s="22">
        <v>4</v>
      </c>
      <c r="Q111" s="2" t="s">
        <v>4126</v>
      </c>
      <c r="R111" s="2" t="s">
        <v>50</v>
      </c>
      <c r="S111" s="2" t="s">
        <v>189</v>
      </c>
      <c r="T111" s="2" t="s">
        <v>49</v>
      </c>
      <c r="U111" s="2" t="s">
        <v>262</v>
      </c>
      <c r="V111" s="2" t="s">
        <v>2491</v>
      </c>
      <c r="W111" s="22">
        <v>4.1050000000000004</v>
      </c>
    </row>
    <row r="112" spans="1:23" x14ac:dyDescent="0.2">
      <c r="A112" s="2" t="s">
        <v>1291</v>
      </c>
      <c r="B112" s="2" t="s">
        <v>1294</v>
      </c>
      <c r="C112" s="2" t="s">
        <v>71</v>
      </c>
      <c r="D112" s="2" t="s">
        <v>45</v>
      </c>
      <c r="E112" s="2" t="s">
        <v>1887</v>
      </c>
      <c r="F112" s="2" t="s">
        <v>173</v>
      </c>
      <c r="G112" s="2" t="s">
        <v>1888</v>
      </c>
      <c r="H112" s="2" t="s">
        <v>54</v>
      </c>
      <c r="I112" s="2" t="s">
        <v>55</v>
      </c>
      <c r="J112" s="2" t="s">
        <v>70</v>
      </c>
      <c r="K112" s="22">
        <v>79604700</v>
      </c>
      <c r="L112" s="2" t="s">
        <v>52</v>
      </c>
      <c r="M112" s="2" t="s">
        <v>1839</v>
      </c>
      <c r="N112" s="2" t="s">
        <v>45</v>
      </c>
      <c r="O112" s="2" t="s">
        <v>4128</v>
      </c>
      <c r="P112" s="22">
        <v>0</v>
      </c>
      <c r="Q112" s="2" t="s">
        <v>4129</v>
      </c>
      <c r="R112" s="2" t="s">
        <v>76</v>
      </c>
      <c r="S112" s="2" t="s">
        <v>54</v>
      </c>
      <c r="T112" s="2" t="s">
        <v>49</v>
      </c>
      <c r="U112" s="2" t="s">
        <v>53</v>
      </c>
      <c r="V112" s="2" t="s">
        <v>1889</v>
      </c>
      <c r="W112" s="2" t="s">
        <v>54</v>
      </c>
    </row>
    <row r="113" spans="1:23" x14ac:dyDescent="0.2">
      <c r="A113" s="2" t="s">
        <v>1291</v>
      </c>
      <c r="B113" s="2" t="s">
        <v>1294</v>
      </c>
      <c r="C113" s="2" t="s">
        <v>71</v>
      </c>
      <c r="D113" s="2" t="s">
        <v>45</v>
      </c>
      <c r="E113" s="2" t="s">
        <v>1890</v>
      </c>
      <c r="F113" s="2" t="s">
        <v>173</v>
      </c>
      <c r="G113" s="2" t="s">
        <v>1891</v>
      </c>
      <c r="H113" s="2" t="s">
        <v>54</v>
      </c>
      <c r="I113" s="2" t="s">
        <v>55</v>
      </c>
      <c r="J113" s="2" t="s">
        <v>70</v>
      </c>
      <c r="K113" s="22">
        <v>79604700</v>
      </c>
      <c r="L113" s="2" t="s">
        <v>52</v>
      </c>
      <c r="M113" s="2" t="s">
        <v>1839</v>
      </c>
      <c r="N113" s="2" t="s">
        <v>45</v>
      </c>
      <c r="O113" s="2" t="s">
        <v>4128</v>
      </c>
      <c r="P113" s="22">
        <v>0</v>
      </c>
      <c r="Q113" s="2" t="s">
        <v>4130</v>
      </c>
      <c r="R113" s="2" t="s">
        <v>69</v>
      </c>
      <c r="S113" s="2" t="s">
        <v>54</v>
      </c>
      <c r="T113" s="2" t="s">
        <v>49</v>
      </c>
      <c r="U113" s="2" t="s">
        <v>53</v>
      </c>
      <c r="V113" s="2" t="s">
        <v>1892</v>
      </c>
      <c r="W113" s="2" t="s">
        <v>54</v>
      </c>
    </row>
    <row r="114" spans="1:23" x14ac:dyDescent="0.2">
      <c r="A114" s="2" t="s">
        <v>1291</v>
      </c>
      <c r="B114" s="2" t="s">
        <v>1294</v>
      </c>
      <c r="C114" s="2" t="s">
        <v>71</v>
      </c>
      <c r="D114" s="2" t="s">
        <v>45</v>
      </c>
      <c r="E114" s="2" t="s">
        <v>1893</v>
      </c>
      <c r="F114" s="2" t="s">
        <v>173</v>
      </c>
      <c r="G114" s="2" t="s">
        <v>1894</v>
      </c>
      <c r="H114" s="2" t="s">
        <v>54</v>
      </c>
      <c r="I114" s="2" t="s">
        <v>55</v>
      </c>
      <c r="J114" s="2" t="s">
        <v>70</v>
      </c>
      <c r="K114" s="22">
        <v>79604700</v>
      </c>
      <c r="L114" s="2" t="s">
        <v>52</v>
      </c>
      <c r="M114" s="2" t="s">
        <v>1839</v>
      </c>
      <c r="N114" s="2" t="s">
        <v>45</v>
      </c>
      <c r="O114" s="2" t="s">
        <v>4128</v>
      </c>
      <c r="P114" s="22">
        <v>0</v>
      </c>
      <c r="Q114" s="2" t="s">
        <v>4131</v>
      </c>
      <c r="R114" s="2" t="s">
        <v>51</v>
      </c>
      <c r="S114" s="2" t="s">
        <v>54</v>
      </c>
      <c r="T114" s="2" t="s">
        <v>49</v>
      </c>
      <c r="U114" s="2" t="s">
        <v>53</v>
      </c>
      <c r="V114" s="2" t="s">
        <v>1895</v>
      </c>
      <c r="W114" s="2" t="s">
        <v>54</v>
      </c>
    </row>
    <row r="115" spans="1:23" x14ac:dyDescent="0.2">
      <c r="A115" s="2" t="s">
        <v>1359</v>
      </c>
      <c r="B115" s="2" t="s">
        <v>1362</v>
      </c>
      <c r="C115" s="2" t="s">
        <v>57</v>
      </c>
      <c r="D115" s="2" t="s">
        <v>199</v>
      </c>
      <c r="E115" s="2" t="s">
        <v>3220</v>
      </c>
      <c r="F115" s="2" t="s">
        <v>3221</v>
      </c>
      <c r="G115" s="2" t="s">
        <v>3222</v>
      </c>
      <c r="H115" s="2" t="s">
        <v>54</v>
      </c>
      <c r="I115" s="2" t="s">
        <v>117</v>
      </c>
      <c r="J115" s="2" t="s">
        <v>56</v>
      </c>
      <c r="K115" s="22">
        <v>1049355000</v>
      </c>
      <c r="L115" s="2" t="s">
        <v>52</v>
      </c>
      <c r="M115" s="2" t="s">
        <v>1770</v>
      </c>
      <c r="N115" s="2" t="s">
        <v>199</v>
      </c>
      <c r="O115" s="2" t="s">
        <v>4132</v>
      </c>
      <c r="P115" s="22">
        <v>1</v>
      </c>
      <c r="Q115" s="2" t="s">
        <v>4133</v>
      </c>
      <c r="R115" s="2" t="s">
        <v>225</v>
      </c>
      <c r="S115" s="2" t="s">
        <v>174</v>
      </c>
      <c r="T115" s="2" t="s">
        <v>115</v>
      </c>
      <c r="U115" s="2" t="s">
        <v>53</v>
      </c>
      <c r="V115" s="2" t="s">
        <v>3223</v>
      </c>
      <c r="W115" s="22">
        <v>1.139</v>
      </c>
    </row>
    <row r="116" spans="1:23" x14ac:dyDescent="0.2">
      <c r="A116" s="2" t="s">
        <v>641</v>
      </c>
      <c r="B116" s="2" t="s">
        <v>644</v>
      </c>
      <c r="C116" s="2" t="s">
        <v>71</v>
      </c>
      <c r="D116" s="2" t="s">
        <v>199</v>
      </c>
      <c r="E116" s="2" t="s">
        <v>2425</v>
      </c>
      <c r="F116" s="2" t="s">
        <v>2426</v>
      </c>
      <c r="G116" s="2" t="s">
        <v>2427</v>
      </c>
      <c r="H116" s="22">
        <v>4.9740000000000002</v>
      </c>
      <c r="I116" s="2" t="s">
        <v>55</v>
      </c>
      <c r="J116" s="2" t="s">
        <v>56</v>
      </c>
      <c r="K116" s="22">
        <v>1250000000</v>
      </c>
      <c r="L116" s="2" t="s">
        <v>52</v>
      </c>
      <c r="M116" s="2" t="s">
        <v>1775</v>
      </c>
      <c r="N116" s="2" t="s">
        <v>366</v>
      </c>
      <c r="O116" s="2" t="s">
        <v>4134</v>
      </c>
      <c r="P116" s="22">
        <v>4.875</v>
      </c>
      <c r="Q116" s="2" t="s">
        <v>4135</v>
      </c>
      <c r="R116" s="2" t="s">
        <v>261</v>
      </c>
      <c r="S116" s="2" t="s">
        <v>619</v>
      </c>
      <c r="T116" s="2" t="s">
        <v>49</v>
      </c>
      <c r="U116" s="2" t="s">
        <v>262</v>
      </c>
      <c r="V116" s="2" t="s">
        <v>2428</v>
      </c>
      <c r="W116" s="2" t="s">
        <v>54</v>
      </c>
    </row>
    <row r="117" spans="1:23" x14ac:dyDescent="0.2">
      <c r="A117" s="2" t="s">
        <v>641</v>
      </c>
      <c r="B117" s="2" t="s">
        <v>644</v>
      </c>
      <c r="C117" s="2" t="s">
        <v>71</v>
      </c>
      <c r="D117" s="2" t="s">
        <v>199</v>
      </c>
      <c r="E117" s="2" t="s">
        <v>2429</v>
      </c>
      <c r="F117" s="2" t="s">
        <v>2430</v>
      </c>
      <c r="G117" s="2" t="s">
        <v>2431</v>
      </c>
      <c r="H117" s="22">
        <v>4.9740000000000002</v>
      </c>
      <c r="I117" s="2" t="s">
        <v>55</v>
      </c>
      <c r="J117" s="2" t="s">
        <v>56</v>
      </c>
      <c r="K117" s="22">
        <v>1250000000</v>
      </c>
      <c r="L117" s="2" t="s">
        <v>52</v>
      </c>
      <c r="M117" s="2" t="s">
        <v>1775</v>
      </c>
      <c r="N117" s="2" t="s">
        <v>366</v>
      </c>
      <c r="O117" s="2" t="s">
        <v>4134</v>
      </c>
      <c r="P117" s="22">
        <v>4.875</v>
      </c>
      <c r="Q117" s="2" t="s">
        <v>4135</v>
      </c>
      <c r="R117" s="2" t="s">
        <v>270</v>
      </c>
      <c r="S117" s="2" t="s">
        <v>619</v>
      </c>
      <c r="T117" s="2" t="s">
        <v>49</v>
      </c>
      <c r="U117" s="2" t="s">
        <v>262</v>
      </c>
      <c r="V117" s="2" t="s">
        <v>2432</v>
      </c>
      <c r="W117" s="2" t="s">
        <v>54</v>
      </c>
    </row>
    <row r="118" spans="1:23" x14ac:dyDescent="0.2">
      <c r="A118" s="2" t="s">
        <v>893</v>
      </c>
      <c r="B118" s="2" t="s">
        <v>896</v>
      </c>
      <c r="C118" s="2" t="s">
        <v>391</v>
      </c>
      <c r="D118" s="2" t="s">
        <v>367</v>
      </c>
      <c r="E118" s="2" t="s">
        <v>2597</v>
      </c>
      <c r="F118" s="2" t="s">
        <v>2598</v>
      </c>
      <c r="G118" s="2" t="s">
        <v>2599</v>
      </c>
      <c r="H118" s="2" t="s">
        <v>54</v>
      </c>
      <c r="I118" s="2" t="s">
        <v>55</v>
      </c>
      <c r="J118" s="2" t="s">
        <v>70</v>
      </c>
      <c r="K118" s="22">
        <v>34148100</v>
      </c>
      <c r="L118" s="2" t="s">
        <v>52</v>
      </c>
      <c r="M118" s="2" t="s">
        <v>173</v>
      </c>
      <c r="N118" s="2" t="s">
        <v>367</v>
      </c>
      <c r="O118" s="2" t="s">
        <v>4136</v>
      </c>
      <c r="P118" s="22">
        <v>1.661</v>
      </c>
      <c r="Q118" s="2" t="s">
        <v>4137</v>
      </c>
      <c r="R118" s="2" t="s">
        <v>685</v>
      </c>
      <c r="S118" s="2" t="s">
        <v>54</v>
      </c>
      <c r="T118" s="2" t="s">
        <v>49</v>
      </c>
      <c r="U118" s="2" t="s">
        <v>686</v>
      </c>
      <c r="V118" s="2" t="s">
        <v>2600</v>
      </c>
      <c r="W118" s="22">
        <v>1.0840000000000001</v>
      </c>
    </row>
    <row r="119" spans="1:23" x14ac:dyDescent="0.2">
      <c r="A119" s="2" t="s">
        <v>754</v>
      </c>
      <c r="B119" s="2" t="s">
        <v>757</v>
      </c>
      <c r="C119" s="2" t="s">
        <v>71</v>
      </c>
      <c r="D119" s="2" t="s">
        <v>258</v>
      </c>
      <c r="E119" s="2" t="s">
        <v>3302</v>
      </c>
      <c r="F119" s="2" t="s">
        <v>3303</v>
      </c>
      <c r="G119" s="2" t="s">
        <v>3304</v>
      </c>
      <c r="H119" s="22">
        <v>6.125</v>
      </c>
      <c r="I119" s="2" t="s">
        <v>55</v>
      </c>
      <c r="J119" s="2" t="s">
        <v>56</v>
      </c>
      <c r="K119" s="22">
        <v>1750000000</v>
      </c>
      <c r="L119" s="2" t="s">
        <v>52</v>
      </c>
      <c r="M119" s="2" t="s">
        <v>1775</v>
      </c>
      <c r="N119" s="2" t="s">
        <v>257</v>
      </c>
      <c r="O119" s="2" t="s">
        <v>4136</v>
      </c>
      <c r="P119" s="22">
        <v>6</v>
      </c>
      <c r="Q119" s="2" t="s">
        <v>4138</v>
      </c>
      <c r="R119" s="2" t="s">
        <v>261</v>
      </c>
      <c r="S119" s="2" t="s">
        <v>496</v>
      </c>
      <c r="T119" s="2" t="s">
        <v>115</v>
      </c>
      <c r="U119" s="2" t="s">
        <v>262</v>
      </c>
      <c r="V119" s="2" t="s">
        <v>3305</v>
      </c>
      <c r="W119" s="2" t="s">
        <v>54</v>
      </c>
    </row>
    <row r="120" spans="1:23" x14ac:dyDescent="0.2">
      <c r="A120" s="2" t="s">
        <v>754</v>
      </c>
      <c r="B120" s="2" t="s">
        <v>757</v>
      </c>
      <c r="C120" s="2" t="s">
        <v>71</v>
      </c>
      <c r="D120" s="2" t="s">
        <v>258</v>
      </c>
      <c r="E120" s="2" t="s">
        <v>3306</v>
      </c>
      <c r="F120" s="2" t="s">
        <v>3307</v>
      </c>
      <c r="G120" s="2" t="s">
        <v>3308</v>
      </c>
      <c r="H120" s="22">
        <v>6.125</v>
      </c>
      <c r="I120" s="2" t="s">
        <v>55</v>
      </c>
      <c r="J120" s="2" t="s">
        <v>56</v>
      </c>
      <c r="K120" s="22">
        <v>1750000000</v>
      </c>
      <c r="L120" s="2" t="s">
        <v>52</v>
      </c>
      <c r="M120" s="2" t="s">
        <v>1775</v>
      </c>
      <c r="N120" s="2" t="s">
        <v>257</v>
      </c>
      <c r="O120" s="2" t="s">
        <v>4136</v>
      </c>
      <c r="P120" s="22">
        <v>6</v>
      </c>
      <c r="Q120" s="2" t="s">
        <v>4138</v>
      </c>
      <c r="R120" s="2" t="s">
        <v>270</v>
      </c>
      <c r="S120" s="2" t="s">
        <v>496</v>
      </c>
      <c r="T120" s="2" t="s">
        <v>115</v>
      </c>
      <c r="U120" s="2" t="s">
        <v>262</v>
      </c>
      <c r="V120" s="2" t="s">
        <v>3309</v>
      </c>
      <c r="W120" s="2" t="s">
        <v>54</v>
      </c>
    </row>
    <row r="121" spans="1:23" x14ac:dyDescent="0.2">
      <c r="A121" s="2" t="s">
        <v>946</v>
      </c>
      <c r="B121" s="2" t="s">
        <v>949</v>
      </c>
      <c r="C121" s="2" t="s">
        <v>57</v>
      </c>
      <c r="D121" s="2" t="s">
        <v>366</v>
      </c>
      <c r="E121" s="2" t="s">
        <v>2956</v>
      </c>
      <c r="F121" s="2" t="s">
        <v>2957</v>
      </c>
      <c r="G121" s="2" t="s">
        <v>2958</v>
      </c>
      <c r="H121" s="2" t="s">
        <v>54</v>
      </c>
      <c r="I121" s="2" t="s">
        <v>55</v>
      </c>
      <c r="J121" s="2" t="s">
        <v>56</v>
      </c>
      <c r="K121" s="22">
        <v>347565000</v>
      </c>
      <c r="L121" s="2" t="s">
        <v>52</v>
      </c>
      <c r="M121" s="2" t="s">
        <v>1770</v>
      </c>
      <c r="N121" s="2" t="s">
        <v>366</v>
      </c>
      <c r="O121" s="2" t="s">
        <v>4139</v>
      </c>
      <c r="P121" s="22">
        <v>1.375</v>
      </c>
      <c r="Q121" s="2" t="s">
        <v>4140</v>
      </c>
      <c r="R121" s="2" t="s">
        <v>225</v>
      </c>
      <c r="S121" s="2" t="s">
        <v>1645</v>
      </c>
      <c r="T121" s="2" t="s">
        <v>115</v>
      </c>
      <c r="U121" s="2" t="s">
        <v>53</v>
      </c>
      <c r="V121" s="2" t="s">
        <v>2959</v>
      </c>
      <c r="W121" s="22">
        <v>1.337</v>
      </c>
    </row>
    <row r="122" spans="1:23" x14ac:dyDescent="0.2">
      <c r="A122" s="2" t="s">
        <v>1335</v>
      </c>
      <c r="B122" s="2" t="s">
        <v>1338</v>
      </c>
      <c r="C122" s="2" t="s">
        <v>57</v>
      </c>
      <c r="D122" s="2" t="s">
        <v>1339</v>
      </c>
      <c r="E122" s="2" t="s">
        <v>2319</v>
      </c>
      <c r="F122" s="2" t="s">
        <v>2320</v>
      </c>
      <c r="G122" s="2" t="s">
        <v>2321</v>
      </c>
      <c r="H122" s="2" t="s">
        <v>54</v>
      </c>
      <c r="I122" s="2" t="s">
        <v>55</v>
      </c>
      <c r="J122" s="2" t="s">
        <v>56</v>
      </c>
      <c r="K122" s="22">
        <v>164981850</v>
      </c>
      <c r="L122" s="2" t="s">
        <v>52</v>
      </c>
      <c r="M122" s="2" t="s">
        <v>173</v>
      </c>
      <c r="N122" s="2" t="s">
        <v>169</v>
      </c>
      <c r="O122" s="2" t="s">
        <v>4128</v>
      </c>
      <c r="P122" s="22">
        <v>1.63</v>
      </c>
      <c r="Q122" s="2" t="s">
        <v>4129</v>
      </c>
      <c r="R122" s="2" t="s">
        <v>225</v>
      </c>
      <c r="S122" s="2" t="s">
        <v>174</v>
      </c>
      <c r="T122" s="2" t="s">
        <v>115</v>
      </c>
      <c r="U122" s="2" t="s">
        <v>1806</v>
      </c>
      <c r="V122" s="2" t="s">
        <v>2322</v>
      </c>
      <c r="W122" s="22">
        <v>1.5880000000000001</v>
      </c>
    </row>
    <row r="123" spans="1:23" x14ac:dyDescent="0.2">
      <c r="A123" s="2" t="s">
        <v>528</v>
      </c>
      <c r="B123" s="2" t="s">
        <v>531</v>
      </c>
      <c r="C123" s="2" t="s">
        <v>57</v>
      </c>
      <c r="D123" s="2" t="s">
        <v>257</v>
      </c>
      <c r="E123" s="2" t="s">
        <v>3414</v>
      </c>
      <c r="F123" s="2" t="s">
        <v>3415</v>
      </c>
      <c r="G123" s="2" t="s">
        <v>3416</v>
      </c>
      <c r="H123" s="2" t="s">
        <v>54</v>
      </c>
      <c r="I123" s="2" t="s">
        <v>55</v>
      </c>
      <c r="J123" s="2" t="s">
        <v>56</v>
      </c>
      <c r="K123" s="22">
        <v>136947600</v>
      </c>
      <c r="L123" s="2" t="s">
        <v>52</v>
      </c>
      <c r="M123" s="2" t="s">
        <v>1839</v>
      </c>
      <c r="N123" s="2" t="s">
        <v>257</v>
      </c>
      <c r="O123" s="2" t="s">
        <v>4141</v>
      </c>
      <c r="P123" s="22">
        <v>3.125</v>
      </c>
      <c r="Q123" s="2" t="s">
        <v>4142</v>
      </c>
      <c r="R123" s="2" t="s">
        <v>173</v>
      </c>
      <c r="S123" s="2" t="s">
        <v>54</v>
      </c>
      <c r="T123" s="2" t="s">
        <v>49</v>
      </c>
      <c r="U123" s="2" t="s">
        <v>53</v>
      </c>
      <c r="V123" s="2" t="s">
        <v>3417</v>
      </c>
      <c r="W123" s="2" t="s">
        <v>54</v>
      </c>
    </row>
    <row r="124" spans="1:23" x14ac:dyDescent="0.2">
      <c r="A124" s="2" t="s">
        <v>1066</v>
      </c>
      <c r="B124" s="2" t="s">
        <v>1069</v>
      </c>
      <c r="C124" s="2" t="s">
        <v>57</v>
      </c>
      <c r="D124" s="2" t="s">
        <v>184</v>
      </c>
      <c r="E124" s="2" t="s">
        <v>1836</v>
      </c>
      <c r="F124" s="2" t="s">
        <v>1837</v>
      </c>
      <c r="G124" s="2" t="s">
        <v>1838</v>
      </c>
      <c r="H124" s="2" t="s">
        <v>54</v>
      </c>
      <c r="I124" s="2" t="s">
        <v>55</v>
      </c>
      <c r="J124" s="2" t="s">
        <v>56</v>
      </c>
      <c r="K124" s="22">
        <v>859800000</v>
      </c>
      <c r="L124" s="2" t="s">
        <v>52</v>
      </c>
      <c r="M124" s="2" t="s">
        <v>1839</v>
      </c>
      <c r="N124" s="2" t="s">
        <v>184</v>
      </c>
      <c r="O124" s="2" t="s">
        <v>4143</v>
      </c>
      <c r="P124" s="22">
        <v>1.75</v>
      </c>
      <c r="Q124" s="2" t="s">
        <v>4144</v>
      </c>
      <c r="R124" s="2" t="s">
        <v>173</v>
      </c>
      <c r="S124" s="2" t="s">
        <v>189</v>
      </c>
      <c r="T124" s="2" t="s">
        <v>115</v>
      </c>
      <c r="U124" s="2" t="s">
        <v>53</v>
      </c>
      <c r="V124" s="2" t="s">
        <v>1840</v>
      </c>
      <c r="W124" s="22">
        <v>1.7250000000000001</v>
      </c>
    </row>
    <row r="125" spans="1:23" x14ac:dyDescent="0.2">
      <c r="A125" s="2" t="s">
        <v>1431</v>
      </c>
      <c r="B125" s="2" t="s">
        <v>1434</v>
      </c>
      <c r="C125" s="2" t="s">
        <v>57</v>
      </c>
      <c r="D125" s="2" t="s">
        <v>367</v>
      </c>
      <c r="E125" s="2" t="s">
        <v>1861</v>
      </c>
      <c r="F125" s="2" t="s">
        <v>1862</v>
      </c>
      <c r="G125" s="2" t="s">
        <v>1863</v>
      </c>
      <c r="H125" s="2" t="s">
        <v>54</v>
      </c>
      <c r="I125" s="2" t="s">
        <v>55</v>
      </c>
      <c r="J125" s="2" t="s">
        <v>56</v>
      </c>
      <c r="K125" s="22">
        <v>59726500</v>
      </c>
      <c r="L125" s="2" t="s">
        <v>52</v>
      </c>
      <c r="M125" s="2" t="s">
        <v>173</v>
      </c>
      <c r="N125" s="2" t="s">
        <v>367</v>
      </c>
      <c r="O125" s="2" t="s">
        <v>4145</v>
      </c>
      <c r="P125" s="22">
        <v>3.8450000000000002</v>
      </c>
      <c r="Q125" s="2" t="s">
        <v>4146</v>
      </c>
      <c r="R125" s="2" t="s">
        <v>173</v>
      </c>
      <c r="S125" s="2" t="s">
        <v>54</v>
      </c>
      <c r="T125" s="2" t="s">
        <v>49</v>
      </c>
      <c r="U125" s="2" t="s">
        <v>609</v>
      </c>
      <c r="V125" s="2" t="s">
        <v>1864</v>
      </c>
      <c r="W125" s="22">
        <v>3.8410000000000002</v>
      </c>
    </row>
    <row r="126" spans="1:23" x14ac:dyDescent="0.2">
      <c r="A126" s="2" t="s">
        <v>1066</v>
      </c>
      <c r="B126" s="2" t="s">
        <v>1069</v>
      </c>
      <c r="C126" s="2" t="s">
        <v>57</v>
      </c>
      <c r="D126" s="2" t="s">
        <v>184</v>
      </c>
      <c r="E126" s="2" t="s">
        <v>1841</v>
      </c>
      <c r="F126" s="2" t="s">
        <v>1842</v>
      </c>
      <c r="G126" s="2" t="s">
        <v>1843</v>
      </c>
      <c r="H126" s="2" t="s">
        <v>54</v>
      </c>
      <c r="I126" s="2" t="s">
        <v>55</v>
      </c>
      <c r="J126" s="2" t="s">
        <v>56</v>
      </c>
      <c r="K126" s="22">
        <v>802480000</v>
      </c>
      <c r="L126" s="2" t="s">
        <v>52</v>
      </c>
      <c r="M126" s="2" t="s">
        <v>1839</v>
      </c>
      <c r="N126" s="2" t="s">
        <v>184</v>
      </c>
      <c r="O126" s="2" t="s">
        <v>4143</v>
      </c>
      <c r="P126" s="22">
        <v>0.75</v>
      </c>
      <c r="Q126" s="2" t="s">
        <v>4147</v>
      </c>
      <c r="R126" s="2" t="s">
        <v>173</v>
      </c>
      <c r="S126" s="2" t="s">
        <v>189</v>
      </c>
      <c r="T126" s="2" t="s">
        <v>115</v>
      </c>
      <c r="U126" s="2" t="s">
        <v>53</v>
      </c>
      <c r="V126" s="2" t="s">
        <v>1844</v>
      </c>
      <c r="W126" s="22">
        <v>0.66600000000000004</v>
      </c>
    </row>
    <row r="127" spans="1:23" x14ac:dyDescent="0.2">
      <c r="A127" s="2" t="s">
        <v>1066</v>
      </c>
      <c r="B127" s="2" t="s">
        <v>1069</v>
      </c>
      <c r="C127" s="2" t="s">
        <v>57</v>
      </c>
      <c r="D127" s="2" t="s">
        <v>184</v>
      </c>
      <c r="E127" s="2" t="s">
        <v>1845</v>
      </c>
      <c r="F127" s="2" t="s">
        <v>1846</v>
      </c>
      <c r="G127" s="2" t="s">
        <v>1847</v>
      </c>
      <c r="H127" s="2" t="s">
        <v>54</v>
      </c>
      <c r="I127" s="2" t="s">
        <v>55</v>
      </c>
      <c r="J127" s="2" t="s">
        <v>56</v>
      </c>
      <c r="K127" s="22">
        <v>401240000</v>
      </c>
      <c r="L127" s="2" t="s">
        <v>52</v>
      </c>
      <c r="M127" s="2" t="s">
        <v>1775</v>
      </c>
      <c r="N127" s="2" t="s">
        <v>184</v>
      </c>
      <c r="O127" s="2" t="s">
        <v>4143</v>
      </c>
      <c r="P127" s="22">
        <v>2.5</v>
      </c>
      <c r="Q127" s="2" t="s">
        <v>4148</v>
      </c>
      <c r="R127" s="2" t="s">
        <v>173</v>
      </c>
      <c r="S127" s="2" t="s">
        <v>189</v>
      </c>
      <c r="T127" s="2" t="s">
        <v>115</v>
      </c>
      <c r="U127" s="2" t="s">
        <v>53</v>
      </c>
      <c r="V127" s="2" t="s">
        <v>1848</v>
      </c>
      <c r="W127" s="22">
        <v>2.456</v>
      </c>
    </row>
    <row r="128" spans="1:23" x14ac:dyDescent="0.2">
      <c r="A128" s="2" t="s">
        <v>1198</v>
      </c>
      <c r="B128" s="2" t="s">
        <v>1201</v>
      </c>
      <c r="C128" s="2" t="s">
        <v>71</v>
      </c>
      <c r="D128" s="2" t="s">
        <v>1202</v>
      </c>
      <c r="E128" s="2" t="s">
        <v>2942</v>
      </c>
      <c r="F128" s="2" t="s">
        <v>2943</v>
      </c>
      <c r="G128" s="2" t="s">
        <v>2944</v>
      </c>
      <c r="H128" s="2" t="s">
        <v>54</v>
      </c>
      <c r="I128" s="2" t="s">
        <v>55</v>
      </c>
      <c r="J128" s="2" t="s">
        <v>56</v>
      </c>
      <c r="K128" s="22">
        <v>124787300</v>
      </c>
      <c r="L128" s="2" t="s">
        <v>52</v>
      </c>
      <c r="M128" s="2" t="s">
        <v>173</v>
      </c>
      <c r="N128" s="2" t="s">
        <v>1202</v>
      </c>
      <c r="O128" s="2" t="s">
        <v>4149</v>
      </c>
      <c r="P128" s="22">
        <v>4.5</v>
      </c>
      <c r="Q128" s="2" t="s">
        <v>4150</v>
      </c>
      <c r="R128" s="2" t="s">
        <v>173</v>
      </c>
      <c r="S128" s="2" t="s">
        <v>54</v>
      </c>
      <c r="T128" s="2" t="s">
        <v>49</v>
      </c>
      <c r="U128" s="2" t="s">
        <v>53</v>
      </c>
      <c r="V128" s="2" t="s">
        <v>2945</v>
      </c>
      <c r="W128" s="2" t="s">
        <v>54</v>
      </c>
    </row>
    <row r="129" spans="1:23" x14ac:dyDescent="0.2">
      <c r="A129" s="2" t="s">
        <v>1075</v>
      </c>
      <c r="B129" s="2" t="s">
        <v>1078</v>
      </c>
      <c r="C129" s="2" t="s">
        <v>71</v>
      </c>
      <c r="D129" s="2" t="s">
        <v>184</v>
      </c>
      <c r="E129" s="2" t="s">
        <v>2560</v>
      </c>
      <c r="F129" s="2" t="s">
        <v>173</v>
      </c>
      <c r="G129" s="2" t="s">
        <v>2561</v>
      </c>
      <c r="H129" s="2" t="s">
        <v>54</v>
      </c>
      <c r="I129" s="2" t="s">
        <v>884</v>
      </c>
      <c r="J129" s="2" t="s">
        <v>70</v>
      </c>
      <c r="K129" s="22">
        <v>570065350</v>
      </c>
      <c r="L129" s="2" t="s">
        <v>52</v>
      </c>
      <c r="M129" s="2" t="s">
        <v>2562</v>
      </c>
      <c r="N129" s="2" t="s">
        <v>184</v>
      </c>
      <c r="O129" s="2" t="s">
        <v>4151</v>
      </c>
      <c r="P129" s="22">
        <v>0</v>
      </c>
      <c r="Q129" s="2" t="s">
        <v>4152</v>
      </c>
      <c r="R129" s="2" t="s">
        <v>161</v>
      </c>
      <c r="S129" s="2" t="s">
        <v>54</v>
      </c>
      <c r="T129" s="2" t="s">
        <v>49</v>
      </c>
      <c r="U129" s="2" t="s">
        <v>53</v>
      </c>
      <c r="V129" s="2" t="s">
        <v>2563</v>
      </c>
      <c r="W129" s="2" t="s">
        <v>54</v>
      </c>
    </row>
    <row r="130" spans="1:23" x14ac:dyDescent="0.2">
      <c r="A130" s="2" t="s">
        <v>1075</v>
      </c>
      <c r="B130" s="2" t="s">
        <v>1078</v>
      </c>
      <c r="C130" s="2" t="s">
        <v>71</v>
      </c>
      <c r="D130" s="2" t="s">
        <v>184</v>
      </c>
      <c r="E130" s="2" t="s">
        <v>2564</v>
      </c>
      <c r="F130" s="2" t="s">
        <v>173</v>
      </c>
      <c r="G130" s="2" t="s">
        <v>2565</v>
      </c>
      <c r="H130" s="2" t="s">
        <v>54</v>
      </c>
      <c r="I130" s="2" t="s">
        <v>884</v>
      </c>
      <c r="J130" s="2" t="s">
        <v>70</v>
      </c>
      <c r="K130" s="22">
        <v>803820790</v>
      </c>
      <c r="L130" s="2" t="s">
        <v>52</v>
      </c>
      <c r="M130" s="2" t="s">
        <v>2562</v>
      </c>
      <c r="N130" s="2" t="s">
        <v>184</v>
      </c>
      <c r="O130" s="2" t="s">
        <v>4151</v>
      </c>
      <c r="P130" s="22">
        <v>0</v>
      </c>
      <c r="Q130" s="2" t="s">
        <v>4153</v>
      </c>
      <c r="R130" s="2" t="s">
        <v>157</v>
      </c>
      <c r="S130" s="2" t="s">
        <v>54</v>
      </c>
      <c r="T130" s="2" t="s">
        <v>49</v>
      </c>
      <c r="U130" s="2" t="s">
        <v>53</v>
      </c>
      <c r="V130" s="2" t="s">
        <v>2566</v>
      </c>
      <c r="W130" s="2" t="s">
        <v>54</v>
      </c>
    </row>
    <row r="131" spans="1:23" x14ac:dyDescent="0.2">
      <c r="A131" s="2" t="s">
        <v>1075</v>
      </c>
      <c r="B131" s="2" t="s">
        <v>1078</v>
      </c>
      <c r="C131" s="2" t="s">
        <v>391</v>
      </c>
      <c r="D131" s="2" t="s">
        <v>184</v>
      </c>
      <c r="E131" s="2" t="s">
        <v>2567</v>
      </c>
      <c r="F131" s="2" t="s">
        <v>173</v>
      </c>
      <c r="G131" s="2" t="s">
        <v>2568</v>
      </c>
      <c r="H131" s="2" t="s">
        <v>54</v>
      </c>
      <c r="I131" s="2" t="s">
        <v>884</v>
      </c>
      <c r="J131" s="2" t="s">
        <v>70</v>
      </c>
      <c r="K131" s="22">
        <v>230500000</v>
      </c>
      <c r="L131" s="2" t="s">
        <v>52</v>
      </c>
      <c r="M131" s="2" t="s">
        <v>2562</v>
      </c>
      <c r="N131" s="2" t="s">
        <v>184</v>
      </c>
      <c r="O131" s="2" t="s">
        <v>4151</v>
      </c>
      <c r="P131" s="22">
        <v>0</v>
      </c>
      <c r="Q131" s="2" t="s">
        <v>4154</v>
      </c>
      <c r="R131" s="2" t="s">
        <v>76</v>
      </c>
      <c r="S131" s="2" t="s">
        <v>54</v>
      </c>
      <c r="T131" s="2" t="s">
        <v>49</v>
      </c>
      <c r="U131" s="2" t="s">
        <v>262</v>
      </c>
      <c r="V131" s="2" t="s">
        <v>2569</v>
      </c>
      <c r="W131" s="2" t="s">
        <v>54</v>
      </c>
    </row>
    <row r="132" spans="1:23" x14ac:dyDescent="0.2">
      <c r="A132" s="2" t="s">
        <v>1486</v>
      </c>
      <c r="B132" s="2" t="s">
        <v>1489</v>
      </c>
      <c r="C132" s="2" t="s">
        <v>57</v>
      </c>
      <c r="D132" s="2" t="s">
        <v>184</v>
      </c>
      <c r="E132" s="2" t="s">
        <v>2263</v>
      </c>
      <c r="F132" s="2" t="s">
        <v>2264</v>
      </c>
      <c r="G132" s="2" t="s">
        <v>2265</v>
      </c>
      <c r="H132" s="2" t="s">
        <v>54</v>
      </c>
      <c r="I132" s="2" t="s">
        <v>117</v>
      </c>
      <c r="J132" s="2" t="s">
        <v>56</v>
      </c>
      <c r="K132" s="22">
        <v>567140000</v>
      </c>
      <c r="L132" s="2" t="s">
        <v>52</v>
      </c>
      <c r="M132" s="2" t="s">
        <v>1770</v>
      </c>
      <c r="N132" s="2" t="s">
        <v>184</v>
      </c>
      <c r="O132" s="2" t="s">
        <v>4155</v>
      </c>
      <c r="P132" s="22">
        <v>1.75</v>
      </c>
      <c r="Q132" s="2" t="s">
        <v>4156</v>
      </c>
      <c r="R132" s="2" t="s">
        <v>225</v>
      </c>
      <c r="S132" s="2" t="s">
        <v>189</v>
      </c>
      <c r="T132" s="2" t="s">
        <v>115</v>
      </c>
      <c r="U132" s="2" t="s">
        <v>53</v>
      </c>
      <c r="V132" s="2" t="s">
        <v>2266</v>
      </c>
      <c r="W132" s="22">
        <v>1.74</v>
      </c>
    </row>
    <row r="133" spans="1:23" x14ac:dyDescent="0.2">
      <c r="A133" s="2" t="s">
        <v>670</v>
      </c>
      <c r="B133" s="2" t="s">
        <v>673</v>
      </c>
      <c r="C133" s="2" t="s">
        <v>57</v>
      </c>
      <c r="D133" s="2" t="s">
        <v>184</v>
      </c>
      <c r="E133" s="2" t="s">
        <v>2370</v>
      </c>
      <c r="F133" s="2" t="s">
        <v>2371</v>
      </c>
      <c r="G133" s="2" t="s">
        <v>2372</v>
      </c>
      <c r="H133" s="2" t="s">
        <v>54</v>
      </c>
      <c r="I133" s="2" t="s">
        <v>420</v>
      </c>
      <c r="J133" s="2" t="s">
        <v>56</v>
      </c>
      <c r="K133" s="22">
        <v>569325000</v>
      </c>
      <c r="L133" s="2" t="s">
        <v>52</v>
      </c>
      <c r="M133" s="2" t="s">
        <v>1770</v>
      </c>
      <c r="N133" s="2" t="s">
        <v>184</v>
      </c>
      <c r="O133" s="2" t="s">
        <v>4157</v>
      </c>
      <c r="P133" s="22">
        <v>1.875</v>
      </c>
      <c r="Q133" s="2" t="s">
        <v>4061</v>
      </c>
      <c r="R133" s="2" t="s">
        <v>173</v>
      </c>
      <c r="S133" s="2" t="s">
        <v>189</v>
      </c>
      <c r="T133" s="2" t="s">
        <v>115</v>
      </c>
      <c r="U133" s="2" t="s">
        <v>53</v>
      </c>
      <c r="V133" s="2" t="s">
        <v>2373</v>
      </c>
      <c r="W133" s="22">
        <v>2.012</v>
      </c>
    </row>
    <row r="134" spans="1:23" x14ac:dyDescent="0.2">
      <c r="A134" s="2" t="s">
        <v>1335</v>
      </c>
      <c r="B134" s="2" t="s">
        <v>1338</v>
      </c>
      <c r="C134" s="2" t="s">
        <v>71</v>
      </c>
      <c r="D134" s="2" t="s">
        <v>1339</v>
      </c>
      <c r="E134" s="2" t="s">
        <v>2323</v>
      </c>
      <c r="F134" s="2" t="s">
        <v>2324</v>
      </c>
      <c r="G134" s="2" t="s">
        <v>2325</v>
      </c>
      <c r="H134" s="22">
        <v>1.9950000000000001</v>
      </c>
      <c r="I134" s="2" t="s">
        <v>55</v>
      </c>
      <c r="J134" s="2" t="s">
        <v>56</v>
      </c>
      <c r="K134" s="22">
        <v>26519910</v>
      </c>
      <c r="L134" s="2" t="s">
        <v>52</v>
      </c>
      <c r="M134" s="2" t="s">
        <v>1775</v>
      </c>
      <c r="N134" s="2" t="s">
        <v>169</v>
      </c>
      <c r="O134" s="2" t="s">
        <v>4158</v>
      </c>
      <c r="P134" s="22">
        <v>1.9950000000000001</v>
      </c>
      <c r="Q134" s="2" t="s">
        <v>4159</v>
      </c>
      <c r="R134" s="2" t="s">
        <v>225</v>
      </c>
      <c r="S134" s="2" t="s">
        <v>174</v>
      </c>
      <c r="T134" s="2" t="s">
        <v>49</v>
      </c>
      <c r="U134" s="2" t="s">
        <v>975</v>
      </c>
      <c r="V134" s="2" t="s">
        <v>2326</v>
      </c>
      <c r="W134" s="22">
        <v>1.9590000000000001</v>
      </c>
    </row>
    <row r="135" spans="1:23" x14ac:dyDescent="0.2">
      <c r="A135" s="2" t="s">
        <v>476</v>
      </c>
      <c r="B135" s="2" t="s">
        <v>479</v>
      </c>
      <c r="C135" s="2" t="s">
        <v>57</v>
      </c>
      <c r="D135" s="2" t="s">
        <v>45</v>
      </c>
      <c r="E135" s="2" t="s">
        <v>1924</v>
      </c>
      <c r="F135" s="2" t="s">
        <v>1925</v>
      </c>
      <c r="G135" s="2" t="s">
        <v>1926</v>
      </c>
      <c r="H135" s="2" t="s">
        <v>54</v>
      </c>
      <c r="I135" s="2" t="s">
        <v>55</v>
      </c>
      <c r="J135" s="2" t="s">
        <v>56</v>
      </c>
      <c r="K135" s="22">
        <v>11376700</v>
      </c>
      <c r="L135" s="2" t="s">
        <v>458</v>
      </c>
      <c r="M135" s="2" t="s">
        <v>173</v>
      </c>
      <c r="N135" s="2" t="s">
        <v>45</v>
      </c>
      <c r="O135" s="2" t="s">
        <v>4160</v>
      </c>
      <c r="P135" s="22">
        <v>0.8</v>
      </c>
      <c r="Q135" s="2" t="s">
        <v>4161</v>
      </c>
      <c r="R135" s="2" t="s">
        <v>4162</v>
      </c>
      <c r="S135" s="2" t="s">
        <v>189</v>
      </c>
      <c r="T135" s="2" t="s">
        <v>49</v>
      </c>
      <c r="U135" s="2" t="s">
        <v>53</v>
      </c>
      <c r="V135" s="2" t="s">
        <v>1927</v>
      </c>
      <c r="W135" s="22">
        <v>0.749</v>
      </c>
    </row>
    <row r="136" spans="1:23" x14ac:dyDescent="0.2">
      <c r="A136" s="2" t="s">
        <v>180</v>
      </c>
      <c r="B136" s="2" t="s">
        <v>183</v>
      </c>
      <c r="C136" s="2" t="s">
        <v>57</v>
      </c>
      <c r="D136" s="2" t="s">
        <v>185</v>
      </c>
      <c r="E136" s="2" t="s">
        <v>3168</v>
      </c>
      <c r="F136" s="2" t="s">
        <v>3169</v>
      </c>
      <c r="G136" s="2" t="s">
        <v>3170</v>
      </c>
      <c r="H136" s="2" t="s">
        <v>54</v>
      </c>
      <c r="I136" s="2" t="s">
        <v>133</v>
      </c>
      <c r="J136" s="2" t="s">
        <v>56</v>
      </c>
      <c r="K136" s="22">
        <v>854235000</v>
      </c>
      <c r="L136" s="2" t="s">
        <v>52</v>
      </c>
      <c r="M136" s="2" t="s">
        <v>1770</v>
      </c>
      <c r="N136" s="2" t="s">
        <v>184</v>
      </c>
      <c r="O136" s="2" t="s">
        <v>4163</v>
      </c>
      <c r="P136" s="22">
        <v>1.5</v>
      </c>
      <c r="Q136" s="2" t="s">
        <v>4164</v>
      </c>
      <c r="R136" s="2" t="s">
        <v>225</v>
      </c>
      <c r="S136" s="2" t="s">
        <v>189</v>
      </c>
      <c r="T136" s="2" t="s">
        <v>115</v>
      </c>
      <c r="U136" s="2" t="s">
        <v>53</v>
      </c>
      <c r="V136" s="2" t="s">
        <v>3171</v>
      </c>
      <c r="W136" s="22">
        <v>1.401</v>
      </c>
    </row>
    <row r="137" spans="1:23" x14ac:dyDescent="0.2">
      <c r="A137" s="2" t="s">
        <v>1157</v>
      </c>
      <c r="B137" s="2" t="s">
        <v>1160</v>
      </c>
      <c r="C137" s="2" t="s">
        <v>57</v>
      </c>
      <c r="D137" s="2" t="s">
        <v>184</v>
      </c>
      <c r="E137" s="2" t="s">
        <v>1794</v>
      </c>
      <c r="F137" s="2" t="s">
        <v>1795</v>
      </c>
      <c r="G137" s="2" t="s">
        <v>1796</v>
      </c>
      <c r="H137" s="2" t="s">
        <v>54</v>
      </c>
      <c r="I137" s="2" t="s">
        <v>117</v>
      </c>
      <c r="J137" s="2" t="s">
        <v>56</v>
      </c>
      <c r="K137" s="22">
        <v>685872000</v>
      </c>
      <c r="L137" s="2" t="s">
        <v>52</v>
      </c>
      <c r="M137" s="2" t="s">
        <v>1775</v>
      </c>
      <c r="N137" s="2" t="s">
        <v>184</v>
      </c>
      <c r="O137" s="2" t="s">
        <v>4165</v>
      </c>
      <c r="P137" s="22">
        <v>3</v>
      </c>
      <c r="Q137" s="2" t="s">
        <v>4166</v>
      </c>
      <c r="R137" s="2" t="s">
        <v>173</v>
      </c>
      <c r="S137" s="2" t="s">
        <v>263</v>
      </c>
      <c r="T137" s="2" t="s">
        <v>115</v>
      </c>
      <c r="U137" s="2" t="s">
        <v>53</v>
      </c>
      <c r="V137" s="2" t="s">
        <v>1797</v>
      </c>
      <c r="W137" s="22">
        <v>2.36</v>
      </c>
    </row>
    <row r="138" spans="1:23" x14ac:dyDescent="0.2">
      <c r="A138" s="2" t="s">
        <v>476</v>
      </c>
      <c r="B138" s="2" t="s">
        <v>479</v>
      </c>
      <c r="C138" s="2" t="s">
        <v>57</v>
      </c>
      <c r="D138" s="2" t="s">
        <v>45</v>
      </c>
      <c r="E138" s="2" t="s">
        <v>1928</v>
      </c>
      <c r="F138" s="2" t="s">
        <v>1929</v>
      </c>
      <c r="G138" s="2" t="s">
        <v>1930</v>
      </c>
      <c r="H138" s="2" t="s">
        <v>54</v>
      </c>
      <c r="I138" s="2" t="s">
        <v>55</v>
      </c>
      <c r="J138" s="2" t="s">
        <v>56</v>
      </c>
      <c r="K138" s="22">
        <v>570465000</v>
      </c>
      <c r="L138" s="2" t="s">
        <v>482</v>
      </c>
      <c r="M138" s="2" t="s">
        <v>173</v>
      </c>
      <c r="N138" s="2" t="s">
        <v>45</v>
      </c>
      <c r="O138" s="2" t="s">
        <v>4167</v>
      </c>
      <c r="P138" s="22">
        <v>1</v>
      </c>
      <c r="Q138" s="2" t="s">
        <v>4168</v>
      </c>
      <c r="R138" s="2" t="s">
        <v>225</v>
      </c>
      <c r="S138" s="2" t="s">
        <v>483</v>
      </c>
      <c r="T138" s="2" t="s">
        <v>49</v>
      </c>
      <c r="U138" s="2" t="s">
        <v>53</v>
      </c>
      <c r="V138" s="2" t="s">
        <v>1931</v>
      </c>
      <c r="W138" s="22">
        <v>0.83799999999999997</v>
      </c>
    </row>
    <row r="139" spans="1:23" x14ac:dyDescent="0.2">
      <c r="A139" s="2" t="s">
        <v>1359</v>
      </c>
      <c r="B139" s="2" t="s">
        <v>1362</v>
      </c>
      <c r="C139" s="2" t="s">
        <v>57</v>
      </c>
      <c r="D139" s="2" t="s">
        <v>199</v>
      </c>
      <c r="E139" s="2" t="s">
        <v>3224</v>
      </c>
      <c r="F139" s="2" t="s">
        <v>3225</v>
      </c>
      <c r="G139" s="2" t="s">
        <v>3226</v>
      </c>
      <c r="H139" s="2" t="s">
        <v>54</v>
      </c>
      <c r="I139" s="2" t="s">
        <v>117</v>
      </c>
      <c r="J139" s="2" t="s">
        <v>56</v>
      </c>
      <c r="K139" s="22">
        <v>569100000</v>
      </c>
      <c r="L139" s="2" t="s">
        <v>52</v>
      </c>
      <c r="M139" s="2" t="s">
        <v>173</v>
      </c>
      <c r="N139" s="2" t="s">
        <v>199</v>
      </c>
      <c r="O139" s="2" t="s">
        <v>4169</v>
      </c>
      <c r="P139" s="22">
        <v>1.25</v>
      </c>
      <c r="Q139" s="2" t="s">
        <v>4170</v>
      </c>
      <c r="R139" s="2" t="s">
        <v>225</v>
      </c>
      <c r="S139" s="2" t="s">
        <v>174</v>
      </c>
      <c r="T139" s="2" t="s">
        <v>115</v>
      </c>
      <c r="U139" s="2" t="s">
        <v>53</v>
      </c>
      <c r="V139" s="2" t="s">
        <v>3227</v>
      </c>
      <c r="W139" s="22">
        <v>1.3</v>
      </c>
    </row>
    <row r="140" spans="1:23" x14ac:dyDescent="0.2">
      <c r="A140" s="2" t="s">
        <v>1335</v>
      </c>
      <c r="B140" s="2" t="s">
        <v>1338</v>
      </c>
      <c r="C140" s="2" t="s">
        <v>57</v>
      </c>
      <c r="D140" s="2" t="s">
        <v>1339</v>
      </c>
      <c r="E140" s="2" t="s">
        <v>2327</v>
      </c>
      <c r="F140" s="2" t="s">
        <v>2328</v>
      </c>
      <c r="G140" s="2" t="s">
        <v>2329</v>
      </c>
      <c r="H140" s="22">
        <v>4.51</v>
      </c>
      <c r="I140" s="2" t="s">
        <v>55</v>
      </c>
      <c r="J140" s="2" t="s">
        <v>56</v>
      </c>
      <c r="K140" s="22">
        <v>57335400</v>
      </c>
      <c r="L140" s="2" t="s">
        <v>52</v>
      </c>
      <c r="M140" s="2" t="s">
        <v>173</v>
      </c>
      <c r="N140" s="2" t="s">
        <v>169</v>
      </c>
      <c r="O140" s="2" t="s">
        <v>4171</v>
      </c>
      <c r="P140" s="22">
        <v>4.51</v>
      </c>
      <c r="Q140" s="2" t="s">
        <v>4172</v>
      </c>
      <c r="R140" s="2" t="s">
        <v>225</v>
      </c>
      <c r="S140" s="2" t="s">
        <v>174</v>
      </c>
      <c r="T140" s="2" t="s">
        <v>49</v>
      </c>
      <c r="U140" s="2" t="s">
        <v>2330</v>
      </c>
      <c r="V140" s="2" t="s">
        <v>2331</v>
      </c>
      <c r="W140" s="2" t="s">
        <v>54</v>
      </c>
    </row>
    <row r="141" spans="1:23" x14ac:dyDescent="0.2">
      <c r="A141" s="2" t="s">
        <v>1335</v>
      </c>
      <c r="B141" s="2" t="s">
        <v>1338</v>
      </c>
      <c r="C141" s="2" t="s">
        <v>57</v>
      </c>
      <c r="D141" s="2" t="s">
        <v>1339</v>
      </c>
      <c r="E141" s="2" t="s">
        <v>2332</v>
      </c>
      <c r="F141" s="2" t="s">
        <v>173</v>
      </c>
      <c r="G141" s="2" t="s">
        <v>2333</v>
      </c>
      <c r="H141" s="2" t="s">
        <v>54</v>
      </c>
      <c r="I141" s="2" t="s">
        <v>55</v>
      </c>
      <c r="J141" s="2" t="s">
        <v>56</v>
      </c>
      <c r="K141" s="22">
        <v>192999300</v>
      </c>
      <c r="L141" s="2" t="s">
        <v>52</v>
      </c>
      <c r="M141" s="2" t="s">
        <v>1775</v>
      </c>
      <c r="N141" s="2" t="s">
        <v>169</v>
      </c>
      <c r="O141" s="2" t="s">
        <v>4173</v>
      </c>
      <c r="P141" s="22">
        <v>2.6960000000000002</v>
      </c>
      <c r="Q141" s="2" t="s">
        <v>4174</v>
      </c>
      <c r="R141" s="2" t="s">
        <v>1035</v>
      </c>
      <c r="S141" s="2" t="s">
        <v>54</v>
      </c>
      <c r="T141" s="2" t="s">
        <v>49</v>
      </c>
      <c r="U141" s="2" t="s">
        <v>53</v>
      </c>
      <c r="V141" s="2" t="s">
        <v>2334</v>
      </c>
      <c r="W141" s="2" t="s">
        <v>54</v>
      </c>
    </row>
    <row r="142" spans="1:23" x14ac:dyDescent="0.2">
      <c r="A142" s="2" t="s">
        <v>1431</v>
      </c>
      <c r="B142" s="2" t="s">
        <v>1434</v>
      </c>
      <c r="C142" s="2" t="s">
        <v>57</v>
      </c>
      <c r="D142" s="2" t="s">
        <v>367</v>
      </c>
      <c r="E142" s="2" t="s">
        <v>1865</v>
      </c>
      <c r="F142" s="2" t="s">
        <v>1866</v>
      </c>
      <c r="G142" s="2" t="s">
        <v>1867</v>
      </c>
      <c r="H142" s="2" t="s">
        <v>54</v>
      </c>
      <c r="I142" s="2" t="s">
        <v>55</v>
      </c>
      <c r="J142" s="2" t="s">
        <v>56</v>
      </c>
      <c r="K142" s="22">
        <v>58293500</v>
      </c>
      <c r="L142" s="2" t="s">
        <v>52</v>
      </c>
      <c r="M142" s="2" t="s">
        <v>1770</v>
      </c>
      <c r="N142" s="2" t="s">
        <v>367</v>
      </c>
      <c r="O142" s="2" t="s">
        <v>4175</v>
      </c>
      <c r="P142" s="22">
        <v>3.2250000000000001</v>
      </c>
      <c r="Q142" s="2" t="s">
        <v>4176</v>
      </c>
      <c r="R142" s="2" t="s">
        <v>685</v>
      </c>
      <c r="S142" s="2" t="s">
        <v>54</v>
      </c>
      <c r="T142" s="2" t="s">
        <v>49</v>
      </c>
      <c r="U142" s="2" t="s">
        <v>609</v>
      </c>
      <c r="V142" s="2" t="s">
        <v>1868</v>
      </c>
      <c r="W142" s="22">
        <v>2.2690000000000001</v>
      </c>
    </row>
    <row r="143" spans="1:23" x14ac:dyDescent="0.2">
      <c r="A143" s="2" t="s">
        <v>813</v>
      </c>
      <c r="B143" s="2" t="s">
        <v>816</v>
      </c>
      <c r="C143" s="2" t="s">
        <v>71</v>
      </c>
      <c r="D143" s="2" t="s">
        <v>184</v>
      </c>
      <c r="E143" s="2" t="s">
        <v>3438</v>
      </c>
      <c r="F143" s="2" t="s">
        <v>173</v>
      </c>
      <c r="G143" s="2" t="s">
        <v>3439</v>
      </c>
      <c r="H143" s="2" t="s">
        <v>54</v>
      </c>
      <c r="I143" s="2" t="s">
        <v>133</v>
      </c>
      <c r="J143" s="2" t="s">
        <v>70</v>
      </c>
      <c r="K143" s="22">
        <v>617601480</v>
      </c>
      <c r="L143" s="2" t="s">
        <v>52</v>
      </c>
      <c r="M143" s="2" t="s">
        <v>173</v>
      </c>
      <c r="N143" s="2" t="s">
        <v>184</v>
      </c>
      <c r="O143" s="2" t="s">
        <v>4177</v>
      </c>
      <c r="P143" s="22">
        <v>0.79499999999999993</v>
      </c>
      <c r="Q143" s="2" t="s">
        <v>4178</v>
      </c>
      <c r="R143" s="2" t="s">
        <v>1096</v>
      </c>
      <c r="S143" s="2" t="s">
        <v>54</v>
      </c>
      <c r="T143" s="2" t="s">
        <v>49</v>
      </c>
      <c r="U143" s="2" t="s">
        <v>53</v>
      </c>
      <c r="V143" s="2" t="s">
        <v>3440</v>
      </c>
      <c r="W143" s="2" t="s">
        <v>54</v>
      </c>
    </row>
    <row r="144" spans="1:23" x14ac:dyDescent="0.2">
      <c r="A144" s="2" t="s">
        <v>813</v>
      </c>
      <c r="B144" s="2" t="s">
        <v>816</v>
      </c>
      <c r="C144" s="2" t="s">
        <v>71</v>
      </c>
      <c r="D144" s="2" t="s">
        <v>184</v>
      </c>
      <c r="E144" s="2" t="s">
        <v>3441</v>
      </c>
      <c r="F144" s="2" t="s">
        <v>173</v>
      </c>
      <c r="G144" s="2" t="s">
        <v>3442</v>
      </c>
      <c r="H144" s="2" t="s">
        <v>54</v>
      </c>
      <c r="I144" s="2" t="s">
        <v>133</v>
      </c>
      <c r="J144" s="2" t="s">
        <v>70</v>
      </c>
      <c r="K144" s="22">
        <v>617601480</v>
      </c>
      <c r="L144" s="2" t="s">
        <v>52</v>
      </c>
      <c r="M144" s="2" t="s">
        <v>173</v>
      </c>
      <c r="N144" s="2" t="s">
        <v>184</v>
      </c>
      <c r="O144" s="2" t="s">
        <v>4177</v>
      </c>
      <c r="P144" s="22">
        <v>0.59499999999999997</v>
      </c>
      <c r="Q144" s="2" t="s">
        <v>4179</v>
      </c>
      <c r="R144" s="2" t="s">
        <v>1087</v>
      </c>
      <c r="S144" s="2" t="s">
        <v>54</v>
      </c>
      <c r="T144" s="2" t="s">
        <v>49</v>
      </c>
      <c r="U144" s="2" t="s">
        <v>53</v>
      </c>
      <c r="V144" s="2" t="s">
        <v>3443</v>
      </c>
      <c r="W144" s="2" t="s">
        <v>54</v>
      </c>
    </row>
    <row r="145" spans="1:23" x14ac:dyDescent="0.2">
      <c r="A145" s="2" t="s">
        <v>1518</v>
      </c>
      <c r="B145" s="2" t="s">
        <v>1521</v>
      </c>
      <c r="C145" s="2" t="s">
        <v>57</v>
      </c>
      <c r="D145" s="2" t="s">
        <v>184</v>
      </c>
      <c r="E145" s="2" t="s">
        <v>3103</v>
      </c>
      <c r="F145" s="2" t="s">
        <v>3104</v>
      </c>
      <c r="G145" s="2" t="s">
        <v>3105</v>
      </c>
      <c r="H145" s="2" t="s">
        <v>54</v>
      </c>
      <c r="I145" s="2" t="s">
        <v>117</v>
      </c>
      <c r="J145" s="2" t="s">
        <v>56</v>
      </c>
      <c r="K145" s="22">
        <v>737938500</v>
      </c>
      <c r="L145" s="2" t="s">
        <v>52</v>
      </c>
      <c r="M145" s="2" t="s">
        <v>1770</v>
      </c>
      <c r="N145" s="2" t="s">
        <v>184</v>
      </c>
      <c r="O145" s="2" t="s">
        <v>4173</v>
      </c>
      <c r="P145" s="22">
        <v>0.875</v>
      </c>
      <c r="Q145" s="2" t="s">
        <v>4180</v>
      </c>
      <c r="R145" s="2" t="s">
        <v>225</v>
      </c>
      <c r="S145" s="2" t="s">
        <v>483</v>
      </c>
      <c r="T145" s="2" t="s">
        <v>115</v>
      </c>
      <c r="U145" s="2" t="s">
        <v>53</v>
      </c>
      <c r="V145" s="2" t="s">
        <v>3106</v>
      </c>
      <c r="W145" s="22">
        <v>0.84899999999999998</v>
      </c>
    </row>
    <row r="146" spans="1:23" x14ac:dyDescent="0.2">
      <c r="A146" s="2" t="s">
        <v>1518</v>
      </c>
      <c r="B146" s="2" t="s">
        <v>1521</v>
      </c>
      <c r="C146" s="2" t="s">
        <v>57</v>
      </c>
      <c r="D146" s="2" t="s">
        <v>184</v>
      </c>
      <c r="E146" s="2" t="s">
        <v>3107</v>
      </c>
      <c r="F146" s="2" t="s">
        <v>3108</v>
      </c>
      <c r="G146" s="2" t="s">
        <v>3109</v>
      </c>
      <c r="H146" s="2" t="s">
        <v>54</v>
      </c>
      <c r="I146" s="2" t="s">
        <v>117</v>
      </c>
      <c r="J146" s="2" t="s">
        <v>56</v>
      </c>
      <c r="K146" s="22">
        <v>567645000</v>
      </c>
      <c r="L146" s="2" t="s">
        <v>52</v>
      </c>
      <c r="M146" s="2" t="s">
        <v>1770</v>
      </c>
      <c r="N146" s="2" t="s">
        <v>184</v>
      </c>
      <c r="O146" s="2" t="s">
        <v>4173</v>
      </c>
      <c r="P146" s="22">
        <v>1.25</v>
      </c>
      <c r="Q146" s="2" t="s">
        <v>4181</v>
      </c>
      <c r="R146" s="2" t="s">
        <v>225</v>
      </c>
      <c r="S146" s="2" t="s">
        <v>483</v>
      </c>
      <c r="T146" s="2" t="s">
        <v>115</v>
      </c>
      <c r="U146" s="2" t="s">
        <v>53</v>
      </c>
      <c r="V146" s="2" t="s">
        <v>3110</v>
      </c>
      <c r="W146" s="22">
        <v>1.2929999999999999</v>
      </c>
    </row>
    <row r="147" spans="1:23" x14ac:dyDescent="0.2">
      <c r="A147" s="2" t="s">
        <v>1075</v>
      </c>
      <c r="B147" s="2" t="s">
        <v>1078</v>
      </c>
      <c r="C147" s="2" t="s">
        <v>71</v>
      </c>
      <c r="D147" s="2" t="s">
        <v>184</v>
      </c>
      <c r="E147" s="2" t="s">
        <v>2570</v>
      </c>
      <c r="F147" s="2" t="s">
        <v>2571</v>
      </c>
      <c r="G147" s="2" t="s">
        <v>2572</v>
      </c>
      <c r="H147" s="2" t="s">
        <v>54</v>
      </c>
      <c r="I147" s="2" t="s">
        <v>884</v>
      </c>
      <c r="J147" s="2" t="s">
        <v>56</v>
      </c>
      <c r="K147" s="22">
        <v>844050000</v>
      </c>
      <c r="L147" s="2" t="s">
        <v>52</v>
      </c>
      <c r="M147" s="2" t="s">
        <v>1839</v>
      </c>
      <c r="N147" s="2" t="s">
        <v>184</v>
      </c>
      <c r="O147" s="2" t="s">
        <v>4182</v>
      </c>
      <c r="P147" s="22">
        <v>3.125</v>
      </c>
      <c r="Q147" s="2" t="s">
        <v>187</v>
      </c>
      <c r="R147" s="2" t="s">
        <v>173</v>
      </c>
      <c r="S147" s="2" t="s">
        <v>884</v>
      </c>
      <c r="T147" s="2" t="s">
        <v>115</v>
      </c>
      <c r="U147" s="2" t="s">
        <v>53</v>
      </c>
      <c r="V147" s="2" t="s">
        <v>2573</v>
      </c>
      <c r="W147" s="22">
        <v>2.9540000000000002</v>
      </c>
    </row>
    <row r="148" spans="1:23" x14ac:dyDescent="0.2">
      <c r="A148" s="2" t="s">
        <v>253</v>
      </c>
      <c r="B148" s="2" t="s">
        <v>256</v>
      </c>
      <c r="C148" s="2" t="s">
        <v>71</v>
      </c>
      <c r="D148" s="2" t="s">
        <v>258</v>
      </c>
      <c r="E148" s="2" t="s">
        <v>2830</v>
      </c>
      <c r="F148" s="2" t="s">
        <v>2831</v>
      </c>
      <c r="G148" s="2" t="s">
        <v>2832</v>
      </c>
      <c r="H148" s="22">
        <v>5.8000000000000007</v>
      </c>
      <c r="I148" s="2" t="s">
        <v>55</v>
      </c>
      <c r="J148" s="2" t="s">
        <v>56</v>
      </c>
      <c r="K148" s="22">
        <v>750000000</v>
      </c>
      <c r="L148" s="2" t="s">
        <v>52</v>
      </c>
      <c r="M148" s="2" t="s">
        <v>1839</v>
      </c>
      <c r="N148" s="2" t="s">
        <v>257</v>
      </c>
      <c r="O148" s="2" t="s">
        <v>4183</v>
      </c>
      <c r="P148" s="22">
        <v>5.75</v>
      </c>
      <c r="Q148" s="2" t="s">
        <v>4184</v>
      </c>
      <c r="R148" s="2" t="s">
        <v>261</v>
      </c>
      <c r="S148" s="2" t="s">
        <v>263</v>
      </c>
      <c r="T148" s="2" t="s">
        <v>115</v>
      </c>
      <c r="U148" s="2" t="s">
        <v>262</v>
      </c>
      <c r="V148" s="2" t="s">
        <v>2833</v>
      </c>
      <c r="W148" s="22">
        <v>5.7039999999999997</v>
      </c>
    </row>
    <row r="149" spans="1:23" x14ac:dyDescent="0.2">
      <c r="A149" s="2" t="s">
        <v>253</v>
      </c>
      <c r="B149" s="2" t="s">
        <v>256</v>
      </c>
      <c r="C149" s="2" t="s">
        <v>71</v>
      </c>
      <c r="D149" s="2" t="s">
        <v>258</v>
      </c>
      <c r="E149" s="2" t="s">
        <v>2834</v>
      </c>
      <c r="F149" s="2" t="s">
        <v>2835</v>
      </c>
      <c r="G149" s="2" t="s">
        <v>2836</v>
      </c>
      <c r="H149" s="22">
        <v>5.8000000000000007</v>
      </c>
      <c r="I149" s="2" t="s">
        <v>55</v>
      </c>
      <c r="J149" s="2" t="s">
        <v>56</v>
      </c>
      <c r="K149" s="22">
        <v>750000000</v>
      </c>
      <c r="L149" s="2" t="s">
        <v>52</v>
      </c>
      <c r="M149" s="2" t="s">
        <v>1839</v>
      </c>
      <c r="N149" s="2" t="s">
        <v>257</v>
      </c>
      <c r="O149" s="2" t="s">
        <v>4183</v>
      </c>
      <c r="P149" s="22">
        <v>5.75</v>
      </c>
      <c r="Q149" s="2" t="s">
        <v>4184</v>
      </c>
      <c r="R149" s="2" t="s">
        <v>270</v>
      </c>
      <c r="S149" s="2" t="s">
        <v>263</v>
      </c>
      <c r="T149" s="2" t="s">
        <v>115</v>
      </c>
      <c r="U149" s="2" t="s">
        <v>262</v>
      </c>
      <c r="V149" s="2" t="s">
        <v>2837</v>
      </c>
      <c r="W149" s="22">
        <v>5.63</v>
      </c>
    </row>
    <row r="150" spans="1:23" x14ac:dyDescent="0.2">
      <c r="A150" s="2" t="s">
        <v>916</v>
      </c>
      <c r="B150" s="2" t="s">
        <v>919</v>
      </c>
      <c r="C150" s="2" t="s">
        <v>57</v>
      </c>
      <c r="D150" s="2" t="s">
        <v>184</v>
      </c>
      <c r="E150" s="2" t="s">
        <v>2908</v>
      </c>
      <c r="F150" s="2" t="s">
        <v>2909</v>
      </c>
      <c r="G150" s="2" t="s">
        <v>2910</v>
      </c>
      <c r="H150" s="2" t="s">
        <v>54</v>
      </c>
      <c r="I150" s="2" t="s">
        <v>420</v>
      </c>
      <c r="J150" s="2" t="s">
        <v>56</v>
      </c>
      <c r="K150" s="22">
        <v>455568000</v>
      </c>
      <c r="L150" s="2" t="s">
        <v>52</v>
      </c>
      <c r="M150" s="2" t="s">
        <v>1770</v>
      </c>
      <c r="N150" s="2" t="s">
        <v>184</v>
      </c>
      <c r="O150" s="2" t="s">
        <v>4185</v>
      </c>
      <c r="P150" s="22">
        <v>0.625</v>
      </c>
      <c r="Q150" s="2" t="s">
        <v>4186</v>
      </c>
      <c r="R150" s="2" t="s">
        <v>173</v>
      </c>
      <c r="S150" s="2" t="s">
        <v>189</v>
      </c>
      <c r="T150" s="2" t="s">
        <v>115</v>
      </c>
      <c r="U150" s="2" t="s">
        <v>53</v>
      </c>
      <c r="V150" s="2" t="s">
        <v>2911</v>
      </c>
      <c r="W150" s="22">
        <v>0.61399999999999999</v>
      </c>
    </row>
    <row r="151" spans="1:23" x14ac:dyDescent="0.2">
      <c r="A151" s="2" t="s">
        <v>679</v>
      </c>
      <c r="B151" s="2" t="s">
        <v>682</v>
      </c>
      <c r="C151" s="2" t="s">
        <v>57</v>
      </c>
      <c r="D151" s="2" t="s">
        <v>367</v>
      </c>
      <c r="E151" s="2" t="s">
        <v>3277</v>
      </c>
      <c r="F151" s="2" t="s">
        <v>3278</v>
      </c>
      <c r="G151" s="2" t="s">
        <v>3279</v>
      </c>
      <c r="H151" s="2" t="s">
        <v>54</v>
      </c>
      <c r="I151" s="2" t="s">
        <v>55</v>
      </c>
      <c r="J151" s="2" t="s">
        <v>56</v>
      </c>
      <c r="K151" s="22">
        <v>64815000</v>
      </c>
      <c r="L151" s="2" t="s">
        <v>52</v>
      </c>
      <c r="M151" s="2" t="s">
        <v>173</v>
      </c>
      <c r="N151" s="2" t="s">
        <v>367</v>
      </c>
      <c r="O151" s="2" t="s">
        <v>4187</v>
      </c>
      <c r="P151" s="22">
        <v>2.75</v>
      </c>
      <c r="Q151" s="2" t="s">
        <v>4188</v>
      </c>
      <c r="R151" s="2" t="s">
        <v>225</v>
      </c>
      <c r="S151" s="2" t="s">
        <v>54</v>
      </c>
      <c r="T151" s="2" t="s">
        <v>49</v>
      </c>
      <c r="U151" s="2" t="s">
        <v>686</v>
      </c>
      <c r="V151" s="2" t="s">
        <v>3280</v>
      </c>
      <c r="W151" s="22">
        <v>2.673</v>
      </c>
    </row>
    <row r="152" spans="1:23" x14ac:dyDescent="0.2">
      <c r="A152" s="2" t="s">
        <v>679</v>
      </c>
      <c r="B152" s="2" t="s">
        <v>682</v>
      </c>
      <c r="C152" s="2" t="s">
        <v>391</v>
      </c>
      <c r="D152" s="2" t="s">
        <v>367</v>
      </c>
      <c r="E152" s="2" t="s">
        <v>3281</v>
      </c>
      <c r="F152" s="2" t="s">
        <v>3282</v>
      </c>
      <c r="G152" s="2" t="s">
        <v>3283</v>
      </c>
      <c r="H152" s="2" t="s">
        <v>54</v>
      </c>
      <c r="I152" s="2" t="s">
        <v>55</v>
      </c>
      <c r="J152" s="2" t="s">
        <v>70</v>
      </c>
      <c r="K152" s="22">
        <v>151235000</v>
      </c>
      <c r="L152" s="2" t="s">
        <v>52</v>
      </c>
      <c r="M152" s="2" t="s">
        <v>173</v>
      </c>
      <c r="N152" s="2" t="s">
        <v>367</v>
      </c>
      <c r="O152" s="2" t="s">
        <v>4187</v>
      </c>
      <c r="P152" s="22">
        <v>2.7629999999999999</v>
      </c>
      <c r="Q152" s="2" t="s">
        <v>4188</v>
      </c>
      <c r="R152" s="2" t="s">
        <v>225</v>
      </c>
      <c r="S152" s="2" t="s">
        <v>54</v>
      </c>
      <c r="T152" s="2" t="s">
        <v>49</v>
      </c>
      <c r="U152" s="2" t="s">
        <v>686</v>
      </c>
      <c r="V152" s="2" t="s">
        <v>3284</v>
      </c>
      <c r="W152" s="22">
        <v>2.4889999999999999</v>
      </c>
    </row>
    <row r="153" spans="1:23" x14ac:dyDescent="0.2">
      <c r="A153" s="2" t="s">
        <v>1249</v>
      </c>
      <c r="B153" s="2" t="s">
        <v>1252</v>
      </c>
      <c r="C153" s="2" t="s">
        <v>71</v>
      </c>
      <c r="D153" s="2" t="s">
        <v>367</v>
      </c>
      <c r="E153" s="2" t="s">
        <v>2386</v>
      </c>
      <c r="F153" s="2" t="s">
        <v>173</v>
      </c>
      <c r="G153" s="2" t="s">
        <v>2387</v>
      </c>
      <c r="H153" s="2" t="s">
        <v>54</v>
      </c>
      <c r="I153" s="2" t="s">
        <v>55</v>
      </c>
      <c r="J153" s="2" t="s">
        <v>56</v>
      </c>
      <c r="K153" s="2"/>
      <c r="L153" s="2" t="s">
        <v>118</v>
      </c>
      <c r="M153" s="2" t="s">
        <v>173</v>
      </c>
      <c r="N153" s="2" t="s">
        <v>367</v>
      </c>
      <c r="O153" s="2" t="s">
        <v>4189</v>
      </c>
      <c r="P153" s="22">
        <v>5.21</v>
      </c>
      <c r="Q153" s="2" t="s">
        <v>4190</v>
      </c>
      <c r="R153" s="2" t="s">
        <v>173</v>
      </c>
      <c r="S153" s="2" t="s">
        <v>54</v>
      </c>
      <c r="T153" s="2" t="s">
        <v>49</v>
      </c>
      <c r="U153" s="2" t="s">
        <v>262</v>
      </c>
      <c r="V153" s="2" t="s">
        <v>2388</v>
      </c>
      <c r="W153" s="2" t="s">
        <v>54</v>
      </c>
    </row>
    <row r="154" spans="1:23" x14ac:dyDescent="0.2">
      <c r="A154" s="2" t="s">
        <v>624</v>
      </c>
      <c r="B154" s="2" t="s">
        <v>627</v>
      </c>
      <c r="C154" s="2" t="s">
        <v>71</v>
      </c>
      <c r="D154" s="2" t="s">
        <v>45</v>
      </c>
      <c r="E154" s="2" t="s">
        <v>2586</v>
      </c>
      <c r="F154" s="2" t="s">
        <v>173</v>
      </c>
      <c r="G154" s="2" t="s">
        <v>2587</v>
      </c>
      <c r="H154" s="2" t="s">
        <v>54</v>
      </c>
      <c r="I154" s="2" t="s">
        <v>55</v>
      </c>
      <c r="J154" s="2" t="s">
        <v>56</v>
      </c>
      <c r="K154" s="2"/>
      <c r="L154" s="2" t="s">
        <v>118</v>
      </c>
      <c r="M154" s="2" t="s">
        <v>173</v>
      </c>
      <c r="N154" s="2" t="s">
        <v>45</v>
      </c>
      <c r="O154" s="2" t="s">
        <v>4191</v>
      </c>
      <c r="P154" s="22">
        <v>5</v>
      </c>
      <c r="Q154" s="2" t="s">
        <v>4192</v>
      </c>
      <c r="R154" s="2" t="s">
        <v>173</v>
      </c>
      <c r="S154" s="2" t="s">
        <v>54</v>
      </c>
      <c r="T154" s="2" t="s">
        <v>49</v>
      </c>
      <c r="U154" s="2" t="s">
        <v>262</v>
      </c>
      <c r="V154" s="2" t="s">
        <v>2588</v>
      </c>
      <c r="W154" s="2" t="s">
        <v>54</v>
      </c>
    </row>
    <row r="155" spans="1:23" x14ac:dyDescent="0.2">
      <c r="A155" s="2" t="s">
        <v>1224</v>
      </c>
      <c r="B155" s="2" t="s">
        <v>1227</v>
      </c>
      <c r="C155" s="2" t="s">
        <v>71</v>
      </c>
      <c r="D155" s="2" t="s">
        <v>594</v>
      </c>
      <c r="E155" s="2" t="s">
        <v>2811</v>
      </c>
      <c r="F155" s="2" t="s">
        <v>173</v>
      </c>
      <c r="G155" s="2" t="s">
        <v>2812</v>
      </c>
      <c r="H155" s="2" t="s">
        <v>54</v>
      </c>
      <c r="I155" s="2" t="s">
        <v>55</v>
      </c>
      <c r="J155" s="2" t="s">
        <v>56</v>
      </c>
      <c r="K155" s="2"/>
      <c r="L155" s="2" t="s">
        <v>118</v>
      </c>
      <c r="M155" s="2" t="s">
        <v>173</v>
      </c>
      <c r="N155" s="2" t="s">
        <v>594</v>
      </c>
      <c r="O155" s="2" t="s">
        <v>4193</v>
      </c>
      <c r="P155" s="22">
        <v>5.08</v>
      </c>
      <c r="Q155" s="2" t="s">
        <v>4194</v>
      </c>
      <c r="R155" s="2" t="s">
        <v>173</v>
      </c>
      <c r="S155" s="2" t="s">
        <v>54</v>
      </c>
      <c r="T155" s="2" t="s">
        <v>49</v>
      </c>
      <c r="U155" s="2" t="s">
        <v>262</v>
      </c>
      <c r="V155" s="2" t="s">
        <v>2813</v>
      </c>
      <c r="W155" s="2" t="s">
        <v>54</v>
      </c>
    </row>
    <row r="156" spans="1:23" x14ac:dyDescent="0.2">
      <c r="A156" s="2" t="s">
        <v>754</v>
      </c>
      <c r="B156" s="2" t="s">
        <v>757</v>
      </c>
      <c r="C156" s="2" t="s">
        <v>71</v>
      </c>
      <c r="D156" s="2" t="s">
        <v>258</v>
      </c>
      <c r="E156" s="2" t="s">
        <v>3310</v>
      </c>
      <c r="F156" s="2" t="s">
        <v>3311</v>
      </c>
      <c r="G156" s="2" t="s">
        <v>3312</v>
      </c>
      <c r="H156" s="2" t="s">
        <v>54</v>
      </c>
      <c r="I156" s="2" t="s">
        <v>55</v>
      </c>
      <c r="J156" s="2" t="s">
        <v>56</v>
      </c>
      <c r="K156" s="22">
        <v>1748160000</v>
      </c>
      <c r="L156" s="2" t="s">
        <v>52</v>
      </c>
      <c r="M156" s="2" t="s">
        <v>1775</v>
      </c>
      <c r="N156" s="2" t="s">
        <v>257</v>
      </c>
      <c r="O156" s="2" t="s">
        <v>4195</v>
      </c>
      <c r="P156" s="22">
        <v>6</v>
      </c>
      <c r="Q156" s="2" t="s">
        <v>4138</v>
      </c>
      <c r="R156" s="2" t="s">
        <v>173</v>
      </c>
      <c r="S156" s="2" t="s">
        <v>496</v>
      </c>
      <c r="T156" s="2" t="s">
        <v>115</v>
      </c>
      <c r="U156" s="2" t="s">
        <v>262</v>
      </c>
      <c r="V156" s="2" t="s">
        <v>3313</v>
      </c>
      <c r="W156" s="2" t="s">
        <v>54</v>
      </c>
    </row>
    <row r="157" spans="1:23" x14ac:dyDescent="0.2">
      <c r="A157" s="2" t="s">
        <v>754</v>
      </c>
      <c r="B157" s="2" t="s">
        <v>757</v>
      </c>
      <c r="C157" s="2" t="s">
        <v>71</v>
      </c>
      <c r="D157" s="2" t="s">
        <v>258</v>
      </c>
      <c r="E157" s="2" t="s">
        <v>3314</v>
      </c>
      <c r="F157" s="2" t="s">
        <v>3315</v>
      </c>
      <c r="G157" s="2" t="s">
        <v>3316</v>
      </c>
      <c r="H157" s="2" t="s">
        <v>54</v>
      </c>
      <c r="I157" s="2" t="s">
        <v>55</v>
      </c>
      <c r="J157" s="2" t="s">
        <v>56</v>
      </c>
      <c r="K157" s="22">
        <v>999904000</v>
      </c>
      <c r="L157" s="2" t="s">
        <v>52</v>
      </c>
      <c r="M157" s="2" t="s">
        <v>173</v>
      </c>
      <c r="N157" s="2" t="s">
        <v>257</v>
      </c>
      <c r="O157" s="2" t="s">
        <v>4195</v>
      </c>
      <c r="P157" s="22">
        <v>5</v>
      </c>
      <c r="Q157" s="2" t="s">
        <v>4196</v>
      </c>
      <c r="R157" s="2" t="s">
        <v>173</v>
      </c>
      <c r="S157" s="2" t="s">
        <v>496</v>
      </c>
      <c r="T157" s="2" t="s">
        <v>115</v>
      </c>
      <c r="U157" s="2" t="s">
        <v>262</v>
      </c>
      <c r="V157" s="2" t="s">
        <v>3317</v>
      </c>
      <c r="W157" s="2" t="s">
        <v>54</v>
      </c>
    </row>
    <row r="158" spans="1:23" x14ac:dyDescent="0.2">
      <c r="A158" s="2" t="s">
        <v>476</v>
      </c>
      <c r="B158" s="2" t="s">
        <v>479</v>
      </c>
      <c r="C158" s="2" t="s">
        <v>57</v>
      </c>
      <c r="D158" s="2" t="s">
        <v>45</v>
      </c>
      <c r="E158" s="2" t="s">
        <v>1932</v>
      </c>
      <c r="F158" s="2" t="s">
        <v>1933</v>
      </c>
      <c r="G158" s="2" t="s">
        <v>1934</v>
      </c>
      <c r="H158" s="2" t="s">
        <v>54</v>
      </c>
      <c r="I158" s="2" t="s">
        <v>55</v>
      </c>
      <c r="J158" s="2" t="s">
        <v>56</v>
      </c>
      <c r="K158" s="22">
        <v>224224000</v>
      </c>
      <c r="L158" s="2" t="s">
        <v>482</v>
      </c>
      <c r="M158" s="2" t="s">
        <v>173</v>
      </c>
      <c r="N158" s="2" t="s">
        <v>45</v>
      </c>
      <c r="O158" s="2" t="s">
        <v>4197</v>
      </c>
      <c r="P158" s="22">
        <v>0.01</v>
      </c>
      <c r="Q158" s="2" t="s">
        <v>4198</v>
      </c>
      <c r="R158" s="2" t="s">
        <v>225</v>
      </c>
      <c r="S158" s="2" t="s">
        <v>483</v>
      </c>
      <c r="T158" s="2" t="s">
        <v>49</v>
      </c>
      <c r="U158" s="2" t="s">
        <v>53</v>
      </c>
      <c r="V158" s="2" t="s">
        <v>1935</v>
      </c>
      <c r="W158" s="22">
        <v>-0.495</v>
      </c>
    </row>
    <row r="159" spans="1:23" x14ac:dyDescent="0.2">
      <c r="A159" s="2" t="s">
        <v>1145</v>
      </c>
      <c r="B159" s="2" t="s">
        <v>1148</v>
      </c>
      <c r="C159" s="2" t="s">
        <v>391</v>
      </c>
      <c r="D159" s="2" t="s">
        <v>367</v>
      </c>
      <c r="E159" s="2" t="s">
        <v>2822</v>
      </c>
      <c r="F159" s="2" t="s">
        <v>2823</v>
      </c>
      <c r="G159" s="2" t="s">
        <v>2824</v>
      </c>
      <c r="H159" s="2" t="s">
        <v>54</v>
      </c>
      <c r="I159" s="2" t="s">
        <v>420</v>
      </c>
      <c r="J159" s="2" t="s">
        <v>70</v>
      </c>
      <c r="K159" s="22">
        <v>127452500</v>
      </c>
      <c r="L159" s="2" t="s">
        <v>52</v>
      </c>
      <c r="M159" s="2" t="s">
        <v>1775</v>
      </c>
      <c r="N159" s="2" t="s">
        <v>367</v>
      </c>
      <c r="O159" s="2" t="s">
        <v>1669</v>
      </c>
      <c r="P159" s="22">
        <v>0.75600000000000001</v>
      </c>
      <c r="Q159" s="2" t="s">
        <v>1675</v>
      </c>
      <c r="R159" s="2" t="s">
        <v>685</v>
      </c>
      <c r="S159" s="2" t="s">
        <v>54</v>
      </c>
      <c r="T159" s="2" t="s">
        <v>49</v>
      </c>
      <c r="U159" s="2" t="s">
        <v>686</v>
      </c>
      <c r="V159" s="2" t="s">
        <v>2825</v>
      </c>
      <c r="W159" s="22">
        <v>0.88700000000000001</v>
      </c>
    </row>
    <row r="160" spans="1:23" x14ac:dyDescent="0.2">
      <c r="A160" s="2" t="s">
        <v>1145</v>
      </c>
      <c r="B160" s="2" t="s">
        <v>1148</v>
      </c>
      <c r="C160" s="2" t="s">
        <v>57</v>
      </c>
      <c r="D160" s="2" t="s">
        <v>367</v>
      </c>
      <c r="E160" s="2" t="s">
        <v>2826</v>
      </c>
      <c r="F160" s="2" t="s">
        <v>2827</v>
      </c>
      <c r="G160" s="2" t="s">
        <v>2828</v>
      </c>
      <c r="H160" s="2" t="s">
        <v>54</v>
      </c>
      <c r="I160" s="2" t="s">
        <v>420</v>
      </c>
      <c r="J160" s="2" t="s">
        <v>56</v>
      </c>
      <c r="K160" s="22">
        <v>25490500</v>
      </c>
      <c r="L160" s="2" t="s">
        <v>52</v>
      </c>
      <c r="M160" s="2" t="s">
        <v>1775</v>
      </c>
      <c r="N160" s="2" t="s">
        <v>367</v>
      </c>
      <c r="O160" s="2" t="s">
        <v>1669</v>
      </c>
      <c r="P160" s="22">
        <v>1.0580000000000001</v>
      </c>
      <c r="Q160" s="2" t="s">
        <v>1675</v>
      </c>
      <c r="R160" s="2" t="s">
        <v>685</v>
      </c>
      <c r="S160" s="2" t="s">
        <v>54</v>
      </c>
      <c r="T160" s="2" t="s">
        <v>49</v>
      </c>
      <c r="U160" s="2" t="s">
        <v>686</v>
      </c>
      <c r="V160" s="2" t="s">
        <v>2829</v>
      </c>
      <c r="W160" s="22">
        <v>0.94599999999999995</v>
      </c>
    </row>
    <row r="161" spans="1:23" x14ac:dyDescent="0.2">
      <c r="A161" s="2" t="s">
        <v>1431</v>
      </c>
      <c r="B161" s="2" t="s">
        <v>1434</v>
      </c>
      <c r="C161" s="2" t="s">
        <v>391</v>
      </c>
      <c r="D161" s="2" t="s">
        <v>367</v>
      </c>
      <c r="E161" s="2" t="s">
        <v>1869</v>
      </c>
      <c r="F161" s="2" t="s">
        <v>1870</v>
      </c>
      <c r="G161" s="2" t="s">
        <v>1871</v>
      </c>
      <c r="H161" s="2" t="s">
        <v>54</v>
      </c>
      <c r="I161" s="2" t="s">
        <v>55</v>
      </c>
      <c r="J161" s="2" t="s">
        <v>70</v>
      </c>
      <c r="K161" s="22">
        <v>53677000</v>
      </c>
      <c r="L161" s="2" t="s">
        <v>52</v>
      </c>
      <c r="M161" s="2" t="s">
        <v>173</v>
      </c>
      <c r="N161" s="2" t="s">
        <v>367</v>
      </c>
      <c r="O161" s="2" t="s">
        <v>4199</v>
      </c>
      <c r="P161" s="22">
        <v>2.09</v>
      </c>
      <c r="Q161" s="2" t="s">
        <v>4200</v>
      </c>
      <c r="R161" s="2" t="s">
        <v>173</v>
      </c>
      <c r="S161" s="2" t="s">
        <v>54</v>
      </c>
      <c r="T161" s="2" t="s">
        <v>49</v>
      </c>
      <c r="U161" s="2" t="s">
        <v>609</v>
      </c>
      <c r="V161" s="2" t="s">
        <v>1872</v>
      </c>
      <c r="W161" s="22">
        <v>2.548</v>
      </c>
    </row>
    <row r="162" spans="1:23" x14ac:dyDescent="0.2">
      <c r="A162" s="2" t="s">
        <v>476</v>
      </c>
      <c r="B162" s="2" t="s">
        <v>479</v>
      </c>
      <c r="C162" s="2" t="s">
        <v>57</v>
      </c>
      <c r="D162" s="2" t="s">
        <v>45</v>
      </c>
      <c r="E162" s="2" t="s">
        <v>1936</v>
      </c>
      <c r="F162" s="2" t="s">
        <v>1937</v>
      </c>
      <c r="G162" s="2" t="s">
        <v>1938</v>
      </c>
      <c r="H162" s="2" t="s">
        <v>54</v>
      </c>
      <c r="I162" s="2" t="s">
        <v>55</v>
      </c>
      <c r="J162" s="2" t="s">
        <v>56</v>
      </c>
      <c r="K162" s="22">
        <v>16685550</v>
      </c>
      <c r="L162" s="2" t="s">
        <v>458</v>
      </c>
      <c r="M162" s="2" t="s">
        <v>173</v>
      </c>
      <c r="N162" s="2" t="s">
        <v>45</v>
      </c>
      <c r="O162" s="2" t="s">
        <v>4201</v>
      </c>
      <c r="P162" s="22">
        <v>0.75</v>
      </c>
      <c r="Q162" s="2" t="s">
        <v>4202</v>
      </c>
      <c r="R162" s="2" t="s">
        <v>225</v>
      </c>
      <c r="S162" s="2" t="s">
        <v>189</v>
      </c>
      <c r="T162" s="2" t="s">
        <v>115</v>
      </c>
      <c r="U162" s="2" t="s">
        <v>53</v>
      </c>
      <c r="V162" s="2" t="s">
        <v>1939</v>
      </c>
      <c r="W162" s="22">
        <v>0.68300000000000005</v>
      </c>
    </row>
    <row r="163" spans="1:23" x14ac:dyDescent="0.2">
      <c r="A163" s="2" t="s">
        <v>180</v>
      </c>
      <c r="B163" s="2" t="s">
        <v>183</v>
      </c>
      <c r="C163" s="2" t="s">
        <v>57</v>
      </c>
      <c r="D163" s="2" t="s">
        <v>185</v>
      </c>
      <c r="E163" s="2" t="s">
        <v>3172</v>
      </c>
      <c r="F163" s="2" t="s">
        <v>3173</v>
      </c>
      <c r="G163" s="2" t="s">
        <v>3174</v>
      </c>
      <c r="H163" s="2" t="s">
        <v>54</v>
      </c>
      <c r="I163" s="2" t="s">
        <v>133</v>
      </c>
      <c r="J163" s="2" t="s">
        <v>56</v>
      </c>
      <c r="K163" s="22">
        <v>902800000</v>
      </c>
      <c r="L163" s="2" t="s">
        <v>52</v>
      </c>
      <c r="M163" s="2" t="s">
        <v>1770</v>
      </c>
      <c r="N163" s="2" t="s">
        <v>184</v>
      </c>
      <c r="O163" s="2" t="s">
        <v>4203</v>
      </c>
      <c r="P163" s="22">
        <v>0.25</v>
      </c>
      <c r="Q163" s="2" t="s">
        <v>4204</v>
      </c>
      <c r="R163" s="2" t="s">
        <v>225</v>
      </c>
      <c r="S163" s="2" t="s">
        <v>189</v>
      </c>
      <c r="T163" s="2" t="s">
        <v>115</v>
      </c>
      <c r="U163" s="2" t="s">
        <v>53</v>
      </c>
      <c r="V163" s="2" t="s">
        <v>3175</v>
      </c>
      <c r="W163" s="22">
        <v>0.441</v>
      </c>
    </row>
    <row r="164" spans="1:23" x14ac:dyDescent="0.2">
      <c r="A164" s="2" t="s">
        <v>1249</v>
      </c>
      <c r="B164" s="2" t="s">
        <v>1252</v>
      </c>
      <c r="C164" s="2" t="s">
        <v>391</v>
      </c>
      <c r="D164" s="2" t="s">
        <v>367</v>
      </c>
      <c r="E164" s="2" t="s">
        <v>2389</v>
      </c>
      <c r="F164" s="2" t="s">
        <v>2390</v>
      </c>
      <c r="G164" s="2" t="s">
        <v>2391</v>
      </c>
      <c r="H164" s="2" t="s">
        <v>54</v>
      </c>
      <c r="I164" s="2" t="s">
        <v>55</v>
      </c>
      <c r="J164" s="2" t="s">
        <v>70</v>
      </c>
      <c r="K164" s="22">
        <v>51302500</v>
      </c>
      <c r="L164" s="2" t="s">
        <v>52</v>
      </c>
      <c r="M164" s="2" t="s">
        <v>173</v>
      </c>
      <c r="N164" s="2" t="s">
        <v>367</v>
      </c>
      <c r="O164" s="2" t="s">
        <v>4205</v>
      </c>
      <c r="P164" s="22">
        <v>0.92100000000000004</v>
      </c>
      <c r="Q164" s="2" t="s">
        <v>4206</v>
      </c>
      <c r="R164" s="2" t="s">
        <v>685</v>
      </c>
      <c r="S164" s="2" t="s">
        <v>189</v>
      </c>
      <c r="T164" s="2" t="s">
        <v>49</v>
      </c>
      <c r="U164" s="2" t="s">
        <v>686</v>
      </c>
      <c r="V164" s="2" t="s">
        <v>2392</v>
      </c>
      <c r="W164" s="22">
        <v>1.4390000000000001</v>
      </c>
    </row>
    <row r="165" spans="1:23" x14ac:dyDescent="0.2">
      <c r="A165" s="2" t="s">
        <v>1249</v>
      </c>
      <c r="B165" s="2" t="s">
        <v>1252</v>
      </c>
      <c r="C165" s="2" t="s">
        <v>391</v>
      </c>
      <c r="D165" s="2" t="s">
        <v>367</v>
      </c>
      <c r="E165" s="2" t="s">
        <v>2393</v>
      </c>
      <c r="F165" s="2" t="s">
        <v>2394</v>
      </c>
      <c r="G165" s="2" t="s">
        <v>2395</v>
      </c>
      <c r="H165" s="2" t="s">
        <v>54</v>
      </c>
      <c r="I165" s="2" t="s">
        <v>55</v>
      </c>
      <c r="J165" s="2" t="s">
        <v>70</v>
      </c>
      <c r="K165" s="22">
        <v>102605000</v>
      </c>
      <c r="L165" s="2" t="s">
        <v>52</v>
      </c>
      <c r="M165" s="2" t="s">
        <v>173</v>
      </c>
      <c r="N165" s="2" t="s">
        <v>367</v>
      </c>
      <c r="O165" s="2" t="s">
        <v>4205</v>
      </c>
      <c r="P165" s="22">
        <v>1.371</v>
      </c>
      <c r="Q165" s="2" t="s">
        <v>4207</v>
      </c>
      <c r="R165" s="2" t="s">
        <v>685</v>
      </c>
      <c r="S165" s="2" t="s">
        <v>189</v>
      </c>
      <c r="T165" s="2" t="s">
        <v>49</v>
      </c>
      <c r="U165" s="2" t="s">
        <v>686</v>
      </c>
      <c r="V165" s="2" t="s">
        <v>2396</v>
      </c>
      <c r="W165" s="2" t="s">
        <v>54</v>
      </c>
    </row>
    <row r="166" spans="1:23" x14ac:dyDescent="0.2">
      <c r="A166" s="2" t="s">
        <v>1518</v>
      </c>
      <c r="B166" s="2" t="s">
        <v>1521</v>
      </c>
      <c r="C166" s="2" t="s">
        <v>57</v>
      </c>
      <c r="D166" s="2" t="s">
        <v>184</v>
      </c>
      <c r="E166" s="2" t="s">
        <v>3111</v>
      </c>
      <c r="F166" s="2" t="s">
        <v>3112</v>
      </c>
      <c r="G166" s="2" t="s">
        <v>3113</v>
      </c>
      <c r="H166" s="2" t="s">
        <v>54</v>
      </c>
      <c r="I166" s="2" t="s">
        <v>117</v>
      </c>
      <c r="J166" s="2" t="s">
        <v>56</v>
      </c>
      <c r="K166" s="22">
        <v>1101960000</v>
      </c>
      <c r="L166" s="2" t="s">
        <v>52</v>
      </c>
      <c r="M166" s="2" t="s">
        <v>1770</v>
      </c>
      <c r="N166" s="2" t="s">
        <v>184</v>
      </c>
      <c r="O166" s="2" t="s">
        <v>4208</v>
      </c>
      <c r="P166" s="22">
        <v>1</v>
      </c>
      <c r="Q166" s="2" t="s">
        <v>4209</v>
      </c>
      <c r="R166" s="2" t="s">
        <v>225</v>
      </c>
      <c r="S166" s="2" t="s">
        <v>483</v>
      </c>
      <c r="T166" s="2" t="s">
        <v>115</v>
      </c>
      <c r="U166" s="2" t="s">
        <v>53</v>
      </c>
      <c r="V166" s="2" t="s">
        <v>3114</v>
      </c>
      <c r="W166" s="22">
        <v>0.45700000000000002</v>
      </c>
    </row>
    <row r="167" spans="1:23" x14ac:dyDescent="0.2">
      <c r="A167" s="2" t="s">
        <v>1518</v>
      </c>
      <c r="B167" s="2" t="s">
        <v>1521</v>
      </c>
      <c r="C167" s="2" t="s">
        <v>57</v>
      </c>
      <c r="D167" s="2" t="s">
        <v>184</v>
      </c>
      <c r="E167" s="2" t="s">
        <v>3115</v>
      </c>
      <c r="F167" s="2" t="s">
        <v>3116</v>
      </c>
      <c r="G167" s="2" t="s">
        <v>3117</v>
      </c>
      <c r="H167" s="2" t="s">
        <v>54</v>
      </c>
      <c r="I167" s="2" t="s">
        <v>117</v>
      </c>
      <c r="J167" s="2" t="s">
        <v>56</v>
      </c>
      <c r="K167" s="22">
        <v>1101960000</v>
      </c>
      <c r="L167" s="2" t="s">
        <v>52</v>
      </c>
      <c r="M167" s="2" t="s">
        <v>1770</v>
      </c>
      <c r="N167" s="2" t="s">
        <v>184</v>
      </c>
      <c r="O167" s="2" t="s">
        <v>4208</v>
      </c>
      <c r="P167" s="22">
        <v>1.5</v>
      </c>
      <c r="Q167" s="2" t="s">
        <v>4210</v>
      </c>
      <c r="R167" s="2" t="s">
        <v>225</v>
      </c>
      <c r="S167" s="2" t="s">
        <v>483</v>
      </c>
      <c r="T167" s="2" t="s">
        <v>115</v>
      </c>
      <c r="U167" s="2" t="s">
        <v>53</v>
      </c>
      <c r="V167" s="2" t="s">
        <v>3118</v>
      </c>
      <c r="W167" s="22">
        <v>0.78</v>
      </c>
    </row>
    <row r="168" spans="1:23" x14ac:dyDescent="0.2">
      <c r="A168" s="2" t="s">
        <v>1486</v>
      </c>
      <c r="B168" s="2" t="s">
        <v>1489</v>
      </c>
      <c r="C168" s="2" t="s">
        <v>57</v>
      </c>
      <c r="D168" s="2" t="s">
        <v>184</v>
      </c>
      <c r="E168" s="2" t="s">
        <v>2267</v>
      </c>
      <c r="F168" s="2" t="s">
        <v>2268</v>
      </c>
      <c r="G168" s="2" t="s">
        <v>2269</v>
      </c>
      <c r="H168" s="2" t="s">
        <v>54</v>
      </c>
      <c r="I168" s="2" t="s">
        <v>117</v>
      </c>
      <c r="J168" s="2" t="s">
        <v>56</v>
      </c>
      <c r="K168" s="22">
        <v>1092530000</v>
      </c>
      <c r="L168" s="2" t="s">
        <v>52</v>
      </c>
      <c r="M168" s="2" t="s">
        <v>1770</v>
      </c>
      <c r="N168" s="2" t="s">
        <v>184</v>
      </c>
      <c r="O168" s="2" t="s">
        <v>4211</v>
      </c>
      <c r="P168" s="22">
        <v>2.625</v>
      </c>
      <c r="Q168" s="2" t="s">
        <v>4212</v>
      </c>
      <c r="R168" s="2" t="s">
        <v>2134</v>
      </c>
      <c r="S168" s="2" t="s">
        <v>189</v>
      </c>
      <c r="T168" s="2" t="s">
        <v>115</v>
      </c>
      <c r="U168" s="2" t="s">
        <v>53</v>
      </c>
      <c r="V168" s="2" t="s">
        <v>2270</v>
      </c>
      <c r="W168" s="22">
        <v>2.1389999999999998</v>
      </c>
    </row>
    <row r="169" spans="1:23" x14ac:dyDescent="0.2">
      <c r="A169" s="2" t="s">
        <v>415</v>
      </c>
      <c r="B169" s="2" t="s">
        <v>418</v>
      </c>
      <c r="C169" s="2" t="s">
        <v>57</v>
      </c>
      <c r="D169" s="2" t="s">
        <v>366</v>
      </c>
      <c r="E169" s="2" t="s">
        <v>2854</v>
      </c>
      <c r="F169" s="2" t="s">
        <v>2855</v>
      </c>
      <c r="G169" s="2" t="s">
        <v>2856</v>
      </c>
      <c r="H169" s="2" t="s">
        <v>54</v>
      </c>
      <c r="I169" s="2" t="s">
        <v>420</v>
      </c>
      <c r="J169" s="2" t="s">
        <v>56</v>
      </c>
      <c r="K169" s="22">
        <v>542090000</v>
      </c>
      <c r="L169" s="2" t="s">
        <v>52</v>
      </c>
      <c r="M169" s="2" t="s">
        <v>1775</v>
      </c>
      <c r="N169" s="2" t="s">
        <v>366</v>
      </c>
      <c r="O169" s="2" t="s">
        <v>4213</v>
      </c>
      <c r="P169" s="22">
        <v>1.75</v>
      </c>
      <c r="Q169" s="2" t="s">
        <v>4214</v>
      </c>
      <c r="R169" s="2" t="s">
        <v>173</v>
      </c>
      <c r="S169" s="2" t="s">
        <v>174</v>
      </c>
      <c r="T169" s="2" t="s">
        <v>115</v>
      </c>
      <c r="U169" s="2" t="s">
        <v>53</v>
      </c>
      <c r="V169" s="2" t="s">
        <v>2857</v>
      </c>
      <c r="W169" s="22">
        <v>1.506</v>
      </c>
    </row>
    <row r="170" spans="1:23" x14ac:dyDescent="0.2">
      <c r="A170" s="2" t="s">
        <v>1525</v>
      </c>
      <c r="B170" s="2" t="s">
        <v>1528</v>
      </c>
      <c r="C170" s="2" t="s">
        <v>57</v>
      </c>
      <c r="D170" s="2" t="s">
        <v>184</v>
      </c>
      <c r="E170" s="2" t="s">
        <v>2996</v>
      </c>
      <c r="F170" s="2" t="s">
        <v>2997</v>
      </c>
      <c r="G170" s="2" t="s">
        <v>2998</v>
      </c>
      <c r="H170" s="2" t="s">
        <v>54</v>
      </c>
      <c r="I170" s="2" t="s">
        <v>420</v>
      </c>
      <c r="J170" s="2" t="s">
        <v>56</v>
      </c>
      <c r="K170" s="22">
        <v>1080200000</v>
      </c>
      <c r="L170" s="2" t="s">
        <v>52</v>
      </c>
      <c r="M170" s="2" t="s">
        <v>1770</v>
      </c>
      <c r="N170" s="2" t="s">
        <v>184</v>
      </c>
      <c r="O170" s="2" t="s">
        <v>46</v>
      </c>
      <c r="P170" s="22">
        <v>1.125</v>
      </c>
      <c r="Q170" s="2" t="s">
        <v>4215</v>
      </c>
      <c r="R170" s="2" t="s">
        <v>173</v>
      </c>
      <c r="S170" s="2" t="s">
        <v>619</v>
      </c>
      <c r="T170" s="2" t="s">
        <v>115</v>
      </c>
      <c r="U170" s="2" t="s">
        <v>53</v>
      </c>
      <c r="V170" s="2" t="s">
        <v>2999</v>
      </c>
      <c r="W170" s="22">
        <v>1.1419999999999999</v>
      </c>
    </row>
    <row r="171" spans="1:23" x14ac:dyDescent="0.2">
      <c r="A171" s="2" t="s">
        <v>1525</v>
      </c>
      <c r="B171" s="2" t="s">
        <v>1528</v>
      </c>
      <c r="C171" s="2" t="s">
        <v>57</v>
      </c>
      <c r="D171" s="2" t="s">
        <v>184</v>
      </c>
      <c r="E171" s="2" t="s">
        <v>3000</v>
      </c>
      <c r="F171" s="2" t="s">
        <v>3001</v>
      </c>
      <c r="G171" s="2" t="s">
        <v>3002</v>
      </c>
      <c r="H171" s="2" t="s">
        <v>54</v>
      </c>
      <c r="I171" s="2" t="s">
        <v>420</v>
      </c>
      <c r="J171" s="2" t="s">
        <v>56</v>
      </c>
      <c r="K171" s="22">
        <v>1080200000</v>
      </c>
      <c r="L171" s="2" t="s">
        <v>52</v>
      </c>
      <c r="M171" s="2" t="s">
        <v>1770</v>
      </c>
      <c r="N171" s="2" t="s">
        <v>184</v>
      </c>
      <c r="O171" s="2" t="s">
        <v>46</v>
      </c>
      <c r="P171" s="22">
        <v>1.75</v>
      </c>
      <c r="Q171" s="2" t="s">
        <v>4216</v>
      </c>
      <c r="R171" s="2" t="s">
        <v>173</v>
      </c>
      <c r="S171" s="2" t="s">
        <v>619</v>
      </c>
      <c r="T171" s="2" t="s">
        <v>115</v>
      </c>
      <c r="U171" s="2" t="s">
        <v>53</v>
      </c>
      <c r="V171" s="2" t="s">
        <v>3003</v>
      </c>
      <c r="W171" s="22">
        <v>1.752</v>
      </c>
    </row>
    <row r="172" spans="1:23" x14ac:dyDescent="0.2">
      <c r="A172" s="2" t="s">
        <v>180</v>
      </c>
      <c r="B172" s="2" t="s">
        <v>183</v>
      </c>
      <c r="C172" s="2" t="s">
        <v>57</v>
      </c>
      <c r="D172" s="2" t="s">
        <v>185</v>
      </c>
      <c r="E172" s="2" t="s">
        <v>3176</v>
      </c>
      <c r="F172" s="2" t="s">
        <v>3177</v>
      </c>
      <c r="G172" s="2" t="s">
        <v>3178</v>
      </c>
      <c r="H172" s="2" t="s">
        <v>54</v>
      </c>
      <c r="I172" s="2" t="s">
        <v>133</v>
      </c>
      <c r="J172" s="2" t="s">
        <v>56</v>
      </c>
      <c r="K172" s="22">
        <v>546800000</v>
      </c>
      <c r="L172" s="2" t="s">
        <v>52</v>
      </c>
      <c r="M172" s="2" t="s">
        <v>1770</v>
      </c>
      <c r="N172" s="2" t="s">
        <v>184</v>
      </c>
      <c r="O172" s="2" t="s">
        <v>4217</v>
      </c>
      <c r="P172" s="22">
        <v>1</v>
      </c>
      <c r="Q172" s="2" t="s">
        <v>4218</v>
      </c>
      <c r="R172" s="2" t="s">
        <v>225</v>
      </c>
      <c r="S172" s="2" t="s">
        <v>189</v>
      </c>
      <c r="T172" s="2" t="s">
        <v>115</v>
      </c>
      <c r="U172" s="2" t="s">
        <v>53</v>
      </c>
      <c r="V172" s="2" t="s">
        <v>3179</v>
      </c>
      <c r="W172" s="22">
        <v>0.82399999999999995</v>
      </c>
    </row>
    <row r="173" spans="1:23" x14ac:dyDescent="0.2">
      <c r="A173" s="2" t="s">
        <v>165</v>
      </c>
      <c r="B173" s="2" t="s">
        <v>168</v>
      </c>
      <c r="C173" s="2" t="s">
        <v>57</v>
      </c>
      <c r="D173" s="2" t="s">
        <v>170</v>
      </c>
      <c r="E173" s="2" t="s">
        <v>2638</v>
      </c>
      <c r="F173" s="2" t="s">
        <v>2639</v>
      </c>
      <c r="G173" s="2" t="s">
        <v>2640</v>
      </c>
      <c r="H173" s="2" t="s">
        <v>54</v>
      </c>
      <c r="I173" s="2" t="s">
        <v>55</v>
      </c>
      <c r="J173" s="2" t="s">
        <v>56</v>
      </c>
      <c r="K173" s="22">
        <v>546800000</v>
      </c>
      <c r="L173" s="2" t="s">
        <v>52</v>
      </c>
      <c r="M173" s="2" t="s">
        <v>1770</v>
      </c>
      <c r="N173" s="2" t="s">
        <v>169</v>
      </c>
      <c r="O173" s="2" t="s">
        <v>4217</v>
      </c>
      <c r="P173" s="22">
        <v>2.375</v>
      </c>
      <c r="Q173" s="2" t="s">
        <v>4178</v>
      </c>
      <c r="R173" s="2" t="s">
        <v>225</v>
      </c>
      <c r="S173" s="2" t="s">
        <v>174</v>
      </c>
      <c r="T173" s="2" t="s">
        <v>115</v>
      </c>
      <c r="U173" s="2" t="s">
        <v>53</v>
      </c>
      <c r="V173" s="2" t="s">
        <v>2641</v>
      </c>
      <c r="W173" s="22">
        <v>2.0419999999999998</v>
      </c>
    </row>
    <row r="174" spans="1:23" x14ac:dyDescent="0.2">
      <c r="A174" s="2" t="s">
        <v>1559</v>
      </c>
      <c r="B174" s="2" t="s">
        <v>1562</v>
      </c>
      <c r="C174" s="2" t="s">
        <v>57</v>
      </c>
      <c r="D174" s="2" t="s">
        <v>257</v>
      </c>
      <c r="E174" s="2" t="s">
        <v>2739</v>
      </c>
      <c r="F174" s="2" t="s">
        <v>2740</v>
      </c>
      <c r="G174" s="2" t="s">
        <v>2741</v>
      </c>
      <c r="H174" s="2" t="s">
        <v>54</v>
      </c>
      <c r="I174" s="2" t="s">
        <v>55</v>
      </c>
      <c r="J174" s="2" t="s">
        <v>56</v>
      </c>
      <c r="K174" s="22">
        <v>543360000</v>
      </c>
      <c r="L174" s="2" t="s">
        <v>52</v>
      </c>
      <c r="M174" s="2" t="s">
        <v>1770</v>
      </c>
      <c r="N174" s="2" t="s">
        <v>366</v>
      </c>
      <c r="O174" s="2" t="s">
        <v>4219</v>
      </c>
      <c r="P174" s="22">
        <v>2.5</v>
      </c>
      <c r="Q174" s="2" t="s">
        <v>4220</v>
      </c>
      <c r="R174" s="2" t="s">
        <v>173</v>
      </c>
      <c r="S174" s="2" t="s">
        <v>174</v>
      </c>
      <c r="T174" s="2" t="s">
        <v>49</v>
      </c>
      <c r="U174" s="2" t="s">
        <v>53</v>
      </c>
      <c r="V174" s="2" t="s">
        <v>2742</v>
      </c>
      <c r="W174" s="22">
        <v>2.2370000000000001</v>
      </c>
    </row>
    <row r="175" spans="1:23" x14ac:dyDescent="0.2">
      <c r="A175" s="2" t="s">
        <v>1559</v>
      </c>
      <c r="B175" s="2" t="s">
        <v>1562</v>
      </c>
      <c r="C175" s="2" t="s">
        <v>57</v>
      </c>
      <c r="D175" s="2" t="s">
        <v>257</v>
      </c>
      <c r="E175" s="2" t="s">
        <v>2743</v>
      </c>
      <c r="F175" s="2" t="s">
        <v>2744</v>
      </c>
      <c r="G175" s="2" t="s">
        <v>2745</v>
      </c>
      <c r="H175" s="2" t="s">
        <v>54</v>
      </c>
      <c r="I175" s="2" t="s">
        <v>55</v>
      </c>
      <c r="J175" s="2" t="s">
        <v>56</v>
      </c>
      <c r="K175" s="22">
        <v>543360000</v>
      </c>
      <c r="L175" s="2" t="s">
        <v>52</v>
      </c>
      <c r="M175" s="2" t="s">
        <v>1770</v>
      </c>
      <c r="N175" s="2" t="s">
        <v>366</v>
      </c>
      <c r="O175" s="2" t="s">
        <v>4219</v>
      </c>
      <c r="P175" s="22">
        <v>3.375</v>
      </c>
      <c r="Q175" s="2" t="s">
        <v>4221</v>
      </c>
      <c r="R175" s="2" t="s">
        <v>173</v>
      </c>
      <c r="S175" s="2" t="s">
        <v>174</v>
      </c>
      <c r="T175" s="2" t="s">
        <v>49</v>
      </c>
      <c r="U175" s="2" t="s">
        <v>53</v>
      </c>
      <c r="V175" s="2" t="s">
        <v>2746</v>
      </c>
      <c r="W175" s="22">
        <v>2.8319999999999999</v>
      </c>
    </row>
    <row r="176" spans="1:23" x14ac:dyDescent="0.2">
      <c r="A176" s="2" t="s">
        <v>1132</v>
      </c>
      <c r="B176" s="2" t="s">
        <v>1135</v>
      </c>
      <c r="C176" s="2" t="s">
        <v>57</v>
      </c>
      <c r="D176" s="2" t="s">
        <v>45</v>
      </c>
      <c r="E176" s="2" t="s">
        <v>2601</v>
      </c>
      <c r="F176" s="2" t="s">
        <v>2602</v>
      </c>
      <c r="G176" s="2" t="s">
        <v>2603</v>
      </c>
      <c r="H176" s="2" t="s">
        <v>54</v>
      </c>
      <c r="I176" s="2" t="s">
        <v>420</v>
      </c>
      <c r="J176" s="2" t="s">
        <v>56</v>
      </c>
      <c r="K176" s="22">
        <v>338533800</v>
      </c>
      <c r="L176" s="2" t="s">
        <v>52</v>
      </c>
      <c r="M176" s="2" t="s">
        <v>173</v>
      </c>
      <c r="N176" s="2" t="s">
        <v>45</v>
      </c>
      <c r="O176" s="2" t="s">
        <v>4222</v>
      </c>
      <c r="P176" s="22">
        <v>0.27250000000000002</v>
      </c>
      <c r="Q176" s="2" t="s">
        <v>4223</v>
      </c>
      <c r="R176" s="2" t="s">
        <v>225</v>
      </c>
      <c r="S176" s="2" t="s">
        <v>117</v>
      </c>
      <c r="T176" s="2" t="s">
        <v>49</v>
      </c>
      <c r="U176" s="2" t="s">
        <v>1806</v>
      </c>
      <c r="V176" s="2" t="s">
        <v>2604</v>
      </c>
      <c r="W176" s="22">
        <v>-5.6000000000000001E-2</v>
      </c>
    </row>
    <row r="177" spans="1:23" x14ac:dyDescent="0.2">
      <c r="A177" s="2" t="s">
        <v>476</v>
      </c>
      <c r="B177" s="2" t="s">
        <v>479</v>
      </c>
      <c r="C177" s="2" t="s">
        <v>57</v>
      </c>
      <c r="D177" s="2" t="s">
        <v>45</v>
      </c>
      <c r="E177" s="2" t="s">
        <v>1940</v>
      </c>
      <c r="F177" s="2" t="s">
        <v>1941</v>
      </c>
      <c r="G177" s="2" t="s">
        <v>1942</v>
      </c>
      <c r="H177" s="2" t="s">
        <v>54</v>
      </c>
      <c r="I177" s="2" t="s">
        <v>55</v>
      </c>
      <c r="J177" s="2" t="s">
        <v>56</v>
      </c>
      <c r="K177" s="22">
        <v>81117750</v>
      </c>
      <c r="L177" s="2" t="s">
        <v>482</v>
      </c>
      <c r="M177" s="2" t="s">
        <v>173</v>
      </c>
      <c r="N177" s="2" t="s">
        <v>45</v>
      </c>
      <c r="O177" s="2" t="s">
        <v>4224</v>
      </c>
      <c r="P177" s="22">
        <v>0.45</v>
      </c>
      <c r="Q177" s="2" t="s">
        <v>4225</v>
      </c>
      <c r="R177" s="2" t="s">
        <v>225</v>
      </c>
      <c r="S177" s="2" t="s">
        <v>483</v>
      </c>
      <c r="T177" s="2" t="s">
        <v>49</v>
      </c>
      <c r="U177" s="2" t="s">
        <v>53</v>
      </c>
      <c r="V177" s="2" t="s">
        <v>1943</v>
      </c>
      <c r="W177" s="2" t="s">
        <v>54</v>
      </c>
    </row>
    <row r="178" spans="1:23" x14ac:dyDescent="0.2">
      <c r="A178" s="2" t="s">
        <v>476</v>
      </c>
      <c r="B178" s="2" t="s">
        <v>479</v>
      </c>
      <c r="C178" s="2" t="s">
        <v>57</v>
      </c>
      <c r="D178" s="2" t="s">
        <v>45</v>
      </c>
      <c r="E178" s="2" t="s">
        <v>1944</v>
      </c>
      <c r="F178" s="2" t="s">
        <v>1945</v>
      </c>
      <c r="G178" s="2" t="s">
        <v>1946</v>
      </c>
      <c r="H178" s="2" t="s">
        <v>54</v>
      </c>
      <c r="I178" s="2" t="s">
        <v>55</v>
      </c>
      <c r="J178" s="2" t="s">
        <v>56</v>
      </c>
      <c r="K178" s="22">
        <v>54501500</v>
      </c>
      <c r="L178" s="2" t="s">
        <v>482</v>
      </c>
      <c r="M178" s="2" t="s">
        <v>173</v>
      </c>
      <c r="N178" s="2" t="s">
        <v>45</v>
      </c>
      <c r="O178" s="2" t="s">
        <v>4226</v>
      </c>
      <c r="P178" s="22">
        <v>0.46</v>
      </c>
      <c r="Q178" s="2" t="s">
        <v>4227</v>
      </c>
      <c r="R178" s="2" t="s">
        <v>225</v>
      </c>
      <c r="S178" s="2" t="s">
        <v>483</v>
      </c>
      <c r="T178" s="2" t="s">
        <v>49</v>
      </c>
      <c r="U178" s="2" t="s">
        <v>53</v>
      </c>
      <c r="V178" s="2" t="s">
        <v>1947</v>
      </c>
      <c r="W178" s="22">
        <v>0.29699999999999999</v>
      </c>
    </row>
    <row r="179" spans="1:23" x14ac:dyDescent="0.2">
      <c r="A179" s="2" t="s">
        <v>476</v>
      </c>
      <c r="B179" s="2" t="s">
        <v>479</v>
      </c>
      <c r="C179" s="2" t="s">
        <v>57</v>
      </c>
      <c r="D179" s="2" t="s">
        <v>45</v>
      </c>
      <c r="E179" s="2" t="s">
        <v>1948</v>
      </c>
      <c r="F179" s="2" t="s">
        <v>1949</v>
      </c>
      <c r="G179" s="2" t="s">
        <v>1950</v>
      </c>
      <c r="H179" s="2" t="s">
        <v>54</v>
      </c>
      <c r="I179" s="2" t="s">
        <v>55</v>
      </c>
      <c r="J179" s="2" t="s">
        <v>56</v>
      </c>
      <c r="K179" s="22">
        <v>27343250</v>
      </c>
      <c r="L179" s="2" t="s">
        <v>482</v>
      </c>
      <c r="M179" s="2" t="s">
        <v>173</v>
      </c>
      <c r="N179" s="2" t="s">
        <v>45</v>
      </c>
      <c r="O179" s="2" t="s">
        <v>4228</v>
      </c>
      <c r="P179" s="22">
        <v>0.45</v>
      </c>
      <c r="Q179" s="2" t="s">
        <v>4227</v>
      </c>
      <c r="R179" s="2" t="s">
        <v>225</v>
      </c>
      <c r="S179" s="2" t="s">
        <v>483</v>
      </c>
      <c r="T179" s="2" t="s">
        <v>49</v>
      </c>
      <c r="U179" s="2" t="s">
        <v>53</v>
      </c>
      <c r="V179" s="2" t="s">
        <v>1951</v>
      </c>
      <c r="W179" s="2" t="s">
        <v>54</v>
      </c>
    </row>
    <row r="180" spans="1:23" x14ac:dyDescent="0.2">
      <c r="A180" s="2" t="s">
        <v>476</v>
      </c>
      <c r="B180" s="2" t="s">
        <v>479</v>
      </c>
      <c r="C180" s="2" t="s">
        <v>57</v>
      </c>
      <c r="D180" s="2" t="s">
        <v>45</v>
      </c>
      <c r="E180" s="2" t="s">
        <v>1952</v>
      </c>
      <c r="F180" s="2" t="s">
        <v>1953</v>
      </c>
      <c r="G180" s="2" t="s">
        <v>1954</v>
      </c>
      <c r="H180" s="2" t="s">
        <v>54</v>
      </c>
      <c r="I180" s="2" t="s">
        <v>55</v>
      </c>
      <c r="J180" s="2" t="s">
        <v>56</v>
      </c>
      <c r="K180" s="22">
        <v>10937300</v>
      </c>
      <c r="L180" s="2" t="s">
        <v>482</v>
      </c>
      <c r="M180" s="2" t="s">
        <v>173</v>
      </c>
      <c r="N180" s="2" t="s">
        <v>45</v>
      </c>
      <c r="O180" s="2" t="s">
        <v>4228</v>
      </c>
      <c r="P180" s="22">
        <v>0.49</v>
      </c>
      <c r="Q180" s="2" t="s">
        <v>4078</v>
      </c>
      <c r="R180" s="2" t="s">
        <v>225</v>
      </c>
      <c r="S180" s="2" t="s">
        <v>483</v>
      </c>
      <c r="T180" s="2" t="s">
        <v>49</v>
      </c>
      <c r="U180" s="2" t="s">
        <v>53</v>
      </c>
      <c r="V180" s="2" t="s">
        <v>1955</v>
      </c>
      <c r="W180" s="22">
        <v>0.29699999999999999</v>
      </c>
    </row>
    <row r="181" spans="1:23" x14ac:dyDescent="0.2">
      <c r="A181" s="2" t="s">
        <v>613</v>
      </c>
      <c r="B181" s="2" t="s">
        <v>616</v>
      </c>
      <c r="C181" s="2" t="s">
        <v>57</v>
      </c>
      <c r="D181" s="2" t="s">
        <v>199</v>
      </c>
      <c r="E181" s="2" t="s">
        <v>2492</v>
      </c>
      <c r="F181" s="2" t="s">
        <v>2493</v>
      </c>
      <c r="G181" s="2" t="s">
        <v>2494</v>
      </c>
      <c r="H181" s="2" t="s">
        <v>54</v>
      </c>
      <c r="I181" s="2" t="s">
        <v>117</v>
      </c>
      <c r="J181" s="2" t="s">
        <v>56</v>
      </c>
      <c r="K181" s="22">
        <v>1090930000</v>
      </c>
      <c r="L181" s="2" t="s">
        <v>52</v>
      </c>
      <c r="M181" s="2" t="s">
        <v>1770</v>
      </c>
      <c r="N181" s="2" t="s">
        <v>199</v>
      </c>
      <c r="O181" s="2" t="s">
        <v>4229</v>
      </c>
      <c r="P181" s="22">
        <v>1.25</v>
      </c>
      <c r="Q181" s="2" t="s">
        <v>4230</v>
      </c>
      <c r="R181" s="2" t="s">
        <v>225</v>
      </c>
      <c r="S181" s="2" t="s">
        <v>619</v>
      </c>
      <c r="T181" s="2" t="s">
        <v>49</v>
      </c>
      <c r="U181" s="2" t="s">
        <v>53</v>
      </c>
      <c r="V181" s="2" t="s">
        <v>2495</v>
      </c>
      <c r="W181" s="22">
        <v>1.3819999999999999</v>
      </c>
    </row>
    <row r="182" spans="1:23" x14ac:dyDescent="0.2">
      <c r="A182" s="2" t="s">
        <v>613</v>
      </c>
      <c r="B182" s="2" t="s">
        <v>616</v>
      </c>
      <c r="C182" s="2" t="s">
        <v>57</v>
      </c>
      <c r="D182" s="2" t="s">
        <v>199</v>
      </c>
      <c r="E182" s="2" t="s">
        <v>2496</v>
      </c>
      <c r="F182" s="2" t="s">
        <v>2497</v>
      </c>
      <c r="G182" s="2" t="s">
        <v>2498</v>
      </c>
      <c r="H182" s="2" t="s">
        <v>54</v>
      </c>
      <c r="I182" s="2" t="s">
        <v>117</v>
      </c>
      <c r="J182" s="2" t="s">
        <v>56</v>
      </c>
      <c r="K182" s="22">
        <v>1090930000</v>
      </c>
      <c r="L182" s="2" t="s">
        <v>52</v>
      </c>
      <c r="M182" s="2" t="s">
        <v>1770</v>
      </c>
      <c r="N182" s="2" t="s">
        <v>199</v>
      </c>
      <c r="O182" s="2" t="s">
        <v>4229</v>
      </c>
      <c r="P182" s="22">
        <v>2</v>
      </c>
      <c r="Q182" s="2" t="s">
        <v>4231</v>
      </c>
      <c r="R182" s="2" t="s">
        <v>225</v>
      </c>
      <c r="S182" s="2" t="s">
        <v>619</v>
      </c>
      <c r="T182" s="2" t="s">
        <v>49</v>
      </c>
      <c r="U182" s="2" t="s">
        <v>53</v>
      </c>
      <c r="V182" s="2" t="s">
        <v>2499</v>
      </c>
      <c r="W182" s="22">
        <v>1.9770000000000001</v>
      </c>
    </row>
    <row r="183" spans="1:23" x14ac:dyDescent="0.2">
      <c r="A183" s="2" t="s">
        <v>476</v>
      </c>
      <c r="B183" s="2" t="s">
        <v>479</v>
      </c>
      <c r="C183" s="2" t="s">
        <v>391</v>
      </c>
      <c r="D183" s="2" t="s">
        <v>45</v>
      </c>
      <c r="E183" s="2" t="s">
        <v>1956</v>
      </c>
      <c r="F183" s="2" t="s">
        <v>1957</v>
      </c>
      <c r="G183" s="2" t="s">
        <v>1958</v>
      </c>
      <c r="H183" s="2" t="s">
        <v>54</v>
      </c>
      <c r="I183" s="2" t="s">
        <v>55</v>
      </c>
      <c r="J183" s="2" t="s">
        <v>70</v>
      </c>
      <c r="K183" s="22">
        <v>730923100</v>
      </c>
      <c r="L183" s="2" t="s">
        <v>458</v>
      </c>
      <c r="M183" s="2" t="s">
        <v>1770</v>
      </c>
      <c r="N183" s="2" t="s">
        <v>45</v>
      </c>
      <c r="O183" s="2" t="s">
        <v>4229</v>
      </c>
      <c r="P183" s="22">
        <v>0</v>
      </c>
      <c r="Q183" s="2" t="s">
        <v>4088</v>
      </c>
      <c r="R183" s="2" t="s">
        <v>225</v>
      </c>
      <c r="S183" s="2" t="s">
        <v>189</v>
      </c>
      <c r="T183" s="2" t="s">
        <v>49</v>
      </c>
      <c r="U183" s="2" t="s">
        <v>53</v>
      </c>
      <c r="V183" s="2" t="s">
        <v>1959</v>
      </c>
      <c r="W183" s="22">
        <v>-7.9000000000000001E-2</v>
      </c>
    </row>
    <row r="184" spans="1:23" x14ac:dyDescent="0.2">
      <c r="A184" s="2" t="s">
        <v>916</v>
      </c>
      <c r="B184" s="2" t="s">
        <v>919</v>
      </c>
      <c r="C184" s="2" t="s">
        <v>57</v>
      </c>
      <c r="D184" s="2" t="s">
        <v>184</v>
      </c>
      <c r="E184" s="2" t="s">
        <v>2912</v>
      </c>
      <c r="F184" s="2" t="s">
        <v>2913</v>
      </c>
      <c r="G184" s="2" t="s">
        <v>2914</v>
      </c>
      <c r="H184" s="2" t="s">
        <v>54</v>
      </c>
      <c r="I184" s="2" t="s">
        <v>420</v>
      </c>
      <c r="J184" s="2" t="s">
        <v>56</v>
      </c>
      <c r="K184" s="22">
        <v>658542000</v>
      </c>
      <c r="L184" s="2" t="s">
        <v>52</v>
      </c>
      <c r="M184" s="2" t="s">
        <v>1770</v>
      </c>
      <c r="N184" s="2" t="s">
        <v>184</v>
      </c>
      <c r="O184" s="2" t="s">
        <v>4232</v>
      </c>
      <c r="P184" s="22">
        <v>0.75</v>
      </c>
      <c r="Q184" s="2" t="s">
        <v>4233</v>
      </c>
      <c r="R184" s="2" t="s">
        <v>173</v>
      </c>
      <c r="S184" s="2" t="s">
        <v>189</v>
      </c>
      <c r="T184" s="2" t="s">
        <v>115</v>
      </c>
      <c r="U184" s="2" t="s">
        <v>53</v>
      </c>
      <c r="V184" s="2" t="s">
        <v>2915</v>
      </c>
      <c r="W184" s="22">
        <v>0.76600000000000001</v>
      </c>
    </row>
    <row r="185" spans="1:23" x14ac:dyDescent="0.2">
      <c r="A185" s="2" t="s">
        <v>476</v>
      </c>
      <c r="B185" s="2" t="s">
        <v>479</v>
      </c>
      <c r="C185" s="2" t="s">
        <v>57</v>
      </c>
      <c r="D185" s="2" t="s">
        <v>45</v>
      </c>
      <c r="E185" s="2" t="s">
        <v>1960</v>
      </c>
      <c r="F185" s="2" t="s">
        <v>1961</v>
      </c>
      <c r="G185" s="2" t="s">
        <v>1962</v>
      </c>
      <c r="H185" s="22">
        <v>-0.28599999999999998</v>
      </c>
      <c r="I185" s="2" t="s">
        <v>55</v>
      </c>
      <c r="J185" s="2" t="s">
        <v>56</v>
      </c>
      <c r="K185" s="22">
        <v>16935750</v>
      </c>
      <c r="L185" s="2" t="s">
        <v>458</v>
      </c>
      <c r="M185" s="2" t="s">
        <v>173</v>
      </c>
      <c r="N185" s="2" t="s">
        <v>45</v>
      </c>
      <c r="O185" s="2" t="s">
        <v>4234</v>
      </c>
      <c r="P185" s="22">
        <v>0.01</v>
      </c>
      <c r="Q185" s="2" t="s">
        <v>4235</v>
      </c>
      <c r="R185" s="2" t="s">
        <v>225</v>
      </c>
      <c r="S185" s="2" t="s">
        <v>189</v>
      </c>
      <c r="T185" s="2" t="s">
        <v>49</v>
      </c>
      <c r="U185" s="2" t="s">
        <v>53</v>
      </c>
      <c r="V185" s="2" t="s">
        <v>1963</v>
      </c>
      <c r="W185" s="2" t="s">
        <v>54</v>
      </c>
    </row>
    <row r="186" spans="1:23" x14ac:dyDescent="0.2">
      <c r="A186" s="2" t="s">
        <v>180</v>
      </c>
      <c r="B186" s="2" t="s">
        <v>183</v>
      </c>
      <c r="C186" s="2" t="s">
        <v>57</v>
      </c>
      <c r="D186" s="2" t="s">
        <v>185</v>
      </c>
      <c r="E186" s="2" t="s">
        <v>3180</v>
      </c>
      <c r="F186" s="2" t="s">
        <v>3181</v>
      </c>
      <c r="G186" s="2" t="s">
        <v>3182</v>
      </c>
      <c r="H186" s="22">
        <v>0.08</v>
      </c>
      <c r="I186" s="2" t="s">
        <v>133</v>
      </c>
      <c r="J186" s="2" t="s">
        <v>56</v>
      </c>
      <c r="K186" s="22">
        <v>561810000</v>
      </c>
      <c r="L186" s="2" t="s">
        <v>52</v>
      </c>
      <c r="M186" s="2" t="s">
        <v>1770</v>
      </c>
      <c r="N186" s="2" t="s">
        <v>184</v>
      </c>
      <c r="O186" s="2" t="s">
        <v>4236</v>
      </c>
      <c r="P186" s="22">
        <v>0</v>
      </c>
      <c r="Q186" s="2" t="s">
        <v>4094</v>
      </c>
      <c r="R186" s="2" t="s">
        <v>225</v>
      </c>
      <c r="S186" s="2" t="s">
        <v>189</v>
      </c>
      <c r="T186" s="2" t="s">
        <v>115</v>
      </c>
      <c r="U186" s="2" t="s">
        <v>53</v>
      </c>
      <c r="V186" s="2" t="s">
        <v>3183</v>
      </c>
      <c r="W186" s="22">
        <v>-3.7999999999999999E-2</v>
      </c>
    </row>
    <row r="187" spans="1:23" x14ac:dyDescent="0.2">
      <c r="A187" s="2" t="s">
        <v>476</v>
      </c>
      <c r="B187" s="2" t="s">
        <v>479</v>
      </c>
      <c r="C187" s="2" t="s">
        <v>391</v>
      </c>
      <c r="D187" s="2" t="s">
        <v>45</v>
      </c>
      <c r="E187" s="2" t="s">
        <v>1964</v>
      </c>
      <c r="F187" s="2" t="s">
        <v>1965</v>
      </c>
      <c r="G187" s="2" t="s">
        <v>1966</v>
      </c>
      <c r="H187" s="2" t="s">
        <v>54</v>
      </c>
      <c r="I187" s="2" t="s">
        <v>55</v>
      </c>
      <c r="J187" s="2" t="s">
        <v>70</v>
      </c>
      <c r="K187" s="22">
        <v>451416000</v>
      </c>
      <c r="L187" s="2" t="s">
        <v>458</v>
      </c>
      <c r="M187" s="2" t="s">
        <v>173</v>
      </c>
      <c r="N187" s="2" t="s">
        <v>45</v>
      </c>
      <c r="O187" s="2" t="s">
        <v>4237</v>
      </c>
      <c r="P187" s="22">
        <v>0</v>
      </c>
      <c r="Q187" s="2" t="s">
        <v>4238</v>
      </c>
      <c r="R187" s="2" t="s">
        <v>225</v>
      </c>
      <c r="S187" s="2" t="s">
        <v>189</v>
      </c>
      <c r="T187" s="2" t="s">
        <v>49</v>
      </c>
      <c r="U187" s="2" t="s">
        <v>53</v>
      </c>
      <c r="V187" s="2" t="s">
        <v>1967</v>
      </c>
      <c r="W187" s="22">
        <v>-8.3000000000000004E-2</v>
      </c>
    </row>
    <row r="188" spans="1:23" x14ac:dyDescent="0.2">
      <c r="A188" s="2" t="s">
        <v>1359</v>
      </c>
      <c r="B188" s="2" t="s">
        <v>1362</v>
      </c>
      <c r="C188" s="2" t="s">
        <v>57</v>
      </c>
      <c r="D188" s="2" t="s">
        <v>199</v>
      </c>
      <c r="E188" s="2" t="s">
        <v>3228</v>
      </c>
      <c r="F188" s="2" t="s">
        <v>3229</v>
      </c>
      <c r="G188" s="2" t="s">
        <v>3230</v>
      </c>
      <c r="H188" s="22">
        <v>0.76500000000000001</v>
      </c>
      <c r="I188" s="2" t="s">
        <v>117</v>
      </c>
      <c r="J188" s="2" t="s">
        <v>56</v>
      </c>
      <c r="K188" s="22">
        <v>842332500</v>
      </c>
      <c r="L188" s="2" t="s">
        <v>52</v>
      </c>
      <c r="M188" s="2" t="s">
        <v>3231</v>
      </c>
      <c r="N188" s="2" t="s">
        <v>199</v>
      </c>
      <c r="O188" s="2" t="s">
        <v>4239</v>
      </c>
      <c r="P188" s="22">
        <v>0.75</v>
      </c>
      <c r="Q188" s="2" t="s">
        <v>651</v>
      </c>
      <c r="R188" s="2" t="s">
        <v>225</v>
      </c>
      <c r="S188" s="2" t="s">
        <v>174</v>
      </c>
      <c r="T188" s="2" t="s">
        <v>115</v>
      </c>
      <c r="U188" s="2" t="s">
        <v>53</v>
      </c>
      <c r="V188" s="2" t="s">
        <v>3232</v>
      </c>
      <c r="W188" s="22">
        <v>0.66</v>
      </c>
    </row>
    <row r="189" spans="1:23" x14ac:dyDescent="0.2">
      <c r="A189" s="2" t="s">
        <v>670</v>
      </c>
      <c r="B189" s="2" t="s">
        <v>673</v>
      </c>
      <c r="C189" s="2" t="s">
        <v>57</v>
      </c>
      <c r="D189" s="2" t="s">
        <v>184</v>
      </c>
      <c r="E189" s="2" t="s">
        <v>2374</v>
      </c>
      <c r="F189" s="2" t="s">
        <v>2375</v>
      </c>
      <c r="G189" s="2" t="s">
        <v>2376</v>
      </c>
      <c r="H189" s="22">
        <v>1.3800000000000001</v>
      </c>
      <c r="I189" s="2" t="s">
        <v>420</v>
      </c>
      <c r="J189" s="2" t="s">
        <v>56</v>
      </c>
      <c r="K189" s="22">
        <v>671616000</v>
      </c>
      <c r="L189" s="2" t="s">
        <v>52</v>
      </c>
      <c r="M189" s="2" t="s">
        <v>1770</v>
      </c>
      <c r="N189" s="2" t="s">
        <v>184</v>
      </c>
      <c r="O189" s="2" t="s">
        <v>4240</v>
      </c>
      <c r="P189" s="22">
        <v>1.375</v>
      </c>
      <c r="Q189" s="2" t="s">
        <v>4241</v>
      </c>
      <c r="R189" s="2" t="s">
        <v>173</v>
      </c>
      <c r="S189" s="2" t="s">
        <v>189</v>
      </c>
      <c r="T189" s="2" t="s">
        <v>115</v>
      </c>
      <c r="U189" s="2" t="s">
        <v>53</v>
      </c>
      <c r="V189" s="2" t="s">
        <v>2377</v>
      </c>
      <c r="W189" s="22">
        <v>1.306</v>
      </c>
    </row>
    <row r="190" spans="1:23" x14ac:dyDescent="0.2">
      <c r="A190" s="2" t="s">
        <v>344</v>
      </c>
      <c r="B190" s="2" t="s">
        <v>347</v>
      </c>
      <c r="C190" s="2" t="s">
        <v>71</v>
      </c>
      <c r="D190" s="2" t="s">
        <v>185</v>
      </c>
      <c r="E190" s="2" t="s">
        <v>2311</v>
      </c>
      <c r="F190" s="2" t="s">
        <v>2312</v>
      </c>
      <c r="G190" s="2" t="s">
        <v>2313</v>
      </c>
      <c r="H190" s="22">
        <v>5.625</v>
      </c>
      <c r="I190" s="2" t="s">
        <v>55</v>
      </c>
      <c r="J190" s="2" t="s">
        <v>56</v>
      </c>
      <c r="K190" s="22">
        <v>325000000</v>
      </c>
      <c r="L190" s="2" t="s">
        <v>52</v>
      </c>
      <c r="M190" s="2" t="s">
        <v>1775</v>
      </c>
      <c r="N190" s="2" t="s">
        <v>184</v>
      </c>
      <c r="O190" s="2" t="s">
        <v>4242</v>
      </c>
      <c r="P190" s="22">
        <v>5.625</v>
      </c>
      <c r="Q190" s="2" t="s">
        <v>504</v>
      </c>
      <c r="R190" s="2" t="s">
        <v>261</v>
      </c>
      <c r="S190" s="2" t="s">
        <v>350</v>
      </c>
      <c r="T190" s="2" t="s">
        <v>115</v>
      </c>
      <c r="U190" s="2" t="s">
        <v>262</v>
      </c>
      <c r="V190" s="2" t="s">
        <v>2314</v>
      </c>
      <c r="W190" s="22">
        <v>5.702</v>
      </c>
    </row>
    <row r="191" spans="1:23" x14ac:dyDescent="0.2">
      <c r="A191" s="2" t="s">
        <v>344</v>
      </c>
      <c r="B191" s="2" t="s">
        <v>347</v>
      </c>
      <c r="C191" s="2" t="s">
        <v>71</v>
      </c>
      <c r="D191" s="2" t="s">
        <v>185</v>
      </c>
      <c r="E191" s="2" t="s">
        <v>2315</v>
      </c>
      <c r="F191" s="2" t="s">
        <v>2316</v>
      </c>
      <c r="G191" s="2" t="s">
        <v>2317</v>
      </c>
      <c r="H191" s="22">
        <v>5.625</v>
      </c>
      <c r="I191" s="2" t="s">
        <v>55</v>
      </c>
      <c r="J191" s="2" t="s">
        <v>56</v>
      </c>
      <c r="K191" s="22">
        <v>325000000</v>
      </c>
      <c r="L191" s="2" t="s">
        <v>52</v>
      </c>
      <c r="M191" s="2" t="s">
        <v>1775</v>
      </c>
      <c r="N191" s="2" t="s">
        <v>184</v>
      </c>
      <c r="O191" s="2" t="s">
        <v>4242</v>
      </c>
      <c r="P191" s="22">
        <v>5.625</v>
      </c>
      <c r="Q191" s="2" t="s">
        <v>504</v>
      </c>
      <c r="R191" s="2" t="s">
        <v>270</v>
      </c>
      <c r="S191" s="2" t="s">
        <v>350</v>
      </c>
      <c r="T191" s="2" t="s">
        <v>115</v>
      </c>
      <c r="U191" s="2" t="s">
        <v>262</v>
      </c>
      <c r="V191" s="2" t="s">
        <v>2318</v>
      </c>
      <c r="W191" s="22">
        <v>5.6520000000000001</v>
      </c>
    </row>
    <row r="192" spans="1:23" x14ac:dyDescent="0.2">
      <c r="A192" s="2" t="s">
        <v>1261</v>
      </c>
      <c r="B192" s="2" t="s">
        <v>1264</v>
      </c>
      <c r="C192" s="2" t="s">
        <v>71</v>
      </c>
      <c r="D192" s="2" t="s">
        <v>407</v>
      </c>
      <c r="E192" s="2" t="s">
        <v>2593</v>
      </c>
      <c r="F192" s="2" t="s">
        <v>2594</v>
      </c>
      <c r="G192" s="2" t="s">
        <v>2595</v>
      </c>
      <c r="H192" s="2" t="s">
        <v>54</v>
      </c>
      <c r="I192" s="2" t="s">
        <v>55</v>
      </c>
      <c r="J192" s="2" t="s">
        <v>56</v>
      </c>
      <c r="K192" s="22">
        <v>562090000</v>
      </c>
      <c r="L192" s="2" t="s">
        <v>118</v>
      </c>
      <c r="M192" s="2" t="s">
        <v>173</v>
      </c>
      <c r="N192" s="2" t="s">
        <v>407</v>
      </c>
      <c r="O192" s="2" t="s">
        <v>4243</v>
      </c>
      <c r="P192" s="22">
        <v>2.75</v>
      </c>
      <c r="Q192" s="2" t="s">
        <v>4244</v>
      </c>
      <c r="R192" s="2" t="s">
        <v>173</v>
      </c>
      <c r="S192" s="2" t="s">
        <v>54</v>
      </c>
      <c r="T192" s="2" t="s">
        <v>49</v>
      </c>
      <c r="U192" s="2" t="s">
        <v>53</v>
      </c>
      <c r="V192" s="2" t="s">
        <v>2596</v>
      </c>
      <c r="W192" s="22">
        <v>2.7450000000000001</v>
      </c>
    </row>
    <row r="193" spans="1:23" x14ac:dyDescent="0.2">
      <c r="A193" s="2" t="s">
        <v>476</v>
      </c>
      <c r="B193" s="2" t="s">
        <v>479</v>
      </c>
      <c r="C193" s="2" t="s">
        <v>57</v>
      </c>
      <c r="D193" s="2" t="s">
        <v>45</v>
      </c>
      <c r="E193" s="2" t="s">
        <v>1968</v>
      </c>
      <c r="F193" s="2" t="s">
        <v>1969</v>
      </c>
      <c r="G193" s="2" t="s">
        <v>1970</v>
      </c>
      <c r="H193" s="2" t="s">
        <v>54</v>
      </c>
      <c r="I193" s="2" t="s">
        <v>55</v>
      </c>
      <c r="J193" s="2" t="s">
        <v>56</v>
      </c>
      <c r="K193" s="22">
        <v>11438600</v>
      </c>
      <c r="L193" s="2" t="s">
        <v>458</v>
      </c>
      <c r="M193" s="2" t="s">
        <v>1770</v>
      </c>
      <c r="N193" s="2" t="s">
        <v>45</v>
      </c>
      <c r="O193" s="2" t="s">
        <v>4245</v>
      </c>
      <c r="P193" s="22">
        <v>0.89500000000000002</v>
      </c>
      <c r="Q193" s="2" t="s">
        <v>4246</v>
      </c>
      <c r="R193" s="2" t="s">
        <v>225</v>
      </c>
      <c r="S193" s="2" t="s">
        <v>189</v>
      </c>
      <c r="T193" s="2" t="s">
        <v>115</v>
      </c>
      <c r="U193" s="2" t="s">
        <v>53</v>
      </c>
      <c r="V193" s="2" t="s">
        <v>1971</v>
      </c>
      <c r="W193" s="22">
        <v>0.88200000000000001</v>
      </c>
    </row>
    <row r="194" spans="1:23" x14ac:dyDescent="0.2">
      <c r="A194" s="2" t="s">
        <v>1075</v>
      </c>
      <c r="B194" s="2" t="s">
        <v>1078</v>
      </c>
      <c r="C194" s="2" t="s">
        <v>71</v>
      </c>
      <c r="D194" s="2" t="s">
        <v>184</v>
      </c>
      <c r="E194" s="2" t="s">
        <v>2574</v>
      </c>
      <c r="F194" s="2" t="s">
        <v>2575</v>
      </c>
      <c r="G194" s="2" t="s">
        <v>2576</v>
      </c>
      <c r="H194" s="22">
        <v>3.75</v>
      </c>
      <c r="I194" s="2" t="s">
        <v>884</v>
      </c>
      <c r="J194" s="2" t="s">
        <v>56</v>
      </c>
      <c r="K194" s="22">
        <v>825398000</v>
      </c>
      <c r="L194" s="2" t="s">
        <v>52</v>
      </c>
      <c r="M194" s="2" t="s">
        <v>1775</v>
      </c>
      <c r="N194" s="2" t="s">
        <v>184</v>
      </c>
      <c r="O194" s="2" t="s">
        <v>4247</v>
      </c>
      <c r="P194" s="22">
        <v>3.75</v>
      </c>
      <c r="Q194" s="2" t="s">
        <v>504</v>
      </c>
      <c r="R194" s="2" t="s">
        <v>173</v>
      </c>
      <c r="S194" s="2" t="s">
        <v>884</v>
      </c>
      <c r="T194" s="2" t="s">
        <v>115</v>
      </c>
      <c r="U194" s="2" t="s">
        <v>53</v>
      </c>
      <c r="V194" s="2" t="s">
        <v>2577</v>
      </c>
      <c r="W194" s="22">
        <v>3.6909999999999998</v>
      </c>
    </row>
    <row r="195" spans="1:23" x14ac:dyDescent="0.2">
      <c r="A195" s="2" t="s">
        <v>774</v>
      </c>
      <c r="B195" s="2" t="s">
        <v>777</v>
      </c>
      <c r="C195" s="2" t="s">
        <v>57</v>
      </c>
      <c r="D195" s="2" t="s">
        <v>199</v>
      </c>
      <c r="E195" s="2" t="s">
        <v>1777</v>
      </c>
      <c r="F195" s="2" t="s">
        <v>1778</v>
      </c>
      <c r="G195" s="2" t="s">
        <v>1779</v>
      </c>
      <c r="H195" s="2" t="s">
        <v>54</v>
      </c>
      <c r="I195" s="2" t="s">
        <v>55</v>
      </c>
      <c r="J195" s="2" t="s">
        <v>56</v>
      </c>
      <c r="K195" s="22">
        <v>587530000</v>
      </c>
      <c r="L195" s="2" t="s">
        <v>52</v>
      </c>
      <c r="M195" s="2" t="s">
        <v>1775</v>
      </c>
      <c r="N195" s="2" t="s">
        <v>199</v>
      </c>
      <c r="O195" s="2" t="s">
        <v>4248</v>
      </c>
      <c r="P195" s="22">
        <v>0.625</v>
      </c>
      <c r="Q195" s="2" t="s">
        <v>4249</v>
      </c>
      <c r="R195" s="2" t="s">
        <v>225</v>
      </c>
      <c r="S195" s="2" t="s">
        <v>174</v>
      </c>
      <c r="T195" s="2" t="s">
        <v>115</v>
      </c>
      <c r="U195" s="2" t="s">
        <v>53</v>
      </c>
      <c r="V195" s="2" t="s">
        <v>1780</v>
      </c>
      <c r="W195" s="22">
        <v>0.60899999999999999</v>
      </c>
    </row>
    <row r="196" spans="1:23" x14ac:dyDescent="0.2">
      <c r="A196" s="2" t="s">
        <v>476</v>
      </c>
      <c r="B196" s="2" t="s">
        <v>479</v>
      </c>
      <c r="C196" s="2" t="s">
        <v>57</v>
      </c>
      <c r="D196" s="2" t="s">
        <v>45</v>
      </c>
      <c r="E196" s="2" t="s">
        <v>1972</v>
      </c>
      <c r="F196" s="2" t="s">
        <v>1973</v>
      </c>
      <c r="G196" s="2" t="s">
        <v>1974</v>
      </c>
      <c r="H196" s="2" t="s">
        <v>54</v>
      </c>
      <c r="I196" s="2" t="s">
        <v>55</v>
      </c>
      <c r="J196" s="2" t="s">
        <v>56</v>
      </c>
      <c r="K196" s="22">
        <v>7577635</v>
      </c>
      <c r="L196" s="2" t="s">
        <v>482</v>
      </c>
      <c r="M196" s="2" t="s">
        <v>173</v>
      </c>
      <c r="N196" s="2" t="s">
        <v>45</v>
      </c>
      <c r="O196" s="2" t="s">
        <v>4250</v>
      </c>
      <c r="P196" s="22">
        <v>0.44</v>
      </c>
      <c r="Q196" s="2" t="s">
        <v>4251</v>
      </c>
      <c r="R196" s="2" t="s">
        <v>225</v>
      </c>
      <c r="S196" s="2" t="s">
        <v>483</v>
      </c>
      <c r="T196" s="2" t="s">
        <v>115</v>
      </c>
      <c r="U196" s="2" t="s">
        <v>53</v>
      </c>
      <c r="V196" s="2" t="s">
        <v>1975</v>
      </c>
      <c r="W196" s="2" t="s">
        <v>54</v>
      </c>
    </row>
    <row r="197" spans="1:23" x14ac:dyDescent="0.2">
      <c r="A197" s="2" t="s">
        <v>1559</v>
      </c>
      <c r="B197" s="2" t="s">
        <v>1562</v>
      </c>
      <c r="C197" s="2" t="s">
        <v>71</v>
      </c>
      <c r="D197" s="2" t="s">
        <v>257</v>
      </c>
      <c r="E197" s="2" t="s">
        <v>2747</v>
      </c>
      <c r="F197" s="2" t="s">
        <v>2748</v>
      </c>
      <c r="G197" s="2" t="s">
        <v>2749</v>
      </c>
      <c r="H197" s="22">
        <v>2.2349999999999999</v>
      </c>
      <c r="I197" s="2" t="s">
        <v>55</v>
      </c>
      <c r="J197" s="2" t="s">
        <v>56</v>
      </c>
      <c r="K197" s="22">
        <v>500000000</v>
      </c>
      <c r="L197" s="2" t="s">
        <v>52</v>
      </c>
      <c r="M197" s="2" t="s">
        <v>1775</v>
      </c>
      <c r="N197" s="2" t="s">
        <v>366</v>
      </c>
      <c r="O197" s="2" t="s">
        <v>171</v>
      </c>
      <c r="P197" s="22">
        <v>2.2000000000000002</v>
      </c>
      <c r="Q197" s="2" t="s">
        <v>4252</v>
      </c>
      <c r="R197" s="2" t="s">
        <v>261</v>
      </c>
      <c r="S197" s="2" t="s">
        <v>174</v>
      </c>
      <c r="T197" s="2" t="s">
        <v>115</v>
      </c>
      <c r="U197" s="2" t="s">
        <v>262</v>
      </c>
      <c r="V197" s="2" t="s">
        <v>2750</v>
      </c>
      <c r="W197" s="2" t="s">
        <v>54</v>
      </c>
    </row>
    <row r="198" spans="1:23" x14ac:dyDescent="0.2">
      <c r="A198" s="2" t="s">
        <v>1559</v>
      </c>
      <c r="B198" s="2" t="s">
        <v>1562</v>
      </c>
      <c r="C198" s="2" t="s">
        <v>71</v>
      </c>
      <c r="D198" s="2" t="s">
        <v>257</v>
      </c>
      <c r="E198" s="2" t="s">
        <v>2751</v>
      </c>
      <c r="F198" s="2" t="s">
        <v>2752</v>
      </c>
      <c r="G198" s="2" t="s">
        <v>2753</v>
      </c>
      <c r="H198" s="22">
        <v>2.2349999999999999</v>
      </c>
      <c r="I198" s="2" t="s">
        <v>55</v>
      </c>
      <c r="J198" s="2" t="s">
        <v>56</v>
      </c>
      <c r="K198" s="22">
        <v>500000000</v>
      </c>
      <c r="L198" s="2" t="s">
        <v>52</v>
      </c>
      <c r="M198" s="2" t="s">
        <v>1775</v>
      </c>
      <c r="N198" s="2" t="s">
        <v>366</v>
      </c>
      <c r="O198" s="2" t="s">
        <v>171</v>
      </c>
      <c r="P198" s="22">
        <v>2.2000000000000002</v>
      </c>
      <c r="Q198" s="2" t="s">
        <v>4252</v>
      </c>
      <c r="R198" s="2" t="s">
        <v>270</v>
      </c>
      <c r="S198" s="2" t="s">
        <v>174</v>
      </c>
      <c r="T198" s="2" t="s">
        <v>115</v>
      </c>
      <c r="U198" s="2" t="s">
        <v>262</v>
      </c>
      <c r="V198" s="2" t="s">
        <v>2754</v>
      </c>
      <c r="W198" s="2" t="s">
        <v>54</v>
      </c>
    </row>
    <row r="199" spans="1:23" x14ac:dyDescent="0.2">
      <c r="A199" s="2" t="s">
        <v>979</v>
      </c>
      <c r="B199" s="2" t="s">
        <v>982</v>
      </c>
      <c r="C199" s="2" t="s">
        <v>57</v>
      </c>
      <c r="D199" s="2" t="s">
        <v>199</v>
      </c>
      <c r="E199" s="2" t="s">
        <v>2618</v>
      </c>
      <c r="F199" s="2" t="s">
        <v>2619</v>
      </c>
      <c r="G199" s="2" t="s">
        <v>2620</v>
      </c>
      <c r="H199" s="2" t="s">
        <v>54</v>
      </c>
      <c r="I199" s="2" t="s">
        <v>55</v>
      </c>
      <c r="J199" s="2" t="s">
        <v>56</v>
      </c>
      <c r="K199" s="22">
        <v>607315000</v>
      </c>
      <c r="L199" s="2" t="s">
        <v>52</v>
      </c>
      <c r="M199" s="2" t="s">
        <v>1770</v>
      </c>
      <c r="N199" s="2" t="s">
        <v>199</v>
      </c>
      <c r="O199" s="2" t="s">
        <v>4253</v>
      </c>
      <c r="P199" s="22">
        <v>0.25</v>
      </c>
      <c r="Q199" s="2" t="s">
        <v>4254</v>
      </c>
      <c r="R199" s="2" t="s">
        <v>225</v>
      </c>
      <c r="S199" s="2" t="s">
        <v>174</v>
      </c>
      <c r="T199" s="2" t="s">
        <v>115</v>
      </c>
      <c r="U199" s="2" t="s">
        <v>53</v>
      </c>
      <c r="V199" s="2" t="s">
        <v>2621</v>
      </c>
      <c r="W199" s="22">
        <v>0.27200000000000002</v>
      </c>
    </row>
    <row r="200" spans="1:23" x14ac:dyDescent="0.2">
      <c r="A200" s="2" t="s">
        <v>1157</v>
      </c>
      <c r="B200" s="2" t="s">
        <v>1160</v>
      </c>
      <c r="C200" s="2" t="s">
        <v>57</v>
      </c>
      <c r="D200" s="2" t="s">
        <v>184</v>
      </c>
      <c r="E200" s="2" t="s">
        <v>1798</v>
      </c>
      <c r="F200" s="2" t="s">
        <v>1799</v>
      </c>
      <c r="G200" s="2" t="s">
        <v>1800</v>
      </c>
      <c r="H200" s="2" t="s">
        <v>54</v>
      </c>
      <c r="I200" s="2" t="s">
        <v>117</v>
      </c>
      <c r="J200" s="2" t="s">
        <v>56</v>
      </c>
      <c r="K200" s="22">
        <v>606654945.01300001</v>
      </c>
      <c r="L200" s="2" t="s">
        <v>52</v>
      </c>
      <c r="M200" s="2" t="s">
        <v>1770</v>
      </c>
      <c r="N200" s="2" t="s">
        <v>184</v>
      </c>
      <c r="O200" s="2" t="s">
        <v>235</v>
      </c>
      <c r="P200" s="22">
        <v>0.7</v>
      </c>
      <c r="Q200" s="2" t="s">
        <v>236</v>
      </c>
      <c r="R200" s="2" t="s">
        <v>173</v>
      </c>
      <c r="S200" s="2" t="s">
        <v>54</v>
      </c>
      <c r="T200" s="2" t="s">
        <v>188</v>
      </c>
      <c r="U200" s="2" t="s">
        <v>53</v>
      </c>
      <c r="V200" s="2" t="s">
        <v>1801</v>
      </c>
      <c r="W200" s="22">
        <v>-1.0629999999999999</v>
      </c>
    </row>
    <row r="201" spans="1:23" x14ac:dyDescent="0.2">
      <c r="A201" s="2" t="s">
        <v>1359</v>
      </c>
      <c r="B201" s="2" t="s">
        <v>1362</v>
      </c>
      <c r="C201" s="2" t="s">
        <v>57</v>
      </c>
      <c r="D201" s="2" t="s">
        <v>199</v>
      </c>
      <c r="E201" s="2" t="s">
        <v>3233</v>
      </c>
      <c r="F201" s="2" t="s">
        <v>3234</v>
      </c>
      <c r="G201" s="2" t="s">
        <v>3235</v>
      </c>
      <c r="H201" s="2" t="s">
        <v>54</v>
      </c>
      <c r="I201" s="2" t="s">
        <v>117</v>
      </c>
      <c r="J201" s="2" t="s">
        <v>56</v>
      </c>
      <c r="K201" s="22">
        <v>727986000</v>
      </c>
      <c r="L201" s="2" t="s">
        <v>52</v>
      </c>
      <c r="M201" s="2" t="s">
        <v>1775</v>
      </c>
      <c r="N201" s="2" t="s">
        <v>199</v>
      </c>
      <c r="O201" s="2" t="s">
        <v>235</v>
      </c>
      <c r="P201" s="22">
        <v>0</v>
      </c>
      <c r="Q201" s="2" t="s">
        <v>242</v>
      </c>
      <c r="R201" s="2" t="s">
        <v>225</v>
      </c>
      <c r="S201" s="2" t="s">
        <v>174</v>
      </c>
      <c r="T201" s="2" t="s">
        <v>115</v>
      </c>
      <c r="U201" s="2" t="s">
        <v>53</v>
      </c>
      <c r="V201" s="2" t="s">
        <v>3236</v>
      </c>
      <c r="W201" s="22">
        <v>2.9000000000000001E-2</v>
      </c>
    </row>
    <row r="202" spans="1:23" x14ac:dyDescent="0.2">
      <c r="A202" s="2" t="s">
        <v>1550</v>
      </c>
      <c r="B202" s="2" t="s">
        <v>1553</v>
      </c>
      <c r="C202" s="2" t="s">
        <v>57</v>
      </c>
      <c r="D202" s="2" t="s">
        <v>1554</v>
      </c>
      <c r="E202" s="2" t="s">
        <v>2246</v>
      </c>
      <c r="F202" s="2" t="s">
        <v>2247</v>
      </c>
      <c r="G202" s="2" t="s">
        <v>2248</v>
      </c>
      <c r="H202" s="2" t="s">
        <v>54</v>
      </c>
      <c r="I202" s="2" t="s">
        <v>55</v>
      </c>
      <c r="J202" s="2" t="s">
        <v>56</v>
      </c>
      <c r="K202" s="22">
        <v>60362000</v>
      </c>
      <c r="L202" s="2" t="s">
        <v>52</v>
      </c>
      <c r="M202" s="2" t="s">
        <v>1775</v>
      </c>
      <c r="N202" s="2" t="s">
        <v>1554</v>
      </c>
      <c r="O202" s="2" t="s">
        <v>200</v>
      </c>
      <c r="P202" s="22">
        <v>4</v>
      </c>
      <c r="Q202" s="2" t="s">
        <v>4255</v>
      </c>
      <c r="R202" s="2" t="s">
        <v>173</v>
      </c>
      <c r="S202" s="2" t="s">
        <v>54</v>
      </c>
      <c r="T202" s="2" t="s">
        <v>115</v>
      </c>
      <c r="U202" s="2" t="s">
        <v>53</v>
      </c>
      <c r="V202" s="2" t="s">
        <v>2249</v>
      </c>
      <c r="W202" s="2" t="s">
        <v>54</v>
      </c>
    </row>
    <row r="203" spans="1:23" x14ac:dyDescent="0.2">
      <c r="A203" s="2" t="s">
        <v>1413</v>
      </c>
      <c r="B203" s="2" t="s">
        <v>1416</v>
      </c>
      <c r="C203" s="2" t="s">
        <v>57</v>
      </c>
      <c r="D203" s="2" t="s">
        <v>199</v>
      </c>
      <c r="E203" s="2" t="s">
        <v>3465</v>
      </c>
      <c r="F203" s="2" t="s">
        <v>3466</v>
      </c>
      <c r="G203" s="2" t="s">
        <v>3467</v>
      </c>
      <c r="H203" s="2" t="s">
        <v>54</v>
      </c>
      <c r="I203" s="2" t="s">
        <v>55</v>
      </c>
      <c r="J203" s="2" t="s">
        <v>56</v>
      </c>
      <c r="K203" s="22">
        <v>912075000</v>
      </c>
      <c r="L203" s="2" t="s">
        <v>52</v>
      </c>
      <c r="M203" s="2" t="s">
        <v>1775</v>
      </c>
      <c r="N203" s="2" t="s">
        <v>199</v>
      </c>
      <c r="O203" s="2" t="s">
        <v>4256</v>
      </c>
      <c r="P203" s="22">
        <v>5.875</v>
      </c>
      <c r="Q203" s="2" t="s">
        <v>4257</v>
      </c>
      <c r="R203" s="2" t="s">
        <v>173</v>
      </c>
      <c r="S203" s="2" t="s">
        <v>296</v>
      </c>
      <c r="T203" s="2" t="s">
        <v>115</v>
      </c>
      <c r="U203" s="2" t="s">
        <v>53</v>
      </c>
      <c r="V203" s="2" t="s">
        <v>3468</v>
      </c>
      <c r="W203" s="22">
        <v>5.4269999999999996</v>
      </c>
    </row>
    <row r="204" spans="1:23" x14ac:dyDescent="0.2">
      <c r="A204" s="2" t="s">
        <v>528</v>
      </c>
      <c r="B204" s="2" t="s">
        <v>531</v>
      </c>
      <c r="C204" s="2" t="s">
        <v>57</v>
      </c>
      <c r="D204" s="2" t="s">
        <v>257</v>
      </c>
      <c r="E204" s="2" t="s">
        <v>3418</v>
      </c>
      <c r="F204" s="2" t="s">
        <v>3419</v>
      </c>
      <c r="G204" s="2" t="s">
        <v>3420</v>
      </c>
      <c r="H204" s="2" t="s">
        <v>54</v>
      </c>
      <c r="I204" s="2" t="s">
        <v>55</v>
      </c>
      <c r="J204" s="2" t="s">
        <v>56</v>
      </c>
      <c r="K204" s="22">
        <v>26972660</v>
      </c>
      <c r="L204" s="2" t="s">
        <v>52</v>
      </c>
      <c r="M204" s="2" t="s">
        <v>1770</v>
      </c>
      <c r="N204" s="2" t="s">
        <v>257</v>
      </c>
      <c r="O204" s="2" t="s">
        <v>4258</v>
      </c>
      <c r="P204" s="22">
        <v>3</v>
      </c>
      <c r="Q204" s="2" t="s">
        <v>4259</v>
      </c>
      <c r="R204" s="2" t="s">
        <v>173</v>
      </c>
      <c r="S204" s="2" t="s">
        <v>54</v>
      </c>
      <c r="T204" s="2" t="s">
        <v>49</v>
      </c>
      <c r="U204" s="2" t="s">
        <v>53</v>
      </c>
      <c r="V204" s="2" t="s">
        <v>3421</v>
      </c>
      <c r="W204" s="2" t="s">
        <v>54</v>
      </c>
    </row>
    <row r="205" spans="1:23" x14ac:dyDescent="0.2">
      <c r="A205" s="2" t="s">
        <v>476</v>
      </c>
      <c r="B205" s="2" t="s">
        <v>479</v>
      </c>
      <c r="C205" s="2" t="s">
        <v>391</v>
      </c>
      <c r="D205" s="2" t="s">
        <v>45</v>
      </c>
      <c r="E205" s="2" t="s">
        <v>1976</v>
      </c>
      <c r="F205" s="2" t="s">
        <v>1977</v>
      </c>
      <c r="G205" s="2" t="s">
        <v>1978</v>
      </c>
      <c r="H205" s="2" t="s">
        <v>54</v>
      </c>
      <c r="I205" s="2" t="s">
        <v>55</v>
      </c>
      <c r="J205" s="2" t="s">
        <v>70</v>
      </c>
      <c r="K205" s="22">
        <v>700338400</v>
      </c>
      <c r="L205" s="2" t="s">
        <v>458</v>
      </c>
      <c r="M205" s="2" t="s">
        <v>1770</v>
      </c>
      <c r="N205" s="2" t="s">
        <v>45</v>
      </c>
      <c r="O205" s="2" t="s">
        <v>4260</v>
      </c>
      <c r="P205" s="22">
        <v>-0.40499999999999997</v>
      </c>
      <c r="Q205" s="2" t="s">
        <v>4261</v>
      </c>
      <c r="R205" s="2" t="s">
        <v>225</v>
      </c>
      <c r="S205" s="2" t="s">
        <v>189</v>
      </c>
      <c r="T205" s="2" t="s">
        <v>49</v>
      </c>
      <c r="U205" s="2" t="s">
        <v>53</v>
      </c>
      <c r="V205" s="2" t="s">
        <v>1979</v>
      </c>
      <c r="W205" s="22">
        <v>8.9999999999999993E-3</v>
      </c>
    </row>
    <row r="206" spans="1:23" x14ac:dyDescent="0.2">
      <c r="A206" s="2" t="s">
        <v>165</v>
      </c>
      <c r="B206" s="2" t="s">
        <v>168</v>
      </c>
      <c r="C206" s="2" t="s">
        <v>57</v>
      </c>
      <c r="D206" s="2" t="s">
        <v>170</v>
      </c>
      <c r="E206" s="2" t="s">
        <v>2642</v>
      </c>
      <c r="F206" s="2" t="s">
        <v>2643</v>
      </c>
      <c r="G206" s="2" t="s">
        <v>2644</v>
      </c>
      <c r="H206" s="2" t="s">
        <v>54</v>
      </c>
      <c r="I206" s="2" t="s">
        <v>55</v>
      </c>
      <c r="J206" s="2" t="s">
        <v>56</v>
      </c>
      <c r="K206" s="22">
        <v>606065000</v>
      </c>
      <c r="L206" s="2" t="s">
        <v>52</v>
      </c>
      <c r="M206" s="2" t="s">
        <v>1770</v>
      </c>
      <c r="N206" s="2" t="s">
        <v>169</v>
      </c>
      <c r="O206" s="2" t="s">
        <v>4262</v>
      </c>
      <c r="P206" s="22">
        <v>0.125</v>
      </c>
      <c r="Q206" s="2" t="s">
        <v>4263</v>
      </c>
      <c r="R206" s="2" t="s">
        <v>225</v>
      </c>
      <c r="S206" s="2" t="s">
        <v>174</v>
      </c>
      <c r="T206" s="2" t="s">
        <v>115</v>
      </c>
      <c r="U206" s="2" t="s">
        <v>53</v>
      </c>
      <c r="V206" s="2" t="s">
        <v>2645</v>
      </c>
      <c r="W206" s="22">
        <v>0.14499999999999999</v>
      </c>
    </row>
    <row r="207" spans="1:23" x14ac:dyDescent="0.2">
      <c r="A207" s="2" t="s">
        <v>165</v>
      </c>
      <c r="B207" s="2" t="s">
        <v>168</v>
      </c>
      <c r="C207" s="2" t="s">
        <v>57</v>
      </c>
      <c r="D207" s="2" t="s">
        <v>170</v>
      </c>
      <c r="E207" s="2" t="s">
        <v>2646</v>
      </c>
      <c r="F207" s="2" t="s">
        <v>2647</v>
      </c>
      <c r="G207" s="2" t="s">
        <v>2648</v>
      </c>
      <c r="H207" s="2" t="s">
        <v>54</v>
      </c>
      <c r="I207" s="2" t="s">
        <v>55</v>
      </c>
      <c r="J207" s="2" t="s">
        <v>56</v>
      </c>
      <c r="K207" s="22">
        <v>787884500</v>
      </c>
      <c r="L207" s="2" t="s">
        <v>52</v>
      </c>
      <c r="M207" s="2" t="s">
        <v>1770</v>
      </c>
      <c r="N207" s="2" t="s">
        <v>169</v>
      </c>
      <c r="O207" s="2" t="s">
        <v>4262</v>
      </c>
      <c r="P207" s="22">
        <v>0.625</v>
      </c>
      <c r="Q207" s="2" t="s">
        <v>4264</v>
      </c>
      <c r="R207" s="2" t="s">
        <v>225</v>
      </c>
      <c r="S207" s="2" t="s">
        <v>174</v>
      </c>
      <c r="T207" s="2" t="s">
        <v>115</v>
      </c>
      <c r="U207" s="2" t="s">
        <v>53</v>
      </c>
      <c r="V207" s="2" t="s">
        <v>2649</v>
      </c>
      <c r="W207" s="22">
        <v>0.58099999999999996</v>
      </c>
    </row>
    <row r="208" spans="1:23" x14ac:dyDescent="0.2">
      <c r="A208" s="2" t="s">
        <v>476</v>
      </c>
      <c r="B208" s="2" t="s">
        <v>479</v>
      </c>
      <c r="C208" s="2" t="s">
        <v>57</v>
      </c>
      <c r="D208" s="2" t="s">
        <v>45</v>
      </c>
      <c r="E208" s="2" t="s">
        <v>1980</v>
      </c>
      <c r="F208" s="2" t="s">
        <v>1981</v>
      </c>
      <c r="G208" s="2" t="s">
        <v>1982</v>
      </c>
      <c r="H208" s="2" t="s">
        <v>54</v>
      </c>
      <c r="I208" s="2" t="s">
        <v>55</v>
      </c>
      <c r="J208" s="2" t="s">
        <v>56</v>
      </c>
      <c r="K208" s="22">
        <v>36320400</v>
      </c>
      <c r="L208" s="2" t="s">
        <v>482</v>
      </c>
      <c r="M208" s="2" t="s">
        <v>1770</v>
      </c>
      <c r="N208" s="2" t="s">
        <v>45</v>
      </c>
      <c r="O208" s="2" t="s">
        <v>294</v>
      </c>
      <c r="P208" s="22">
        <v>0.11</v>
      </c>
      <c r="Q208" s="2" t="s">
        <v>4265</v>
      </c>
      <c r="R208" s="2" t="s">
        <v>225</v>
      </c>
      <c r="S208" s="2" t="s">
        <v>483</v>
      </c>
      <c r="T208" s="2" t="s">
        <v>49</v>
      </c>
      <c r="U208" s="2" t="s">
        <v>53</v>
      </c>
      <c r="V208" s="2" t="s">
        <v>1983</v>
      </c>
      <c r="W208" s="2" t="s">
        <v>54</v>
      </c>
    </row>
    <row r="209" spans="1:23" x14ac:dyDescent="0.2">
      <c r="A209" s="2" t="s">
        <v>476</v>
      </c>
      <c r="B209" s="2" t="s">
        <v>479</v>
      </c>
      <c r="C209" s="2" t="s">
        <v>57</v>
      </c>
      <c r="D209" s="2" t="s">
        <v>45</v>
      </c>
      <c r="E209" s="2" t="s">
        <v>1984</v>
      </c>
      <c r="F209" s="2" t="s">
        <v>1985</v>
      </c>
      <c r="G209" s="2" t="s">
        <v>1986</v>
      </c>
      <c r="H209" s="2" t="s">
        <v>54</v>
      </c>
      <c r="I209" s="2" t="s">
        <v>55</v>
      </c>
      <c r="J209" s="2" t="s">
        <v>56</v>
      </c>
      <c r="K209" s="22">
        <v>36446100</v>
      </c>
      <c r="L209" s="2" t="s">
        <v>482</v>
      </c>
      <c r="M209" s="2" t="s">
        <v>1770</v>
      </c>
      <c r="N209" s="2" t="s">
        <v>45</v>
      </c>
      <c r="O209" s="2" t="s">
        <v>4266</v>
      </c>
      <c r="P209" s="22">
        <v>0.02</v>
      </c>
      <c r="Q209" s="2" t="s">
        <v>4267</v>
      </c>
      <c r="R209" s="2" t="s">
        <v>225</v>
      </c>
      <c r="S209" s="2" t="s">
        <v>483</v>
      </c>
      <c r="T209" s="2" t="s">
        <v>49</v>
      </c>
      <c r="U209" s="2" t="s">
        <v>53</v>
      </c>
      <c r="V209" s="2" t="s">
        <v>1987</v>
      </c>
      <c r="W209" s="2" t="s">
        <v>54</v>
      </c>
    </row>
    <row r="210" spans="1:23" x14ac:dyDescent="0.2">
      <c r="A210" s="2" t="s">
        <v>476</v>
      </c>
      <c r="B210" s="2" t="s">
        <v>479</v>
      </c>
      <c r="C210" s="2" t="s">
        <v>57</v>
      </c>
      <c r="D210" s="2" t="s">
        <v>45</v>
      </c>
      <c r="E210" s="2" t="s">
        <v>1988</v>
      </c>
      <c r="F210" s="2" t="s">
        <v>1989</v>
      </c>
      <c r="G210" s="2" t="s">
        <v>1990</v>
      </c>
      <c r="H210" s="2" t="s">
        <v>54</v>
      </c>
      <c r="I210" s="2" t="s">
        <v>55</v>
      </c>
      <c r="J210" s="2" t="s">
        <v>56</v>
      </c>
      <c r="K210" s="22">
        <v>605895000</v>
      </c>
      <c r="L210" s="2" t="s">
        <v>458</v>
      </c>
      <c r="M210" s="2" t="s">
        <v>1770</v>
      </c>
      <c r="N210" s="2" t="s">
        <v>45</v>
      </c>
      <c r="O210" s="2" t="s">
        <v>4268</v>
      </c>
      <c r="P210" s="22">
        <v>0.01</v>
      </c>
      <c r="Q210" s="2" t="s">
        <v>4269</v>
      </c>
      <c r="R210" s="2" t="s">
        <v>225</v>
      </c>
      <c r="S210" s="2" t="s">
        <v>189</v>
      </c>
      <c r="T210" s="2" t="s">
        <v>49</v>
      </c>
      <c r="U210" s="2" t="s">
        <v>53</v>
      </c>
      <c r="V210" s="2" t="s">
        <v>1991</v>
      </c>
      <c r="W210" s="22">
        <v>-0.22500000000000001</v>
      </c>
    </row>
    <row r="211" spans="1:23" x14ac:dyDescent="0.2">
      <c r="A211" s="2" t="s">
        <v>1335</v>
      </c>
      <c r="B211" s="2" t="s">
        <v>1338</v>
      </c>
      <c r="C211" s="2" t="s">
        <v>57</v>
      </c>
      <c r="D211" s="2" t="s">
        <v>1339</v>
      </c>
      <c r="E211" s="2" t="s">
        <v>2335</v>
      </c>
      <c r="F211" s="2" t="s">
        <v>2336</v>
      </c>
      <c r="G211" s="2" t="s">
        <v>2337</v>
      </c>
      <c r="H211" s="2" t="s">
        <v>54</v>
      </c>
      <c r="I211" s="2" t="s">
        <v>55</v>
      </c>
      <c r="J211" s="2" t="s">
        <v>56</v>
      </c>
      <c r="K211" s="22">
        <v>1030021500</v>
      </c>
      <c r="L211" s="2" t="s">
        <v>52</v>
      </c>
      <c r="M211" s="2" t="s">
        <v>1770</v>
      </c>
      <c r="N211" s="2" t="s">
        <v>169</v>
      </c>
      <c r="O211" s="2" t="s">
        <v>4268</v>
      </c>
      <c r="P211" s="22">
        <v>1.5</v>
      </c>
      <c r="Q211" s="2" t="s">
        <v>4269</v>
      </c>
      <c r="R211" s="2" t="s">
        <v>225</v>
      </c>
      <c r="S211" s="2" t="s">
        <v>174</v>
      </c>
      <c r="T211" s="2" t="s">
        <v>115</v>
      </c>
      <c r="U211" s="2" t="s">
        <v>53</v>
      </c>
      <c r="V211" s="2" t="s">
        <v>2338</v>
      </c>
      <c r="W211" s="22">
        <v>1.5720000000000001</v>
      </c>
    </row>
    <row r="212" spans="1:23" x14ac:dyDescent="0.2">
      <c r="A212" s="2" t="s">
        <v>476</v>
      </c>
      <c r="B212" s="2" t="s">
        <v>479</v>
      </c>
      <c r="C212" s="2" t="s">
        <v>57</v>
      </c>
      <c r="D212" s="2" t="s">
        <v>45</v>
      </c>
      <c r="E212" s="2" t="s">
        <v>1992</v>
      </c>
      <c r="F212" s="2" t="s">
        <v>1993</v>
      </c>
      <c r="G212" s="2" t="s">
        <v>1994</v>
      </c>
      <c r="H212" s="2" t="s">
        <v>54</v>
      </c>
      <c r="I212" s="2" t="s">
        <v>55</v>
      </c>
      <c r="J212" s="2" t="s">
        <v>56</v>
      </c>
      <c r="K212" s="22">
        <v>78813150</v>
      </c>
      <c r="L212" s="2" t="s">
        <v>482</v>
      </c>
      <c r="M212" s="2" t="s">
        <v>1770</v>
      </c>
      <c r="N212" s="2" t="s">
        <v>45</v>
      </c>
      <c r="O212" s="2" t="s">
        <v>4270</v>
      </c>
      <c r="P212" s="22">
        <v>0.01</v>
      </c>
      <c r="Q212" s="2" t="s">
        <v>4271</v>
      </c>
      <c r="R212" s="2" t="s">
        <v>225</v>
      </c>
      <c r="S212" s="2" t="s">
        <v>483</v>
      </c>
      <c r="T212" s="2" t="s">
        <v>49</v>
      </c>
      <c r="U212" s="2" t="s">
        <v>53</v>
      </c>
      <c r="V212" s="2" t="s">
        <v>1995</v>
      </c>
      <c r="W212" s="22">
        <v>-0.53500000000000003</v>
      </c>
    </row>
    <row r="213" spans="1:23" x14ac:dyDescent="0.2">
      <c r="A213" s="2" t="s">
        <v>476</v>
      </c>
      <c r="B213" s="2" t="s">
        <v>479</v>
      </c>
      <c r="C213" s="2" t="s">
        <v>57</v>
      </c>
      <c r="D213" s="2" t="s">
        <v>45</v>
      </c>
      <c r="E213" s="2" t="s">
        <v>1996</v>
      </c>
      <c r="F213" s="2" t="s">
        <v>1997</v>
      </c>
      <c r="G213" s="2" t="s">
        <v>1998</v>
      </c>
      <c r="H213" s="2" t="s">
        <v>54</v>
      </c>
      <c r="I213" s="2" t="s">
        <v>55</v>
      </c>
      <c r="J213" s="2" t="s">
        <v>56</v>
      </c>
      <c r="K213" s="22">
        <v>60691500</v>
      </c>
      <c r="L213" s="2" t="s">
        <v>482</v>
      </c>
      <c r="M213" s="2" t="s">
        <v>173</v>
      </c>
      <c r="N213" s="2" t="s">
        <v>45</v>
      </c>
      <c r="O213" s="2" t="s">
        <v>4272</v>
      </c>
      <c r="P213" s="22">
        <v>0.01</v>
      </c>
      <c r="Q213" s="2" t="s">
        <v>4172</v>
      </c>
      <c r="R213" s="2" t="s">
        <v>225</v>
      </c>
      <c r="S213" s="2" t="s">
        <v>483</v>
      </c>
      <c r="T213" s="2" t="s">
        <v>49</v>
      </c>
      <c r="U213" s="2" t="s">
        <v>53</v>
      </c>
      <c r="V213" s="2" t="s">
        <v>1999</v>
      </c>
      <c r="W213" s="2" t="s">
        <v>54</v>
      </c>
    </row>
    <row r="214" spans="1:23" x14ac:dyDescent="0.2">
      <c r="A214" s="2" t="s">
        <v>1359</v>
      </c>
      <c r="B214" s="2" t="s">
        <v>1362</v>
      </c>
      <c r="C214" s="2" t="s">
        <v>57</v>
      </c>
      <c r="D214" s="2" t="s">
        <v>199</v>
      </c>
      <c r="E214" s="2" t="s">
        <v>3237</v>
      </c>
      <c r="F214" s="2" t="s">
        <v>3238</v>
      </c>
      <c r="G214" s="2" t="s">
        <v>3239</v>
      </c>
      <c r="H214" s="2" t="s">
        <v>54</v>
      </c>
      <c r="I214" s="2" t="s">
        <v>117</v>
      </c>
      <c r="J214" s="2" t="s">
        <v>56</v>
      </c>
      <c r="K214" s="22">
        <v>606545000</v>
      </c>
      <c r="L214" s="2" t="s">
        <v>52</v>
      </c>
      <c r="M214" s="2" t="s">
        <v>1839</v>
      </c>
      <c r="N214" s="2" t="s">
        <v>199</v>
      </c>
      <c r="O214" s="2" t="s">
        <v>4273</v>
      </c>
      <c r="P214" s="22">
        <v>0</v>
      </c>
      <c r="Q214" s="2" t="s">
        <v>4274</v>
      </c>
      <c r="R214" s="2" t="s">
        <v>225</v>
      </c>
      <c r="S214" s="2" t="s">
        <v>174</v>
      </c>
      <c r="T214" s="2" t="s">
        <v>115</v>
      </c>
      <c r="U214" s="2" t="s">
        <v>53</v>
      </c>
      <c r="V214" s="2" t="s">
        <v>3240</v>
      </c>
      <c r="W214" s="22">
        <v>-5.2999999999999999E-2</v>
      </c>
    </row>
    <row r="215" spans="1:23" x14ac:dyDescent="0.2">
      <c r="A215" s="2" t="s">
        <v>1335</v>
      </c>
      <c r="B215" s="2" t="s">
        <v>1338</v>
      </c>
      <c r="C215" s="2" t="s">
        <v>71</v>
      </c>
      <c r="D215" s="2" t="s">
        <v>1339</v>
      </c>
      <c r="E215" s="2" t="s">
        <v>2339</v>
      </c>
      <c r="F215" s="2" t="s">
        <v>2340</v>
      </c>
      <c r="G215" s="2" t="s">
        <v>2341</v>
      </c>
      <c r="H215" s="22">
        <v>0.71</v>
      </c>
      <c r="I215" s="2" t="s">
        <v>55</v>
      </c>
      <c r="J215" s="2" t="s">
        <v>56</v>
      </c>
      <c r="K215" s="22">
        <v>28215780</v>
      </c>
      <c r="L215" s="2" t="s">
        <v>52</v>
      </c>
      <c r="M215" s="2" t="s">
        <v>1770</v>
      </c>
      <c r="N215" s="2" t="s">
        <v>169</v>
      </c>
      <c r="O215" s="2" t="s">
        <v>359</v>
      </c>
      <c r="P215" s="22">
        <v>0.71</v>
      </c>
      <c r="Q215" s="2" t="s">
        <v>360</v>
      </c>
      <c r="R215" s="2" t="s">
        <v>225</v>
      </c>
      <c r="S215" s="2" t="s">
        <v>54</v>
      </c>
      <c r="T215" s="2" t="s">
        <v>49</v>
      </c>
      <c r="U215" s="2" t="s">
        <v>975</v>
      </c>
      <c r="V215" s="2" t="s">
        <v>2342</v>
      </c>
      <c r="W215" s="22">
        <v>0.52500000000000002</v>
      </c>
    </row>
    <row r="216" spans="1:23" x14ac:dyDescent="0.2">
      <c r="A216" s="2" t="s">
        <v>476</v>
      </c>
      <c r="B216" s="2" t="s">
        <v>479</v>
      </c>
      <c r="C216" s="2" t="s">
        <v>57</v>
      </c>
      <c r="D216" s="2" t="s">
        <v>45</v>
      </c>
      <c r="E216" s="2" t="s">
        <v>2000</v>
      </c>
      <c r="F216" s="2" t="s">
        <v>2001</v>
      </c>
      <c r="G216" s="2" t="s">
        <v>2002</v>
      </c>
      <c r="H216" s="2" t="s">
        <v>54</v>
      </c>
      <c r="I216" s="2" t="s">
        <v>55</v>
      </c>
      <c r="J216" s="2" t="s">
        <v>56</v>
      </c>
      <c r="K216" s="22">
        <v>305312500</v>
      </c>
      <c r="L216" s="2" t="s">
        <v>458</v>
      </c>
      <c r="M216" s="2" t="s">
        <v>1770</v>
      </c>
      <c r="N216" s="2" t="s">
        <v>45</v>
      </c>
      <c r="O216" s="2" t="s">
        <v>359</v>
      </c>
      <c r="P216" s="22">
        <v>0.01</v>
      </c>
      <c r="Q216" s="2" t="s">
        <v>4275</v>
      </c>
      <c r="R216" s="2" t="s">
        <v>225</v>
      </c>
      <c r="S216" s="2" t="s">
        <v>189</v>
      </c>
      <c r="T216" s="2" t="s">
        <v>49</v>
      </c>
      <c r="U216" s="2" t="s">
        <v>53</v>
      </c>
      <c r="V216" s="2" t="s">
        <v>2003</v>
      </c>
      <c r="W216" s="2" t="s">
        <v>54</v>
      </c>
    </row>
    <row r="217" spans="1:23" x14ac:dyDescent="0.2">
      <c r="A217" s="2" t="s">
        <v>476</v>
      </c>
      <c r="B217" s="2" t="s">
        <v>479</v>
      </c>
      <c r="C217" s="2" t="s">
        <v>57</v>
      </c>
      <c r="D217" s="2" t="s">
        <v>45</v>
      </c>
      <c r="E217" s="2" t="s">
        <v>2004</v>
      </c>
      <c r="F217" s="2" t="s">
        <v>2005</v>
      </c>
      <c r="G217" s="2" t="s">
        <v>2006</v>
      </c>
      <c r="H217" s="22">
        <v>-0.35</v>
      </c>
      <c r="I217" s="2" t="s">
        <v>55</v>
      </c>
      <c r="J217" s="2" t="s">
        <v>56</v>
      </c>
      <c r="K217" s="22">
        <v>12070300</v>
      </c>
      <c r="L217" s="2" t="s">
        <v>482</v>
      </c>
      <c r="M217" s="2" t="s">
        <v>173</v>
      </c>
      <c r="N217" s="2" t="s">
        <v>45</v>
      </c>
      <c r="O217" s="2" t="s">
        <v>276</v>
      </c>
      <c r="P217" s="22">
        <v>0.01</v>
      </c>
      <c r="Q217" s="2" t="s">
        <v>4276</v>
      </c>
      <c r="R217" s="2" t="s">
        <v>225</v>
      </c>
      <c r="S217" s="2" t="s">
        <v>483</v>
      </c>
      <c r="T217" s="2" t="s">
        <v>49</v>
      </c>
      <c r="U217" s="2" t="s">
        <v>53</v>
      </c>
      <c r="V217" s="2" t="s">
        <v>2007</v>
      </c>
      <c r="W217" s="2" t="s">
        <v>54</v>
      </c>
    </row>
    <row r="218" spans="1:23" x14ac:dyDescent="0.2">
      <c r="A218" s="2" t="s">
        <v>476</v>
      </c>
      <c r="B218" s="2" t="s">
        <v>479</v>
      </c>
      <c r="C218" s="2" t="s">
        <v>57</v>
      </c>
      <c r="D218" s="2" t="s">
        <v>45</v>
      </c>
      <c r="E218" s="2" t="s">
        <v>2008</v>
      </c>
      <c r="F218" s="2" t="s">
        <v>2009</v>
      </c>
      <c r="G218" s="2" t="s">
        <v>2010</v>
      </c>
      <c r="H218" s="22">
        <v>0.158</v>
      </c>
      <c r="I218" s="2" t="s">
        <v>55</v>
      </c>
      <c r="J218" s="2" t="s">
        <v>56</v>
      </c>
      <c r="K218" s="22">
        <v>89955000</v>
      </c>
      <c r="L218" s="2" t="s">
        <v>2011</v>
      </c>
      <c r="M218" s="2" t="s">
        <v>2012</v>
      </c>
      <c r="N218" s="2" t="s">
        <v>45</v>
      </c>
      <c r="O218" s="2" t="s">
        <v>306</v>
      </c>
      <c r="P218" s="22">
        <v>0.5</v>
      </c>
      <c r="Q218" s="2" t="s">
        <v>4277</v>
      </c>
      <c r="R218" s="2" t="s">
        <v>225</v>
      </c>
      <c r="S218" s="2" t="s">
        <v>483</v>
      </c>
      <c r="T218" s="2" t="s">
        <v>49</v>
      </c>
      <c r="U218" s="2" t="s">
        <v>53</v>
      </c>
      <c r="V218" s="2" t="s">
        <v>2013</v>
      </c>
      <c r="W218" s="22">
        <v>2.4E-2</v>
      </c>
    </row>
    <row r="219" spans="1:23" x14ac:dyDescent="0.2">
      <c r="A219" s="2" t="s">
        <v>476</v>
      </c>
      <c r="B219" s="2" t="s">
        <v>479</v>
      </c>
      <c r="C219" s="2" t="s">
        <v>57</v>
      </c>
      <c r="D219" s="2" t="s">
        <v>45</v>
      </c>
      <c r="E219" s="2" t="s">
        <v>2014</v>
      </c>
      <c r="F219" s="2" t="s">
        <v>2015</v>
      </c>
      <c r="G219" s="2" t="s">
        <v>2016</v>
      </c>
      <c r="H219" s="2" t="s">
        <v>54</v>
      </c>
      <c r="I219" s="2" t="s">
        <v>55</v>
      </c>
      <c r="J219" s="2" t="s">
        <v>56</v>
      </c>
      <c r="K219" s="22">
        <v>11948000</v>
      </c>
      <c r="L219" s="2" t="s">
        <v>482</v>
      </c>
      <c r="M219" s="2" t="s">
        <v>1770</v>
      </c>
      <c r="N219" s="2" t="s">
        <v>45</v>
      </c>
      <c r="O219" s="2" t="s">
        <v>4278</v>
      </c>
      <c r="P219" s="22">
        <v>0.01</v>
      </c>
      <c r="Q219" s="2" t="s">
        <v>4279</v>
      </c>
      <c r="R219" s="2" t="s">
        <v>225</v>
      </c>
      <c r="S219" s="2" t="s">
        <v>483</v>
      </c>
      <c r="T219" s="2" t="s">
        <v>49</v>
      </c>
      <c r="U219" s="2" t="s">
        <v>53</v>
      </c>
      <c r="V219" s="2" t="s">
        <v>2017</v>
      </c>
      <c r="W219" s="2" t="s">
        <v>54</v>
      </c>
    </row>
    <row r="220" spans="1:23" x14ac:dyDescent="0.2">
      <c r="A220" s="2" t="s">
        <v>476</v>
      </c>
      <c r="B220" s="2" t="s">
        <v>479</v>
      </c>
      <c r="C220" s="2" t="s">
        <v>57</v>
      </c>
      <c r="D220" s="2" t="s">
        <v>45</v>
      </c>
      <c r="E220" s="2" t="s">
        <v>2018</v>
      </c>
      <c r="F220" s="2" t="s">
        <v>2019</v>
      </c>
      <c r="G220" s="2" t="s">
        <v>2020</v>
      </c>
      <c r="H220" s="2" t="s">
        <v>54</v>
      </c>
      <c r="I220" s="2" t="s">
        <v>55</v>
      </c>
      <c r="J220" s="2" t="s">
        <v>56</v>
      </c>
      <c r="K220" s="22">
        <v>11929300</v>
      </c>
      <c r="L220" s="2" t="s">
        <v>482</v>
      </c>
      <c r="M220" s="2" t="s">
        <v>1770</v>
      </c>
      <c r="N220" s="2" t="s">
        <v>45</v>
      </c>
      <c r="O220" s="2" t="s">
        <v>408</v>
      </c>
      <c r="P220" s="22">
        <v>0.11799999999999999</v>
      </c>
      <c r="Q220" s="2" t="s">
        <v>419</v>
      </c>
      <c r="R220" s="2" t="s">
        <v>225</v>
      </c>
      <c r="S220" s="2" t="s">
        <v>483</v>
      </c>
      <c r="T220" s="2" t="s">
        <v>49</v>
      </c>
      <c r="U220" s="2" t="s">
        <v>53</v>
      </c>
      <c r="V220" s="2" t="s">
        <v>2021</v>
      </c>
      <c r="W220" s="2" t="s">
        <v>54</v>
      </c>
    </row>
    <row r="221" spans="1:23" x14ac:dyDescent="0.2">
      <c r="A221" s="2" t="s">
        <v>1431</v>
      </c>
      <c r="B221" s="2" t="s">
        <v>1434</v>
      </c>
      <c r="C221" s="2" t="s">
        <v>391</v>
      </c>
      <c r="D221" s="2" t="s">
        <v>367</v>
      </c>
      <c r="E221" s="2" t="s">
        <v>1873</v>
      </c>
      <c r="F221" s="2" t="s">
        <v>1874</v>
      </c>
      <c r="G221" s="2" t="s">
        <v>1875</v>
      </c>
      <c r="H221" s="2" t="s">
        <v>54</v>
      </c>
      <c r="I221" s="2" t="s">
        <v>55</v>
      </c>
      <c r="J221" s="2" t="s">
        <v>70</v>
      </c>
      <c r="K221" s="22">
        <v>23007400</v>
      </c>
      <c r="L221" s="2" t="s">
        <v>52</v>
      </c>
      <c r="M221" s="2" t="s">
        <v>1770</v>
      </c>
      <c r="N221" s="2" t="s">
        <v>367</v>
      </c>
      <c r="O221" s="2" t="s">
        <v>4280</v>
      </c>
      <c r="P221" s="22">
        <v>0.64600000000000002</v>
      </c>
      <c r="Q221" s="2" t="s">
        <v>4281</v>
      </c>
      <c r="R221" s="2" t="s">
        <v>685</v>
      </c>
      <c r="S221" s="2" t="s">
        <v>54</v>
      </c>
      <c r="T221" s="2" t="s">
        <v>49</v>
      </c>
      <c r="U221" s="2" t="s">
        <v>686</v>
      </c>
      <c r="V221" s="2" t="s">
        <v>1876</v>
      </c>
      <c r="W221" s="2" t="s">
        <v>54</v>
      </c>
    </row>
    <row r="222" spans="1:23" x14ac:dyDescent="0.2">
      <c r="A222" s="2" t="s">
        <v>689</v>
      </c>
      <c r="B222" s="2" t="s">
        <v>692</v>
      </c>
      <c r="C222" s="2" t="s">
        <v>57</v>
      </c>
      <c r="D222" s="2" t="s">
        <v>257</v>
      </c>
      <c r="E222" s="2" t="s">
        <v>2291</v>
      </c>
      <c r="F222" s="2" t="s">
        <v>173</v>
      </c>
      <c r="G222" s="2" t="s">
        <v>2292</v>
      </c>
      <c r="H222" s="2" t="s">
        <v>54</v>
      </c>
      <c r="I222" s="2" t="s">
        <v>55</v>
      </c>
      <c r="J222" s="2" t="s">
        <v>56</v>
      </c>
      <c r="K222" s="22">
        <v>176250000</v>
      </c>
      <c r="L222" s="2" t="s">
        <v>52</v>
      </c>
      <c r="M222" s="2" t="s">
        <v>173</v>
      </c>
      <c r="N222" s="2" t="s">
        <v>257</v>
      </c>
      <c r="O222" s="2" t="s">
        <v>375</v>
      </c>
      <c r="P222" s="22">
        <v>0</v>
      </c>
      <c r="Q222" s="2" t="s">
        <v>4282</v>
      </c>
      <c r="R222" s="2" t="s">
        <v>2293</v>
      </c>
      <c r="S222" s="2" t="s">
        <v>54</v>
      </c>
      <c r="T222" s="2" t="s">
        <v>49</v>
      </c>
      <c r="U222" s="2" t="s">
        <v>53</v>
      </c>
      <c r="V222" s="2" t="s">
        <v>2294</v>
      </c>
      <c r="W222" s="2" t="s">
        <v>54</v>
      </c>
    </row>
    <row r="223" spans="1:23" x14ac:dyDescent="0.2">
      <c r="A223" s="2" t="s">
        <v>165</v>
      </c>
      <c r="B223" s="2" t="s">
        <v>168</v>
      </c>
      <c r="C223" s="2" t="s">
        <v>57</v>
      </c>
      <c r="D223" s="2" t="s">
        <v>170</v>
      </c>
      <c r="E223" s="2" t="s">
        <v>2650</v>
      </c>
      <c r="F223" s="2" t="s">
        <v>2651</v>
      </c>
      <c r="G223" s="2" t="s">
        <v>2652</v>
      </c>
      <c r="H223" s="2" t="s">
        <v>54</v>
      </c>
      <c r="I223" s="2" t="s">
        <v>55</v>
      </c>
      <c r="J223" s="2" t="s">
        <v>56</v>
      </c>
      <c r="K223" s="22">
        <v>592785000</v>
      </c>
      <c r="L223" s="2" t="s">
        <v>52</v>
      </c>
      <c r="M223" s="2" t="s">
        <v>1770</v>
      </c>
      <c r="N223" s="2" t="s">
        <v>169</v>
      </c>
      <c r="O223" s="2" t="s">
        <v>437</v>
      </c>
      <c r="P223" s="22">
        <v>0.625</v>
      </c>
      <c r="Q223" s="2" t="s">
        <v>47</v>
      </c>
      <c r="R223" s="2" t="s">
        <v>225</v>
      </c>
      <c r="S223" s="2" t="s">
        <v>174</v>
      </c>
      <c r="T223" s="2" t="s">
        <v>115</v>
      </c>
      <c r="U223" s="2" t="s">
        <v>53</v>
      </c>
      <c r="V223" s="2" t="s">
        <v>2653</v>
      </c>
      <c r="W223" s="22">
        <v>0.61299999999999999</v>
      </c>
    </row>
    <row r="224" spans="1:23" x14ac:dyDescent="0.2">
      <c r="A224" s="2" t="s">
        <v>476</v>
      </c>
      <c r="B224" s="2" t="s">
        <v>479</v>
      </c>
      <c r="C224" s="2" t="s">
        <v>391</v>
      </c>
      <c r="D224" s="2" t="s">
        <v>45</v>
      </c>
      <c r="E224" s="2" t="s">
        <v>2022</v>
      </c>
      <c r="F224" s="2" t="s">
        <v>2023</v>
      </c>
      <c r="G224" s="2" t="s">
        <v>2024</v>
      </c>
      <c r="H224" s="2" t="s">
        <v>54</v>
      </c>
      <c r="I224" s="2" t="s">
        <v>55</v>
      </c>
      <c r="J224" s="2" t="s">
        <v>70</v>
      </c>
      <c r="K224" s="22">
        <v>686171700</v>
      </c>
      <c r="L224" s="2" t="s">
        <v>458</v>
      </c>
      <c r="M224" s="2" t="s">
        <v>1770</v>
      </c>
      <c r="N224" s="2" t="s">
        <v>45</v>
      </c>
      <c r="O224" s="2" t="s">
        <v>4283</v>
      </c>
      <c r="P224" s="22">
        <v>0</v>
      </c>
      <c r="Q224" s="2" t="s">
        <v>4284</v>
      </c>
      <c r="R224" s="2" t="s">
        <v>225</v>
      </c>
      <c r="S224" s="2" t="s">
        <v>189</v>
      </c>
      <c r="T224" s="2" t="s">
        <v>49</v>
      </c>
      <c r="U224" s="2" t="s">
        <v>53</v>
      </c>
      <c r="V224" s="2" t="s">
        <v>2025</v>
      </c>
      <c r="W224" s="22">
        <v>-5.3999999999999999E-2</v>
      </c>
    </row>
    <row r="225" spans="1:23" x14ac:dyDescent="0.2">
      <c r="A225" s="2" t="s">
        <v>476</v>
      </c>
      <c r="B225" s="2" t="s">
        <v>479</v>
      </c>
      <c r="C225" s="2" t="s">
        <v>57</v>
      </c>
      <c r="D225" s="2" t="s">
        <v>45</v>
      </c>
      <c r="E225" s="2" t="s">
        <v>2026</v>
      </c>
      <c r="F225" s="2" t="s">
        <v>2027</v>
      </c>
      <c r="G225" s="2" t="s">
        <v>2028</v>
      </c>
      <c r="H225" s="2" t="s">
        <v>54</v>
      </c>
      <c r="I225" s="2" t="s">
        <v>55</v>
      </c>
      <c r="J225" s="2" t="s">
        <v>56</v>
      </c>
      <c r="K225" s="22">
        <v>915810000</v>
      </c>
      <c r="L225" s="2" t="s">
        <v>458</v>
      </c>
      <c r="M225" s="2" t="s">
        <v>1770</v>
      </c>
      <c r="N225" s="2" t="s">
        <v>45</v>
      </c>
      <c r="O225" s="2" t="s">
        <v>4285</v>
      </c>
      <c r="P225" s="22">
        <v>0.25</v>
      </c>
      <c r="Q225" s="2" t="s">
        <v>4286</v>
      </c>
      <c r="R225" s="2" t="s">
        <v>225</v>
      </c>
      <c r="S225" s="2" t="s">
        <v>189</v>
      </c>
      <c r="T225" s="2" t="s">
        <v>49</v>
      </c>
      <c r="U225" s="2" t="s">
        <v>53</v>
      </c>
      <c r="V225" s="2" t="s">
        <v>2029</v>
      </c>
      <c r="W225" s="22">
        <v>0.27500000000000002</v>
      </c>
    </row>
    <row r="226" spans="1:23" x14ac:dyDescent="0.2">
      <c r="A226" s="2" t="s">
        <v>916</v>
      </c>
      <c r="B226" s="2" t="s">
        <v>919</v>
      </c>
      <c r="C226" s="2" t="s">
        <v>57</v>
      </c>
      <c r="D226" s="2" t="s">
        <v>184</v>
      </c>
      <c r="E226" s="2" t="s">
        <v>2916</v>
      </c>
      <c r="F226" s="2" t="s">
        <v>2917</v>
      </c>
      <c r="G226" s="2" t="s">
        <v>2918</v>
      </c>
      <c r="H226" s="2" t="s">
        <v>54</v>
      </c>
      <c r="I226" s="2" t="s">
        <v>420</v>
      </c>
      <c r="J226" s="2" t="s">
        <v>56</v>
      </c>
      <c r="K226" s="22">
        <v>32820930</v>
      </c>
      <c r="L226" s="2" t="s">
        <v>118</v>
      </c>
      <c r="M226" s="2" t="s">
        <v>173</v>
      </c>
      <c r="N226" s="2" t="s">
        <v>184</v>
      </c>
      <c r="O226" s="2" t="s">
        <v>4287</v>
      </c>
      <c r="P226" s="22">
        <v>0</v>
      </c>
      <c r="Q226" s="2" t="s">
        <v>4288</v>
      </c>
      <c r="R226" s="2" t="s">
        <v>225</v>
      </c>
      <c r="S226" s="2" t="s">
        <v>54</v>
      </c>
      <c r="T226" s="2" t="s">
        <v>49</v>
      </c>
      <c r="U226" s="2" t="s">
        <v>53</v>
      </c>
      <c r="V226" s="2" t="s">
        <v>2919</v>
      </c>
      <c r="W226" s="2" t="s">
        <v>54</v>
      </c>
    </row>
    <row r="227" spans="1:23" x14ac:dyDescent="0.2">
      <c r="A227" s="2" t="s">
        <v>1559</v>
      </c>
      <c r="B227" s="2" t="s">
        <v>1562</v>
      </c>
      <c r="C227" s="2" t="s">
        <v>71</v>
      </c>
      <c r="D227" s="2" t="s">
        <v>257</v>
      </c>
      <c r="E227" s="2" t="s">
        <v>2755</v>
      </c>
      <c r="F227" s="2" t="s">
        <v>2756</v>
      </c>
      <c r="G227" s="2" t="s">
        <v>2757</v>
      </c>
      <c r="H227" s="22">
        <v>3.7810000000000001</v>
      </c>
      <c r="I227" s="2" t="s">
        <v>55</v>
      </c>
      <c r="J227" s="2" t="s">
        <v>56</v>
      </c>
      <c r="K227" s="22">
        <v>500000000</v>
      </c>
      <c r="L227" s="2" t="s">
        <v>52</v>
      </c>
      <c r="M227" s="2" t="s">
        <v>1775</v>
      </c>
      <c r="N227" s="2" t="s">
        <v>366</v>
      </c>
      <c r="O227" s="2" t="s">
        <v>4289</v>
      </c>
      <c r="P227" s="22">
        <v>3.75</v>
      </c>
      <c r="Q227" s="2" t="s">
        <v>4290</v>
      </c>
      <c r="R227" s="2" t="s">
        <v>261</v>
      </c>
      <c r="S227" s="2" t="s">
        <v>174</v>
      </c>
      <c r="T227" s="2" t="s">
        <v>115</v>
      </c>
      <c r="U227" s="2" t="s">
        <v>262</v>
      </c>
      <c r="V227" s="2" t="s">
        <v>2758</v>
      </c>
      <c r="W227" s="2" t="s">
        <v>54</v>
      </c>
    </row>
    <row r="228" spans="1:23" x14ac:dyDescent="0.2">
      <c r="A228" s="2" t="s">
        <v>1559</v>
      </c>
      <c r="B228" s="2" t="s">
        <v>1562</v>
      </c>
      <c r="C228" s="2" t="s">
        <v>71</v>
      </c>
      <c r="D228" s="2" t="s">
        <v>257</v>
      </c>
      <c r="E228" s="2" t="s">
        <v>2759</v>
      </c>
      <c r="F228" s="2" t="s">
        <v>2760</v>
      </c>
      <c r="G228" s="2" t="s">
        <v>2761</v>
      </c>
      <c r="H228" s="22">
        <v>3.7810000000000001</v>
      </c>
      <c r="I228" s="2" t="s">
        <v>55</v>
      </c>
      <c r="J228" s="2" t="s">
        <v>56</v>
      </c>
      <c r="K228" s="22">
        <v>500000000</v>
      </c>
      <c r="L228" s="2" t="s">
        <v>52</v>
      </c>
      <c r="M228" s="2" t="s">
        <v>1775</v>
      </c>
      <c r="N228" s="2" t="s">
        <v>366</v>
      </c>
      <c r="O228" s="2" t="s">
        <v>4289</v>
      </c>
      <c r="P228" s="22">
        <v>3.75</v>
      </c>
      <c r="Q228" s="2" t="s">
        <v>4290</v>
      </c>
      <c r="R228" s="2" t="s">
        <v>270</v>
      </c>
      <c r="S228" s="2" t="s">
        <v>174</v>
      </c>
      <c r="T228" s="2" t="s">
        <v>115</v>
      </c>
      <c r="U228" s="2" t="s">
        <v>262</v>
      </c>
      <c r="V228" s="2" t="s">
        <v>2762</v>
      </c>
      <c r="W228" s="2" t="s">
        <v>54</v>
      </c>
    </row>
    <row r="229" spans="1:23" x14ac:dyDescent="0.2">
      <c r="A229" s="2" t="s">
        <v>476</v>
      </c>
      <c r="B229" s="2" t="s">
        <v>479</v>
      </c>
      <c r="C229" s="2" t="s">
        <v>57</v>
      </c>
      <c r="D229" s="2" t="s">
        <v>45</v>
      </c>
      <c r="E229" s="2" t="s">
        <v>2030</v>
      </c>
      <c r="F229" s="2" t="s">
        <v>2031</v>
      </c>
      <c r="G229" s="2" t="s">
        <v>2032</v>
      </c>
      <c r="H229" s="2" t="s">
        <v>54</v>
      </c>
      <c r="I229" s="2" t="s">
        <v>55</v>
      </c>
      <c r="J229" s="2" t="s">
        <v>56</v>
      </c>
      <c r="K229" s="22">
        <v>118962000</v>
      </c>
      <c r="L229" s="2" t="s">
        <v>2011</v>
      </c>
      <c r="M229" s="2" t="s">
        <v>2012</v>
      </c>
      <c r="N229" s="2" t="s">
        <v>45</v>
      </c>
      <c r="O229" s="2" t="s">
        <v>4291</v>
      </c>
      <c r="P229" s="22">
        <v>0.625</v>
      </c>
      <c r="Q229" s="2" t="s">
        <v>4292</v>
      </c>
      <c r="R229" s="2" t="s">
        <v>225</v>
      </c>
      <c r="S229" s="2" t="s">
        <v>117</v>
      </c>
      <c r="T229" s="2" t="s">
        <v>49</v>
      </c>
      <c r="U229" s="2" t="s">
        <v>53</v>
      </c>
      <c r="V229" s="2" t="s">
        <v>2033</v>
      </c>
      <c r="W229" s="22">
        <v>0.60699999999999998</v>
      </c>
    </row>
    <row r="230" spans="1:23" x14ac:dyDescent="0.2">
      <c r="A230" s="2" t="s">
        <v>1359</v>
      </c>
      <c r="B230" s="2" t="s">
        <v>1362</v>
      </c>
      <c r="C230" s="2" t="s">
        <v>57</v>
      </c>
      <c r="D230" s="2" t="s">
        <v>199</v>
      </c>
      <c r="E230" s="2" t="s">
        <v>3241</v>
      </c>
      <c r="F230" s="2" t="s">
        <v>3242</v>
      </c>
      <c r="G230" s="2" t="s">
        <v>3243</v>
      </c>
      <c r="H230" s="2" t="s">
        <v>54</v>
      </c>
      <c r="I230" s="2" t="s">
        <v>117</v>
      </c>
      <c r="J230" s="2" t="s">
        <v>56</v>
      </c>
      <c r="K230" s="22">
        <v>592425000</v>
      </c>
      <c r="L230" s="2" t="s">
        <v>52</v>
      </c>
      <c r="M230" s="2" t="s">
        <v>1839</v>
      </c>
      <c r="N230" s="2" t="s">
        <v>199</v>
      </c>
      <c r="O230" s="2" t="s">
        <v>4293</v>
      </c>
      <c r="P230" s="22">
        <v>0.625</v>
      </c>
      <c r="Q230" s="2" t="s">
        <v>4292</v>
      </c>
      <c r="R230" s="2" t="s">
        <v>225</v>
      </c>
      <c r="S230" s="2" t="s">
        <v>174</v>
      </c>
      <c r="T230" s="2" t="s">
        <v>115</v>
      </c>
      <c r="U230" s="2" t="s">
        <v>53</v>
      </c>
      <c r="V230" s="2" t="s">
        <v>3244</v>
      </c>
      <c r="W230" s="22">
        <v>0.69899999999999995</v>
      </c>
    </row>
    <row r="231" spans="1:23" x14ac:dyDescent="0.2">
      <c r="A231" s="2" t="s">
        <v>1625</v>
      </c>
      <c r="B231" s="2" t="s">
        <v>1628</v>
      </c>
      <c r="C231" s="2" t="s">
        <v>57</v>
      </c>
      <c r="D231" s="2" t="s">
        <v>45</v>
      </c>
      <c r="E231" s="2" t="s">
        <v>2704</v>
      </c>
      <c r="F231" s="2" t="s">
        <v>173</v>
      </c>
      <c r="G231" s="2" t="s">
        <v>2705</v>
      </c>
      <c r="H231" s="2" t="s">
        <v>54</v>
      </c>
      <c r="I231" s="2" t="s">
        <v>55</v>
      </c>
      <c r="J231" s="2" t="s">
        <v>56</v>
      </c>
      <c r="K231" s="22">
        <v>23437000</v>
      </c>
      <c r="L231" s="2" t="s">
        <v>52</v>
      </c>
      <c r="M231" s="2" t="s">
        <v>173</v>
      </c>
      <c r="N231" s="2" t="s">
        <v>45</v>
      </c>
      <c r="O231" s="2" t="s">
        <v>4294</v>
      </c>
      <c r="P231" s="22">
        <v>0</v>
      </c>
      <c r="Q231" s="2" t="s">
        <v>4295</v>
      </c>
      <c r="R231" s="2" t="s">
        <v>69</v>
      </c>
      <c r="S231" s="2" t="s">
        <v>54</v>
      </c>
      <c r="T231" s="2" t="s">
        <v>49</v>
      </c>
      <c r="U231" s="2" t="s">
        <v>53</v>
      </c>
      <c r="V231" s="2" t="s">
        <v>2706</v>
      </c>
      <c r="W231" s="2" t="s">
        <v>54</v>
      </c>
    </row>
    <row r="232" spans="1:23" x14ac:dyDescent="0.2">
      <c r="A232" s="2" t="s">
        <v>1559</v>
      </c>
      <c r="B232" s="2" t="s">
        <v>1562</v>
      </c>
      <c r="C232" s="2" t="s">
        <v>57</v>
      </c>
      <c r="D232" s="2" t="s">
        <v>257</v>
      </c>
      <c r="E232" s="2" t="s">
        <v>2763</v>
      </c>
      <c r="F232" s="2" t="s">
        <v>2764</v>
      </c>
      <c r="G232" s="2" t="s">
        <v>2765</v>
      </c>
      <c r="H232" s="22">
        <v>1.032</v>
      </c>
      <c r="I232" s="2" t="s">
        <v>55</v>
      </c>
      <c r="J232" s="2" t="s">
        <v>56</v>
      </c>
      <c r="K232" s="22">
        <v>591625000</v>
      </c>
      <c r="L232" s="2" t="s">
        <v>52</v>
      </c>
      <c r="M232" s="2" t="s">
        <v>1775</v>
      </c>
      <c r="N232" s="2" t="s">
        <v>366</v>
      </c>
      <c r="O232" s="2" t="s">
        <v>4296</v>
      </c>
      <c r="P232" s="22">
        <v>1</v>
      </c>
      <c r="Q232" s="2" t="s">
        <v>4297</v>
      </c>
      <c r="R232" s="2" t="s">
        <v>173</v>
      </c>
      <c r="S232" s="2" t="s">
        <v>174</v>
      </c>
      <c r="T232" s="2" t="s">
        <v>49</v>
      </c>
      <c r="U232" s="2" t="s">
        <v>53</v>
      </c>
      <c r="V232" s="2" t="s">
        <v>2766</v>
      </c>
      <c r="W232" s="22">
        <v>0.96399999999999997</v>
      </c>
    </row>
    <row r="233" spans="1:23" x14ac:dyDescent="0.2">
      <c r="A233" s="2" t="s">
        <v>476</v>
      </c>
      <c r="B233" s="2" t="s">
        <v>479</v>
      </c>
      <c r="C233" s="2" t="s">
        <v>57</v>
      </c>
      <c r="D233" s="2" t="s">
        <v>45</v>
      </c>
      <c r="E233" s="2" t="s">
        <v>2034</v>
      </c>
      <c r="F233" s="2" t="s">
        <v>2035</v>
      </c>
      <c r="G233" s="2" t="s">
        <v>2036</v>
      </c>
      <c r="H233" s="2" t="s">
        <v>54</v>
      </c>
      <c r="I233" s="2" t="s">
        <v>55</v>
      </c>
      <c r="J233" s="2" t="s">
        <v>56</v>
      </c>
      <c r="K233" s="22">
        <v>11762800</v>
      </c>
      <c r="L233" s="2" t="s">
        <v>482</v>
      </c>
      <c r="M233" s="2" t="s">
        <v>173</v>
      </c>
      <c r="N233" s="2" t="s">
        <v>45</v>
      </c>
      <c r="O233" s="2" t="s">
        <v>4298</v>
      </c>
      <c r="P233" s="22">
        <v>0.03</v>
      </c>
      <c r="Q233" s="2" t="s">
        <v>4299</v>
      </c>
      <c r="R233" s="2" t="s">
        <v>225</v>
      </c>
      <c r="S233" s="2" t="s">
        <v>483</v>
      </c>
      <c r="T233" s="2" t="s">
        <v>49</v>
      </c>
      <c r="U233" s="2" t="s">
        <v>53</v>
      </c>
      <c r="V233" s="2" t="s">
        <v>2037</v>
      </c>
      <c r="W233" s="2" t="s">
        <v>54</v>
      </c>
    </row>
    <row r="234" spans="1:23" x14ac:dyDescent="0.2">
      <c r="A234" s="2" t="s">
        <v>476</v>
      </c>
      <c r="B234" s="2" t="s">
        <v>479</v>
      </c>
      <c r="C234" s="2" t="s">
        <v>57</v>
      </c>
      <c r="D234" s="2" t="s">
        <v>45</v>
      </c>
      <c r="E234" s="2" t="s">
        <v>2038</v>
      </c>
      <c r="F234" s="2" t="s">
        <v>2039</v>
      </c>
      <c r="G234" s="2" t="s">
        <v>2040</v>
      </c>
      <c r="H234" s="22">
        <v>-0.39999999999999997</v>
      </c>
      <c r="I234" s="2" t="s">
        <v>55</v>
      </c>
      <c r="J234" s="2" t="s">
        <v>56</v>
      </c>
      <c r="K234" s="22">
        <v>881062500</v>
      </c>
      <c r="L234" s="2" t="s">
        <v>458</v>
      </c>
      <c r="M234" s="2" t="s">
        <v>1770</v>
      </c>
      <c r="N234" s="2" t="s">
        <v>45</v>
      </c>
      <c r="O234" s="2" t="s">
        <v>4300</v>
      </c>
      <c r="P234" s="22">
        <v>0.01</v>
      </c>
      <c r="Q234" s="2" t="s">
        <v>4301</v>
      </c>
      <c r="R234" s="2" t="s">
        <v>225</v>
      </c>
      <c r="S234" s="2" t="s">
        <v>189</v>
      </c>
      <c r="T234" s="2" t="s">
        <v>49</v>
      </c>
      <c r="U234" s="2" t="s">
        <v>53</v>
      </c>
      <c r="V234" s="2" t="s">
        <v>2041</v>
      </c>
      <c r="W234" s="22">
        <v>-0.42299999999999999</v>
      </c>
    </row>
    <row r="235" spans="1:23" x14ac:dyDescent="0.2">
      <c r="A235" s="2" t="s">
        <v>165</v>
      </c>
      <c r="B235" s="2" t="s">
        <v>168</v>
      </c>
      <c r="C235" s="2" t="s">
        <v>57</v>
      </c>
      <c r="D235" s="2" t="s">
        <v>170</v>
      </c>
      <c r="E235" s="2" t="s">
        <v>2654</v>
      </c>
      <c r="F235" s="2" t="s">
        <v>2655</v>
      </c>
      <c r="G235" s="2" t="s">
        <v>2656</v>
      </c>
      <c r="H235" s="22">
        <v>0.60399999999999998</v>
      </c>
      <c r="I235" s="2" t="s">
        <v>55</v>
      </c>
      <c r="J235" s="2" t="s">
        <v>56</v>
      </c>
      <c r="K235" s="22">
        <v>1188960000</v>
      </c>
      <c r="L235" s="2" t="s">
        <v>52</v>
      </c>
      <c r="M235" s="2" t="s">
        <v>1770</v>
      </c>
      <c r="N235" s="2" t="s">
        <v>169</v>
      </c>
      <c r="O235" s="2" t="s">
        <v>4302</v>
      </c>
      <c r="P235" s="22">
        <v>0.5</v>
      </c>
      <c r="Q235" s="2" t="s">
        <v>4303</v>
      </c>
      <c r="R235" s="2" t="s">
        <v>225</v>
      </c>
      <c r="S235" s="2" t="s">
        <v>174</v>
      </c>
      <c r="T235" s="2" t="s">
        <v>115</v>
      </c>
      <c r="U235" s="2" t="s">
        <v>53</v>
      </c>
      <c r="V235" s="2" t="s">
        <v>2657</v>
      </c>
      <c r="W235" s="22">
        <v>0.60099999999999998</v>
      </c>
    </row>
    <row r="236" spans="1:23" x14ac:dyDescent="0.2">
      <c r="A236" s="2" t="s">
        <v>1216</v>
      </c>
      <c r="B236" s="2" t="s">
        <v>1219</v>
      </c>
      <c r="C236" s="2" t="s">
        <v>57</v>
      </c>
      <c r="D236" s="2" t="s">
        <v>45</v>
      </c>
      <c r="E236" s="2" t="s">
        <v>2883</v>
      </c>
      <c r="F236" s="2" t="s">
        <v>2884</v>
      </c>
      <c r="G236" s="2" t="s">
        <v>2885</v>
      </c>
      <c r="H236" s="2" t="s">
        <v>54</v>
      </c>
      <c r="I236" s="2" t="s">
        <v>420</v>
      </c>
      <c r="J236" s="2" t="s">
        <v>56</v>
      </c>
      <c r="K236" s="22">
        <v>590940000</v>
      </c>
      <c r="L236" s="2" t="s">
        <v>52</v>
      </c>
      <c r="M236" s="2" t="s">
        <v>1770</v>
      </c>
      <c r="N236" s="2" t="s">
        <v>45</v>
      </c>
      <c r="O236" s="2" t="s">
        <v>4304</v>
      </c>
      <c r="P236" s="22">
        <v>0</v>
      </c>
      <c r="Q236" s="2" t="s">
        <v>4305</v>
      </c>
      <c r="R236" s="2" t="s">
        <v>225</v>
      </c>
      <c r="S236" s="2" t="s">
        <v>174</v>
      </c>
      <c r="T236" s="2" t="s">
        <v>115</v>
      </c>
      <c r="U236" s="2" t="s">
        <v>53</v>
      </c>
      <c r="V236" s="2" t="s">
        <v>2886</v>
      </c>
      <c r="W236" s="22">
        <v>0.128</v>
      </c>
    </row>
    <row r="237" spans="1:23" x14ac:dyDescent="0.2">
      <c r="A237" s="2" t="s">
        <v>476</v>
      </c>
      <c r="B237" s="2" t="s">
        <v>479</v>
      </c>
      <c r="C237" s="2" t="s">
        <v>57</v>
      </c>
      <c r="D237" s="2" t="s">
        <v>45</v>
      </c>
      <c r="E237" s="2" t="s">
        <v>2042</v>
      </c>
      <c r="F237" s="2" t="s">
        <v>2043</v>
      </c>
      <c r="G237" s="2" t="s">
        <v>2044</v>
      </c>
      <c r="H237" s="2" t="s">
        <v>54</v>
      </c>
      <c r="I237" s="2" t="s">
        <v>55</v>
      </c>
      <c r="J237" s="2" t="s">
        <v>56</v>
      </c>
      <c r="K237" s="22">
        <v>11601400</v>
      </c>
      <c r="L237" s="2" t="s">
        <v>52</v>
      </c>
      <c r="M237" s="2" t="s">
        <v>1770</v>
      </c>
      <c r="N237" s="2" t="s">
        <v>45</v>
      </c>
      <c r="O237" s="2" t="s">
        <v>897</v>
      </c>
      <c r="P237" s="22">
        <v>0.375</v>
      </c>
      <c r="Q237" s="2" t="s">
        <v>4306</v>
      </c>
      <c r="R237" s="2" t="s">
        <v>225</v>
      </c>
      <c r="S237" s="2" t="s">
        <v>483</v>
      </c>
      <c r="T237" s="2" t="s">
        <v>115</v>
      </c>
      <c r="U237" s="2" t="s">
        <v>53</v>
      </c>
      <c r="V237" s="2" t="s">
        <v>2045</v>
      </c>
      <c r="W237" s="2" t="s">
        <v>54</v>
      </c>
    </row>
    <row r="238" spans="1:23" x14ac:dyDescent="0.2">
      <c r="A238" s="2" t="s">
        <v>1525</v>
      </c>
      <c r="B238" s="2" t="s">
        <v>1528</v>
      </c>
      <c r="C238" s="2" t="s">
        <v>57</v>
      </c>
      <c r="D238" s="2" t="s">
        <v>184</v>
      </c>
      <c r="E238" s="2" t="s">
        <v>3004</v>
      </c>
      <c r="F238" s="2" t="s">
        <v>3005</v>
      </c>
      <c r="G238" s="2" t="s">
        <v>3006</v>
      </c>
      <c r="H238" s="2" t="s">
        <v>54</v>
      </c>
      <c r="I238" s="2" t="s">
        <v>420</v>
      </c>
      <c r="J238" s="2" t="s">
        <v>56</v>
      </c>
      <c r="K238" s="22">
        <v>580950000</v>
      </c>
      <c r="L238" s="2" t="s">
        <v>52</v>
      </c>
      <c r="M238" s="2" t="s">
        <v>1775</v>
      </c>
      <c r="N238" s="2" t="s">
        <v>184</v>
      </c>
      <c r="O238" s="2" t="s">
        <v>1187</v>
      </c>
      <c r="P238" s="22">
        <v>0.125</v>
      </c>
      <c r="Q238" s="2" t="s">
        <v>1188</v>
      </c>
      <c r="R238" s="2" t="s">
        <v>3007</v>
      </c>
      <c r="S238" s="2" t="s">
        <v>619</v>
      </c>
      <c r="T238" s="2" t="s">
        <v>115</v>
      </c>
      <c r="U238" s="2" t="s">
        <v>53</v>
      </c>
      <c r="V238" s="2" t="s">
        <v>3008</v>
      </c>
      <c r="W238" s="22">
        <v>0.29499999999999998</v>
      </c>
    </row>
    <row r="239" spans="1:23" x14ac:dyDescent="0.2">
      <c r="A239" s="2" t="s">
        <v>1335</v>
      </c>
      <c r="B239" s="2" t="s">
        <v>1338</v>
      </c>
      <c r="C239" s="2" t="s">
        <v>71</v>
      </c>
      <c r="D239" s="2" t="s">
        <v>1339</v>
      </c>
      <c r="E239" s="2" t="s">
        <v>2343</v>
      </c>
      <c r="F239" s="2" t="s">
        <v>2344</v>
      </c>
      <c r="G239" s="2" t="s">
        <v>2345</v>
      </c>
      <c r="H239" s="2" t="s">
        <v>54</v>
      </c>
      <c r="I239" s="2" t="s">
        <v>55</v>
      </c>
      <c r="J239" s="2" t="s">
        <v>56</v>
      </c>
      <c r="K239" s="22">
        <v>23292282</v>
      </c>
      <c r="L239" s="2" t="s">
        <v>52</v>
      </c>
      <c r="M239" s="2" t="s">
        <v>1770</v>
      </c>
      <c r="N239" s="2" t="s">
        <v>169</v>
      </c>
      <c r="O239" s="2" t="s">
        <v>4307</v>
      </c>
      <c r="P239" s="22">
        <v>0.35</v>
      </c>
      <c r="Q239" s="2" t="s">
        <v>4215</v>
      </c>
      <c r="R239" s="2" t="s">
        <v>225</v>
      </c>
      <c r="S239" s="2" t="s">
        <v>54</v>
      </c>
      <c r="T239" s="2" t="s">
        <v>49</v>
      </c>
      <c r="U239" s="2" t="s">
        <v>975</v>
      </c>
      <c r="V239" s="2" t="s">
        <v>2346</v>
      </c>
      <c r="W239" s="22">
        <v>0.36199999999999999</v>
      </c>
    </row>
    <row r="240" spans="1:23" x14ac:dyDescent="0.2">
      <c r="A240" s="2" t="s">
        <v>476</v>
      </c>
      <c r="B240" s="2" t="s">
        <v>479</v>
      </c>
      <c r="C240" s="2" t="s">
        <v>57</v>
      </c>
      <c r="D240" s="2" t="s">
        <v>45</v>
      </c>
      <c r="E240" s="2" t="s">
        <v>2046</v>
      </c>
      <c r="F240" s="2" t="s">
        <v>2047</v>
      </c>
      <c r="G240" s="2" t="s">
        <v>2048</v>
      </c>
      <c r="H240" s="2" t="s">
        <v>54</v>
      </c>
      <c r="I240" s="2" t="s">
        <v>55</v>
      </c>
      <c r="J240" s="2" t="s">
        <v>56</v>
      </c>
      <c r="K240" s="22">
        <v>9244480</v>
      </c>
      <c r="L240" s="2" t="s">
        <v>482</v>
      </c>
      <c r="M240" s="2" t="s">
        <v>173</v>
      </c>
      <c r="N240" s="2" t="s">
        <v>45</v>
      </c>
      <c r="O240" s="2" t="s">
        <v>4307</v>
      </c>
      <c r="P240" s="22">
        <v>0.4</v>
      </c>
      <c r="Q240" s="2" t="s">
        <v>4308</v>
      </c>
      <c r="R240" s="2" t="s">
        <v>225</v>
      </c>
      <c r="S240" s="2" t="s">
        <v>483</v>
      </c>
      <c r="T240" s="2" t="s">
        <v>115</v>
      </c>
      <c r="U240" s="2" t="s">
        <v>53</v>
      </c>
      <c r="V240" s="2" t="s">
        <v>2049</v>
      </c>
      <c r="W240" s="2" t="s">
        <v>54</v>
      </c>
    </row>
    <row r="241" spans="1:23" x14ac:dyDescent="0.2">
      <c r="A241" s="2" t="s">
        <v>476</v>
      </c>
      <c r="B241" s="2" t="s">
        <v>479</v>
      </c>
      <c r="C241" s="2" t="s">
        <v>57</v>
      </c>
      <c r="D241" s="2" t="s">
        <v>45</v>
      </c>
      <c r="E241" s="2" t="s">
        <v>2050</v>
      </c>
      <c r="F241" s="2" t="s">
        <v>2051</v>
      </c>
      <c r="G241" s="2" t="s">
        <v>2052</v>
      </c>
      <c r="H241" s="2" t="s">
        <v>54</v>
      </c>
      <c r="I241" s="2" t="s">
        <v>55</v>
      </c>
      <c r="J241" s="2" t="s">
        <v>56</v>
      </c>
      <c r="K241" s="22">
        <v>23111200</v>
      </c>
      <c r="L241" s="2" t="s">
        <v>482</v>
      </c>
      <c r="M241" s="2" t="s">
        <v>173</v>
      </c>
      <c r="N241" s="2" t="s">
        <v>45</v>
      </c>
      <c r="O241" s="2" t="s">
        <v>4307</v>
      </c>
      <c r="P241" s="22">
        <v>0.46</v>
      </c>
      <c r="Q241" s="2" t="s">
        <v>4308</v>
      </c>
      <c r="R241" s="2" t="s">
        <v>225</v>
      </c>
      <c r="S241" s="2" t="s">
        <v>483</v>
      </c>
      <c r="T241" s="2" t="s">
        <v>115</v>
      </c>
      <c r="U241" s="2" t="s">
        <v>53</v>
      </c>
      <c r="V241" s="2" t="s">
        <v>2053</v>
      </c>
      <c r="W241" s="2" t="s">
        <v>54</v>
      </c>
    </row>
    <row r="242" spans="1:23" x14ac:dyDescent="0.2">
      <c r="A242" s="2" t="s">
        <v>165</v>
      </c>
      <c r="B242" s="2" t="s">
        <v>168</v>
      </c>
      <c r="C242" s="2" t="s">
        <v>57</v>
      </c>
      <c r="D242" s="2" t="s">
        <v>170</v>
      </c>
      <c r="E242" s="2" t="s">
        <v>2658</v>
      </c>
      <c r="F242" s="2" t="s">
        <v>2659</v>
      </c>
      <c r="G242" s="2" t="s">
        <v>2660</v>
      </c>
      <c r="H242" s="2" t="s">
        <v>54</v>
      </c>
      <c r="I242" s="2" t="s">
        <v>55</v>
      </c>
      <c r="J242" s="2" t="s">
        <v>56</v>
      </c>
      <c r="K242" s="22">
        <v>347044643</v>
      </c>
      <c r="L242" s="2" t="s">
        <v>52</v>
      </c>
      <c r="M242" s="2" t="s">
        <v>1770</v>
      </c>
      <c r="N242" s="2" t="s">
        <v>169</v>
      </c>
      <c r="O242" s="2" t="s">
        <v>4309</v>
      </c>
      <c r="P242" s="22">
        <v>1.375</v>
      </c>
      <c r="Q242" s="2" t="s">
        <v>4310</v>
      </c>
      <c r="R242" s="2" t="s">
        <v>225</v>
      </c>
      <c r="S242" s="2" t="s">
        <v>174</v>
      </c>
      <c r="T242" s="2" t="s">
        <v>49</v>
      </c>
      <c r="U242" s="2" t="s">
        <v>53</v>
      </c>
      <c r="V242" s="2" t="s">
        <v>2661</v>
      </c>
      <c r="W242" s="22">
        <v>1.1859999999999999</v>
      </c>
    </row>
    <row r="243" spans="1:23" x14ac:dyDescent="0.2">
      <c r="A243" s="2" t="s">
        <v>476</v>
      </c>
      <c r="B243" s="2" t="s">
        <v>479</v>
      </c>
      <c r="C243" s="2" t="s">
        <v>57</v>
      </c>
      <c r="D243" s="2" t="s">
        <v>45</v>
      </c>
      <c r="E243" s="2" t="s">
        <v>2054</v>
      </c>
      <c r="F243" s="2" t="s">
        <v>2055</v>
      </c>
      <c r="G243" s="2" t="s">
        <v>2056</v>
      </c>
      <c r="H243" s="2" t="s">
        <v>54</v>
      </c>
      <c r="I243" s="2" t="s">
        <v>55</v>
      </c>
      <c r="J243" s="2" t="s">
        <v>56</v>
      </c>
      <c r="K243" s="22">
        <v>1162170000</v>
      </c>
      <c r="L243" s="2" t="s">
        <v>458</v>
      </c>
      <c r="M243" s="2" t="s">
        <v>1770</v>
      </c>
      <c r="N243" s="2" t="s">
        <v>45</v>
      </c>
      <c r="O243" s="2" t="s">
        <v>4311</v>
      </c>
      <c r="P243" s="22">
        <v>0.125</v>
      </c>
      <c r="Q243" s="2" t="s">
        <v>4312</v>
      </c>
      <c r="R243" s="2" t="s">
        <v>225</v>
      </c>
      <c r="S243" s="2" t="s">
        <v>189</v>
      </c>
      <c r="T243" s="2" t="s">
        <v>49</v>
      </c>
      <c r="U243" s="2" t="s">
        <v>53</v>
      </c>
      <c r="V243" s="2" t="s">
        <v>2057</v>
      </c>
      <c r="W243" s="22">
        <v>0.114</v>
      </c>
    </row>
    <row r="244" spans="1:23" x14ac:dyDescent="0.2">
      <c r="A244" s="2" t="s">
        <v>476</v>
      </c>
      <c r="B244" s="2" t="s">
        <v>479</v>
      </c>
      <c r="C244" s="2" t="s">
        <v>57</v>
      </c>
      <c r="D244" s="2" t="s">
        <v>45</v>
      </c>
      <c r="E244" s="2" t="s">
        <v>2058</v>
      </c>
      <c r="F244" s="2" t="s">
        <v>2059</v>
      </c>
      <c r="G244" s="2" t="s">
        <v>2060</v>
      </c>
      <c r="H244" s="2" t="s">
        <v>54</v>
      </c>
      <c r="I244" s="2" t="s">
        <v>55</v>
      </c>
      <c r="J244" s="2" t="s">
        <v>56</v>
      </c>
      <c r="K244" s="22">
        <v>17454150</v>
      </c>
      <c r="L244" s="2" t="s">
        <v>482</v>
      </c>
      <c r="M244" s="2" t="s">
        <v>173</v>
      </c>
      <c r="N244" s="2" t="s">
        <v>45</v>
      </c>
      <c r="O244" s="2" t="s">
        <v>4313</v>
      </c>
      <c r="P244" s="22">
        <v>0.01</v>
      </c>
      <c r="Q244" s="2" t="s">
        <v>4314</v>
      </c>
      <c r="R244" s="2" t="s">
        <v>225</v>
      </c>
      <c r="S244" s="2" t="s">
        <v>483</v>
      </c>
      <c r="T244" s="2" t="s">
        <v>49</v>
      </c>
      <c r="U244" s="2" t="s">
        <v>53</v>
      </c>
      <c r="V244" s="2" t="s">
        <v>2061</v>
      </c>
      <c r="W244" s="2" t="s">
        <v>54</v>
      </c>
    </row>
    <row r="245" spans="1:23" x14ac:dyDescent="0.2">
      <c r="A245" s="2" t="s">
        <v>476</v>
      </c>
      <c r="B245" s="2" t="s">
        <v>479</v>
      </c>
      <c r="C245" s="2" t="s">
        <v>57</v>
      </c>
      <c r="D245" s="2" t="s">
        <v>45</v>
      </c>
      <c r="E245" s="2" t="s">
        <v>2062</v>
      </c>
      <c r="F245" s="2" t="s">
        <v>2063</v>
      </c>
      <c r="G245" s="2" t="s">
        <v>2064</v>
      </c>
      <c r="H245" s="2" t="s">
        <v>54</v>
      </c>
      <c r="I245" s="2" t="s">
        <v>55</v>
      </c>
      <c r="J245" s="2" t="s">
        <v>56</v>
      </c>
      <c r="K245" s="22">
        <v>23024600</v>
      </c>
      <c r="L245" s="2" t="s">
        <v>482</v>
      </c>
      <c r="M245" s="2" t="s">
        <v>1839</v>
      </c>
      <c r="N245" s="2" t="s">
        <v>45</v>
      </c>
      <c r="O245" s="2" t="s">
        <v>936</v>
      </c>
      <c r="P245" s="22">
        <v>0.05</v>
      </c>
      <c r="Q245" s="2" t="s">
        <v>945</v>
      </c>
      <c r="R245" s="2" t="s">
        <v>225</v>
      </c>
      <c r="S245" s="2" t="s">
        <v>483</v>
      </c>
      <c r="T245" s="2" t="s">
        <v>49</v>
      </c>
      <c r="U245" s="2" t="s">
        <v>53</v>
      </c>
      <c r="V245" s="2" t="s">
        <v>2065</v>
      </c>
      <c r="W245" s="2" t="s">
        <v>54</v>
      </c>
    </row>
    <row r="246" spans="1:23" x14ac:dyDescent="0.2">
      <c r="A246" s="2" t="s">
        <v>476</v>
      </c>
      <c r="B246" s="2" t="s">
        <v>479</v>
      </c>
      <c r="C246" s="2" t="s">
        <v>57</v>
      </c>
      <c r="D246" s="2" t="s">
        <v>45</v>
      </c>
      <c r="E246" s="2" t="s">
        <v>2066</v>
      </c>
      <c r="F246" s="2" t="s">
        <v>2067</v>
      </c>
      <c r="G246" s="2" t="s">
        <v>2068</v>
      </c>
      <c r="H246" s="2" t="s">
        <v>54</v>
      </c>
      <c r="I246" s="2" t="s">
        <v>55</v>
      </c>
      <c r="J246" s="2" t="s">
        <v>56</v>
      </c>
      <c r="K246" s="22">
        <v>11369800</v>
      </c>
      <c r="L246" s="2" t="s">
        <v>482</v>
      </c>
      <c r="M246" s="2" t="s">
        <v>173</v>
      </c>
      <c r="N246" s="2" t="s">
        <v>45</v>
      </c>
      <c r="O246" s="2" t="s">
        <v>1102</v>
      </c>
      <c r="P246" s="22">
        <v>1.4999999999999999E-2</v>
      </c>
      <c r="Q246" s="2" t="s">
        <v>4315</v>
      </c>
      <c r="R246" s="2" t="s">
        <v>225</v>
      </c>
      <c r="S246" s="2" t="s">
        <v>483</v>
      </c>
      <c r="T246" s="2" t="s">
        <v>49</v>
      </c>
      <c r="U246" s="2" t="s">
        <v>53</v>
      </c>
      <c r="V246" s="2" t="s">
        <v>2069</v>
      </c>
      <c r="W246" s="2" t="s">
        <v>54</v>
      </c>
    </row>
    <row r="247" spans="1:23" x14ac:dyDescent="0.2">
      <c r="A247" s="2" t="s">
        <v>657</v>
      </c>
      <c r="B247" s="2" t="s">
        <v>660</v>
      </c>
      <c r="C247" s="2" t="s">
        <v>71</v>
      </c>
      <c r="D247" s="2" t="s">
        <v>185</v>
      </c>
      <c r="E247" s="2" t="s">
        <v>2791</v>
      </c>
      <c r="F247" s="2" t="s">
        <v>2792</v>
      </c>
      <c r="G247" s="2" t="s">
        <v>2793</v>
      </c>
      <c r="H247" s="22">
        <v>2.7199999999999998</v>
      </c>
      <c r="I247" s="2" t="s">
        <v>55</v>
      </c>
      <c r="J247" s="2" t="s">
        <v>56</v>
      </c>
      <c r="K247" s="22">
        <v>1000000000</v>
      </c>
      <c r="L247" s="2" t="s">
        <v>52</v>
      </c>
      <c r="M247" s="2" t="s">
        <v>1775</v>
      </c>
      <c r="N247" s="2" t="s">
        <v>169</v>
      </c>
      <c r="O247" s="2" t="s">
        <v>1149</v>
      </c>
      <c r="P247" s="22">
        <v>2.5</v>
      </c>
      <c r="Q247" s="2" t="s">
        <v>3980</v>
      </c>
      <c r="R247" s="2" t="s">
        <v>261</v>
      </c>
      <c r="S247" s="2" t="s">
        <v>263</v>
      </c>
      <c r="T247" s="2" t="s">
        <v>115</v>
      </c>
      <c r="U247" s="2" t="s">
        <v>262</v>
      </c>
      <c r="V247" s="2" t="s">
        <v>2794</v>
      </c>
      <c r="W247" s="22">
        <v>2.6749999999999998</v>
      </c>
    </row>
    <row r="248" spans="1:23" x14ac:dyDescent="0.2">
      <c r="A248" s="2" t="s">
        <v>657</v>
      </c>
      <c r="B248" s="2" t="s">
        <v>660</v>
      </c>
      <c r="C248" s="2" t="s">
        <v>71</v>
      </c>
      <c r="D248" s="2" t="s">
        <v>185</v>
      </c>
      <c r="E248" s="2" t="s">
        <v>2795</v>
      </c>
      <c r="F248" s="2" t="s">
        <v>2796</v>
      </c>
      <c r="G248" s="2" t="s">
        <v>2797</v>
      </c>
      <c r="H248" s="22">
        <v>2.72</v>
      </c>
      <c r="I248" s="2" t="s">
        <v>55</v>
      </c>
      <c r="J248" s="2" t="s">
        <v>56</v>
      </c>
      <c r="K248" s="22">
        <v>1000000000</v>
      </c>
      <c r="L248" s="2" t="s">
        <v>52</v>
      </c>
      <c r="M248" s="2" t="s">
        <v>1775</v>
      </c>
      <c r="N248" s="2" t="s">
        <v>169</v>
      </c>
      <c r="O248" s="2" t="s">
        <v>1149</v>
      </c>
      <c r="P248" s="22">
        <v>2.5</v>
      </c>
      <c r="Q248" s="2" t="s">
        <v>3980</v>
      </c>
      <c r="R248" s="2" t="s">
        <v>270</v>
      </c>
      <c r="S248" s="2" t="s">
        <v>263</v>
      </c>
      <c r="T248" s="2" t="s">
        <v>115</v>
      </c>
      <c r="U248" s="2" t="s">
        <v>262</v>
      </c>
      <c r="V248" s="2" t="s">
        <v>2798</v>
      </c>
      <c r="W248" s="22">
        <v>2.7069999999999999</v>
      </c>
    </row>
    <row r="249" spans="1:23" x14ac:dyDescent="0.2">
      <c r="A249" s="2" t="s">
        <v>476</v>
      </c>
      <c r="B249" s="2" t="s">
        <v>479</v>
      </c>
      <c r="C249" s="2" t="s">
        <v>57</v>
      </c>
      <c r="D249" s="2" t="s">
        <v>45</v>
      </c>
      <c r="E249" s="2" t="s">
        <v>2070</v>
      </c>
      <c r="F249" s="2" t="s">
        <v>2071</v>
      </c>
      <c r="G249" s="2" t="s">
        <v>2072</v>
      </c>
      <c r="H249" s="2" t="s">
        <v>54</v>
      </c>
      <c r="I249" s="2" t="s">
        <v>55</v>
      </c>
      <c r="J249" s="2" t="s">
        <v>56</v>
      </c>
      <c r="K249" s="22">
        <v>20939965</v>
      </c>
      <c r="L249" s="2" t="s">
        <v>482</v>
      </c>
      <c r="M249" s="2" t="s">
        <v>1770</v>
      </c>
      <c r="N249" s="2" t="s">
        <v>45</v>
      </c>
      <c r="O249" s="2" t="s">
        <v>4316</v>
      </c>
      <c r="P249" s="22">
        <v>0.34899999999999998</v>
      </c>
      <c r="Q249" s="2" t="s">
        <v>4317</v>
      </c>
      <c r="R249" s="2" t="s">
        <v>225</v>
      </c>
      <c r="S249" s="2" t="s">
        <v>483</v>
      </c>
      <c r="T249" s="2" t="s">
        <v>49</v>
      </c>
      <c r="U249" s="2" t="s">
        <v>53</v>
      </c>
      <c r="V249" s="2" t="s">
        <v>2073</v>
      </c>
      <c r="W249" s="2" t="s">
        <v>54</v>
      </c>
    </row>
    <row r="250" spans="1:23" x14ac:dyDescent="0.2">
      <c r="A250" s="2" t="s">
        <v>335</v>
      </c>
      <c r="B250" s="2" t="s">
        <v>338</v>
      </c>
      <c r="C250" s="2" t="s">
        <v>57</v>
      </c>
      <c r="D250" s="2" t="s">
        <v>45</v>
      </c>
      <c r="E250" s="2" t="s">
        <v>3458</v>
      </c>
      <c r="F250" s="2" t="s">
        <v>173</v>
      </c>
      <c r="G250" s="2" t="s">
        <v>3459</v>
      </c>
      <c r="H250" s="2" t="s">
        <v>54</v>
      </c>
      <c r="I250" s="2" t="s">
        <v>55</v>
      </c>
      <c r="J250" s="2" t="s">
        <v>56</v>
      </c>
      <c r="K250" s="22">
        <v>28276500</v>
      </c>
      <c r="L250" s="2" t="s">
        <v>52</v>
      </c>
      <c r="M250" s="2" t="s">
        <v>173</v>
      </c>
      <c r="N250" s="2" t="s">
        <v>45</v>
      </c>
      <c r="O250" s="2" t="s">
        <v>4318</v>
      </c>
      <c r="P250" s="22">
        <v>0.8</v>
      </c>
      <c r="Q250" s="2" t="s">
        <v>4319</v>
      </c>
      <c r="R250" s="2" t="s">
        <v>69</v>
      </c>
      <c r="S250" s="2" t="s">
        <v>54</v>
      </c>
      <c r="T250" s="2" t="s">
        <v>49</v>
      </c>
      <c r="U250" s="2" t="s">
        <v>53</v>
      </c>
      <c r="V250" s="2" t="s">
        <v>3460</v>
      </c>
      <c r="W250" s="2" t="s">
        <v>54</v>
      </c>
    </row>
    <row r="251" spans="1:23" x14ac:dyDescent="0.2">
      <c r="A251" s="2" t="s">
        <v>476</v>
      </c>
      <c r="B251" s="2" t="s">
        <v>479</v>
      </c>
      <c r="C251" s="2" t="s">
        <v>57</v>
      </c>
      <c r="D251" s="2" t="s">
        <v>45</v>
      </c>
      <c r="E251" s="2" t="s">
        <v>2074</v>
      </c>
      <c r="F251" s="2" t="s">
        <v>2075</v>
      </c>
      <c r="G251" s="2" t="s">
        <v>2076</v>
      </c>
      <c r="H251" s="22">
        <v>0.29199999999999998</v>
      </c>
      <c r="I251" s="2" t="s">
        <v>55</v>
      </c>
      <c r="J251" s="2" t="s">
        <v>56</v>
      </c>
      <c r="K251" s="22">
        <v>11461300</v>
      </c>
      <c r="L251" s="2" t="s">
        <v>482</v>
      </c>
      <c r="M251" s="2" t="s">
        <v>1770</v>
      </c>
      <c r="N251" s="2" t="s">
        <v>45</v>
      </c>
      <c r="O251" s="2" t="s">
        <v>4320</v>
      </c>
      <c r="P251" s="22">
        <v>0.29199999999999998</v>
      </c>
      <c r="Q251" s="2" t="s">
        <v>4321</v>
      </c>
      <c r="R251" s="2" t="s">
        <v>225</v>
      </c>
      <c r="S251" s="2" t="s">
        <v>483</v>
      </c>
      <c r="T251" s="2" t="s">
        <v>49</v>
      </c>
      <c r="U251" s="2" t="s">
        <v>53</v>
      </c>
      <c r="V251" s="2" t="s">
        <v>2077</v>
      </c>
      <c r="W251" s="2" t="s">
        <v>54</v>
      </c>
    </row>
    <row r="252" spans="1:23" x14ac:dyDescent="0.2">
      <c r="A252" s="2" t="s">
        <v>476</v>
      </c>
      <c r="B252" s="2" t="s">
        <v>479</v>
      </c>
      <c r="C252" s="2" t="s">
        <v>57</v>
      </c>
      <c r="D252" s="2" t="s">
        <v>45</v>
      </c>
      <c r="E252" s="2" t="s">
        <v>2078</v>
      </c>
      <c r="F252" s="2" t="s">
        <v>2079</v>
      </c>
      <c r="G252" s="2" t="s">
        <v>2080</v>
      </c>
      <c r="H252" s="2" t="s">
        <v>54</v>
      </c>
      <c r="I252" s="2" t="s">
        <v>55</v>
      </c>
      <c r="J252" s="2" t="s">
        <v>56</v>
      </c>
      <c r="K252" s="22">
        <v>17016150</v>
      </c>
      <c r="L252" s="2" t="s">
        <v>482</v>
      </c>
      <c r="M252" s="2" t="s">
        <v>173</v>
      </c>
      <c r="N252" s="2" t="s">
        <v>45</v>
      </c>
      <c r="O252" s="2" t="s">
        <v>4322</v>
      </c>
      <c r="P252" s="22">
        <v>0.16</v>
      </c>
      <c r="Q252" s="2" t="s">
        <v>4323</v>
      </c>
      <c r="R252" s="2" t="s">
        <v>225</v>
      </c>
      <c r="S252" s="2" t="s">
        <v>483</v>
      </c>
      <c r="T252" s="2" t="s">
        <v>49</v>
      </c>
      <c r="U252" s="2" t="s">
        <v>53</v>
      </c>
      <c r="V252" s="2" t="s">
        <v>2081</v>
      </c>
      <c r="W252" s="2" t="s">
        <v>54</v>
      </c>
    </row>
    <row r="253" spans="1:23" x14ac:dyDescent="0.2">
      <c r="A253" s="2" t="s">
        <v>476</v>
      </c>
      <c r="B253" s="2" t="s">
        <v>479</v>
      </c>
      <c r="C253" s="2" t="s">
        <v>57</v>
      </c>
      <c r="D253" s="2" t="s">
        <v>45</v>
      </c>
      <c r="E253" s="2" t="s">
        <v>2082</v>
      </c>
      <c r="F253" s="2" t="s">
        <v>2083</v>
      </c>
      <c r="G253" s="2" t="s">
        <v>2084</v>
      </c>
      <c r="H253" s="2" t="s">
        <v>54</v>
      </c>
      <c r="I253" s="2" t="s">
        <v>55</v>
      </c>
      <c r="J253" s="2" t="s">
        <v>56</v>
      </c>
      <c r="K253" s="22">
        <v>22645400</v>
      </c>
      <c r="L253" s="2" t="s">
        <v>482</v>
      </c>
      <c r="M253" s="2" t="s">
        <v>173</v>
      </c>
      <c r="N253" s="2" t="s">
        <v>45</v>
      </c>
      <c r="O253" s="2" t="s">
        <v>4324</v>
      </c>
      <c r="P253" s="22">
        <v>0.44800000000000001</v>
      </c>
      <c r="Q253" s="2" t="s">
        <v>4312</v>
      </c>
      <c r="R253" s="2" t="s">
        <v>225</v>
      </c>
      <c r="S253" s="2" t="s">
        <v>483</v>
      </c>
      <c r="T253" s="2" t="s">
        <v>49</v>
      </c>
      <c r="U253" s="2" t="s">
        <v>53</v>
      </c>
      <c r="V253" s="2" t="s">
        <v>2085</v>
      </c>
      <c r="W253" s="2" t="s">
        <v>54</v>
      </c>
    </row>
    <row r="254" spans="1:23" x14ac:dyDescent="0.2">
      <c r="A254" s="2" t="s">
        <v>916</v>
      </c>
      <c r="B254" s="2" t="s">
        <v>919</v>
      </c>
      <c r="C254" s="2" t="s">
        <v>391</v>
      </c>
      <c r="D254" s="2" t="s">
        <v>184</v>
      </c>
      <c r="E254" s="2" t="s">
        <v>2920</v>
      </c>
      <c r="F254" s="2" t="s">
        <v>2921</v>
      </c>
      <c r="G254" s="2" t="s">
        <v>2922</v>
      </c>
      <c r="H254" s="2" t="s">
        <v>54</v>
      </c>
      <c r="I254" s="2" t="s">
        <v>420</v>
      </c>
      <c r="J254" s="2" t="s">
        <v>56</v>
      </c>
      <c r="K254" s="22">
        <v>56771000</v>
      </c>
      <c r="L254" s="2" t="s">
        <v>458</v>
      </c>
      <c r="M254" s="2" t="s">
        <v>173</v>
      </c>
      <c r="N254" s="2" t="s">
        <v>184</v>
      </c>
      <c r="O254" s="2" t="s">
        <v>4325</v>
      </c>
      <c r="P254" s="22">
        <v>-0.16</v>
      </c>
      <c r="Q254" s="2" t="s">
        <v>4326</v>
      </c>
      <c r="R254" s="2" t="s">
        <v>2923</v>
      </c>
      <c r="S254" s="2" t="s">
        <v>54</v>
      </c>
      <c r="T254" s="2" t="s">
        <v>49</v>
      </c>
      <c r="U254" s="2" t="s">
        <v>53</v>
      </c>
      <c r="V254" s="2" t="s">
        <v>2924</v>
      </c>
      <c r="W254" s="2" t="s">
        <v>54</v>
      </c>
    </row>
    <row r="255" spans="1:23" x14ac:dyDescent="0.2">
      <c r="A255" s="2" t="s">
        <v>476</v>
      </c>
      <c r="B255" s="2" t="s">
        <v>479</v>
      </c>
      <c r="C255" s="2" t="s">
        <v>57</v>
      </c>
      <c r="D255" s="2" t="s">
        <v>45</v>
      </c>
      <c r="E255" s="2" t="s">
        <v>2086</v>
      </c>
      <c r="F255" s="2" t="s">
        <v>2087</v>
      </c>
      <c r="G255" s="2" t="s">
        <v>2088</v>
      </c>
      <c r="H255" s="2" t="s">
        <v>54</v>
      </c>
      <c r="I255" s="2" t="s">
        <v>55</v>
      </c>
      <c r="J255" s="2" t="s">
        <v>56</v>
      </c>
      <c r="K255" s="22">
        <v>22688200</v>
      </c>
      <c r="L255" s="2" t="s">
        <v>458</v>
      </c>
      <c r="M255" s="2" t="s">
        <v>173</v>
      </c>
      <c r="N255" s="2" t="s">
        <v>45</v>
      </c>
      <c r="O255" s="2" t="s">
        <v>4322</v>
      </c>
      <c r="P255" s="22">
        <v>0.33500000000000002</v>
      </c>
      <c r="Q255" s="2" t="s">
        <v>4327</v>
      </c>
      <c r="R255" s="2" t="s">
        <v>225</v>
      </c>
      <c r="S255" s="2" t="s">
        <v>189</v>
      </c>
      <c r="T255" s="2" t="s">
        <v>49</v>
      </c>
      <c r="U255" s="2" t="s">
        <v>53</v>
      </c>
      <c r="V255" s="2" t="s">
        <v>2089</v>
      </c>
      <c r="W255" s="2" t="s">
        <v>54</v>
      </c>
    </row>
    <row r="256" spans="1:23" x14ac:dyDescent="0.2">
      <c r="A256" s="2" t="s">
        <v>476</v>
      </c>
      <c r="B256" s="2" t="s">
        <v>479</v>
      </c>
      <c r="C256" s="2" t="s">
        <v>57</v>
      </c>
      <c r="D256" s="2" t="s">
        <v>45</v>
      </c>
      <c r="E256" s="2" t="s">
        <v>2090</v>
      </c>
      <c r="F256" s="2" t="s">
        <v>2091</v>
      </c>
      <c r="G256" s="2" t="s">
        <v>2092</v>
      </c>
      <c r="H256" s="2" t="s">
        <v>54</v>
      </c>
      <c r="I256" s="2" t="s">
        <v>55</v>
      </c>
      <c r="J256" s="2" t="s">
        <v>56</v>
      </c>
      <c r="K256" s="22">
        <v>28398250</v>
      </c>
      <c r="L256" s="2" t="s">
        <v>458</v>
      </c>
      <c r="M256" s="2" t="s">
        <v>173</v>
      </c>
      <c r="N256" s="2" t="s">
        <v>45</v>
      </c>
      <c r="O256" s="2" t="s">
        <v>4328</v>
      </c>
      <c r="P256" s="22">
        <v>0.28999999999999998</v>
      </c>
      <c r="Q256" s="2" t="s">
        <v>4329</v>
      </c>
      <c r="R256" s="2" t="s">
        <v>225</v>
      </c>
      <c r="S256" s="2" t="s">
        <v>189</v>
      </c>
      <c r="T256" s="2" t="s">
        <v>49</v>
      </c>
      <c r="U256" s="2" t="s">
        <v>53</v>
      </c>
      <c r="V256" s="2" t="s">
        <v>2093</v>
      </c>
      <c r="W256" s="2" t="s">
        <v>54</v>
      </c>
    </row>
    <row r="257" spans="1:23" x14ac:dyDescent="0.2">
      <c r="A257" s="2" t="s">
        <v>476</v>
      </c>
      <c r="B257" s="2" t="s">
        <v>479</v>
      </c>
      <c r="C257" s="2" t="s">
        <v>57</v>
      </c>
      <c r="D257" s="2" t="s">
        <v>45</v>
      </c>
      <c r="E257" s="2" t="s">
        <v>2094</v>
      </c>
      <c r="F257" s="2" t="s">
        <v>2095</v>
      </c>
      <c r="G257" s="2" t="s">
        <v>2096</v>
      </c>
      <c r="H257" s="22">
        <v>0.67400000000000004</v>
      </c>
      <c r="I257" s="2" t="s">
        <v>55</v>
      </c>
      <c r="J257" s="2" t="s">
        <v>56</v>
      </c>
      <c r="K257" s="22">
        <v>558330000</v>
      </c>
      <c r="L257" s="2" t="s">
        <v>458</v>
      </c>
      <c r="M257" s="2" t="s">
        <v>173</v>
      </c>
      <c r="N257" s="2" t="s">
        <v>45</v>
      </c>
      <c r="O257" s="2" t="s">
        <v>1376</v>
      </c>
      <c r="P257" s="22">
        <v>0.625</v>
      </c>
      <c r="Q257" s="2" t="s">
        <v>4330</v>
      </c>
      <c r="R257" s="2" t="s">
        <v>225</v>
      </c>
      <c r="S257" s="2" t="s">
        <v>189</v>
      </c>
      <c r="T257" s="2" t="s">
        <v>49</v>
      </c>
      <c r="U257" s="2" t="s">
        <v>53</v>
      </c>
      <c r="V257" s="2" t="s">
        <v>2097</v>
      </c>
      <c r="W257" s="22">
        <v>0.65300000000000002</v>
      </c>
    </row>
    <row r="258" spans="1:23" x14ac:dyDescent="0.2">
      <c r="A258" s="2" t="s">
        <v>476</v>
      </c>
      <c r="B258" s="2" t="s">
        <v>479</v>
      </c>
      <c r="C258" s="2" t="s">
        <v>57</v>
      </c>
      <c r="D258" s="2" t="s">
        <v>45</v>
      </c>
      <c r="E258" s="2" t="s">
        <v>2098</v>
      </c>
      <c r="F258" s="2" t="s">
        <v>2099</v>
      </c>
      <c r="G258" s="2" t="s">
        <v>2100</v>
      </c>
      <c r="H258" s="2" t="s">
        <v>54</v>
      </c>
      <c r="I258" s="2" t="s">
        <v>55</v>
      </c>
      <c r="J258" s="2" t="s">
        <v>56</v>
      </c>
      <c r="K258" s="22">
        <v>11051200</v>
      </c>
      <c r="L258" s="2" t="s">
        <v>482</v>
      </c>
      <c r="M258" s="2" t="s">
        <v>173</v>
      </c>
      <c r="N258" s="2" t="s">
        <v>45</v>
      </c>
      <c r="O258" s="2" t="s">
        <v>4331</v>
      </c>
      <c r="P258" s="22">
        <v>0.42</v>
      </c>
      <c r="Q258" s="2" t="s">
        <v>4332</v>
      </c>
      <c r="R258" s="2" t="s">
        <v>225</v>
      </c>
      <c r="S258" s="2" t="s">
        <v>483</v>
      </c>
      <c r="T258" s="2" t="s">
        <v>49</v>
      </c>
      <c r="U258" s="2" t="s">
        <v>53</v>
      </c>
      <c r="V258" s="2" t="s">
        <v>2101</v>
      </c>
      <c r="W258" s="2" t="s">
        <v>54</v>
      </c>
    </row>
    <row r="259" spans="1:23" x14ac:dyDescent="0.2">
      <c r="A259" s="2" t="s">
        <v>476</v>
      </c>
      <c r="B259" s="2" t="s">
        <v>479</v>
      </c>
      <c r="C259" s="2" t="s">
        <v>57</v>
      </c>
      <c r="D259" s="2" t="s">
        <v>45</v>
      </c>
      <c r="E259" s="2" t="s">
        <v>2102</v>
      </c>
      <c r="F259" s="2" t="s">
        <v>2103</v>
      </c>
      <c r="G259" s="2" t="s">
        <v>2104</v>
      </c>
      <c r="H259" s="2" t="s">
        <v>54</v>
      </c>
      <c r="I259" s="2" t="s">
        <v>55</v>
      </c>
      <c r="J259" s="2" t="s">
        <v>56</v>
      </c>
      <c r="K259" s="22">
        <v>55256000</v>
      </c>
      <c r="L259" s="2" t="s">
        <v>482</v>
      </c>
      <c r="M259" s="2" t="s">
        <v>1770</v>
      </c>
      <c r="N259" s="2" t="s">
        <v>45</v>
      </c>
      <c r="O259" s="2" t="s">
        <v>4331</v>
      </c>
      <c r="P259" s="22">
        <v>0.45</v>
      </c>
      <c r="Q259" s="2" t="s">
        <v>4332</v>
      </c>
      <c r="R259" s="2" t="s">
        <v>225</v>
      </c>
      <c r="S259" s="2" t="s">
        <v>483</v>
      </c>
      <c r="T259" s="2" t="s">
        <v>49</v>
      </c>
      <c r="U259" s="2" t="s">
        <v>53</v>
      </c>
      <c r="V259" s="2" t="s">
        <v>2105</v>
      </c>
      <c r="W259" s="2" t="s">
        <v>54</v>
      </c>
    </row>
    <row r="260" spans="1:23" x14ac:dyDescent="0.2">
      <c r="A260" s="2" t="s">
        <v>1335</v>
      </c>
      <c r="B260" s="2" t="s">
        <v>1338</v>
      </c>
      <c r="C260" s="2" t="s">
        <v>71</v>
      </c>
      <c r="D260" s="2" t="s">
        <v>1339</v>
      </c>
      <c r="E260" s="2" t="s">
        <v>2347</v>
      </c>
      <c r="F260" s="2" t="s">
        <v>173</v>
      </c>
      <c r="G260" s="2" t="s">
        <v>2348</v>
      </c>
      <c r="H260" s="2" t="s">
        <v>54</v>
      </c>
      <c r="I260" s="2" t="s">
        <v>55</v>
      </c>
      <c r="J260" s="2" t="s">
        <v>70</v>
      </c>
      <c r="K260" s="22">
        <v>144731930</v>
      </c>
      <c r="L260" s="2" t="s">
        <v>52</v>
      </c>
      <c r="M260" s="2" t="s">
        <v>1770</v>
      </c>
      <c r="N260" s="2" t="s">
        <v>169</v>
      </c>
      <c r="O260" s="2" t="s">
        <v>1555</v>
      </c>
      <c r="P260" s="22">
        <v>0</v>
      </c>
      <c r="Q260" s="2" t="s">
        <v>4333</v>
      </c>
      <c r="R260" s="2" t="s">
        <v>157</v>
      </c>
      <c r="S260" s="2" t="s">
        <v>54</v>
      </c>
      <c r="T260" s="2" t="s">
        <v>49</v>
      </c>
      <c r="U260" s="2" t="s">
        <v>53</v>
      </c>
      <c r="V260" s="2" t="s">
        <v>2349</v>
      </c>
      <c r="W260" s="2" t="s">
        <v>54</v>
      </c>
    </row>
    <row r="261" spans="1:23" x14ac:dyDescent="0.2">
      <c r="A261" s="2" t="s">
        <v>1335</v>
      </c>
      <c r="B261" s="2" t="s">
        <v>1338</v>
      </c>
      <c r="C261" s="2" t="s">
        <v>71</v>
      </c>
      <c r="D261" s="2" t="s">
        <v>1339</v>
      </c>
      <c r="E261" s="2" t="s">
        <v>2350</v>
      </c>
      <c r="F261" s="2" t="s">
        <v>173</v>
      </c>
      <c r="G261" s="2" t="s">
        <v>2351</v>
      </c>
      <c r="H261" s="2" t="s">
        <v>54</v>
      </c>
      <c r="I261" s="2" t="s">
        <v>55</v>
      </c>
      <c r="J261" s="2" t="s">
        <v>70</v>
      </c>
      <c r="K261" s="22">
        <v>144731930</v>
      </c>
      <c r="L261" s="2" t="s">
        <v>52</v>
      </c>
      <c r="M261" s="2" t="s">
        <v>1770</v>
      </c>
      <c r="N261" s="2" t="s">
        <v>169</v>
      </c>
      <c r="O261" s="2" t="s">
        <v>1555</v>
      </c>
      <c r="P261" s="22">
        <v>0</v>
      </c>
      <c r="Q261" s="2" t="s">
        <v>4334</v>
      </c>
      <c r="R261" s="2" t="s">
        <v>161</v>
      </c>
      <c r="S261" s="2" t="s">
        <v>54</v>
      </c>
      <c r="T261" s="2" t="s">
        <v>49</v>
      </c>
      <c r="U261" s="2" t="s">
        <v>53</v>
      </c>
      <c r="V261" s="2" t="s">
        <v>2352</v>
      </c>
      <c r="W261" s="2" t="s">
        <v>54</v>
      </c>
    </row>
    <row r="262" spans="1:23" x14ac:dyDescent="0.2">
      <c r="A262" s="2" t="s">
        <v>476</v>
      </c>
      <c r="B262" s="2" t="s">
        <v>479</v>
      </c>
      <c r="C262" s="2" t="s">
        <v>57</v>
      </c>
      <c r="D262" s="2" t="s">
        <v>45</v>
      </c>
      <c r="E262" s="2" t="s">
        <v>2106</v>
      </c>
      <c r="F262" s="2" t="s">
        <v>2107</v>
      </c>
      <c r="G262" s="2" t="s">
        <v>2108</v>
      </c>
      <c r="H262" s="2" t="s">
        <v>54</v>
      </c>
      <c r="I262" s="2" t="s">
        <v>55</v>
      </c>
      <c r="J262" s="2" t="s">
        <v>56</v>
      </c>
      <c r="K262" s="22">
        <v>10938400</v>
      </c>
      <c r="L262" s="2" t="s">
        <v>482</v>
      </c>
      <c r="M262" s="2" t="s">
        <v>173</v>
      </c>
      <c r="N262" s="2" t="s">
        <v>45</v>
      </c>
      <c r="O262" s="2" t="s">
        <v>1443</v>
      </c>
      <c r="P262" s="22">
        <v>1.125</v>
      </c>
      <c r="Q262" s="2" t="s">
        <v>4335</v>
      </c>
      <c r="R262" s="2" t="s">
        <v>225</v>
      </c>
      <c r="S262" s="2" t="s">
        <v>483</v>
      </c>
      <c r="T262" s="2" t="s">
        <v>49</v>
      </c>
      <c r="U262" s="2" t="s">
        <v>53</v>
      </c>
      <c r="V262" s="2" t="s">
        <v>2109</v>
      </c>
      <c r="W262" s="2" t="s">
        <v>54</v>
      </c>
    </row>
    <row r="263" spans="1:23" x14ac:dyDescent="0.2">
      <c r="A263" s="2" t="s">
        <v>476</v>
      </c>
      <c r="B263" s="2" t="s">
        <v>479</v>
      </c>
      <c r="C263" s="2" t="s">
        <v>57</v>
      </c>
      <c r="D263" s="2" t="s">
        <v>45</v>
      </c>
      <c r="E263" s="2" t="s">
        <v>2110</v>
      </c>
      <c r="F263" s="2" t="s">
        <v>2111</v>
      </c>
      <c r="G263" s="2" t="s">
        <v>2112</v>
      </c>
      <c r="H263" s="2" t="s">
        <v>54</v>
      </c>
      <c r="I263" s="2" t="s">
        <v>55</v>
      </c>
      <c r="J263" s="2" t="s">
        <v>56</v>
      </c>
      <c r="K263" s="22">
        <v>27646750</v>
      </c>
      <c r="L263" s="2" t="s">
        <v>482</v>
      </c>
      <c r="M263" s="2" t="s">
        <v>1770</v>
      </c>
      <c r="N263" s="2" t="s">
        <v>45</v>
      </c>
      <c r="O263" s="2" t="s">
        <v>4336</v>
      </c>
      <c r="P263" s="22">
        <v>0.55000000000000004</v>
      </c>
      <c r="Q263" s="2" t="s">
        <v>4337</v>
      </c>
      <c r="R263" s="2" t="s">
        <v>225</v>
      </c>
      <c r="S263" s="2" t="s">
        <v>483</v>
      </c>
      <c r="T263" s="2" t="s">
        <v>49</v>
      </c>
      <c r="U263" s="2" t="s">
        <v>53</v>
      </c>
      <c r="V263" s="2" t="s">
        <v>2113</v>
      </c>
      <c r="W263" s="2" t="s">
        <v>54</v>
      </c>
    </row>
    <row r="264" spans="1:23" x14ac:dyDescent="0.2">
      <c r="A264" s="2" t="s">
        <v>1473</v>
      </c>
      <c r="B264" s="2" t="s">
        <v>1476</v>
      </c>
      <c r="C264" s="2" t="s">
        <v>57</v>
      </c>
      <c r="D264" s="2" t="s">
        <v>184</v>
      </c>
      <c r="E264" s="2" t="s">
        <v>2870</v>
      </c>
      <c r="F264" s="2" t="s">
        <v>2871</v>
      </c>
      <c r="G264" s="2" t="s">
        <v>2872</v>
      </c>
      <c r="H264" s="22">
        <v>0.45400000000000001</v>
      </c>
      <c r="I264" s="2" t="s">
        <v>133</v>
      </c>
      <c r="J264" s="2" t="s">
        <v>56</v>
      </c>
      <c r="K264" s="22">
        <v>1108030000</v>
      </c>
      <c r="L264" s="2" t="s">
        <v>52</v>
      </c>
      <c r="M264" s="2" t="s">
        <v>2873</v>
      </c>
      <c r="N264" s="2" t="s">
        <v>184</v>
      </c>
      <c r="O264" s="2" t="s">
        <v>1477</v>
      </c>
      <c r="P264" s="22">
        <v>0.375</v>
      </c>
      <c r="Q264" s="2" t="s">
        <v>4338</v>
      </c>
      <c r="R264" s="2" t="s">
        <v>173</v>
      </c>
      <c r="S264" s="2" t="s">
        <v>420</v>
      </c>
      <c r="T264" s="2" t="s">
        <v>115</v>
      </c>
      <c r="U264" s="2" t="s">
        <v>53</v>
      </c>
      <c r="V264" s="2" t="s">
        <v>2874</v>
      </c>
      <c r="W264" s="22">
        <v>0.35499999999999998</v>
      </c>
    </row>
    <row r="265" spans="1:23" x14ac:dyDescent="0.2">
      <c r="A265" s="2" t="s">
        <v>1473</v>
      </c>
      <c r="B265" s="2" t="s">
        <v>1476</v>
      </c>
      <c r="C265" s="2" t="s">
        <v>391</v>
      </c>
      <c r="D265" s="2" t="s">
        <v>184</v>
      </c>
      <c r="E265" s="2" t="s">
        <v>2875</v>
      </c>
      <c r="F265" s="2" t="s">
        <v>2876</v>
      </c>
      <c r="G265" s="2" t="s">
        <v>2877</v>
      </c>
      <c r="H265" s="2" t="s">
        <v>54</v>
      </c>
      <c r="I265" s="2" t="s">
        <v>133</v>
      </c>
      <c r="J265" s="2" t="s">
        <v>70</v>
      </c>
      <c r="K265" s="22">
        <v>831022500</v>
      </c>
      <c r="L265" s="2" t="s">
        <v>52</v>
      </c>
      <c r="M265" s="2" t="s">
        <v>1770</v>
      </c>
      <c r="N265" s="2" t="s">
        <v>184</v>
      </c>
      <c r="O265" s="2" t="s">
        <v>1477</v>
      </c>
      <c r="P265" s="22">
        <v>0.223</v>
      </c>
      <c r="Q265" s="2" t="s">
        <v>4338</v>
      </c>
      <c r="R265" s="2" t="s">
        <v>173</v>
      </c>
      <c r="S265" s="2" t="s">
        <v>420</v>
      </c>
      <c r="T265" s="2" t="s">
        <v>115</v>
      </c>
      <c r="U265" s="2" t="s">
        <v>53</v>
      </c>
      <c r="V265" s="2" t="s">
        <v>2878</v>
      </c>
      <c r="W265" s="22">
        <v>-0.48899999999999999</v>
      </c>
    </row>
    <row r="266" spans="1:23" x14ac:dyDescent="0.2">
      <c r="A266" s="2" t="s">
        <v>476</v>
      </c>
      <c r="B266" s="2" t="s">
        <v>479</v>
      </c>
      <c r="C266" s="2" t="s">
        <v>57</v>
      </c>
      <c r="D266" s="2" t="s">
        <v>45</v>
      </c>
      <c r="E266" s="2" t="s">
        <v>2114</v>
      </c>
      <c r="F266" s="2" t="s">
        <v>2115</v>
      </c>
      <c r="G266" s="2" t="s">
        <v>2116</v>
      </c>
      <c r="H266" s="2" t="s">
        <v>54</v>
      </c>
      <c r="I266" s="2" t="s">
        <v>55</v>
      </c>
      <c r="J266" s="2" t="s">
        <v>56</v>
      </c>
      <c r="K266" s="22">
        <v>21949600</v>
      </c>
      <c r="L266" s="2" t="s">
        <v>458</v>
      </c>
      <c r="M266" s="2" t="s">
        <v>173</v>
      </c>
      <c r="N266" s="2" t="s">
        <v>45</v>
      </c>
      <c r="O266" s="2" t="s">
        <v>4339</v>
      </c>
      <c r="P266" s="22">
        <v>0.75</v>
      </c>
      <c r="Q266" s="2" t="s">
        <v>4076</v>
      </c>
      <c r="R266" s="2" t="s">
        <v>225</v>
      </c>
      <c r="S266" s="2" t="s">
        <v>189</v>
      </c>
      <c r="T266" s="2" t="s">
        <v>49</v>
      </c>
      <c r="U266" s="2" t="s">
        <v>53</v>
      </c>
      <c r="V266" s="2" t="s">
        <v>2117</v>
      </c>
      <c r="W266" s="2" t="s">
        <v>54</v>
      </c>
    </row>
    <row r="267" spans="1:23" x14ac:dyDescent="0.2">
      <c r="A267" s="2" t="s">
        <v>1518</v>
      </c>
      <c r="B267" s="2" t="s">
        <v>1521</v>
      </c>
      <c r="C267" s="2" t="s">
        <v>57</v>
      </c>
      <c r="D267" s="2" t="s">
        <v>184</v>
      </c>
      <c r="E267" s="2" t="s">
        <v>3119</v>
      </c>
      <c r="F267" s="2" t="s">
        <v>3120</v>
      </c>
      <c r="G267" s="2" t="s">
        <v>3121</v>
      </c>
      <c r="H267" s="22">
        <v>0.90300000000000002</v>
      </c>
      <c r="I267" s="2" t="s">
        <v>117</v>
      </c>
      <c r="J267" s="2" t="s">
        <v>56</v>
      </c>
      <c r="K267" s="22">
        <v>927197000</v>
      </c>
      <c r="L267" s="2" t="s">
        <v>52</v>
      </c>
      <c r="M267" s="2" t="s">
        <v>1770</v>
      </c>
      <c r="N267" s="2" t="s">
        <v>184</v>
      </c>
      <c r="O267" s="2" t="s">
        <v>1508</v>
      </c>
      <c r="P267" s="22">
        <v>0.875</v>
      </c>
      <c r="Q267" s="2" t="s">
        <v>75</v>
      </c>
      <c r="R267" s="2" t="s">
        <v>173</v>
      </c>
      <c r="S267" s="2" t="s">
        <v>483</v>
      </c>
      <c r="T267" s="2" t="s">
        <v>115</v>
      </c>
      <c r="U267" s="2" t="s">
        <v>53</v>
      </c>
      <c r="V267" s="2" t="s">
        <v>3122</v>
      </c>
      <c r="W267" s="22">
        <v>0.81799999999999995</v>
      </c>
    </row>
    <row r="268" spans="1:23" x14ac:dyDescent="0.2">
      <c r="A268" s="2" t="s">
        <v>1625</v>
      </c>
      <c r="B268" s="2" t="s">
        <v>1628</v>
      </c>
      <c r="C268" s="2" t="s">
        <v>71</v>
      </c>
      <c r="D268" s="2" t="s">
        <v>45</v>
      </c>
      <c r="E268" s="2" t="s">
        <v>2707</v>
      </c>
      <c r="F268" s="2" t="s">
        <v>173</v>
      </c>
      <c r="G268" s="2" t="s">
        <v>2708</v>
      </c>
      <c r="H268" s="2" t="s">
        <v>54</v>
      </c>
      <c r="I268" s="2" t="s">
        <v>55</v>
      </c>
      <c r="J268" s="2" t="s">
        <v>70</v>
      </c>
      <c r="K268" s="22">
        <v>64086400</v>
      </c>
      <c r="L268" s="2" t="s">
        <v>52</v>
      </c>
      <c r="M268" s="2" t="s">
        <v>173</v>
      </c>
      <c r="N268" s="2" t="s">
        <v>45</v>
      </c>
      <c r="O268" s="2" t="s">
        <v>4340</v>
      </c>
      <c r="P268" s="22">
        <v>0</v>
      </c>
      <c r="Q268" s="2" t="s">
        <v>4341</v>
      </c>
      <c r="R268" s="2" t="s">
        <v>51</v>
      </c>
      <c r="S268" s="2" t="s">
        <v>54</v>
      </c>
      <c r="T268" s="2" t="s">
        <v>49</v>
      </c>
      <c r="U268" s="2" t="s">
        <v>53</v>
      </c>
      <c r="V268" s="2" t="s">
        <v>2709</v>
      </c>
      <c r="W268" s="2" t="s">
        <v>54</v>
      </c>
    </row>
    <row r="269" spans="1:23" x14ac:dyDescent="0.2">
      <c r="A269" s="2" t="s">
        <v>1625</v>
      </c>
      <c r="B269" s="2" t="s">
        <v>1628</v>
      </c>
      <c r="C269" s="2" t="s">
        <v>71</v>
      </c>
      <c r="D269" s="2" t="s">
        <v>45</v>
      </c>
      <c r="E269" s="2" t="s">
        <v>2710</v>
      </c>
      <c r="F269" s="2" t="s">
        <v>173</v>
      </c>
      <c r="G269" s="2" t="s">
        <v>2711</v>
      </c>
      <c r="H269" s="2" t="s">
        <v>54</v>
      </c>
      <c r="I269" s="2" t="s">
        <v>55</v>
      </c>
      <c r="J269" s="2" t="s">
        <v>70</v>
      </c>
      <c r="K269" s="22">
        <v>64086400</v>
      </c>
      <c r="L269" s="2" t="s">
        <v>52</v>
      </c>
      <c r="M269" s="2" t="s">
        <v>173</v>
      </c>
      <c r="N269" s="2" t="s">
        <v>45</v>
      </c>
      <c r="O269" s="2" t="s">
        <v>4340</v>
      </c>
      <c r="P269" s="22">
        <v>0</v>
      </c>
      <c r="Q269" s="2" t="s">
        <v>4342</v>
      </c>
      <c r="R269" s="2" t="s">
        <v>69</v>
      </c>
      <c r="S269" s="2" t="s">
        <v>54</v>
      </c>
      <c r="T269" s="2" t="s">
        <v>49</v>
      </c>
      <c r="U269" s="2" t="s">
        <v>53</v>
      </c>
      <c r="V269" s="2" t="s">
        <v>2712</v>
      </c>
      <c r="W269" s="2" t="s">
        <v>54</v>
      </c>
    </row>
    <row r="270" spans="1:23" x14ac:dyDescent="0.2">
      <c r="A270" s="2" t="s">
        <v>1625</v>
      </c>
      <c r="B270" s="2" t="s">
        <v>1628</v>
      </c>
      <c r="C270" s="2" t="s">
        <v>71</v>
      </c>
      <c r="D270" s="2" t="s">
        <v>45</v>
      </c>
      <c r="E270" s="2" t="s">
        <v>2713</v>
      </c>
      <c r="F270" s="2" t="s">
        <v>173</v>
      </c>
      <c r="G270" s="2" t="s">
        <v>2714</v>
      </c>
      <c r="H270" s="2" t="s">
        <v>54</v>
      </c>
      <c r="I270" s="2" t="s">
        <v>55</v>
      </c>
      <c r="J270" s="2" t="s">
        <v>70</v>
      </c>
      <c r="K270" s="22">
        <v>64086400</v>
      </c>
      <c r="L270" s="2" t="s">
        <v>52</v>
      </c>
      <c r="M270" s="2" t="s">
        <v>173</v>
      </c>
      <c r="N270" s="2" t="s">
        <v>45</v>
      </c>
      <c r="O270" s="2" t="s">
        <v>4340</v>
      </c>
      <c r="P270" s="22">
        <v>0</v>
      </c>
      <c r="Q270" s="2" t="s">
        <v>1090</v>
      </c>
      <c r="R270" s="2" t="s">
        <v>76</v>
      </c>
      <c r="S270" s="2" t="s">
        <v>54</v>
      </c>
      <c r="T270" s="2" t="s">
        <v>49</v>
      </c>
      <c r="U270" s="2" t="s">
        <v>53</v>
      </c>
      <c r="V270" s="2" t="s">
        <v>2715</v>
      </c>
      <c r="W270" s="2" t="s">
        <v>54</v>
      </c>
    </row>
    <row r="271" spans="1:23" x14ac:dyDescent="0.2">
      <c r="A271" s="2" t="s">
        <v>165</v>
      </c>
      <c r="B271" s="2" t="s">
        <v>168</v>
      </c>
      <c r="C271" s="2" t="s">
        <v>57</v>
      </c>
      <c r="D271" s="2" t="s">
        <v>170</v>
      </c>
      <c r="E271" s="2" t="s">
        <v>2662</v>
      </c>
      <c r="F271" s="2" t="s">
        <v>2663</v>
      </c>
      <c r="G271" s="2" t="s">
        <v>2664</v>
      </c>
      <c r="H271" s="2" t="s">
        <v>54</v>
      </c>
      <c r="I271" s="2" t="s">
        <v>55</v>
      </c>
      <c r="J271" s="2" t="s">
        <v>56</v>
      </c>
      <c r="K271" s="22">
        <v>545410000</v>
      </c>
      <c r="L271" s="2" t="s">
        <v>52</v>
      </c>
      <c r="M271" s="2" t="s">
        <v>1770</v>
      </c>
      <c r="N271" s="2" t="s">
        <v>169</v>
      </c>
      <c r="O271" s="2" t="s">
        <v>1508</v>
      </c>
      <c r="P271" s="22">
        <v>1.5</v>
      </c>
      <c r="Q271" s="2" t="s">
        <v>75</v>
      </c>
      <c r="R271" s="2" t="s">
        <v>173</v>
      </c>
      <c r="S271" s="2" t="s">
        <v>174</v>
      </c>
      <c r="T271" s="2" t="s">
        <v>49</v>
      </c>
      <c r="U271" s="2" t="s">
        <v>53</v>
      </c>
      <c r="V271" s="2" t="s">
        <v>2665</v>
      </c>
      <c r="W271" s="2" t="s">
        <v>54</v>
      </c>
    </row>
    <row r="272" spans="1:23" x14ac:dyDescent="0.2">
      <c r="A272" s="2" t="s">
        <v>476</v>
      </c>
      <c r="B272" s="2" t="s">
        <v>479</v>
      </c>
      <c r="C272" s="2" t="s">
        <v>57</v>
      </c>
      <c r="D272" s="2" t="s">
        <v>45</v>
      </c>
      <c r="E272" s="2" t="s">
        <v>2118</v>
      </c>
      <c r="F272" s="2" t="s">
        <v>2119</v>
      </c>
      <c r="G272" s="2" t="s">
        <v>2120</v>
      </c>
      <c r="H272" s="2" t="s">
        <v>54</v>
      </c>
      <c r="I272" s="2" t="s">
        <v>55</v>
      </c>
      <c r="J272" s="2" t="s">
        <v>56</v>
      </c>
      <c r="K272" s="22">
        <v>8653040</v>
      </c>
      <c r="L272" s="2" t="s">
        <v>482</v>
      </c>
      <c r="M272" s="2" t="s">
        <v>173</v>
      </c>
      <c r="N272" s="2" t="s">
        <v>45</v>
      </c>
      <c r="O272" s="2" t="s">
        <v>4343</v>
      </c>
      <c r="P272" s="22">
        <v>1</v>
      </c>
      <c r="Q272" s="2" t="s">
        <v>4344</v>
      </c>
      <c r="R272" s="2" t="s">
        <v>225</v>
      </c>
      <c r="S272" s="2" t="s">
        <v>483</v>
      </c>
      <c r="T272" s="2" t="s">
        <v>49</v>
      </c>
      <c r="U272" s="2" t="s">
        <v>53</v>
      </c>
      <c r="V272" s="2" t="s">
        <v>2121</v>
      </c>
      <c r="W272" s="2" t="s">
        <v>54</v>
      </c>
    </row>
    <row r="273" spans="1:23" x14ac:dyDescent="0.2">
      <c r="A273" s="2" t="s">
        <v>476</v>
      </c>
      <c r="B273" s="2" t="s">
        <v>479</v>
      </c>
      <c r="C273" s="2" t="s">
        <v>57</v>
      </c>
      <c r="D273" s="2" t="s">
        <v>45</v>
      </c>
      <c r="E273" s="2" t="s">
        <v>2122</v>
      </c>
      <c r="F273" s="2" t="s">
        <v>2123</v>
      </c>
      <c r="G273" s="2" t="s">
        <v>2124</v>
      </c>
      <c r="H273" s="2" t="s">
        <v>54</v>
      </c>
      <c r="I273" s="2" t="s">
        <v>55</v>
      </c>
      <c r="J273" s="2" t="s">
        <v>56</v>
      </c>
      <c r="K273" s="22">
        <v>21558800</v>
      </c>
      <c r="L273" s="2" t="s">
        <v>482</v>
      </c>
      <c r="M273" s="2" t="s">
        <v>173</v>
      </c>
      <c r="N273" s="2" t="s">
        <v>45</v>
      </c>
      <c r="O273" s="2" t="s">
        <v>4345</v>
      </c>
      <c r="P273" s="22">
        <v>1.1000000000000001</v>
      </c>
      <c r="Q273" s="2" t="s">
        <v>4346</v>
      </c>
      <c r="R273" s="2" t="s">
        <v>225</v>
      </c>
      <c r="S273" s="2" t="s">
        <v>483</v>
      </c>
      <c r="T273" s="2" t="s">
        <v>49</v>
      </c>
      <c r="U273" s="2" t="s">
        <v>53</v>
      </c>
      <c r="V273" s="2" t="s">
        <v>2125</v>
      </c>
      <c r="W273" s="2" t="s">
        <v>54</v>
      </c>
    </row>
    <row r="274" spans="1:23" x14ac:dyDescent="0.2">
      <c r="A274" s="2" t="s">
        <v>979</v>
      </c>
      <c r="B274" s="2" t="s">
        <v>982</v>
      </c>
      <c r="C274" s="2" t="s">
        <v>57</v>
      </c>
      <c r="D274" s="2" t="s">
        <v>199</v>
      </c>
      <c r="E274" s="2" t="s">
        <v>2622</v>
      </c>
      <c r="F274" s="2" t="s">
        <v>2623</v>
      </c>
      <c r="G274" s="2" t="s">
        <v>2624</v>
      </c>
      <c r="H274" s="2" t="s">
        <v>54</v>
      </c>
      <c r="I274" s="2" t="s">
        <v>55</v>
      </c>
      <c r="J274" s="2" t="s">
        <v>56</v>
      </c>
      <c r="K274" s="22">
        <v>87494920</v>
      </c>
      <c r="L274" s="2" t="s">
        <v>52</v>
      </c>
      <c r="M274" s="2" t="s">
        <v>1775</v>
      </c>
      <c r="N274" s="2" t="s">
        <v>199</v>
      </c>
      <c r="O274" s="2" t="s">
        <v>4347</v>
      </c>
      <c r="P274" s="22">
        <v>3.375</v>
      </c>
      <c r="Q274" s="2" t="s">
        <v>4348</v>
      </c>
      <c r="R274" s="2" t="s">
        <v>225</v>
      </c>
      <c r="S274" s="2" t="s">
        <v>174</v>
      </c>
      <c r="T274" s="2" t="s">
        <v>49</v>
      </c>
      <c r="U274" s="2" t="s">
        <v>53</v>
      </c>
      <c r="V274" s="2" t="s">
        <v>2625</v>
      </c>
      <c r="W274" s="22">
        <v>3.1190000000000002</v>
      </c>
    </row>
    <row r="275" spans="1:23" x14ac:dyDescent="0.2">
      <c r="A275" s="2" t="s">
        <v>832</v>
      </c>
      <c r="B275" s="2" t="s">
        <v>168</v>
      </c>
      <c r="C275" s="2" t="s">
        <v>57</v>
      </c>
      <c r="D275" s="2" t="s">
        <v>170</v>
      </c>
      <c r="E275" s="2" t="s">
        <v>2682</v>
      </c>
      <c r="F275" s="2" t="s">
        <v>2683</v>
      </c>
      <c r="G275" s="2" t="s">
        <v>2684</v>
      </c>
      <c r="H275" s="2" t="s">
        <v>54</v>
      </c>
      <c r="I275" s="2" t="s">
        <v>55</v>
      </c>
      <c r="J275" s="2" t="s">
        <v>56</v>
      </c>
      <c r="K275" s="22">
        <v>50000000</v>
      </c>
      <c r="L275" s="2" t="s">
        <v>52</v>
      </c>
      <c r="M275" s="2" t="s">
        <v>1770</v>
      </c>
      <c r="N275" s="2" t="s">
        <v>169</v>
      </c>
      <c r="O275" s="2" t="s">
        <v>4349</v>
      </c>
      <c r="P275" s="22">
        <v>4.2</v>
      </c>
      <c r="Q275" s="2" t="s">
        <v>4350</v>
      </c>
      <c r="R275" s="2" t="s">
        <v>225</v>
      </c>
      <c r="S275" s="2" t="s">
        <v>174</v>
      </c>
      <c r="T275" s="2" t="s">
        <v>49</v>
      </c>
      <c r="U275" s="2" t="s">
        <v>262</v>
      </c>
      <c r="V275" s="2" t="s">
        <v>2685</v>
      </c>
      <c r="W275" s="22">
        <v>5.9210000000000003</v>
      </c>
    </row>
    <row r="276" spans="1:23" x14ac:dyDescent="0.2">
      <c r="A276" s="2" t="s">
        <v>979</v>
      </c>
      <c r="B276" s="2" t="s">
        <v>982</v>
      </c>
      <c r="C276" s="2" t="s">
        <v>57</v>
      </c>
      <c r="D276" s="2" t="s">
        <v>199</v>
      </c>
      <c r="E276" s="2" t="s">
        <v>2626</v>
      </c>
      <c r="F276" s="2" t="s">
        <v>2627</v>
      </c>
      <c r="G276" s="2" t="s">
        <v>2628</v>
      </c>
      <c r="H276" s="2" t="s">
        <v>54</v>
      </c>
      <c r="I276" s="2" t="s">
        <v>55</v>
      </c>
      <c r="J276" s="2" t="s">
        <v>56</v>
      </c>
      <c r="K276" s="22">
        <v>41174080</v>
      </c>
      <c r="L276" s="2" t="s">
        <v>52</v>
      </c>
      <c r="M276" s="2" t="s">
        <v>1775</v>
      </c>
      <c r="N276" s="2" t="s">
        <v>199</v>
      </c>
      <c r="O276" s="2" t="s">
        <v>4347</v>
      </c>
      <c r="P276" s="22">
        <v>3.5</v>
      </c>
      <c r="Q276" s="2" t="s">
        <v>4351</v>
      </c>
      <c r="R276" s="2" t="s">
        <v>225</v>
      </c>
      <c r="S276" s="2" t="s">
        <v>174</v>
      </c>
      <c r="T276" s="2" t="s">
        <v>49</v>
      </c>
      <c r="U276" s="2" t="s">
        <v>53</v>
      </c>
      <c r="V276" s="2" t="s">
        <v>2629</v>
      </c>
      <c r="W276" s="2" t="s">
        <v>54</v>
      </c>
    </row>
    <row r="277" spans="1:23" x14ac:dyDescent="0.2">
      <c r="A277" s="2" t="s">
        <v>613</v>
      </c>
      <c r="B277" s="2" t="s">
        <v>616</v>
      </c>
      <c r="C277" s="2" t="s">
        <v>57</v>
      </c>
      <c r="D277" s="2" t="s">
        <v>199</v>
      </c>
      <c r="E277" s="2" t="s">
        <v>2500</v>
      </c>
      <c r="F277" s="2" t="s">
        <v>2501</v>
      </c>
      <c r="G277" s="2" t="s">
        <v>2502</v>
      </c>
      <c r="H277" s="2" t="s">
        <v>54</v>
      </c>
      <c r="I277" s="2" t="s">
        <v>117</v>
      </c>
      <c r="J277" s="2" t="s">
        <v>56</v>
      </c>
      <c r="K277" s="22">
        <v>1279170000</v>
      </c>
      <c r="L277" s="2" t="s">
        <v>52</v>
      </c>
      <c r="M277" s="2" t="s">
        <v>1770</v>
      </c>
      <c r="N277" s="2" t="s">
        <v>199</v>
      </c>
      <c r="O277" s="2" t="s">
        <v>4352</v>
      </c>
      <c r="P277" s="22">
        <v>3.25</v>
      </c>
      <c r="Q277" s="2" t="s">
        <v>4353</v>
      </c>
      <c r="R277" s="2" t="s">
        <v>225</v>
      </c>
      <c r="S277" s="2" t="s">
        <v>619</v>
      </c>
      <c r="T277" s="2" t="s">
        <v>49</v>
      </c>
      <c r="U277" s="2" t="s">
        <v>53</v>
      </c>
      <c r="V277" s="2" t="s">
        <v>2503</v>
      </c>
      <c r="W277" s="22">
        <v>3.117</v>
      </c>
    </row>
    <row r="278" spans="1:23" x14ac:dyDescent="0.2">
      <c r="A278" s="2" t="s">
        <v>476</v>
      </c>
      <c r="B278" s="2" t="s">
        <v>479</v>
      </c>
      <c r="C278" s="2" t="s">
        <v>57</v>
      </c>
      <c r="D278" s="2" t="s">
        <v>45</v>
      </c>
      <c r="E278" s="2" t="s">
        <v>2126</v>
      </c>
      <c r="F278" s="2" t="s">
        <v>2127</v>
      </c>
      <c r="G278" s="2" t="s">
        <v>2128</v>
      </c>
      <c r="H278" s="2" t="s">
        <v>54</v>
      </c>
      <c r="I278" s="2" t="s">
        <v>55</v>
      </c>
      <c r="J278" s="2" t="s">
        <v>56</v>
      </c>
      <c r="K278" s="22">
        <v>26621200</v>
      </c>
      <c r="L278" s="2" t="s">
        <v>2011</v>
      </c>
      <c r="M278" s="2" t="s">
        <v>2129</v>
      </c>
      <c r="N278" s="2" t="s">
        <v>45</v>
      </c>
      <c r="O278" s="2" t="s">
        <v>4354</v>
      </c>
      <c r="P278" s="22">
        <v>2.4500000000000002</v>
      </c>
      <c r="Q278" s="2" t="s">
        <v>4021</v>
      </c>
      <c r="R278" s="2" t="s">
        <v>4355</v>
      </c>
      <c r="S278" s="2" t="s">
        <v>189</v>
      </c>
      <c r="T278" s="2" t="s">
        <v>49</v>
      </c>
      <c r="U278" s="2" t="s">
        <v>53</v>
      </c>
      <c r="V278" s="2" t="s">
        <v>2130</v>
      </c>
      <c r="W278" s="2" t="s">
        <v>54</v>
      </c>
    </row>
    <row r="279" spans="1:23" x14ac:dyDescent="0.2">
      <c r="A279" s="2" t="s">
        <v>613</v>
      </c>
      <c r="B279" s="2" t="s">
        <v>616</v>
      </c>
      <c r="C279" s="2" t="s">
        <v>57</v>
      </c>
      <c r="D279" s="2" t="s">
        <v>199</v>
      </c>
      <c r="E279" s="2" t="s">
        <v>2504</v>
      </c>
      <c r="F279" s="2" t="s">
        <v>2505</v>
      </c>
      <c r="G279" s="2" t="s">
        <v>2506</v>
      </c>
      <c r="H279" s="2" t="s">
        <v>54</v>
      </c>
      <c r="I279" s="2" t="s">
        <v>117</v>
      </c>
      <c r="J279" s="2" t="s">
        <v>56</v>
      </c>
      <c r="K279" s="22">
        <v>1597272000</v>
      </c>
      <c r="L279" s="2" t="s">
        <v>52</v>
      </c>
      <c r="M279" s="2" t="s">
        <v>1770</v>
      </c>
      <c r="N279" s="2" t="s">
        <v>199</v>
      </c>
      <c r="O279" s="2" t="s">
        <v>4354</v>
      </c>
      <c r="P279" s="22">
        <v>3.75</v>
      </c>
      <c r="Q279" s="2" t="s">
        <v>4356</v>
      </c>
      <c r="R279" s="2" t="s">
        <v>225</v>
      </c>
      <c r="S279" s="2" t="s">
        <v>619</v>
      </c>
      <c r="T279" s="2" t="s">
        <v>49</v>
      </c>
      <c r="U279" s="2" t="s">
        <v>53</v>
      </c>
      <c r="V279" s="2" t="s">
        <v>2507</v>
      </c>
      <c r="W279" s="22">
        <v>3.7719999999999998</v>
      </c>
    </row>
    <row r="280" spans="1:23" x14ac:dyDescent="0.2">
      <c r="A280" s="2" t="s">
        <v>1518</v>
      </c>
      <c r="B280" s="2" t="s">
        <v>1521</v>
      </c>
      <c r="C280" s="2" t="s">
        <v>57</v>
      </c>
      <c r="D280" s="2" t="s">
        <v>184</v>
      </c>
      <c r="E280" s="2" t="s">
        <v>3123</v>
      </c>
      <c r="F280" s="2" t="s">
        <v>3124</v>
      </c>
      <c r="G280" s="2" t="s">
        <v>3125</v>
      </c>
      <c r="H280" s="2" t="s">
        <v>54</v>
      </c>
      <c r="I280" s="2" t="s">
        <v>117</v>
      </c>
      <c r="J280" s="2" t="s">
        <v>56</v>
      </c>
      <c r="K280" s="22">
        <v>1347180000</v>
      </c>
      <c r="L280" s="2" t="s">
        <v>52</v>
      </c>
      <c r="M280" s="2" t="s">
        <v>1770</v>
      </c>
      <c r="N280" s="2" t="s">
        <v>184</v>
      </c>
      <c r="O280" s="2" t="s">
        <v>4357</v>
      </c>
      <c r="P280" s="22">
        <v>2.5</v>
      </c>
      <c r="Q280" s="2" t="s">
        <v>4358</v>
      </c>
      <c r="R280" s="2" t="s">
        <v>225</v>
      </c>
      <c r="S280" s="2" t="s">
        <v>483</v>
      </c>
      <c r="T280" s="2" t="s">
        <v>115</v>
      </c>
      <c r="U280" s="2" t="s">
        <v>53</v>
      </c>
      <c r="V280" s="2" t="s">
        <v>3126</v>
      </c>
      <c r="W280" s="22">
        <v>2.4929999999999999</v>
      </c>
    </row>
    <row r="281" spans="1:23" x14ac:dyDescent="0.2">
      <c r="A281" s="2" t="s">
        <v>774</v>
      </c>
      <c r="B281" s="2" t="s">
        <v>777</v>
      </c>
      <c r="C281" s="2" t="s">
        <v>57</v>
      </c>
      <c r="D281" s="2" t="s">
        <v>199</v>
      </c>
      <c r="E281" s="2" t="s">
        <v>1781</v>
      </c>
      <c r="F281" s="2" t="s">
        <v>1782</v>
      </c>
      <c r="G281" s="2" t="s">
        <v>1783</v>
      </c>
      <c r="H281" s="2" t="s">
        <v>54</v>
      </c>
      <c r="I281" s="2" t="s">
        <v>55</v>
      </c>
      <c r="J281" s="2" t="s">
        <v>56</v>
      </c>
      <c r="K281" s="22">
        <v>407832000</v>
      </c>
      <c r="L281" s="2" t="s">
        <v>52</v>
      </c>
      <c r="M281" s="2" t="s">
        <v>1770</v>
      </c>
      <c r="N281" s="2" t="s">
        <v>199</v>
      </c>
      <c r="O281" s="2" t="s">
        <v>4359</v>
      </c>
      <c r="P281" s="22">
        <v>4</v>
      </c>
      <c r="Q281" s="2" t="s">
        <v>4360</v>
      </c>
      <c r="R281" s="2" t="s">
        <v>225</v>
      </c>
      <c r="S281" s="2" t="s">
        <v>189</v>
      </c>
      <c r="T281" s="2" t="s">
        <v>49</v>
      </c>
      <c r="U281" s="2" t="s">
        <v>53</v>
      </c>
      <c r="V281" s="2" t="s">
        <v>1784</v>
      </c>
      <c r="W281" s="2" t="s">
        <v>54</v>
      </c>
    </row>
    <row r="282" spans="1:23" x14ac:dyDescent="0.2">
      <c r="A282" s="2" t="s">
        <v>813</v>
      </c>
      <c r="B282" s="2" t="s">
        <v>816</v>
      </c>
      <c r="C282" s="2" t="s">
        <v>57</v>
      </c>
      <c r="D282" s="2" t="s">
        <v>184</v>
      </c>
      <c r="E282" s="2" t="s">
        <v>3444</v>
      </c>
      <c r="F282" s="2" t="s">
        <v>3445</v>
      </c>
      <c r="G282" s="2" t="s">
        <v>3446</v>
      </c>
      <c r="H282" s="2" t="s">
        <v>54</v>
      </c>
      <c r="I282" s="2" t="s">
        <v>133</v>
      </c>
      <c r="J282" s="2" t="s">
        <v>56</v>
      </c>
      <c r="K282" s="22">
        <v>948570000</v>
      </c>
      <c r="L282" s="2" t="s">
        <v>52</v>
      </c>
      <c r="M282" s="2" t="s">
        <v>1770</v>
      </c>
      <c r="N282" s="2" t="s">
        <v>184</v>
      </c>
      <c r="O282" s="2" t="s">
        <v>4361</v>
      </c>
      <c r="P282" s="22">
        <v>3.25</v>
      </c>
      <c r="Q282" s="2" t="s">
        <v>4362</v>
      </c>
      <c r="R282" s="2" t="s">
        <v>225</v>
      </c>
      <c r="S282" s="2" t="s">
        <v>263</v>
      </c>
      <c r="T282" s="2" t="s">
        <v>49</v>
      </c>
      <c r="U282" s="2" t="s">
        <v>53</v>
      </c>
      <c r="V282" s="2" t="s">
        <v>3447</v>
      </c>
      <c r="W282" s="22">
        <v>3.036</v>
      </c>
    </row>
    <row r="283" spans="1:23" x14ac:dyDescent="0.2">
      <c r="A283" s="2" t="s">
        <v>1359</v>
      </c>
      <c r="B283" s="2" t="s">
        <v>1362</v>
      </c>
      <c r="C283" s="2" t="s">
        <v>57</v>
      </c>
      <c r="D283" s="2" t="s">
        <v>199</v>
      </c>
      <c r="E283" s="2" t="s">
        <v>3245</v>
      </c>
      <c r="F283" s="2" t="s">
        <v>3246</v>
      </c>
      <c r="G283" s="2" t="s">
        <v>3247</v>
      </c>
      <c r="H283" s="22">
        <v>3.367</v>
      </c>
      <c r="I283" s="2" t="s">
        <v>117</v>
      </c>
      <c r="J283" s="2" t="s">
        <v>56</v>
      </c>
      <c r="K283" s="22">
        <v>813060000</v>
      </c>
      <c r="L283" s="2" t="s">
        <v>52</v>
      </c>
      <c r="M283" s="2" t="s">
        <v>1770</v>
      </c>
      <c r="N283" s="2" t="s">
        <v>199</v>
      </c>
      <c r="O283" s="2" t="s">
        <v>4361</v>
      </c>
      <c r="P283" s="22">
        <v>3.25</v>
      </c>
      <c r="Q283" s="2" t="s">
        <v>4362</v>
      </c>
      <c r="R283" s="2" t="s">
        <v>225</v>
      </c>
      <c r="S283" s="2" t="s">
        <v>174</v>
      </c>
      <c r="T283" s="2" t="s">
        <v>49</v>
      </c>
      <c r="U283" s="2" t="s">
        <v>53</v>
      </c>
      <c r="V283" s="2" t="s">
        <v>3248</v>
      </c>
      <c r="W283" s="22">
        <v>3.1219999999999999</v>
      </c>
    </row>
    <row r="284" spans="1:23" x14ac:dyDescent="0.2">
      <c r="A284" s="2" t="s">
        <v>165</v>
      </c>
      <c r="B284" s="2" t="s">
        <v>168</v>
      </c>
      <c r="C284" s="2" t="s">
        <v>57</v>
      </c>
      <c r="D284" s="2" t="s">
        <v>170</v>
      </c>
      <c r="E284" s="2" t="s">
        <v>2666</v>
      </c>
      <c r="F284" s="2" t="s">
        <v>2667</v>
      </c>
      <c r="G284" s="2" t="s">
        <v>2668</v>
      </c>
      <c r="H284" s="22">
        <v>3.0680000000000001</v>
      </c>
      <c r="I284" s="2" t="s">
        <v>55</v>
      </c>
      <c r="J284" s="2" t="s">
        <v>56</v>
      </c>
      <c r="K284" s="22">
        <v>677550000</v>
      </c>
      <c r="L284" s="2" t="s">
        <v>52</v>
      </c>
      <c r="M284" s="2" t="s">
        <v>1770</v>
      </c>
      <c r="N284" s="2" t="s">
        <v>169</v>
      </c>
      <c r="O284" s="2" t="s">
        <v>4361</v>
      </c>
      <c r="P284" s="22">
        <v>3</v>
      </c>
      <c r="Q284" s="2" t="s">
        <v>4362</v>
      </c>
      <c r="R284" s="2" t="s">
        <v>2134</v>
      </c>
      <c r="S284" s="2" t="s">
        <v>174</v>
      </c>
      <c r="T284" s="2" t="s">
        <v>49</v>
      </c>
      <c r="U284" s="2" t="s">
        <v>53</v>
      </c>
      <c r="V284" s="2" t="s">
        <v>2669</v>
      </c>
      <c r="W284" s="22">
        <v>2.9119999999999999</v>
      </c>
    </row>
    <row r="285" spans="1:23" x14ac:dyDescent="0.2">
      <c r="A285" s="2" t="s">
        <v>613</v>
      </c>
      <c r="B285" s="2" t="s">
        <v>616</v>
      </c>
      <c r="C285" s="2" t="s">
        <v>57</v>
      </c>
      <c r="D285" s="2" t="s">
        <v>199</v>
      </c>
      <c r="E285" s="2" t="s">
        <v>2508</v>
      </c>
      <c r="F285" s="2" t="s">
        <v>2509</v>
      </c>
      <c r="G285" s="2" t="s">
        <v>2510</v>
      </c>
      <c r="H285" s="22">
        <v>3.6799999999999997</v>
      </c>
      <c r="I285" s="2" t="s">
        <v>117</v>
      </c>
      <c r="J285" s="2" t="s">
        <v>56</v>
      </c>
      <c r="K285" s="22">
        <v>1366320000</v>
      </c>
      <c r="L285" s="2" t="s">
        <v>52</v>
      </c>
      <c r="M285" s="2" t="s">
        <v>1770</v>
      </c>
      <c r="N285" s="2" t="s">
        <v>199</v>
      </c>
      <c r="O285" s="2" t="s">
        <v>4363</v>
      </c>
      <c r="P285" s="22">
        <v>3.625</v>
      </c>
      <c r="Q285" s="2" t="s">
        <v>4364</v>
      </c>
      <c r="R285" s="2" t="s">
        <v>225</v>
      </c>
      <c r="S285" s="2" t="s">
        <v>619</v>
      </c>
      <c r="T285" s="2" t="s">
        <v>49</v>
      </c>
      <c r="U285" s="2" t="s">
        <v>53</v>
      </c>
      <c r="V285" s="2" t="s">
        <v>2511</v>
      </c>
      <c r="W285" s="22">
        <v>3.6230000000000002</v>
      </c>
    </row>
    <row r="286" spans="1:23" x14ac:dyDescent="0.2">
      <c r="A286" s="2" t="s">
        <v>1166</v>
      </c>
      <c r="B286" s="2" t="s">
        <v>1169</v>
      </c>
      <c r="C286" s="2" t="s">
        <v>57</v>
      </c>
      <c r="D286" s="2" t="s">
        <v>199</v>
      </c>
      <c r="E286" s="2" t="s">
        <v>1832</v>
      </c>
      <c r="F286" s="2" t="s">
        <v>1833</v>
      </c>
      <c r="G286" s="2" t="s">
        <v>1834</v>
      </c>
      <c r="H286" s="22">
        <v>3.4390000000000001</v>
      </c>
      <c r="I286" s="2" t="s">
        <v>55</v>
      </c>
      <c r="J286" s="2" t="s">
        <v>56</v>
      </c>
      <c r="K286" s="22">
        <v>683485000</v>
      </c>
      <c r="L286" s="2" t="s">
        <v>1829</v>
      </c>
      <c r="M286" s="2" t="s">
        <v>1830</v>
      </c>
      <c r="N286" s="2" t="s">
        <v>199</v>
      </c>
      <c r="O286" s="2" t="s">
        <v>4365</v>
      </c>
      <c r="P286" s="22">
        <v>3.375</v>
      </c>
      <c r="Q286" s="2" t="s">
        <v>4366</v>
      </c>
      <c r="R286" s="2" t="s">
        <v>225</v>
      </c>
      <c r="S286" s="2" t="s">
        <v>496</v>
      </c>
      <c r="T286" s="2" t="s">
        <v>49</v>
      </c>
      <c r="U286" s="2" t="s">
        <v>53</v>
      </c>
      <c r="V286" s="2" t="s">
        <v>1835</v>
      </c>
      <c r="W286" s="22">
        <v>3.3540000000000001</v>
      </c>
    </row>
    <row r="287" spans="1:23" x14ac:dyDescent="0.2">
      <c r="A287" s="2" t="s">
        <v>476</v>
      </c>
      <c r="B287" s="2" t="s">
        <v>479</v>
      </c>
      <c r="C287" s="2" t="s">
        <v>57</v>
      </c>
      <c r="D287" s="2" t="s">
        <v>45</v>
      </c>
      <c r="E287" s="2" t="s">
        <v>2131</v>
      </c>
      <c r="F287" s="2" t="s">
        <v>2132</v>
      </c>
      <c r="G287" s="2" t="s">
        <v>2133</v>
      </c>
      <c r="H287" s="2" t="s">
        <v>54</v>
      </c>
      <c r="I287" s="2" t="s">
        <v>55</v>
      </c>
      <c r="J287" s="2" t="s">
        <v>56</v>
      </c>
      <c r="K287" s="22">
        <v>34174250</v>
      </c>
      <c r="L287" s="2" t="s">
        <v>2011</v>
      </c>
      <c r="M287" s="2" t="s">
        <v>2129</v>
      </c>
      <c r="N287" s="2" t="s">
        <v>45</v>
      </c>
      <c r="O287" s="2" t="s">
        <v>4365</v>
      </c>
      <c r="P287" s="22">
        <v>2.5</v>
      </c>
      <c r="Q287" s="2" t="s">
        <v>4367</v>
      </c>
      <c r="R287" s="2" t="s">
        <v>2134</v>
      </c>
      <c r="S287" s="2" t="s">
        <v>189</v>
      </c>
      <c r="T287" s="2" t="s">
        <v>49</v>
      </c>
      <c r="U287" s="2" t="s">
        <v>53</v>
      </c>
      <c r="V287" s="2" t="s">
        <v>2135</v>
      </c>
      <c r="W287" s="2" t="s">
        <v>54</v>
      </c>
    </row>
    <row r="288" spans="1:23" x14ac:dyDescent="0.2">
      <c r="A288" s="2" t="s">
        <v>476</v>
      </c>
      <c r="B288" s="2" t="s">
        <v>479</v>
      </c>
      <c r="C288" s="2" t="s">
        <v>57</v>
      </c>
      <c r="D288" s="2" t="s">
        <v>45</v>
      </c>
      <c r="E288" s="2" t="s">
        <v>2136</v>
      </c>
      <c r="F288" s="2" t="s">
        <v>2137</v>
      </c>
      <c r="G288" s="2" t="s">
        <v>2138</v>
      </c>
      <c r="H288" s="2" t="s">
        <v>54</v>
      </c>
      <c r="I288" s="2" t="s">
        <v>55</v>
      </c>
      <c r="J288" s="2" t="s">
        <v>56</v>
      </c>
      <c r="K288" s="22">
        <v>6876950</v>
      </c>
      <c r="L288" s="2" t="s">
        <v>2011</v>
      </c>
      <c r="M288" s="2" t="s">
        <v>2129</v>
      </c>
      <c r="N288" s="2" t="s">
        <v>45</v>
      </c>
      <c r="O288" s="2" t="s">
        <v>4368</v>
      </c>
      <c r="P288" s="22">
        <v>2.125</v>
      </c>
      <c r="Q288" s="2" t="s">
        <v>4369</v>
      </c>
      <c r="R288" s="2" t="s">
        <v>225</v>
      </c>
      <c r="S288" s="2" t="s">
        <v>189</v>
      </c>
      <c r="T288" s="2" t="s">
        <v>49</v>
      </c>
      <c r="U288" s="2" t="s">
        <v>53</v>
      </c>
      <c r="V288" s="2" t="s">
        <v>2139</v>
      </c>
      <c r="W288" s="2" t="s">
        <v>54</v>
      </c>
    </row>
    <row r="289" spans="1:23" x14ac:dyDescent="0.2">
      <c r="A289" s="2" t="s">
        <v>679</v>
      </c>
      <c r="B289" s="2" t="s">
        <v>682</v>
      </c>
      <c r="C289" s="2" t="s">
        <v>391</v>
      </c>
      <c r="D289" s="2" t="s">
        <v>367</v>
      </c>
      <c r="E289" s="2" t="s">
        <v>3285</v>
      </c>
      <c r="F289" s="2" t="s">
        <v>3286</v>
      </c>
      <c r="G289" s="2" t="s">
        <v>3287</v>
      </c>
      <c r="H289" s="2" t="s">
        <v>54</v>
      </c>
      <c r="I289" s="2" t="s">
        <v>55</v>
      </c>
      <c r="J289" s="2" t="s">
        <v>342</v>
      </c>
      <c r="K289" s="22">
        <v>50000000</v>
      </c>
      <c r="L289" s="2" t="s">
        <v>458</v>
      </c>
      <c r="M289" s="2" t="s">
        <v>1770</v>
      </c>
      <c r="N289" s="2" t="s">
        <v>367</v>
      </c>
      <c r="O289" s="2" t="s">
        <v>4370</v>
      </c>
      <c r="P289" s="2" t="s">
        <v>54</v>
      </c>
      <c r="Q289" s="2" t="s">
        <v>4371</v>
      </c>
      <c r="R289" s="2" t="s">
        <v>173</v>
      </c>
      <c r="S289" s="2" t="s">
        <v>189</v>
      </c>
      <c r="T289" s="2" t="s">
        <v>49</v>
      </c>
      <c r="U289" s="2" t="s">
        <v>262</v>
      </c>
      <c r="V289" s="2" t="s">
        <v>3288</v>
      </c>
      <c r="W289" s="2" t="s">
        <v>54</v>
      </c>
    </row>
    <row r="290" spans="1:23" x14ac:dyDescent="0.2">
      <c r="A290" s="2" t="s">
        <v>468</v>
      </c>
      <c r="B290" s="2" t="s">
        <v>471</v>
      </c>
      <c r="C290" s="2" t="s">
        <v>57</v>
      </c>
      <c r="D290" s="2" t="s">
        <v>257</v>
      </c>
      <c r="E290" s="2" t="s">
        <v>2807</v>
      </c>
      <c r="F290" s="2" t="s">
        <v>2808</v>
      </c>
      <c r="G290" s="2" t="s">
        <v>2809</v>
      </c>
      <c r="H290" s="22">
        <v>3.01</v>
      </c>
      <c r="I290" s="2" t="s">
        <v>55</v>
      </c>
      <c r="J290" s="2" t="s">
        <v>56</v>
      </c>
      <c r="K290" s="22">
        <v>204573000</v>
      </c>
      <c r="L290" s="2" t="s">
        <v>52</v>
      </c>
      <c r="M290" s="2" t="s">
        <v>173</v>
      </c>
      <c r="N290" s="2" t="s">
        <v>257</v>
      </c>
      <c r="O290" s="2" t="s">
        <v>4372</v>
      </c>
      <c r="P290" s="22">
        <v>3</v>
      </c>
      <c r="Q290" s="2" t="s">
        <v>4099</v>
      </c>
      <c r="R290" s="2" t="s">
        <v>225</v>
      </c>
      <c r="S290" s="2" t="s">
        <v>189</v>
      </c>
      <c r="T290" s="2" t="s">
        <v>49</v>
      </c>
      <c r="U290" s="2" t="s">
        <v>53</v>
      </c>
      <c r="V290" s="2" t="s">
        <v>2810</v>
      </c>
      <c r="W290" s="2" t="s">
        <v>54</v>
      </c>
    </row>
    <row r="291" spans="1:23" x14ac:dyDescent="0.2">
      <c r="A291" s="2" t="s">
        <v>1157</v>
      </c>
      <c r="B291" s="2" t="s">
        <v>1160</v>
      </c>
      <c r="C291" s="2" t="s">
        <v>57</v>
      </c>
      <c r="D291" s="2" t="s">
        <v>184</v>
      </c>
      <c r="E291" s="2" t="s">
        <v>1802</v>
      </c>
      <c r="F291" s="2" t="s">
        <v>1803</v>
      </c>
      <c r="G291" s="2" t="s">
        <v>1804</v>
      </c>
      <c r="H291" s="2" t="s">
        <v>54</v>
      </c>
      <c r="I291" s="2" t="s">
        <v>117</v>
      </c>
      <c r="J291" s="2" t="s">
        <v>1805</v>
      </c>
      <c r="K291" s="22">
        <v>168300000</v>
      </c>
      <c r="L291" s="2" t="s">
        <v>52</v>
      </c>
      <c r="M291" s="2" t="s">
        <v>173</v>
      </c>
      <c r="N291" s="2" t="s">
        <v>184</v>
      </c>
      <c r="O291" s="2" t="s">
        <v>4373</v>
      </c>
      <c r="P291" s="22">
        <v>3</v>
      </c>
      <c r="Q291" s="2" t="s">
        <v>4374</v>
      </c>
      <c r="R291" s="2" t="s">
        <v>225</v>
      </c>
      <c r="S291" s="2" t="s">
        <v>263</v>
      </c>
      <c r="T291" s="2" t="s">
        <v>49</v>
      </c>
      <c r="U291" s="2" t="s">
        <v>1806</v>
      </c>
      <c r="V291" s="2" t="s">
        <v>1807</v>
      </c>
      <c r="W291" s="22">
        <v>1.6879999999999999</v>
      </c>
    </row>
    <row r="292" spans="1:23" x14ac:dyDescent="0.2">
      <c r="A292" s="2" t="s">
        <v>1486</v>
      </c>
      <c r="B292" s="2" t="s">
        <v>1489</v>
      </c>
      <c r="C292" s="2" t="s">
        <v>57</v>
      </c>
      <c r="D292" s="2" t="s">
        <v>184</v>
      </c>
      <c r="E292" s="2" t="s">
        <v>2271</v>
      </c>
      <c r="F292" s="2" t="s">
        <v>2272</v>
      </c>
      <c r="G292" s="2" t="s">
        <v>2273</v>
      </c>
      <c r="H292" s="22">
        <v>1.8460000000000001</v>
      </c>
      <c r="I292" s="2" t="s">
        <v>117</v>
      </c>
      <c r="J292" s="2" t="s">
        <v>56</v>
      </c>
      <c r="K292" s="22">
        <v>1356760000</v>
      </c>
      <c r="L292" s="2" t="s">
        <v>52</v>
      </c>
      <c r="M292" s="2" t="s">
        <v>1770</v>
      </c>
      <c r="N292" s="2" t="s">
        <v>184</v>
      </c>
      <c r="O292" s="2" t="s">
        <v>4375</v>
      </c>
      <c r="P292" s="22">
        <v>1.75</v>
      </c>
      <c r="Q292" s="2" t="s">
        <v>4376</v>
      </c>
      <c r="R292" s="2" t="s">
        <v>225</v>
      </c>
      <c r="S292" s="2" t="s">
        <v>189</v>
      </c>
      <c r="T292" s="2" t="s">
        <v>115</v>
      </c>
      <c r="U292" s="2" t="s">
        <v>53</v>
      </c>
      <c r="V292" s="2" t="s">
        <v>2274</v>
      </c>
      <c r="W292" s="2" t="s">
        <v>54</v>
      </c>
    </row>
    <row r="293" spans="1:23" x14ac:dyDescent="0.2">
      <c r="A293" s="2" t="s">
        <v>476</v>
      </c>
      <c r="B293" s="2" t="s">
        <v>479</v>
      </c>
      <c r="C293" s="2" t="s">
        <v>57</v>
      </c>
      <c r="D293" s="2" t="s">
        <v>45</v>
      </c>
      <c r="E293" s="2" t="s">
        <v>2140</v>
      </c>
      <c r="F293" s="2" t="s">
        <v>2141</v>
      </c>
      <c r="G293" s="2" t="s">
        <v>2142</v>
      </c>
      <c r="H293" s="2" t="s">
        <v>54</v>
      </c>
      <c r="I293" s="2" t="s">
        <v>55</v>
      </c>
      <c r="J293" s="2" t="s">
        <v>56</v>
      </c>
      <c r="K293" s="22">
        <v>68058000</v>
      </c>
      <c r="L293" s="2" t="s">
        <v>458</v>
      </c>
      <c r="M293" s="2" t="s">
        <v>1770</v>
      </c>
      <c r="N293" s="2" t="s">
        <v>45</v>
      </c>
      <c r="O293" s="2" t="s">
        <v>4377</v>
      </c>
      <c r="P293" s="22">
        <v>1.2</v>
      </c>
      <c r="Q293" s="2" t="s">
        <v>4378</v>
      </c>
      <c r="R293" s="2" t="s">
        <v>2134</v>
      </c>
      <c r="S293" s="2" t="s">
        <v>189</v>
      </c>
      <c r="T293" s="2" t="s">
        <v>49</v>
      </c>
      <c r="U293" s="2" t="s">
        <v>53</v>
      </c>
      <c r="V293" s="2" t="s">
        <v>2143</v>
      </c>
      <c r="W293" s="2" t="s">
        <v>54</v>
      </c>
    </row>
    <row r="294" spans="1:23" x14ac:dyDescent="0.2">
      <c r="A294" s="2" t="s">
        <v>476</v>
      </c>
      <c r="B294" s="2" t="s">
        <v>479</v>
      </c>
      <c r="C294" s="2" t="s">
        <v>57</v>
      </c>
      <c r="D294" s="2" t="s">
        <v>45</v>
      </c>
      <c r="E294" s="2" t="s">
        <v>2144</v>
      </c>
      <c r="F294" s="2" t="s">
        <v>2145</v>
      </c>
      <c r="G294" s="2" t="s">
        <v>2146</v>
      </c>
      <c r="H294" s="22">
        <v>1.5260000000000002</v>
      </c>
      <c r="I294" s="2" t="s">
        <v>55</v>
      </c>
      <c r="J294" s="2" t="s">
        <v>56</v>
      </c>
      <c r="K294" s="22">
        <v>183756600</v>
      </c>
      <c r="L294" s="2" t="s">
        <v>458</v>
      </c>
      <c r="M294" s="2" t="s">
        <v>1770</v>
      </c>
      <c r="N294" s="2" t="s">
        <v>45</v>
      </c>
      <c r="O294" s="2" t="s">
        <v>4377</v>
      </c>
      <c r="P294" s="22">
        <v>1.52</v>
      </c>
      <c r="Q294" s="2" t="s">
        <v>4379</v>
      </c>
      <c r="R294" s="2" t="s">
        <v>2134</v>
      </c>
      <c r="S294" s="2" t="s">
        <v>189</v>
      </c>
      <c r="T294" s="2" t="s">
        <v>49</v>
      </c>
      <c r="U294" s="2" t="s">
        <v>53</v>
      </c>
      <c r="V294" s="2" t="s">
        <v>2147</v>
      </c>
      <c r="W294" s="22">
        <v>1.532</v>
      </c>
    </row>
    <row r="295" spans="1:23" x14ac:dyDescent="0.2">
      <c r="A295" s="2" t="s">
        <v>253</v>
      </c>
      <c r="B295" s="2" t="s">
        <v>256</v>
      </c>
      <c r="C295" s="2" t="s">
        <v>71</v>
      </c>
      <c r="D295" s="2" t="s">
        <v>258</v>
      </c>
      <c r="E295" s="2" t="s">
        <v>2838</v>
      </c>
      <c r="F295" s="2" t="s">
        <v>2839</v>
      </c>
      <c r="G295" s="2" t="s">
        <v>2840</v>
      </c>
      <c r="H295" s="22">
        <v>5.25</v>
      </c>
      <c r="I295" s="2" t="s">
        <v>55</v>
      </c>
      <c r="J295" s="2" t="s">
        <v>56</v>
      </c>
      <c r="K295" s="22">
        <v>500000000</v>
      </c>
      <c r="L295" s="2" t="s">
        <v>52</v>
      </c>
      <c r="M295" s="2" t="s">
        <v>1770</v>
      </c>
      <c r="N295" s="2" t="s">
        <v>257</v>
      </c>
      <c r="O295" s="2" t="s">
        <v>4380</v>
      </c>
      <c r="P295" s="22">
        <v>5.25</v>
      </c>
      <c r="Q295" s="2" t="s">
        <v>4381</v>
      </c>
      <c r="R295" s="2" t="s">
        <v>261</v>
      </c>
      <c r="S295" s="2" t="s">
        <v>263</v>
      </c>
      <c r="T295" s="2" t="s">
        <v>49</v>
      </c>
      <c r="U295" s="2" t="s">
        <v>262</v>
      </c>
      <c r="V295" s="2" t="s">
        <v>2841</v>
      </c>
      <c r="W295" s="2" t="s">
        <v>54</v>
      </c>
    </row>
    <row r="296" spans="1:23" x14ac:dyDescent="0.2">
      <c r="A296" s="2" t="s">
        <v>253</v>
      </c>
      <c r="B296" s="2" t="s">
        <v>256</v>
      </c>
      <c r="C296" s="2" t="s">
        <v>71</v>
      </c>
      <c r="D296" s="2" t="s">
        <v>258</v>
      </c>
      <c r="E296" s="2" t="s">
        <v>2842</v>
      </c>
      <c r="F296" s="2" t="s">
        <v>2843</v>
      </c>
      <c r="G296" s="2" t="s">
        <v>2844</v>
      </c>
      <c r="H296" s="22">
        <v>5.25</v>
      </c>
      <c r="I296" s="2" t="s">
        <v>55</v>
      </c>
      <c r="J296" s="2" t="s">
        <v>56</v>
      </c>
      <c r="K296" s="22">
        <v>500000000</v>
      </c>
      <c r="L296" s="2" t="s">
        <v>52</v>
      </c>
      <c r="M296" s="2" t="s">
        <v>1770</v>
      </c>
      <c r="N296" s="2" t="s">
        <v>257</v>
      </c>
      <c r="O296" s="2" t="s">
        <v>4380</v>
      </c>
      <c r="P296" s="22">
        <v>5.25</v>
      </c>
      <c r="Q296" s="2" t="s">
        <v>4381</v>
      </c>
      <c r="R296" s="2" t="s">
        <v>270</v>
      </c>
      <c r="S296" s="2" t="s">
        <v>263</v>
      </c>
      <c r="T296" s="2" t="s">
        <v>49</v>
      </c>
      <c r="U296" s="2" t="s">
        <v>262</v>
      </c>
      <c r="V296" s="2" t="s">
        <v>2845</v>
      </c>
      <c r="W296" s="2" t="s">
        <v>54</v>
      </c>
    </row>
    <row r="297" spans="1:23" x14ac:dyDescent="0.2">
      <c r="A297" s="2" t="s">
        <v>476</v>
      </c>
      <c r="B297" s="2" t="s">
        <v>479</v>
      </c>
      <c r="C297" s="2" t="s">
        <v>57</v>
      </c>
      <c r="D297" s="2" t="s">
        <v>45</v>
      </c>
      <c r="E297" s="2" t="s">
        <v>2148</v>
      </c>
      <c r="F297" s="2" t="s">
        <v>2149</v>
      </c>
      <c r="G297" s="2" t="s">
        <v>2150</v>
      </c>
      <c r="H297" s="2" t="s">
        <v>54</v>
      </c>
      <c r="I297" s="2" t="s">
        <v>55</v>
      </c>
      <c r="J297" s="2" t="s">
        <v>56</v>
      </c>
      <c r="K297" s="22">
        <v>13368900</v>
      </c>
      <c r="L297" s="2" t="s">
        <v>2011</v>
      </c>
      <c r="M297" s="2" t="s">
        <v>2129</v>
      </c>
      <c r="N297" s="2" t="s">
        <v>45</v>
      </c>
      <c r="O297" s="2" t="s">
        <v>4382</v>
      </c>
      <c r="P297" s="22">
        <v>1.625</v>
      </c>
      <c r="Q297" s="2" t="s">
        <v>4383</v>
      </c>
      <c r="R297" s="2" t="s">
        <v>2134</v>
      </c>
      <c r="S297" s="2" t="s">
        <v>189</v>
      </c>
      <c r="T297" s="2" t="s">
        <v>49</v>
      </c>
      <c r="U297" s="2" t="s">
        <v>53</v>
      </c>
      <c r="V297" s="2" t="s">
        <v>2151</v>
      </c>
      <c r="W297" s="2" t="s">
        <v>54</v>
      </c>
    </row>
    <row r="298" spans="1:23" x14ac:dyDescent="0.2">
      <c r="A298" s="2" t="s">
        <v>1518</v>
      </c>
      <c r="B298" s="2" t="s">
        <v>1521</v>
      </c>
      <c r="C298" s="2" t="s">
        <v>57</v>
      </c>
      <c r="D298" s="2" t="s">
        <v>184</v>
      </c>
      <c r="E298" s="2" t="s">
        <v>3127</v>
      </c>
      <c r="F298" s="2" t="s">
        <v>3128</v>
      </c>
      <c r="G298" s="2" t="s">
        <v>3129</v>
      </c>
      <c r="H298" s="22">
        <v>1.8720000000000001</v>
      </c>
      <c r="I298" s="2" t="s">
        <v>117</v>
      </c>
      <c r="J298" s="2" t="s">
        <v>56</v>
      </c>
      <c r="K298" s="22">
        <v>1948186900</v>
      </c>
      <c r="L298" s="2" t="s">
        <v>52</v>
      </c>
      <c r="M298" s="2" t="s">
        <v>1770</v>
      </c>
      <c r="N298" s="2" t="s">
        <v>184</v>
      </c>
      <c r="O298" s="2" t="s">
        <v>4384</v>
      </c>
      <c r="P298" s="22">
        <v>1.75</v>
      </c>
      <c r="Q298" s="2" t="s">
        <v>4385</v>
      </c>
      <c r="R298" s="2" t="s">
        <v>225</v>
      </c>
      <c r="S298" s="2" t="s">
        <v>483</v>
      </c>
      <c r="T298" s="2" t="s">
        <v>115</v>
      </c>
      <c r="U298" s="2" t="s">
        <v>53</v>
      </c>
      <c r="V298" s="2" t="s">
        <v>3130</v>
      </c>
      <c r="W298" s="22">
        <v>1.8340000000000001</v>
      </c>
    </row>
    <row r="299" spans="1:23" x14ac:dyDescent="0.2">
      <c r="A299" s="2" t="s">
        <v>1525</v>
      </c>
      <c r="B299" s="2" t="s">
        <v>1528</v>
      </c>
      <c r="C299" s="2" t="s">
        <v>57</v>
      </c>
      <c r="D299" s="2" t="s">
        <v>184</v>
      </c>
      <c r="E299" s="2" t="s">
        <v>3009</v>
      </c>
      <c r="F299" s="2" t="s">
        <v>3010</v>
      </c>
      <c r="G299" s="2" t="s">
        <v>3011</v>
      </c>
      <c r="H299" s="2" t="s">
        <v>54</v>
      </c>
      <c r="I299" s="2" t="s">
        <v>420</v>
      </c>
      <c r="J299" s="2" t="s">
        <v>56</v>
      </c>
      <c r="K299" s="22">
        <v>825331000</v>
      </c>
      <c r="L299" s="2" t="s">
        <v>52</v>
      </c>
      <c r="M299" s="2" t="s">
        <v>1770</v>
      </c>
      <c r="N299" s="2" t="s">
        <v>184</v>
      </c>
      <c r="O299" s="2" t="s">
        <v>4386</v>
      </c>
      <c r="P299" s="22">
        <v>2.125</v>
      </c>
      <c r="Q299" s="2" t="s">
        <v>4387</v>
      </c>
      <c r="R299" s="2" t="s">
        <v>173</v>
      </c>
      <c r="S299" s="2" t="s">
        <v>619</v>
      </c>
      <c r="T299" s="2" t="s">
        <v>115</v>
      </c>
      <c r="U299" s="2" t="s">
        <v>53</v>
      </c>
      <c r="V299" s="2" t="s">
        <v>3012</v>
      </c>
      <c r="W299" s="22">
        <v>2.0270000000000001</v>
      </c>
    </row>
    <row r="300" spans="1:23" x14ac:dyDescent="0.2">
      <c r="A300" s="2" t="s">
        <v>476</v>
      </c>
      <c r="B300" s="2" t="s">
        <v>479</v>
      </c>
      <c r="C300" s="2" t="s">
        <v>391</v>
      </c>
      <c r="D300" s="2" t="s">
        <v>45</v>
      </c>
      <c r="E300" s="2" t="s">
        <v>2152</v>
      </c>
      <c r="F300" s="2" t="s">
        <v>2153</v>
      </c>
      <c r="G300" s="2" t="s">
        <v>2154</v>
      </c>
      <c r="H300" s="2" t="s">
        <v>54</v>
      </c>
      <c r="I300" s="2" t="s">
        <v>55</v>
      </c>
      <c r="J300" s="2" t="s">
        <v>70</v>
      </c>
      <c r="K300" s="22">
        <v>6344650</v>
      </c>
      <c r="L300" s="2" t="s">
        <v>2011</v>
      </c>
      <c r="M300" s="2" t="s">
        <v>2129</v>
      </c>
      <c r="N300" s="2" t="s">
        <v>45</v>
      </c>
      <c r="O300" s="2" t="s">
        <v>4388</v>
      </c>
      <c r="P300" s="22">
        <v>0.78</v>
      </c>
      <c r="Q300" s="2" t="s">
        <v>4389</v>
      </c>
      <c r="R300" s="2" t="s">
        <v>225</v>
      </c>
      <c r="S300" s="2" t="s">
        <v>189</v>
      </c>
      <c r="T300" s="2" t="s">
        <v>49</v>
      </c>
      <c r="U300" s="2" t="s">
        <v>53</v>
      </c>
      <c r="V300" s="2" t="s">
        <v>2155</v>
      </c>
      <c r="W300" s="2" t="s">
        <v>54</v>
      </c>
    </row>
    <row r="301" spans="1:23" x14ac:dyDescent="0.2">
      <c r="A301" s="2" t="s">
        <v>1359</v>
      </c>
      <c r="B301" s="2" t="s">
        <v>1362</v>
      </c>
      <c r="C301" s="2" t="s">
        <v>57</v>
      </c>
      <c r="D301" s="2" t="s">
        <v>199</v>
      </c>
      <c r="E301" s="2" t="s">
        <v>3249</v>
      </c>
      <c r="F301" s="2" t="s">
        <v>3250</v>
      </c>
      <c r="G301" s="2" t="s">
        <v>3251</v>
      </c>
      <c r="H301" s="22">
        <v>1.591</v>
      </c>
      <c r="I301" s="2" t="s">
        <v>117</v>
      </c>
      <c r="J301" s="2" t="s">
        <v>56</v>
      </c>
      <c r="K301" s="22">
        <v>949792500</v>
      </c>
      <c r="L301" s="2" t="s">
        <v>52</v>
      </c>
      <c r="M301" s="2" t="s">
        <v>1770</v>
      </c>
      <c r="N301" s="2" t="s">
        <v>199</v>
      </c>
      <c r="O301" s="2" t="s">
        <v>4390</v>
      </c>
      <c r="P301" s="22">
        <v>1.5</v>
      </c>
      <c r="Q301" s="2" t="s">
        <v>4391</v>
      </c>
      <c r="R301" s="2" t="s">
        <v>225</v>
      </c>
      <c r="S301" s="2" t="s">
        <v>174</v>
      </c>
      <c r="T301" s="2" t="s">
        <v>49</v>
      </c>
      <c r="U301" s="2" t="s">
        <v>53</v>
      </c>
      <c r="V301" s="2" t="s">
        <v>3252</v>
      </c>
      <c r="W301" s="22">
        <v>1.5720000000000001</v>
      </c>
    </row>
    <row r="302" spans="1:23" x14ac:dyDescent="0.2">
      <c r="A302" s="2" t="s">
        <v>1639</v>
      </c>
      <c r="B302" s="2" t="s">
        <v>1642</v>
      </c>
      <c r="C302" s="2" t="s">
        <v>57</v>
      </c>
      <c r="D302" s="2" t="s">
        <v>170</v>
      </c>
      <c r="E302" s="2" t="s">
        <v>2984</v>
      </c>
      <c r="F302" s="2" t="s">
        <v>2985</v>
      </c>
      <c r="G302" s="2" t="s">
        <v>2986</v>
      </c>
      <c r="H302" s="22">
        <v>1.653</v>
      </c>
      <c r="I302" s="2" t="s">
        <v>55</v>
      </c>
      <c r="J302" s="2" t="s">
        <v>56</v>
      </c>
      <c r="K302" s="22">
        <v>745968000</v>
      </c>
      <c r="L302" s="2" t="s">
        <v>52</v>
      </c>
      <c r="M302" s="2" t="s">
        <v>1770</v>
      </c>
      <c r="N302" s="2" t="s">
        <v>169</v>
      </c>
      <c r="O302" s="2" t="s">
        <v>4392</v>
      </c>
      <c r="P302" s="22">
        <v>1.625</v>
      </c>
      <c r="Q302" s="2" t="s">
        <v>4393</v>
      </c>
      <c r="R302" s="2" t="s">
        <v>173</v>
      </c>
      <c r="S302" s="2" t="s">
        <v>1645</v>
      </c>
      <c r="T302" s="2" t="s">
        <v>49</v>
      </c>
      <c r="U302" s="2" t="s">
        <v>53</v>
      </c>
      <c r="V302" s="2" t="s">
        <v>2987</v>
      </c>
      <c r="W302" s="22">
        <v>1.4710000000000001</v>
      </c>
    </row>
    <row r="303" spans="1:23" x14ac:dyDescent="0.2">
      <c r="A303" s="2" t="s">
        <v>476</v>
      </c>
      <c r="B303" s="2" t="s">
        <v>479</v>
      </c>
      <c r="C303" s="2" t="s">
        <v>57</v>
      </c>
      <c r="D303" s="2" t="s">
        <v>45</v>
      </c>
      <c r="E303" s="2" t="s">
        <v>2156</v>
      </c>
      <c r="F303" s="2" t="s">
        <v>2157</v>
      </c>
      <c r="G303" s="2" t="s">
        <v>2158</v>
      </c>
      <c r="H303" s="2" t="s">
        <v>54</v>
      </c>
      <c r="I303" s="2" t="s">
        <v>55</v>
      </c>
      <c r="J303" s="2" t="s">
        <v>56</v>
      </c>
      <c r="K303" s="22">
        <v>12531600</v>
      </c>
      <c r="L303" s="2" t="s">
        <v>2011</v>
      </c>
      <c r="M303" s="2" t="s">
        <v>2129</v>
      </c>
      <c r="N303" s="2" t="s">
        <v>45</v>
      </c>
      <c r="O303" s="2" t="s">
        <v>4394</v>
      </c>
      <c r="P303" s="22">
        <v>1.3</v>
      </c>
      <c r="Q303" s="2" t="s">
        <v>4395</v>
      </c>
      <c r="R303" s="2" t="s">
        <v>225</v>
      </c>
      <c r="S303" s="2" t="s">
        <v>189</v>
      </c>
      <c r="T303" s="2" t="s">
        <v>49</v>
      </c>
      <c r="U303" s="2" t="s">
        <v>53</v>
      </c>
      <c r="V303" s="2" t="s">
        <v>2159</v>
      </c>
      <c r="W303" s="2" t="s">
        <v>54</v>
      </c>
    </row>
    <row r="304" spans="1:23" x14ac:dyDescent="0.2">
      <c r="A304" s="2" t="s">
        <v>566</v>
      </c>
      <c r="B304" s="2" t="s">
        <v>569</v>
      </c>
      <c r="C304" s="2" t="s">
        <v>57</v>
      </c>
      <c r="D304" s="2" t="s">
        <v>184</v>
      </c>
      <c r="E304" s="2" t="s">
        <v>2690</v>
      </c>
      <c r="F304" s="2" t="s">
        <v>2691</v>
      </c>
      <c r="G304" s="2" t="s">
        <v>2692</v>
      </c>
      <c r="H304" s="22">
        <v>2.1270000000000002</v>
      </c>
      <c r="I304" s="2" t="s">
        <v>55</v>
      </c>
      <c r="J304" s="2" t="s">
        <v>56</v>
      </c>
      <c r="K304" s="22">
        <v>621400000</v>
      </c>
      <c r="L304" s="2" t="s">
        <v>52</v>
      </c>
      <c r="M304" s="2" t="s">
        <v>1770</v>
      </c>
      <c r="N304" s="2" t="s">
        <v>184</v>
      </c>
      <c r="O304" s="2" t="s">
        <v>4396</v>
      </c>
      <c r="P304" s="22">
        <v>2</v>
      </c>
      <c r="Q304" s="2" t="s">
        <v>4397</v>
      </c>
      <c r="R304" s="2" t="s">
        <v>225</v>
      </c>
      <c r="S304" s="2" t="s">
        <v>496</v>
      </c>
      <c r="T304" s="2" t="s">
        <v>115</v>
      </c>
      <c r="U304" s="2" t="s">
        <v>53</v>
      </c>
      <c r="V304" s="2" t="s">
        <v>2693</v>
      </c>
      <c r="W304" s="22">
        <v>1.855</v>
      </c>
    </row>
    <row r="305" spans="1:23" x14ac:dyDescent="0.2">
      <c r="A305" s="2" t="s">
        <v>476</v>
      </c>
      <c r="B305" s="2" t="s">
        <v>479</v>
      </c>
      <c r="C305" s="2" t="s">
        <v>57</v>
      </c>
      <c r="D305" s="2" t="s">
        <v>45</v>
      </c>
      <c r="E305" s="2" t="s">
        <v>2160</v>
      </c>
      <c r="F305" s="2" t="s">
        <v>2161</v>
      </c>
      <c r="G305" s="2" t="s">
        <v>2162</v>
      </c>
      <c r="H305" s="2" t="s">
        <v>54</v>
      </c>
      <c r="I305" s="2" t="s">
        <v>55</v>
      </c>
      <c r="J305" s="2" t="s">
        <v>56</v>
      </c>
      <c r="K305" s="22">
        <v>12175700</v>
      </c>
      <c r="L305" s="2" t="s">
        <v>2011</v>
      </c>
      <c r="M305" s="2" t="s">
        <v>2129</v>
      </c>
      <c r="N305" s="2" t="s">
        <v>45</v>
      </c>
      <c r="O305" s="2" t="s">
        <v>4398</v>
      </c>
      <c r="P305" s="22">
        <v>1</v>
      </c>
      <c r="Q305" s="2" t="s">
        <v>4399</v>
      </c>
      <c r="R305" s="2" t="s">
        <v>225</v>
      </c>
      <c r="S305" s="2" t="s">
        <v>189</v>
      </c>
      <c r="T305" s="2" t="s">
        <v>49</v>
      </c>
      <c r="U305" s="2" t="s">
        <v>53</v>
      </c>
      <c r="V305" s="2" t="s">
        <v>2163</v>
      </c>
      <c r="W305" s="2" t="s">
        <v>54</v>
      </c>
    </row>
    <row r="306" spans="1:23" x14ac:dyDescent="0.2">
      <c r="A306" s="2" t="s">
        <v>476</v>
      </c>
      <c r="B306" s="2" t="s">
        <v>479</v>
      </c>
      <c r="C306" s="2" t="s">
        <v>391</v>
      </c>
      <c r="D306" s="2" t="s">
        <v>45</v>
      </c>
      <c r="E306" s="2" t="s">
        <v>2164</v>
      </c>
      <c r="F306" s="2" t="s">
        <v>2165</v>
      </c>
      <c r="G306" s="2" t="s">
        <v>2166</v>
      </c>
      <c r="H306" s="2" t="s">
        <v>54</v>
      </c>
      <c r="I306" s="2" t="s">
        <v>55</v>
      </c>
      <c r="J306" s="2" t="s">
        <v>70</v>
      </c>
      <c r="K306" s="22">
        <v>24315000</v>
      </c>
      <c r="L306" s="2" t="s">
        <v>2011</v>
      </c>
      <c r="M306" s="2" t="s">
        <v>2129</v>
      </c>
      <c r="N306" s="2" t="s">
        <v>45</v>
      </c>
      <c r="O306" s="2" t="s">
        <v>4400</v>
      </c>
      <c r="P306" s="22">
        <v>0.4</v>
      </c>
      <c r="Q306" s="2" t="s">
        <v>4401</v>
      </c>
      <c r="R306" s="2" t="s">
        <v>2134</v>
      </c>
      <c r="S306" s="2" t="s">
        <v>189</v>
      </c>
      <c r="T306" s="2" t="s">
        <v>49</v>
      </c>
      <c r="U306" s="2" t="s">
        <v>53</v>
      </c>
      <c r="V306" s="2" t="s">
        <v>2167</v>
      </c>
      <c r="W306" s="2" t="s">
        <v>54</v>
      </c>
    </row>
    <row r="307" spans="1:23" x14ac:dyDescent="0.2">
      <c r="A307" s="2" t="s">
        <v>476</v>
      </c>
      <c r="B307" s="2" t="s">
        <v>479</v>
      </c>
      <c r="C307" s="2" t="s">
        <v>391</v>
      </c>
      <c r="D307" s="2" t="s">
        <v>45</v>
      </c>
      <c r="E307" s="2" t="s">
        <v>2168</v>
      </c>
      <c r="F307" s="2" t="s">
        <v>2169</v>
      </c>
      <c r="G307" s="2" t="s">
        <v>2170</v>
      </c>
      <c r="H307" s="2" t="s">
        <v>54</v>
      </c>
      <c r="I307" s="2" t="s">
        <v>55</v>
      </c>
      <c r="J307" s="2" t="s">
        <v>70</v>
      </c>
      <c r="K307" s="22">
        <v>36472500</v>
      </c>
      <c r="L307" s="2" t="s">
        <v>482</v>
      </c>
      <c r="M307" s="2" t="s">
        <v>1770</v>
      </c>
      <c r="N307" s="2" t="s">
        <v>45</v>
      </c>
      <c r="O307" s="2" t="s">
        <v>4400</v>
      </c>
      <c r="P307" s="22">
        <v>0.4</v>
      </c>
      <c r="Q307" s="2" t="s">
        <v>4401</v>
      </c>
      <c r="R307" s="2" t="s">
        <v>2171</v>
      </c>
      <c r="S307" s="2" t="s">
        <v>483</v>
      </c>
      <c r="T307" s="2" t="s">
        <v>49</v>
      </c>
      <c r="U307" s="2" t="s">
        <v>53</v>
      </c>
      <c r="V307" s="2" t="s">
        <v>2172</v>
      </c>
      <c r="W307" s="2" t="s">
        <v>54</v>
      </c>
    </row>
    <row r="308" spans="1:23" x14ac:dyDescent="0.2">
      <c r="A308" s="2" t="s">
        <v>476</v>
      </c>
      <c r="B308" s="2" t="s">
        <v>479</v>
      </c>
      <c r="C308" s="2" t="s">
        <v>57</v>
      </c>
      <c r="D308" s="2" t="s">
        <v>45</v>
      </c>
      <c r="E308" s="2" t="s">
        <v>2173</v>
      </c>
      <c r="F308" s="2" t="s">
        <v>2174</v>
      </c>
      <c r="G308" s="2" t="s">
        <v>2175</v>
      </c>
      <c r="H308" s="2" t="s">
        <v>54</v>
      </c>
      <c r="I308" s="2" t="s">
        <v>55</v>
      </c>
      <c r="J308" s="2" t="s">
        <v>56</v>
      </c>
      <c r="K308" s="22">
        <v>853732500</v>
      </c>
      <c r="L308" s="2" t="s">
        <v>2011</v>
      </c>
      <c r="M308" s="2" t="s">
        <v>2129</v>
      </c>
      <c r="N308" s="2" t="s">
        <v>45</v>
      </c>
      <c r="O308" s="2" t="s">
        <v>4402</v>
      </c>
      <c r="P308" s="22">
        <v>1.25</v>
      </c>
      <c r="Q308" s="2" t="s">
        <v>4403</v>
      </c>
      <c r="R308" s="2" t="s">
        <v>225</v>
      </c>
      <c r="S308" s="2" t="s">
        <v>189</v>
      </c>
      <c r="T308" s="2" t="s">
        <v>49</v>
      </c>
      <c r="U308" s="2" t="s">
        <v>53</v>
      </c>
      <c r="V308" s="2" t="s">
        <v>2176</v>
      </c>
      <c r="W308" s="22">
        <v>1.1859999999999999</v>
      </c>
    </row>
    <row r="309" spans="1:23" x14ac:dyDescent="0.2">
      <c r="A309" s="2" t="s">
        <v>641</v>
      </c>
      <c r="B309" s="2" t="s">
        <v>644</v>
      </c>
      <c r="C309" s="2" t="s">
        <v>57</v>
      </c>
      <c r="D309" s="2" t="s">
        <v>199</v>
      </c>
      <c r="E309" s="2" t="s">
        <v>2433</v>
      </c>
      <c r="F309" s="2" t="s">
        <v>2434</v>
      </c>
      <c r="G309" s="2" t="s">
        <v>2435</v>
      </c>
      <c r="H309" s="22">
        <v>1.966</v>
      </c>
      <c r="I309" s="2" t="s">
        <v>55</v>
      </c>
      <c r="J309" s="2" t="s">
        <v>56</v>
      </c>
      <c r="K309" s="22">
        <v>1660434681.78</v>
      </c>
      <c r="L309" s="2" t="s">
        <v>52</v>
      </c>
      <c r="M309" s="2" t="s">
        <v>1770</v>
      </c>
      <c r="N309" s="2" t="s">
        <v>366</v>
      </c>
      <c r="O309" s="2" t="s">
        <v>4404</v>
      </c>
      <c r="P309" s="22">
        <v>1.966</v>
      </c>
      <c r="Q309" s="2" t="s">
        <v>4405</v>
      </c>
      <c r="R309" s="2" t="s">
        <v>225</v>
      </c>
      <c r="S309" s="2" t="s">
        <v>619</v>
      </c>
      <c r="T309" s="2" t="s">
        <v>49</v>
      </c>
      <c r="U309" s="2" t="s">
        <v>53</v>
      </c>
      <c r="V309" s="2" t="s">
        <v>2436</v>
      </c>
      <c r="W309" s="22">
        <v>1.468</v>
      </c>
    </row>
    <row r="310" spans="1:23" x14ac:dyDescent="0.2">
      <c r="A310" s="2" t="s">
        <v>1486</v>
      </c>
      <c r="B310" s="2" t="s">
        <v>1489</v>
      </c>
      <c r="C310" s="2" t="s">
        <v>57</v>
      </c>
      <c r="D310" s="2" t="s">
        <v>184</v>
      </c>
      <c r="E310" s="2" t="s">
        <v>2275</v>
      </c>
      <c r="F310" s="2" t="s">
        <v>2276</v>
      </c>
      <c r="G310" s="2" t="s">
        <v>2277</v>
      </c>
      <c r="H310" s="22">
        <v>1.3049999999999999</v>
      </c>
      <c r="I310" s="2" t="s">
        <v>117</v>
      </c>
      <c r="J310" s="2" t="s">
        <v>56</v>
      </c>
      <c r="K310" s="22">
        <v>860347500</v>
      </c>
      <c r="L310" s="2" t="s">
        <v>52</v>
      </c>
      <c r="M310" s="2" t="s">
        <v>1770</v>
      </c>
      <c r="N310" s="2" t="s">
        <v>184</v>
      </c>
      <c r="O310" s="2" t="s">
        <v>4406</v>
      </c>
      <c r="P310" s="22">
        <v>1.25</v>
      </c>
      <c r="Q310" s="2" t="s">
        <v>4407</v>
      </c>
      <c r="R310" s="2" t="s">
        <v>225</v>
      </c>
      <c r="S310" s="2" t="s">
        <v>189</v>
      </c>
      <c r="T310" s="2" t="s">
        <v>115</v>
      </c>
      <c r="U310" s="2" t="s">
        <v>53</v>
      </c>
      <c r="V310" s="2" t="s">
        <v>2278</v>
      </c>
      <c r="W310" s="22">
        <v>1.196</v>
      </c>
    </row>
    <row r="311" spans="1:23" x14ac:dyDescent="0.2">
      <c r="A311" s="2" t="s">
        <v>613</v>
      </c>
      <c r="B311" s="2" t="s">
        <v>616</v>
      </c>
      <c r="C311" s="2" t="s">
        <v>57</v>
      </c>
      <c r="D311" s="2" t="s">
        <v>199</v>
      </c>
      <c r="E311" s="2" t="s">
        <v>2512</v>
      </c>
      <c r="F311" s="2" t="s">
        <v>2513</v>
      </c>
      <c r="G311" s="2" t="s">
        <v>2514</v>
      </c>
      <c r="H311" s="22">
        <v>1.573</v>
      </c>
      <c r="I311" s="2" t="s">
        <v>117</v>
      </c>
      <c r="J311" s="2" t="s">
        <v>56</v>
      </c>
      <c r="K311" s="22">
        <v>1133260000</v>
      </c>
      <c r="L311" s="2" t="s">
        <v>52</v>
      </c>
      <c r="M311" s="2" t="s">
        <v>1770</v>
      </c>
      <c r="N311" s="2" t="s">
        <v>199</v>
      </c>
      <c r="O311" s="2" t="s">
        <v>4408</v>
      </c>
      <c r="P311" s="22">
        <v>1.5</v>
      </c>
      <c r="Q311" s="2" t="s">
        <v>4409</v>
      </c>
      <c r="R311" s="2" t="s">
        <v>225</v>
      </c>
      <c r="S311" s="2" t="s">
        <v>619</v>
      </c>
      <c r="T311" s="2" t="s">
        <v>49</v>
      </c>
      <c r="U311" s="2" t="s">
        <v>53</v>
      </c>
      <c r="V311" s="2" t="s">
        <v>2515</v>
      </c>
      <c r="W311" s="22">
        <v>1.377</v>
      </c>
    </row>
    <row r="312" spans="1:23" x14ac:dyDescent="0.2">
      <c r="A312" s="2" t="s">
        <v>774</v>
      </c>
      <c r="B312" s="2" t="s">
        <v>777</v>
      </c>
      <c r="C312" s="2" t="s">
        <v>57</v>
      </c>
      <c r="D312" s="2" t="s">
        <v>199</v>
      </c>
      <c r="E312" s="2" t="s">
        <v>1785</v>
      </c>
      <c r="F312" s="2" t="s">
        <v>1786</v>
      </c>
      <c r="G312" s="2" t="s">
        <v>1787</v>
      </c>
      <c r="H312" s="2" t="s">
        <v>54</v>
      </c>
      <c r="I312" s="2" t="s">
        <v>55</v>
      </c>
      <c r="J312" s="2" t="s">
        <v>56</v>
      </c>
      <c r="K312" s="22">
        <v>340893000</v>
      </c>
      <c r="L312" s="2" t="s">
        <v>52</v>
      </c>
      <c r="M312" s="2" t="s">
        <v>1770</v>
      </c>
      <c r="N312" s="2" t="s">
        <v>199</v>
      </c>
      <c r="O312" s="2" t="s">
        <v>4410</v>
      </c>
      <c r="P312" s="22">
        <v>1.75</v>
      </c>
      <c r="Q312" s="2" t="s">
        <v>360</v>
      </c>
      <c r="R312" s="2" t="s">
        <v>225</v>
      </c>
      <c r="S312" s="2" t="s">
        <v>174</v>
      </c>
      <c r="T312" s="2" t="s">
        <v>115</v>
      </c>
      <c r="U312" s="2" t="s">
        <v>53</v>
      </c>
      <c r="V312" s="2" t="s">
        <v>1788</v>
      </c>
      <c r="W312" s="22">
        <v>1.63</v>
      </c>
    </row>
    <row r="313" spans="1:23" x14ac:dyDescent="0.2">
      <c r="A313" s="2" t="s">
        <v>670</v>
      </c>
      <c r="B313" s="2" t="s">
        <v>673</v>
      </c>
      <c r="C313" s="2" t="s">
        <v>57</v>
      </c>
      <c r="D313" s="2" t="s">
        <v>184</v>
      </c>
      <c r="E313" s="2" t="s">
        <v>2378</v>
      </c>
      <c r="F313" s="2" t="s">
        <v>2379</v>
      </c>
      <c r="G313" s="2" t="s">
        <v>2380</v>
      </c>
      <c r="H313" s="22">
        <v>1.49</v>
      </c>
      <c r="I313" s="2" t="s">
        <v>420</v>
      </c>
      <c r="J313" s="2" t="s">
        <v>56</v>
      </c>
      <c r="K313" s="22">
        <v>535955000</v>
      </c>
      <c r="L313" s="2" t="s">
        <v>52</v>
      </c>
      <c r="M313" s="2" t="s">
        <v>1775</v>
      </c>
      <c r="N313" s="2" t="s">
        <v>184</v>
      </c>
      <c r="O313" s="2" t="s">
        <v>4411</v>
      </c>
      <c r="P313" s="22">
        <v>1.375</v>
      </c>
      <c r="Q313" s="2" t="s">
        <v>4412</v>
      </c>
      <c r="R313" s="2" t="s">
        <v>173</v>
      </c>
      <c r="S313" s="2" t="s">
        <v>189</v>
      </c>
      <c r="T313" s="2" t="s">
        <v>115</v>
      </c>
      <c r="U313" s="2" t="s">
        <v>53</v>
      </c>
      <c r="V313" s="2" t="s">
        <v>2381</v>
      </c>
      <c r="W313" s="22">
        <v>1.3340000000000001</v>
      </c>
    </row>
    <row r="314" spans="1:23" x14ac:dyDescent="0.2">
      <c r="A314" s="2" t="s">
        <v>180</v>
      </c>
      <c r="B314" s="2" t="s">
        <v>183</v>
      </c>
      <c r="C314" s="2" t="s">
        <v>57</v>
      </c>
      <c r="D314" s="2" t="s">
        <v>185</v>
      </c>
      <c r="E314" s="2" t="s">
        <v>3184</v>
      </c>
      <c r="F314" s="2" t="s">
        <v>3185</v>
      </c>
      <c r="G314" s="2" t="s">
        <v>3186</v>
      </c>
      <c r="H314" s="2" t="s">
        <v>54</v>
      </c>
      <c r="I314" s="2" t="s">
        <v>133</v>
      </c>
      <c r="J314" s="2" t="s">
        <v>56</v>
      </c>
      <c r="K314" s="22">
        <v>789877500</v>
      </c>
      <c r="L314" s="2" t="s">
        <v>52</v>
      </c>
      <c r="M314" s="2" t="s">
        <v>1770</v>
      </c>
      <c r="N314" s="2" t="s">
        <v>184</v>
      </c>
      <c r="O314" s="2" t="s">
        <v>4413</v>
      </c>
      <c r="P314" s="22">
        <v>0.875</v>
      </c>
      <c r="Q314" s="2" t="s">
        <v>4414</v>
      </c>
      <c r="R314" s="2" t="s">
        <v>225</v>
      </c>
      <c r="S314" s="2" t="s">
        <v>446</v>
      </c>
      <c r="T314" s="2" t="s">
        <v>115</v>
      </c>
      <c r="U314" s="2" t="s">
        <v>53</v>
      </c>
      <c r="V314" s="2" t="s">
        <v>3187</v>
      </c>
      <c r="W314" s="22">
        <v>0.9</v>
      </c>
    </row>
    <row r="315" spans="1:23" x14ac:dyDescent="0.2">
      <c r="A315" s="2" t="s">
        <v>1042</v>
      </c>
      <c r="B315" s="2" t="s">
        <v>1045</v>
      </c>
      <c r="C315" s="2" t="s">
        <v>57</v>
      </c>
      <c r="D315" s="2" t="s">
        <v>1046</v>
      </c>
      <c r="E315" s="2" t="s">
        <v>3342</v>
      </c>
      <c r="F315" s="2" t="s">
        <v>3343</v>
      </c>
      <c r="G315" s="2" t="s">
        <v>3344</v>
      </c>
      <c r="H315" s="2" t="s">
        <v>54</v>
      </c>
      <c r="I315" s="2" t="s">
        <v>55</v>
      </c>
      <c r="J315" s="2" t="s">
        <v>56</v>
      </c>
      <c r="K315" s="22">
        <v>750974000</v>
      </c>
      <c r="L315" s="2" t="s">
        <v>52</v>
      </c>
      <c r="M315" s="2" t="s">
        <v>1770</v>
      </c>
      <c r="N315" s="2" t="s">
        <v>366</v>
      </c>
      <c r="O315" s="2" t="s">
        <v>4415</v>
      </c>
      <c r="P315" s="22">
        <v>1.875</v>
      </c>
      <c r="Q315" s="2" t="s">
        <v>4416</v>
      </c>
      <c r="R315" s="2" t="s">
        <v>173</v>
      </c>
      <c r="S315" s="2" t="s">
        <v>296</v>
      </c>
      <c r="T315" s="2" t="s">
        <v>115</v>
      </c>
      <c r="U315" s="2" t="s">
        <v>53</v>
      </c>
      <c r="V315" s="2" t="s">
        <v>3345</v>
      </c>
      <c r="W315" s="22">
        <v>1.8220000000000001</v>
      </c>
    </row>
    <row r="316" spans="1:23" x14ac:dyDescent="0.2">
      <c r="A316" s="2" t="s">
        <v>1042</v>
      </c>
      <c r="B316" s="2" t="s">
        <v>1045</v>
      </c>
      <c r="C316" s="2" t="s">
        <v>57</v>
      </c>
      <c r="D316" s="2" t="s">
        <v>1046</v>
      </c>
      <c r="E316" s="2" t="s">
        <v>3346</v>
      </c>
      <c r="F316" s="2" t="s">
        <v>3347</v>
      </c>
      <c r="G316" s="2" t="s">
        <v>3348</v>
      </c>
      <c r="H316" s="2" t="s">
        <v>54</v>
      </c>
      <c r="I316" s="2" t="s">
        <v>55</v>
      </c>
      <c r="J316" s="2" t="s">
        <v>56</v>
      </c>
      <c r="K316" s="22">
        <v>1394666000</v>
      </c>
      <c r="L316" s="2" t="s">
        <v>52</v>
      </c>
      <c r="M316" s="2" t="s">
        <v>1770</v>
      </c>
      <c r="N316" s="2" t="s">
        <v>366</v>
      </c>
      <c r="O316" s="2" t="s">
        <v>4415</v>
      </c>
      <c r="P316" s="22">
        <v>1.25</v>
      </c>
      <c r="Q316" s="2" t="s">
        <v>4282</v>
      </c>
      <c r="R316" s="2" t="s">
        <v>173</v>
      </c>
      <c r="S316" s="2" t="s">
        <v>296</v>
      </c>
      <c r="T316" s="2" t="s">
        <v>115</v>
      </c>
      <c r="U316" s="2" t="s">
        <v>53</v>
      </c>
      <c r="V316" s="2" t="s">
        <v>3349</v>
      </c>
      <c r="W316" s="22">
        <v>1.179</v>
      </c>
    </row>
    <row r="317" spans="1:23" x14ac:dyDescent="0.2">
      <c r="A317" s="2" t="s">
        <v>1559</v>
      </c>
      <c r="B317" s="2" t="s">
        <v>1562</v>
      </c>
      <c r="C317" s="2" t="s">
        <v>57</v>
      </c>
      <c r="D317" s="2" t="s">
        <v>257</v>
      </c>
      <c r="E317" s="2" t="s">
        <v>2767</v>
      </c>
      <c r="F317" s="2" t="s">
        <v>2768</v>
      </c>
      <c r="G317" s="2" t="s">
        <v>2769</v>
      </c>
      <c r="H317" s="22">
        <v>1.7630000000000001</v>
      </c>
      <c r="I317" s="2" t="s">
        <v>55</v>
      </c>
      <c r="J317" s="2" t="s">
        <v>56</v>
      </c>
      <c r="K317" s="22">
        <v>672858000</v>
      </c>
      <c r="L317" s="2" t="s">
        <v>52</v>
      </c>
      <c r="M317" s="2" t="s">
        <v>1775</v>
      </c>
      <c r="N317" s="2" t="s">
        <v>366</v>
      </c>
      <c r="O317" s="2" t="s">
        <v>4417</v>
      </c>
      <c r="P317" s="22">
        <v>1.625</v>
      </c>
      <c r="Q317" s="2" t="s">
        <v>4418</v>
      </c>
      <c r="R317" s="2" t="s">
        <v>173</v>
      </c>
      <c r="S317" s="2" t="s">
        <v>174</v>
      </c>
      <c r="T317" s="2" t="s">
        <v>49</v>
      </c>
      <c r="U317" s="2" t="s">
        <v>53</v>
      </c>
      <c r="V317" s="2" t="s">
        <v>2770</v>
      </c>
      <c r="W317" s="22">
        <v>1.83</v>
      </c>
    </row>
    <row r="318" spans="1:23" x14ac:dyDescent="0.2">
      <c r="A318" s="2" t="s">
        <v>218</v>
      </c>
      <c r="B318" s="2" t="s">
        <v>221</v>
      </c>
      <c r="C318" s="2" t="s">
        <v>57</v>
      </c>
      <c r="D318" s="2" t="s">
        <v>222</v>
      </c>
      <c r="E318" s="2" t="s">
        <v>3041</v>
      </c>
      <c r="F318" s="2" t="s">
        <v>3042</v>
      </c>
      <c r="G318" s="2" t="s">
        <v>3043</v>
      </c>
      <c r="H318" s="2" t="s">
        <v>54</v>
      </c>
      <c r="I318" s="2" t="s">
        <v>55</v>
      </c>
      <c r="J318" s="2" t="s">
        <v>56</v>
      </c>
      <c r="K318" s="22">
        <v>21763600</v>
      </c>
      <c r="L318" s="2" t="s">
        <v>52</v>
      </c>
      <c r="M318" s="2" t="s">
        <v>173</v>
      </c>
      <c r="N318" s="2" t="s">
        <v>222</v>
      </c>
      <c r="O318" s="2" t="s">
        <v>4419</v>
      </c>
      <c r="P318" s="22">
        <v>5</v>
      </c>
      <c r="Q318" s="2" t="s">
        <v>4420</v>
      </c>
      <c r="R318" s="2" t="s">
        <v>4421</v>
      </c>
      <c r="S318" s="2" t="s">
        <v>54</v>
      </c>
      <c r="T318" s="2" t="s">
        <v>49</v>
      </c>
      <c r="U318" s="2" t="s">
        <v>53</v>
      </c>
      <c r="V318" s="2" t="s">
        <v>3044</v>
      </c>
      <c r="W318" s="2" t="s">
        <v>54</v>
      </c>
    </row>
    <row r="319" spans="1:23" x14ac:dyDescent="0.2">
      <c r="A319" s="2" t="s">
        <v>218</v>
      </c>
      <c r="B319" s="2" t="s">
        <v>221</v>
      </c>
      <c r="C319" s="2" t="s">
        <v>57</v>
      </c>
      <c r="D319" s="2" t="s">
        <v>222</v>
      </c>
      <c r="E319" s="2" t="s">
        <v>3045</v>
      </c>
      <c r="F319" s="2" t="s">
        <v>3046</v>
      </c>
      <c r="G319" s="2" t="s">
        <v>3047</v>
      </c>
      <c r="H319" s="2" t="s">
        <v>54</v>
      </c>
      <c r="I319" s="2" t="s">
        <v>55</v>
      </c>
      <c r="J319" s="2" t="s">
        <v>56</v>
      </c>
      <c r="K319" s="22">
        <v>10881800</v>
      </c>
      <c r="L319" s="2" t="s">
        <v>52</v>
      </c>
      <c r="M319" s="2" t="s">
        <v>173</v>
      </c>
      <c r="N319" s="2" t="s">
        <v>222</v>
      </c>
      <c r="O319" s="2" t="s">
        <v>4419</v>
      </c>
      <c r="P319" s="22">
        <v>4.5</v>
      </c>
      <c r="Q319" s="2" t="s">
        <v>4422</v>
      </c>
      <c r="R319" s="2" t="s">
        <v>4423</v>
      </c>
      <c r="S319" s="2" t="s">
        <v>54</v>
      </c>
      <c r="T319" s="2" t="s">
        <v>49</v>
      </c>
      <c r="U319" s="2" t="s">
        <v>53</v>
      </c>
      <c r="V319" s="2" t="s">
        <v>3048</v>
      </c>
      <c r="W319" s="2" t="s">
        <v>54</v>
      </c>
    </row>
    <row r="320" spans="1:23" x14ac:dyDescent="0.2">
      <c r="A320" s="2" t="s">
        <v>476</v>
      </c>
      <c r="B320" s="2" t="s">
        <v>479</v>
      </c>
      <c r="C320" s="2" t="s">
        <v>57</v>
      </c>
      <c r="D320" s="2" t="s">
        <v>45</v>
      </c>
      <c r="E320" s="2" t="s">
        <v>2177</v>
      </c>
      <c r="F320" s="2" t="s">
        <v>2178</v>
      </c>
      <c r="G320" s="2" t="s">
        <v>2179</v>
      </c>
      <c r="H320" s="2" t="s">
        <v>54</v>
      </c>
      <c r="I320" s="2" t="s">
        <v>55</v>
      </c>
      <c r="J320" s="2" t="s">
        <v>56</v>
      </c>
      <c r="K320" s="22">
        <v>551405000</v>
      </c>
      <c r="L320" s="2" t="s">
        <v>458</v>
      </c>
      <c r="M320" s="2" t="s">
        <v>1770</v>
      </c>
      <c r="N320" s="2" t="s">
        <v>45</v>
      </c>
      <c r="O320" s="2" t="s">
        <v>4424</v>
      </c>
      <c r="P320" s="22">
        <v>0.25</v>
      </c>
      <c r="Q320" s="2" t="s">
        <v>4425</v>
      </c>
      <c r="R320" s="2" t="s">
        <v>225</v>
      </c>
      <c r="S320" s="2" t="s">
        <v>189</v>
      </c>
      <c r="T320" s="2" t="s">
        <v>49</v>
      </c>
      <c r="U320" s="2" t="s">
        <v>53</v>
      </c>
      <c r="V320" s="2" t="s">
        <v>2180</v>
      </c>
      <c r="W320" s="22">
        <v>0.20200000000000001</v>
      </c>
    </row>
    <row r="321" spans="1:23" x14ac:dyDescent="0.2">
      <c r="A321" s="2" t="s">
        <v>813</v>
      </c>
      <c r="B321" s="2" t="s">
        <v>816</v>
      </c>
      <c r="C321" s="2" t="s">
        <v>57</v>
      </c>
      <c r="D321" s="2" t="s">
        <v>184</v>
      </c>
      <c r="E321" s="2" t="s">
        <v>3448</v>
      </c>
      <c r="F321" s="2" t="s">
        <v>3449</v>
      </c>
      <c r="G321" s="2" t="s">
        <v>3450</v>
      </c>
      <c r="H321" s="2" t="s">
        <v>54</v>
      </c>
      <c r="I321" s="2" t="s">
        <v>133</v>
      </c>
      <c r="J321" s="2" t="s">
        <v>56</v>
      </c>
      <c r="K321" s="22">
        <v>676494000</v>
      </c>
      <c r="L321" s="2" t="s">
        <v>52</v>
      </c>
      <c r="M321" s="2" t="s">
        <v>2894</v>
      </c>
      <c r="N321" s="2" t="s">
        <v>184</v>
      </c>
      <c r="O321" s="2" t="s">
        <v>4426</v>
      </c>
      <c r="P321" s="22">
        <v>1.625</v>
      </c>
      <c r="Q321" s="2" t="s">
        <v>4427</v>
      </c>
      <c r="R321" s="2" t="s">
        <v>225</v>
      </c>
      <c r="S321" s="2" t="s">
        <v>263</v>
      </c>
      <c r="T321" s="2" t="s">
        <v>115</v>
      </c>
      <c r="U321" s="2" t="s">
        <v>53</v>
      </c>
      <c r="V321" s="2" t="s">
        <v>3451</v>
      </c>
      <c r="W321" s="22">
        <v>1.5129999999999999</v>
      </c>
    </row>
    <row r="322" spans="1:23" x14ac:dyDescent="0.2">
      <c r="A322" s="2" t="s">
        <v>566</v>
      </c>
      <c r="B322" s="2" t="s">
        <v>569</v>
      </c>
      <c r="C322" s="2" t="s">
        <v>57</v>
      </c>
      <c r="D322" s="2" t="s">
        <v>184</v>
      </c>
      <c r="E322" s="2" t="s">
        <v>2694</v>
      </c>
      <c r="F322" s="2" t="s">
        <v>2695</v>
      </c>
      <c r="G322" s="2" t="s">
        <v>2696</v>
      </c>
      <c r="H322" s="2" t="s">
        <v>54</v>
      </c>
      <c r="I322" s="2" t="s">
        <v>55</v>
      </c>
      <c r="J322" s="2" t="s">
        <v>56</v>
      </c>
      <c r="K322" s="22">
        <v>341754000</v>
      </c>
      <c r="L322" s="2" t="s">
        <v>52</v>
      </c>
      <c r="M322" s="2" t="s">
        <v>173</v>
      </c>
      <c r="N322" s="2" t="s">
        <v>184</v>
      </c>
      <c r="O322" s="2" t="s">
        <v>4428</v>
      </c>
      <c r="P322" s="22">
        <v>1.875</v>
      </c>
      <c r="Q322" s="2" t="s">
        <v>383</v>
      </c>
      <c r="R322" s="2" t="s">
        <v>225</v>
      </c>
      <c r="S322" s="2" t="s">
        <v>496</v>
      </c>
      <c r="T322" s="2" t="s">
        <v>115</v>
      </c>
      <c r="U322" s="2" t="s">
        <v>53</v>
      </c>
      <c r="V322" s="2" t="s">
        <v>2697</v>
      </c>
      <c r="W322" s="22">
        <v>1.7070000000000001</v>
      </c>
    </row>
    <row r="323" spans="1:23" x14ac:dyDescent="0.2">
      <c r="A323" s="2" t="s">
        <v>1518</v>
      </c>
      <c r="B323" s="2" t="s">
        <v>1521</v>
      </c>
      <c r="C323" s="2" t="s">
        <v>57</v>
      </c>
      <c r="D323" s="2" t="s">
        <v>184</v>
      </c>
      <c r="E323" s="2" t="s">
        <v>3131</v>
      </c>
      <c r="F323" s="2" t="s">
        <v>3132</v>
      </c>
      <c r="G323" s="2" t="s">
        <v>3133</v>
      </c>
      <c r="H323" s="2" t="s">
        <v>54</v>
      </c>
      <c r="I323" s="2" t="s">
        <v>117</v>
      </c>
      <c r="J323" s="2" t="s">
        <v>56</v>
      </c>
      <c r="K323" s="22">
        <v>683772000</v>
      </c>
      <c r="L323" s="2" t="s">
        <v>52</v>
      </c>
      <c r="M323" s="2" t="s">
        <v>1770</v>
      </c>
      <c r="N323" s="2" t="s">
        <v>184</v>
      </c>
      <c r="O323" s="2" t="s">
        <v>4429</v>
      </c>
      <c r="P323" s="22">
        <v>0.625</v>
      </c>
      <c r="Q323" s="2" t="s">
        <v>4430</v>
      </c>
      <c r="R323" s="2" t="s">
        <v>225</v>
      </c>
      <c r="S323" s="2" t="s">
        <v>483</v>
      </c>
      <c r="T323" s="2" t="s">
        <v>115</v>
      </c>
      <c r="U323" s="2" t="s">
        <v>53</v>
      </c>
      <c r="V323" s="2" t="s">
        <v>3134</v>
      </c>
      <c r="W323" s="22">
        <v>0.55500000000000005</v>
      </c>
    </row>
    <row r="324" spans="1:23" x14ac:dyDescent="0.2">
      <c r="A324" s="2" t="s">
        <v>1518</v>
      </c>
      <c r="B324" s="2" t="s">
        <v>1521</v>
      </c>
      <c r="C324" s="2" t="s">
        <v>57</v>
      </c>
      <c r="D324" s="2" t="s">
        <v>184</v>
      </c>
      <c r="E324" s="2" t="s">
        <v>3135</v>
      </c>
      <c r="F324" s="2" t="s">
        <v>3136</v>
      </c>
      <c r="G324" s="2" t="s">
        <v>3137</v>
      </c>
      <c r="H324" s="2" t="s">
        <v>54</v>
      </c>
      <c r="I324" s="2" t="s">
        <v>117</v>
      </c>
      <c r="J324" s="2" t="s">
        <v>56</v>
      </c>
      <c r="K324" s="22">
        <v>797734000</v>
      </c>
      <c r="L324" s="2" t="s">
        <v>52</v>
      </c>
      <c r="M324" s="2" t="s">
        <v>1770</v>
      </c>
      <c r="N324" s="2" t="s">
        <v>184</v>
      </c>
      <c r="O324" s="2" t="s">
        <v>4429</v>
      </c>
      <c r="P324" s="22">
        <v>1.125</v>
      </c>
      <c r="Q324" s="2" t="s">
        <v>4431</v>
      </c>
      <c r="R324" s="2" t="s">
        <v>225</v>
      </c>
      <c r="S324" s="2" t="s">
        <v>483</v>
      </c>
      <c r="T324" s="2" t="s">
        <v>115</v>
      </c>
      <c r="U324" s="2" t="s">
        <v>53</v>
      </c>
      <c r="V324" s="2" t="s">
        <v>3138</v>
      </c>
      <c r="W324" s="22">
        <v>1.004</v>
      </c>
    </row>
    <row r="325" spans="1:23" x14ac:dyDescent="0.2">
      <c r="A325" s="2" t="s">
        <v>1486</v>
      </c>
      <c r="B325" s="2" t="s">
        <v>1489</v>
      </c>
      <c r="C325" s="2" t="s">
        <v>57</v>
      </c>
      <c r="D325" s="2" t="s">
        <v>184</v>
      </c>
      <c r="E325" s="2" t="s">
        <v>2279</v>
      </c>
      <c r="F325" s="2" t="s">
        <v>2280</v>
      </c>
      <c r="G325" s="2" t="s">
        <v>2281</v>
      </c>
      <c r="H325" s="2" t="s">
        <v>54</v>
      </c>
      <c r="I325" s="2" t="s">
        <v>117</v>
      </c>
      <c r="J325" s="2" t="s">
        <v>56</v>
      </c>
      <c r="K325" s="22">
        <v>847132500</v>
      </c>
      <c r="L325" s="2" t="s">
        <v>52</v>
      </c>
      <c r="M325" s="2" t="s">
        <v>1770</v>
      </c>
      <c r="N325" s="2" t="s">
        <v>184</v>
      </c>
      <c r="O325" s="2" t="s">
        <v>4432</v>
      </c>
      <c r="P325" s="22">
        <v>0.75</v>
      </c>
      <c r="Q325" s="2" t="s">
        <v>4433</v>
      </c>
      <c r="R325" s="2" t="s">
        <v>225</v>
      </c>
      <c r="S325" s="2" t="s">
        <v>189</v>
      </c>
      <c r="T325" s="2" t="s">
        <v>115</v>
      </c>
      <c r="U325" s="2" t="s">
        <v>53</v>
      </c>
      <c r="V325" s="2" t="s">
        <v>2282</v>
      </c>
      <c r="W325" s="22">
        <v>0.91100000000000003</v>
      </c>
    </row>
    <row r="326" spans="1:23" x14ac:dyDescent="0.2">
      <c r="A326" s="2" t="s">
        <v>476</v>
      </c>
      <c r="B326" s="2" t="s">
        <v>479</v>
      </c>
      <c r="C326" s="2" t="s">
        <v>57</v>
      </c>
      <c r="D326" s="2" t="s">
        <v>45</v>
      </c>
      <c r="E326" s="2" t="s">
        <v>2181</v>
      </c>
      <c r="F326" s="2" t="s">
        <v>2182</v>
      </c>
      <c r="G326" s="2" t="s">
        <v>2183</v>
      </c>
      <c r="H326" s="2" t="s">
        <v>54</v>
      </c>
      <c r="I326" s="2" t="s">
        <v>55</v>
      </c>
      <c r="J326" s="2" t="s">
        <v>56</v>
      </c>
      <c r="K326" s="22">
        <v>576335000</v>
      </c>
      <c r="L326" s="2" t="s">
        <v>458</v>
      </c>
      <c r="M326" s="2" t="s">
        <v>1770</v>
      </c>
      <c r="N326" s="2" t="s">
        <v>45</v>
      </c>
      <c r="O326" s="2" t="s">
        <v>4434</v>
      </c>
      <c r="P326" s="22">
        <v>0.375</v>
      </c>
      <c r="Q326" s="2" t="s">
        <v>4435</v>
      </c>
      <c r="R326" s="2" t="s">
        <v>4436</v>
      </c>
      <c r="S326" s="2" t="s">
        <v>189</v>
      </c>
      <c r="T326" s="2" t="s">
        <v>49</v>
      </c>
      <c r="U326" s="2" t="s">
        <v>53</v>
      </c>
      <c r="V326" s="2" t="s">
        <v>2184</v>
      </c>
      <c r="W326" s="22">
        <v>0.31900000000000001</v>
      </c>
    </row>
    <row r="327" spans="1:23" x14ac:dyDescent="0.2">
      <c r="A327" s="2" t="s">
        <v>916</v>
      </c>
      <c r="B327" s="2" t="s">
        <v>919</v>
      </c>
      <c r="C327" s="2" t="s">
        <v>57</v>
      </c>
      <c r="D327" s="2" t="s">
        <v>184</v>
      </c>
      <c r="E327" s="2" t="s">
        <v>2925</v>
      </c>
      <c r="F327" s="2" t="s">
        <v>2926</v>
      </c>
      <c r="G327" s="2" t="s">
        <v>2927</v>
      </c>
      <c r="H327" s="22">
        <v>1.9540000000000002</v>
      </c>
      <c r="I327" s="2" t="s">
        <v>420</v>
      </c>
      <c r="J327" s="2" t="s">
        <v>56</v>
      </c>
      <c r="K327" s="22">
        <v>327789000</v>
      </c>
      <c r="L327" s="2" t="s">
        <v>52</v>
      </c>
      <c r="M327" s="2" t="s">
        <v>1839</v>
      </c>
      <c r="N327" s="2" t="s">
        <v>184</v>
      </c>
      <c r="O327" s="2" t="s">
        <v>4437</v>
      </c>
      <c r="P327" s="22">
        <v>1.875</v>
      </c>
      <c r="Q327" s="2" t="s">
        <v>4438</v>
      </c>
      <c r="R327" s="2" t="s">
        <v>173</v>
      </c>
      <c r="S327" s="2" t="s">
        <v>189</v>
      </c>
      <c r="T327" s="2" t="s">
        <v>115</v>
      </c>
      <c r="U327" s="2" t="s">
        <v>53</v>
      </c>
      <c r="V327" s="2" t="s">
        <v>2928</v>
      </c>
      <c r="W327" s="22">
        <v>2.02</v>
      </c>
    </row>
    <row r="328" spans="1:23" x14ac:dyDescent="0.2">
      <c r="A328" s="2" t="s">
        <v>946</v>
      </c>
      <c r="B328" s="2" t="s">
        <v>949</v>
      </c>
      <c r="C328" s="2" t="s">
        <v>57</v>
      </c>
      <c r="D328" s="2" t="s">
        <v>366</v>
      </c>
      <c r="E328" s="2" t="s">
        <v>2960</v>
      </c>
      <c r="F328" s="2" t="s">
        <v>2961</v>
      </c>
      <c r="G328" s="2" t="s">
        <v>2962</v>
      </c>
      <c r="H328" s="2" t="s">
        <v>54</v>
      </c>
      <c r="I328" s="2" t="s">
        <v>55</v>
      </c>
      <c r="J328" s="2" t="s">
        <v>56</v>
      </c>
      <c r="K328" s="22">
        <v>743106000</v>
      </c>
      <c r="L328" s="2" t="s">
        <v>52</v>
      </c>
      <c r="M328" s="2" t="s">
        <v>173</v>
      </c>
      <c r="N328" s="2" t="s">
        <v>366</v>
      </c>
      <c r="O328" s="2" t="s">
        <v>4439</v>
      </c>
      <c r="P328" s="22">
        <v>1</v>
      </c>
      <c r="Q328" s="2" t="s">
        <v>4440</v>
      </c>
      <c r="R328" s="2" t="s">
        <v>225</v>
      </c>
      <c r="S328" s="2" t="s">
        <v>1645</v>
      </c>
      <c r="T328" s="2" t="s">
        <v>115</v>
      </c>
      <c r="U328" s="2" t="s">
        <v>53</v>
      </c>
      <c r="V328" s="2" t="s">
        <v>2963</v>
      </c>
      <c r="W328" s="22">
        <v>0.91800000000000004</v>
      </c>
    </row>
    <row r="329" spans="1:23" x14ac:dyDescent="0.2">
      <c r="A329" s="2" t="s">
        <v>1525</v>
      </c>
      <c r="B329" s="2" t="s">
        <v>1528</v>
      </c>
      <c r="C329" s="2" t="s">
        <v>57</v>
      </c>
      <c r="D329" s="2" t="s">
        <v>184</v>
      </c>
      <c r="E329" s="2" t="s">
        <v>3013</v>
      </c>
      <c r="F329" s="2" t="s">
        <v>3014</v>
      </c>
      <c r="G329" s="2" t="s">
        <v>3015</v>
      </c>
      <c r="H329" s="2" t="s">
        <v>54</v>
      </c>
      <c r="I329" s="2" t="s">
        <v>420</v>
      </c>
      <c r="J329" s="2" t="s">
        <v>56</v>
      </c>
      <c r="K329" s="22">
        <v>679902000</v>
      </c>
      <c r="L329" s="2" t="s">
        <v>52</v>
      </c>
      <c r="M329" s="2" t="s">
        <v>1770</v>
      </c>
      <c r="N329" s="2" t="s">
        <v>184</v>
      </c>
      <c r="O329" s="2" t="s">
        <v>4441</v>
      </c>
      <c r="P329" s="22">
        <v>1.5</v>
      </c>
      <c r="Q329" s="2" t="s">
        <v>4230</v>
      </c>
      <c r="R329" s="2" t="s">
        <v>173</v>
      </c>
      <c r="S329" s="2" t="s">
        <v>619</v>
      </c>
      <c r="T329" s="2" t="s">
        <v>115</v>
      </c>
      <c r="U329" s="2" t="s">
        <v>53</v>
      </c>
      <c r="V329" s="2" t="s">
        <v>3016</v>
      </c>
      <c r="W329" s="22">
        <v>1.492</v>
      </c>
    </row>
    <row r="330" spans="1:23" x14ac:dyDescent="0.2">
      <c r="A330" s="2" t="s">
        <v>613</v>
      </c>
      <c r="B330" s="2" t="s">
        <v>616</v>
      </c>
      <c r="C330" s="2" t="s">
        <v>57</v>
      </c>
      <c r="D330" s="2" t="s">
        <v>199</v>
      </c>
      <c r="E330" s="2" t="s">
        <v>2516</v>
      </c>
      <c r="F330" s="2" t="s">
        <v>2517</v>
      </c>
      <c r="G330" s="2" t="s">
        <v>2518</v>
      </c>
      <c r="H330" s="2" t="s">
        <v>54</v>
      </c>
      <c r="I330" s="2" t="s">
        <v>117</v>
      </c>
      <c r="J330" s="2" t="s">
        <v>56</v>
      </c>
      <c r="K330" s="22">
        <v>793219000</v>
      </c>
      <c r="L330" s="2" t="s">
        <v>52</v>
      </c>
      <c r="M330" s="2" t="s">
        <v>1770</v>
      </c>
      <c r="N330" s="2" t="s">
        <v>199</v>
      </c>
      <c r="O330" s="2" t="s">
        <v>4441</v>
      </c>
      <c r="P330" s="22">
        <v>0.75</v>
      </c>
      <c r="Q330" s="2" t="s">
        <v>4442</v>
      </c>
      <c r="R330" s="2" t="s">
        <v>225</v>
      </c>
      <c r="S330" s="2" t="s">
        <v>619</v>
      </c>
      <c r="T330" s="2" t="s">
        <v>49</v>
      </c>
      <c r="U330" s="2" t="s">
        <v>53</v>
      </c>
      <c r="V330" s="2" t="s">
        <v>2519</v>
      </c>
      <c r="W330" s="22">
        <v>0.73899999999999999</v>
      </c>
    </row>
    <row r="331" spans="1:23" x14ac:dyDescent="0.2">
      <c r="A331" s="2" t="s">
        <v>613</v>
      </c>
      <c r="B331" s="2" t="s">
        <v>616</v>
      </c>
      <c r="C331" s="2" t="s">
        <v>57</v>
      </c>
      <c r="D331" s="2" t="s">
        <v>199</v>
      </c>
      <c r="E331" s="2" t="s">
        <v>2520</v>
      </c>
      <c r="F331" s="2" t="s">
        <v>2521</v>
      </c>
      <c r="G331" s="2" t="s">
        <v>2522</v>
      </c>
      <c r="H331" s="22">
        <v>1.7429999999999999</v>
      </c>
      <c r="I331" s="2" t="s">
        <v>117</v>
      </c>
      <c r="J331" s="2" t="s">
        <v>56</v>
      </c>
      <c r="K331" s="22">
        <v>906536000</v>
      </c>
      <c r="L331" s="2" t="s">
        <v>52</v>
      </c>
      <c r="M331" s="2" t="s">
        <v>1770</v>
      </c>
      <c r="N331" s="2" t="s">
        <v>199</v>
      </c>
      <c r="O331" s="2" t="s">
        <v>4441</v>
      </c>
      <c r="P331" s="22">
        <v>1.625</v>
      </c>
      <c r="Q331" s="2" t="s">
        <v>4443</v>
      </c>
      <c r="R331" s="2" t="s">
        <v>225</v>
      </c>
      <c r="S331" s="2" t="s">
        <v>619</v>
      </c>
      <c r="T331" s="2" t="s">
        <v>49</v>
      </c>
      <c r="U331" s="2" t="s">
        <v>53</v>
      </c>
      <c r="V331" s="2" t="s">
        <v>2523</v>
      </c>
      <c r="W331" s="22">
        <v>1.708</v>
      </c>
    </row>
    <row r="332" spans="1:23" x14ac:dyDescent="0.2">
      <c r="A332" s="2" t="s">
        <v>641</v>
      </c>
      <c r="B332" s="2" t="s">
        <v>644</v>
      </c>
      <c r="C332" s="2" t="s">
        <v>57</v>
      </c>
      <c r="D332" s="2" t="s">
        <v>199</v>
      </c>
      <c r="E332" s="2" t="s">
        <v>2437</v>
      </c>
      <c r="F332" s="2" t="s">
        <v>2438</v>
      </c>
      <c r="G332" s="2" t="s">
        <v>2439</v>
      </c>
      <c r="H332" s="2" t="s">
        <v>54</v>
      </c>
      <c r="I332" s="2" t="s">
        <v>55</v>
      </c>
      <c r="J332" s="2" t="s">
        <v>56</v>
      </c>
      <c r="K332" s="22">
        <v>1404981872.3199999</v>
      </c>
      <c r="L332" s="2" t="s">
        <v>52</v>
      </c>
      <c r="M332" s="2" t="s">
        <v>1770</v>
      </c>
      <c r="N332" s="2" t="s">
        <v>366</v>
      </c>
      <c r="O332" s="2" t="s">
        <v>4444</v>
      </c>
      <c r="P332" s="22">
        <v>1.375</v>
      </c>
      <c r="Q332" s="2" t="s">
        <v>4445</v>
      </c>
      <c r="R332" s="2" t="s">
        <v>173</v>
      </c>
      <c r="S332" s="2" t="s">
        <v>619</v>
      </c>
      <c r="T332" s="2" t="s">
        <v>49</v>
      </c>
      <c r="U332" s="2" t="s">
        <v>53</v>
      </c>
      <c r="V332" s="2" t="s">
        <v>2440</v>
      </c>
      <c r="W332" s="22">
        <v>1.2949999999999999</v>
      </c>
    </row>
    <row r="333" spans="1:23" x14ac:dyDescent="0.2">
      <c r="A333" s="2" t="s">
        <v>1559</v>
      </c>
      <c r="B333" s="2" t="s">
        <v>1562</v>
      </c>
      <c r="C333" s="2" t="s">
        <v>57</v>
      </c>
      <c r="D333" s="2" t="s">
        <v>257</v>
      </c>
      <c r="E333" s="2" t="s">
        <v>2771</v>
      </c>
      <c r="F333" s="2" t="s">
        <v>2772</v>
      </c>
      <c r="G333" s="2" t="s">
        <v>2773</v>
      </c>
      <c r="H333" s="2" t="s">
        <v>54</v>
      </c>
      <c r="I333" s="2" t="s">
        <v>55</v>
      </c>
      <c r="J333" s="2" t="s">
        <v>56</v>
      </c>
      <c r="K333" s="22">
        <v>1004310000</v>
      </c>
      <c r="L333" s="2" t="s">
        <v>52</v>
      </c>
      <c r="M333" s="2" t="s">
        <v>1775</v>
      </c>
      <c r="N333" s="2" t="s">
        <v>366</v>
      </c>
      <c r="O333" s="2" t="s">
        <v>4446</v>
      </c>
      <c r="P333" s="22">
        <v>1.75</v>
      </c>
      <c r="Q333" s="2" t="s">
        <v>4447</v>
      </c>
      <c r="R333" s="2" t="s">
        <v>173</v>
      </c>
      <c r="S333" s="2" t="s">
        <v>174</v>
      </c>
      <c r="T333" s="2" t="s">
        <v>49</v>
      </c>
      <c r="U333" s="2" t="s">
        <v>53</v>
      </c>
      <c r="V333" s="2" t="s">
        <v>2774</v>
      </c>
      <c r="W333" s="22">
        <v>1.5880000000000001</v>
      </c>
    </row>
    <row r="334" spans="1:23" x14ac:dyDescent="0.2">
      <c r="A334" s="2" t="s">
        <v>165</v>
      </c>
      <c r="B334" s="2" t="s">
        <v>168</v>
      </c>
      <c r="C334" s="2" t="s">
        <v>57</v>
      </c>
      <c r="D334" s="2" t="s">
        <v>170</v>
      </c>
      <c r="E334" s="2" t="s">
        <v>2670</v>
      </c>
      <c r="F334" s="2" t="s">
        <v>2671</v>
      </c>
      <c r="G334" s="2" t="s">
        <v>2672</v>
      </c>
      <c r="H334" s="2" t="s">
        <v>54</v>
      </c>
      <c r="I334" s="2" t="s">
        <v>55</v>
      </c>
      <c r="J334" s="2" t="s">
        <v>56</v>
      </c>
      <c r="K334" s="22">
        <v>1285205500</v>
      </c>
      <c r="L334" s="2" t="s">
        <v>52</v>
      </c>
      <c r="M334" s="2" t="s">
        <v>1770</v>
      </c>
      <c r="N334" s="2" t="s">
        <v>169</v>
      </c>
      <c r="O334" s="2" t="s">
        <v>4448</v>
      </c>
      <c r="P334" s="22">
        <v>1.375</v>
      </c>
      <c r="Q334" s="2" t="s">
        <v>4449</v>
      </c>
      <c r="R334" s="2" t="s">
        <v>225</v>
      </c>
      <c r="S334" s="2" t="s">
        <v>174</v>
      </c>
      <c r="T334" s="2" t="s">
        <v>115</v>
      </c>
      <c r="U334" s="2" t="s">
        <v>53</v>
      </c>
      <c r="V334" s="2" t="s">
        <v>2673</v>
      </c>
      <c r="W334" s="22">
        <v>1.244</v>
      </c>
    </row>
    <row r="335" spans="1:23" x14ac:dyDescent="0.2">
      <c r="A335" s="2" t="s">
        <v>165</v>
      </c>
      <c r="B335" s="2" t="s">
        <v>168</v>
      </c>
      <c r="C335" s="2" t="s">
        <v>57</v>
      </c>
      <c r="D335" s="2" t="s">
        <v>170</v>
      </c>
      <c r="E335" s="2" t="s">
        <v>2674</v>
      </c>
      <c r="F335" s="2" t="s">
        <v>2675</v>
      </c>
      <c r="G335" s="2" t="s">
        <v>2676</v>
      </c>
      <c r="H335" s="2" t="s">
        <v>54</v>
      </c>
      <c r="I335" s="2" t="s">
        <v>55</v>
      </c>
      <c r="J335" s="2" t="s">
        <v>56</v>
      </c>
      <c r="K335" s="22">
        <v>1285205500</v>
      </c>
      <c r="L335" s="2" t="s">
        <v>52</v>
      </c>
      <c r="M335" s="2" t="s">
        <v>1770</v>
      </c>
      <c r="N335" s="2" t="s">
        <v>169</v>
      </c>
      <c r="O335" s="2" t="s">
        <v>4448</v>
      </c>
      <c r="P335" s="22">
        <v>2.25</v>
      </c>
      <c r="Q335" s="2" t="s">
        <v>4450</v>
      </c>
      <c r="R335" s="2" t="s">
        <v>225</v>
      </c>
      <c r="S335" s="2" t="s">
        <v>174</v>
      </c>
      <c r="T335" s="2" t="s">
        <v>115</v>
      </c>
      <c r="U335" s="2" t="s">
        <v>53</v>
      </c>
      <c r="V335" s="2" t="s">
        <v>2677</v>
      </c>
      <c r="W335" s="22">
        <v>2.0659999999999998</v>
      </c>
    </row>
    <row r="336" spans="1:23" x14ac:dyDescent="0.2">
      <c r="A336" s="2" t="s">
        <v>1525</v>
      </c>
      <c r="B336" s="2" t="s">
        <v>1528</v>
      </c>
      <c r="C336" s="2" t="s">
        <v>71</v>
      </c>
      <c r="D336" s="2" t="s">
        <v>184</v>
      </c>
      <c r="E336" s="2" t="s">
        <v>3017</v>
      </c>
      <c r="F336" s="2" t="s">
        <v>3018</v>
      </c>
      <c r="G336" s="2" t="s">
        <v>3019</v>
      </c>
      <c r="H336" s="22">
        <v>3.3159999999999998</v>
      </c>
      <c r="I336" s="2" t="s">
        <v>420</v>
      </c>
      <c r="J336" s="2" t="s">
        <v>56</v>
      </c>
      <c r="K336" s="22">
        <v>600000000</v>
      </c>
      <c r="L336" s="2" t="s">
        <v>52</v>
      </c>
      <c r="M336" s="2" t="s">
        <v>1770</v>
      </c>
      <c r="N336" s="2" t="s">
        <v>184</v>
      </c>
      <c r="O336" s="2" t="s">
        <v>4451</v>
      </c>
      <c r="P336" s="22">
        <v>3.25</v>
      </c>
      <c r="Q336" s="2" t="s">
        <v>4452</v>
      </c>
      <c r="R336" s="2" t="s">
        <v>261</v>
      </c>
      <c r="S336" s="2" t="s">
        <v>619</v>
      </c>
      <c r="T336" s="2" t="s">
        <v>115</v>
      </c>
      <c r="U336" s="2" t="s">
        <v>262</v>
      </c>
      <c r="V336" s="2" t="s">
        <v>3020</v>
      </c>
      <c r="W336" s="22">
        <v>3.117</v>
      </c>
    </row>
    <row r="337" spans="1:23" x14ac:dyDescent="0.2">
      <c r="A337" s="2" t="s">
        <v>1525</v>
      </c>
      <c r="B337" s="2" t="s">
        <v>1528</v>
      </c>
      <c r="C337" s="2" t="s">
        <v>71</v>
      </c>
      <c r="D337" s="2" t="s">
        <v>184</v>
      </c>
      <c r="E337" s="2" t="s">
        <v>3021</v>
      </c>
      <c r="F337" s="2" t="s">
        <v>3022</v>
      </c>
      <c r="G337" s="2" t="s">
        <v>3023</v>
      </c>
      <c r="H337" s="22">
        <v>3.3159999999999998</v>
      </c>
      <c r="I337" s="2" t="s">
        <v>420</v>
      </c>
      <c r="J337" s="2" t="s">
        <v>56</v>
      </c>
      <c r="K337" s="22">
        <v>600000000</v>
      </c>
      <c r="L337" s="2" t="s">
        <v>52</v>
      </c>
      <c r="M337" s="2" t="s">
        <v>1770</v>
      </c>
      <c r="N337" s="2" t="s">
        <v>184</v>
      </c>
      <c r="O337" s="2" t="s">
        <v>4451</v>
      </c>
      <c r="P337" s="22">
        <v>3.25</v>
      </c>
      <c r="Q337" s="2" t="s">
        <v>4452</v>
      </c>
      <c r="R337" s="2" t="s">
        <v>270</v>
      </c>
      <c r="S337" s="2" t="s">
        <v>619</v>
      </c>
      <c r="T337" s="2" t="s">
        <v>115</v>
      </c>
      <c r="U337" s="2" t="s">
        <v>262</v>
      </c>
      <c r="V337" s="2" t="s">
        <v>3024</v>
      </c>
      <c r="W337" s="22">
        <v>3.121</v>
      </c>
    </row>
    <row r="338" spans="1:23" x14ac:dyDescent="0.2">
      <c r="A338" s="2" t="s">
        <v>1058</v>
      </c>
      <c r="B338" s="2" t="s">
        <v>1045</v>
      </c>
      <c r="C338" s="2" t="s">
        <v>71</v>
      </c>
      <c r="D338" s="2" t="s">
        <v>1046</v>
      </c>
      <c r="E338" s="2" t="s">
        <v>3386</v>
      </c>
      <c r="F338" s="2" t="s">
        <v>3387</v>
      </c>
      <c r="G338" s="2" t="s">
        <v>3388</v>
      </c>
      <c r="H338" s="22">
        <v>2.8529999999999998</v>
      </c>
      <c r="I338" s="2" t="s">
        <v>55</v>
      </c>
      <c r="J338" s="2" t="s">
        <v>56</v>
      </c>
      <c r="K338" s="22">
        <v>3000000000</v>
      </c>
      <c r="L338" s="2" t="s">
        <v>52</v>
      </c>
      <c r="M338" s="2" t="s">
        <v>2894</v>
      </c>
      <c r="N338" s="2" t="s">
        <v>366</v>
      </c>
      <c r="O338" s="2" t="s">
        <v>4453</v>
      </c>
      <c r="P338" s="22">
        <v>2.8</v>
      </c>
      <c r="Q338" s="2" t="s">
        <v>4454</v>
      </c>
      <c r="R338" s="2" t="s">
        <v>173</v>
      </c>
      <c r="S338" s="2" t="s">
        <v>296</v>
      </c>
      <c r="T338" s="2" t="s">
        <v>49</v>
      </c>
      <c r="U338" s="2" t="s">
        <v>262</v>
      </c>
      <c r="V338" s="2" t="s">
        <v>3389</v>
      </c>
      <c r="W338" s="22">
        <v>2.5979999999999999</v>
      </c>
    </row>
    <row r="339" spans="1:23" x14ac:dyDescent="0.2">
      <c r="A339" s="2" t="s">
        <v>1058</v>
      </c>
      <c r="B339" s="2" t="s">
        <v>1045</v>
      </c>
      <c r="C339" s="2" t="s">
        <v>71</v>
      </c>
      <c r="D339" s="2" t="s">
        <v>1046</v>
      </c>
      <c r="E339" s="2" t="s">
        <v>3390</v>
      </c>
      <c r="F339" s="2" t="s">
        <v>3391</v>
      </c>
      <c r="G339" s="2" t="s">
        <v>3392</v>
      </c>
      <c r="H339" s="22">
        <v>3.1799999999999997</v>
      </c>
      <c r="I339" s="2" t="s">
        <v>55</v>
      </c>
      <c r="J339" s="2" t="s">
        <v>56</v>
      </c>
      <c r="K339" s="22">
        <v>3500000000</v>
      </c>
      <c r="L339" s="2" t="s">
        <v>52</v>
      </c>
      <c r="M339" s="2" t="s">
        <v>2894</v>
      </c>
      <c r="N339" s="2" t="s">
        <v>366</v>
      </c>
      <c r="O339" s="2" t="s">
        <v>4453</v>
      </c>
      <c r="P339" s="22">
        <v>3.15</v>
      </c>
      <c r="Q339" s="2" t="s">
        <v>863</v>
      </c>
      <c r="R339" s="2" t="s">
        <v>173</v>
      </c>
      <c r="S339" s="2" t="s">
        <v>296</v>
      </c>
      <c r="T339" s="2" t="s">
        <v>49</v>
      </c>
      <c r="U339" s="2" t="s">
        <v>262</v>
      </c>
      <c r="V339" s="2" t="s">
        <v>3393</v>
      </c>
      <c r="W339" s="22">
        <v>2.97</v>
      </c>
    </row>
    <row r="340" spans="1:23" x14ac:dyDescent="0.2">
      <c r="A340" s="2" t="s">
        <v>1058</v>
      </c>
      <c r="B340" s="2" t="s">
        <v>1045</v>
      </c>
      <c r="C340" s="2" t="s">
        <v>71</v>
      </c>
      <c r="D340" s="2" t="s">
        <v>1046</v>
      </c>
      <c r="E340" s="2" t="s">
        <v>3394</v>
      </c>
      <c r="F340" s="2" t="s">
        <v>3395</v>
      </c>
      <c r="G340" s="2" t="s">
        <v>3396</v>
      </c>
      <c r="H340" s="22">
        <v>4.1479999999999997</v>
      </c>
      <c r="I340" s="2" t="s">
        <v>55</v>
      </c>
      <c r="J340" s="2" t="s">
        <v>56</v>
      </c>
      <c r="K340" s="22">
        <v>2000000000</v>
      </c>
      <c r="L340" s="2" t="s">
        <v>52</v>
      </c>
      <c r="M340" s="2" t="s">
        <v>2894</v>
      </c>
      <c r="N340" s="2" t="s">
        <v>366</v>
      </c>
      <c r="O340" s="2" t="s">
        <v>4453</v>
      </c>
      <c r="P340" s="22">
        <v>4.0999999999999996</v>
      </c>
      <c r="Q340" s="2" t="s">
        <v>4455</v>
      </c>
      <c r="R340" s="2" t="s">
        <v>173</v>
      </c>
      <c r="S340" s="2" t="s">
        <v>296</v>
      </c>
      <c r="T340" s="2" t="s">
        <v>49</v>
      </c>
      <c r="U340" s="2" t="s">
        <v>262</v>
      </c>
      <c r="V340" s="2" t="s">
        <v>3397</v>
      </c>
      <c r="W340" s="22">
        <v>3.9820000000000002</v>
      </c>
    </row>
    <row r="341" spans="1:23" x14ac:dyDescent="0.2">
      <c r="A341" s="2" t="s">
        <v>1042</v>
      </c>
      <c r="B341" s="2" t="s">
        <v>1045</v>
      </c>
      <c r="C341" s="2" t="s">
        <v>57</v>
      </c>
      <c r="D341" s="2" t="s">
        <v>1046</v>
      </c>
      <c r="E341" s="2" t="s">
        <v>3350</v>
      </c>
      <c r="F341" s="2" t="s">
        <v>3351</v>
      </c>
      <c r="G341" s="2" t="s">
        <v>3352</v>
      </c>
      <c r="H341" s="2" t="s">
        <v>54</v>
      </c>
      <c r="I341" s="2" t="s">
        <v>55</v>
      </c>
      <c r="J341" s="2" t="s">
        <v>56</v>
      </c>
      <c r="K341" s="22">
        <v>1648080000</v>
      </c>
      <c r="L341" s="2" t="s">
        <v>52</v>
      </c>
      <c r="M341" s="2" t="s">
        <v>2894</v>
      </c>
      <c r="N341" s="2" t="s">
        <v>366</v>
      </c>
      <c r="O341" s="2" t="s">
        <v>4456</v>
      </c>
      <c r="P341" s="22">
        <v>1.125</v>
      </c>
      <c r="Q341" s="2" t="s">
        <v>4457</v>
      </c>
      <c r="R341" s="2" t="s">
        <v>173</v>
      </c>
      <c r="S341" s="2" t="s">
        <v>296</v>
      </c>
      <c r="T341" s="2" t="s">
        <v>49</v>
      </c>
      <c r="U341" s="2" t="s">
        <v>53</v>
      </c>
      <c r="V341" s="2" t="s">
        <v>3353</v>
      </c>
      <c r="W341" s="22">
        <v>0.91900000000000004</v>
      </c>
    </row>
    <row r="342" spans="1:23" x14ac:dyDescent="0.2">
      <c r="A342" s="2" t="s">
        <v>1042</v>
      </c>
      <c r="B342" s="2" t="s">
        <v>1045</v>
      </c>
      <c r="C342" s="2" t="s">
        <v>57</v>
      </c>
      <c r="D342" s="2" t="s">
        <v>1046</v>
      </c>
      <c r="E342" s="2" t="s">
        <v>3354</v>
      </c>
      <c r="F342" s="2" t="s">
        <v>3355</v>
      </c>
      <c r="G342" s="2" t="s">
        <v>3356</v>
      </c>
      <c r="H342" s="2" t="s">
        <v>54</v>
      </c>
      <c r="I342" s="2" t="s">
        <v>55</v>
      </c>
      <c r="J342" s="2" t="s">
        <v>56</v>
      </c>
      <c r="K342" s="22">
        <v>824040000</v>
      </c>
      <c r="L342" s="2" t="s">
        <v>52</v>
      </c>
      <c r="M342" s="2" t="s">
        <v>2894</v>
      </c>
      <c r="N342" s="2" t="s">
        <v>366</v>
      </c>
      <c r="O342" s="2" t="s">
        <v>4456</v>
      </c>
      <c r="P342" s="22">
        <v>1.625</v>
      </c>
      <c r="Q342" s="2" t="s">
        <v>4458</v>
      </c>
      <c r="R342" s="2" t="s">
        <v>173</v>
      </c>
      <c r="S342" s="2" t="s">
        <v>296</v>
      </c>
      <c r="T342" s="2" t="s">
        <v>49</v>
      </c>
      <c r="U342" s="2" t="s">
        <v>53</v>
      </c>
      <c r="V342" s="2" t="s">
        <v>3357</v>
      </c>
      <c r="W342" s="22">
        <v>1.466</v>
      </c>
    </row>
    <row r="343" spans="1:23" x14ac:dyDescent="0.2">
      <c r="A343" s="2" t="s">
        <v>1359</v>
      </c>
      <c r="B343" s="2" t="s">
        <v>1362</v>
      </c>
      <c r="C343" s="2" t="s">
        <v>57</v>
      </c>
      <c r="D343" s="2" t="s">
        <v>199</v>
      </c>
      <c r="E343" s="2" t="s">
        <v>3253</v>
      </c>
      <c r="F343" s="2" t="s">
        <v>3254</v>
      </c>
      <c r="G343" s="2" t="s">
        <v>3255</v>
      </c>
      <c r="H343" s="2" t="s">
        <v>54</v>
      </c>
      <c r="I343" s="2" t="s">
        <v>117</v>
      </c>
      <c r="J343" s="2" t="s">
        <v>56</v>
      </c>
      <c r="K343" s="22">
        <v>804427500</v>
      </c>
      <c r="L343" s="2" t="s">
        <v>52</v>
      </c>
      <c r="M343" s="2" t="s">
        <v>1770</v>
      </c>
      <c r="N343" s="2" t="s">
        <v>199</v>
      </c>
      <c r="O343" s="2" t="s">
        <v>4459</v>
      </c>
      <c r="P343" s="22">
        <v>1.375</v>
      </c>
      <c r="Q343" s="2" t="s">
        <v>4460</v>
      </c>
      <c r="R343" s="2" t="s">
        <v>225</v>
      </c>
      <c r="S343" s="2" t="s">
        <v>174</v>
      </c>
      <c r="T343" s="2" t="s">
        <v>49</v>
      </c>
      <c r="U343" s="2" t="s">
        <v>53</v>
      </c>
      <c r="V343" s="2" t="s">
        <v>3256</v>
      </c>
      <c r="W343" s="22">
        <v>1.2549999999999999</v>
      </c>
    </row>
    <row r="344" spans="1:23" x14ac:dyDescent="0.2">
      <c r="A344" s="2" t="s">
        <v>1121</v>
      </c>
      <c r="B344" s="2" t="s">
        <v>1124</v>
      </c>
      <c r="C344" s="2" t="s">
        <v>57</v>
      </c>
      <c r="D344" s="2" t="s">
        <v>366</v>
      </c>
      <c r="E344" s="2" t="s">
        <v>2858</v>
      </c>
      <c r="F344" s="2" t="s">
        <v>2859</v>
      </c>
      <c r="G344" s="2" t="s">
        <v>2860</v>
      </c>
      <c r="H344" s="2" t="s">
        <v>54</v>
      </c>
      <c r="I344" s="2" t="s">
        <v>133</v>
      </c>
      <c r="J344" s="2" t="s">
        <v>56</v>
      </c>
      <c r="K344" s="22">
        <v>700931250</v>
      </c>
      <c r="L344" s="2" t="s">
        <v>52</v>
      </c>
      <c r="M344" s="2" t="s">
        <v>1770</v>
      </c>
      <c r="N344" s="2" t="s">
        <v>366</v>
      </c>
      <c r="O344" s="2" t="s">
        <v>4461</v>
      </c>
      <c r="P344" s="22">
        <v>0.625</v>
      </c>
      <c r="Q344" s="2" t="s">
        <v>4178</v>
      </c>
      <c r="R344" s="2" t="s">
        <v>1127</v>
      </c>
      <c r="S344" s="2" t="s">
        <v>496</v>
      </c>
      <c r="T344" s="2" t="s">
        <v>115</v>
      </c>
      <c r="U344" s="2" t="s">
        <v>53</v>
      </c>
      <c r="V344" s="2" t="s">
        <v>2861</v>
      </c>
      <c r="W344" s="22">
        <v>0.79</v>
      </c>
    </row>
    <row r="345" spans="1:23" x14ac:dyDescent="0.2">
      <c r="A345" s="2" t="s">
        <v>1121</v>
      </c>
      <c r="B345" s="2" t="s">
        <v>1124</v>
      </c>
      <c r="C345" s="2" t="s">
        <v>57</v>
      </c>
      <c r="D345" s="2" t="s">
        <v>366</v>
      </c>
      <c r="E345" s="2" t="s">
        <v>2862</v>
      </c>
      <c r="F345" s="2" t="s">
        <v>2863</v>
      </c>
      <c r="G345" s="2" t="s">
        <v>2864</v>
      </c>
      <c r="H345" s="2" t="s">
        <v>54</v>
      </c>
      <c r="I345" s="2" t="s">
        <v>133</v>
      </c>
      <c r="J345" s="2" t="s">
        <v>56</v>
      </c>
      <c r="K345" s="22">
        <v>700931250</v>
      </c>
      <c r="L345" s="2" t="s">
        <v>52</v>
      </c>
      <c r="M345" s="2" t="s">
        <v>1770</v>
      </c>
      <c r="N345" s="2" t="s">
        <v>366</v>
      </c>
      <c r="O345" s="2" t="s">
        <v>4461</v>
      </c>
      <c r="P345" s="22">
        <v>1.125</v>
      </c>
      <c r="Q345" s="2" t="s">
        <v>4462</v>
      </c>
      <c r="R345" s="2" t="s">
        <v>1127</v>
      </c>
      <c r="S345" s="2" t="s">
        <v>496</v>
      </c>
      <c r="T345" s="2" t="s">
        <v>115</v>
      </c>
      <c r="U345" s="2" t="s">
        <v>53</v>
      </c>
      <c r="V345" s="2" t="s">
        <v>2865</v>
      </c>
      <c r="W345" s="22">
        <v>1.276</v>
      </c>
    </row>
    <row r="346" spans="1:23" x14ac:dyDescent="0.2">
      <c r="A346" s="2" t="s">
        <v>180</v>
      </c>
      <c r="B346" s="2" t="s">
        <v>183</v>
      </c>
      <c r="C346" s="2" t="s">
        <v>57</v>
      </c>
      <c r="D346" s="2" t="s">
        <v>185</v>
      </c>
      <c r="E346" s="2" t="s">
        <v>3188</v>
      </c>
      <c r="F346" s="2" t="s">
        <v>3189</v>
      </c>
      <c r="G346" s="2" t="s">
        <v>3190</v>
      </c>
      <c r="H346" s="2" t="s">
        <v>54</v>
      </c>
      <c r="I346" s="2" t="s">
        <v>133</v>
      </c>
      <c r="J346" s="2" t="s">
        <v>56</v>
      </c>
      <c r="K346" s="22">
        <v>1121490000</v>
      </c>
      <c r="L346" s="2" t="s">
        <v>52</v>
      </c>
      <c r="M346" s="2" t="s">
        <v>1770</v>
      </c>
      <c r="N346" s="2" t="s">
        <v>184</v>
      </c>
      <c r="O346" s="2" t="s">
        <v>4461</v>
      </c>
      <c r="P346" s="22">
        <v>0.25</v>
      </c>
      <c r="Q346" s="2" t="s">
        <v>4463</v>
      </c>
      <c r="R346" s="2" t="s">
        <v>225</v>
      </c>
      <c r="S346" s="2" t="s">
        <v>446</v>
      </c>
      <c r="T346" s="2" t="s">
        <v>115</v>
      </c>
      <c r="U346" s="2" t="s">
        <v>53</v>
      </c>
      <c r="V346" s="2" t="s">
        <v>3191</v>
      </c>
      <c r="W346" s="22">
        <v>0.40799999999999997</v>
      </c>
    </row>
    <row r="347" spans="1:23" x14ac:dyDescent="0.2">
      <c r="A347" s="2" t="s">
        <v>1132</v>
      </c>
      <c r="B347" s="2" t="s">
        <v>1135</v>
      </c>
      <c r="C347" s="2" t="s">
        <v>57</v>
      </c>
      <c r="D347" s="2" t="s">
        <v>45</v>
      </c>
      <c r="E347" s="2" t="s">
        <v>2605</v>
      </c>
      <c r="F347" s="2" t="s">
        <v>2606</v>
      </c>
      <c r="G347" s="2" t="s">
        <v>2607</v>
      </c>
      <c r="H347" s="22">
        <v>0.94599999999999995</v>
      </c>
      <c r="I347" s="2" t="s">
        <v>420</v>
      </c>
      <c r="J347" s="2" t="s">
        <v>56</v>
      </c>
      <c r="K347" s="22">
        <v>395970000</v>
      </c>
      <c r="L347" s="2" t="s">
        <v>52</v>
      </c>
      <c r="M347" s="2" t="s">
        <v>2608</v>
      </c>
      <c r="N347" s="2" t="s">
        <v>45</v>
      </c>
      <c r="O347" s="2" t="s">
        <v>4464</v>
      </c>
      <c r="P347" s="22">
        <v>0.875</v>
      </c>
      <c r="Q347" s="2" t="s">
        <v>4465</v>
      </c>
      <c r="R347" s="2" t="s">
        <v>225</v>
      </c>
      <c r="S347" s="2" t="s">
        <v>117</v>
      </c>
      <c r="T347" s="2" t="s">
        <v>115</v>
      </c>
      <c r="U347" s="2" t="s">
        <v>1547</v>
      </c>
      <c r="V347" s="2" t="s">
        <v>2609</v>
      </c>
      <c r="W347" s="22">
        <v>1.01</v>
      </c>
    </row>
    <row r="348" spans="1:23" x14ac:dyDescent="0.2">
      <c r="A348" s="2" t="s">
        <v>1518</v>
      </c>
      <c r="B348" s="2" t="s">
        <v>1521</v>
      </c>
      <c r="C348" s="2" t="s">
        <v>57</v>
      </c>
      <c r="D348" s="2" t="s">
        <v>184</v>
      </c>
      <c r="E348" s="2" t="s">
        <v>3139</v>
      </c>
      <c r="F348" s="2" t="s">
        <v>3140</v>
      </c>
      <c r="G348" s="2" t="s">
        <v>3141</v>
      </c>
      <c r="H348" s="2" t="s">
        <v>54</v>
      </c>
      <c r="I348" s="2" t="s">
        <v>117</v>
      </c>
      <c r="J348" s="2" t="s">
        <v>56</v>
      </c>
      <c r="K348" s="22">
        <v>954975000</v>
      </c>
      <c r="L348" s="2" t="s">
        <v>52</v>
      </c>
      <c r="M348" s="2" t="s">
        <v>1770</v>
      </c>
      <c r="N348" s="2" t="s">
        <v>184</v>
      </c>
      <c r="O348" s="2" t="s">
        <v>4464</v>
      </c>
      <c r="P348" s="22">
        <v>0</v>
      </c>
      <c r="Q348" s="2" t="s">
        <v>4465</v>
      </c>
      <c r="R348" s="2" t="s">
        <v>225</v>
      </c>
      <c r="S348" s="2" t="s">
        <v>483</v>
      </c>
      <c r="T348" s="2" t="s">
        <v>115</v>
      </c>
      <c r="U348" s="2" t="s">
        <v>53</v>
      </c>
      <c r="V348" s="2" t="s">
        <v>3142</v>
      </c>
      <c r="W348" s="22">
        <v>0.16700000000000001</v>
      </c>
    </row>
    <row r="349" spans="1:23" x14ac:dyDescent="0.2">
      <c r="A349" s="2" t="s">
        <v>1518</v>
      </c>
      <c r="B349" s="2" t="s">
        <v>1521</v>
      </c>
      <c r="C349" s="2" t="s">
        <v>57</v>
      </c>
      <c r="D349" s="2" t="s">
        <v>184</v>
      </c>
      <c r="E349" s="2" t="s">
        <v>3143</v>
      </c>
      <c r="F349" s="2" t="s">
        <v>3144</v>
      </c>
      <c r="G349" s="2" t="s">
        <v>3145</v>
      </c>
      <c r="H349" s="2" t="s">
        <v>54</v>
      </c>
      <c r="I349" s="2" t="s">
        <v>117</v>
      </c>
      <c r="J349" s="2" t="s">
        <v>56</v>
      </c>
      <c r="K349" s="22">
        <v>1292025000</v>
      </c>
      <c r="L349" s="2" t="s">
        <v>52</v>
      </c>
      <c r="M349" s="2" t="s">
        <v>1770</v>
      </c>
      <c r="N349" s="2" t="s">
        <v>184</v>
      </c>
      <c r="O349" s="2" t="s">
        <v>4464</v>
      </c>
      <c r="P349" s="22">
        <v>0.5</v>
      </c>
      <c r="Q349" s="2" t="s">
        <v>4466</v>
      </c>
      <c r="R349" s="2" t="s">
        <v>225</v>
      </c>
      <c r="S349" s="2" t="s">
        <v>483</v>
      </c>
      <c r="T349" s="2" t="s">
        <v>115</v>
      </c>
      <c r="U349" s="2" t="s">
        <v>53</v>
      </c>
      <c r="V349" s="2" t="s">
        <v>3146</v>
      </c>
      <c r="W349" s="22">
        <v>0.73499999999999999</v>
      </c>
    </row>
    <row r="350" spans="1:23" x14ac:dyDescent="0.2">
      <c r="A350" s="2" t="s">
        <v>1639</v>
      </c>
      <c r="B350" s="2" t="s">
        <v>1642</v>
      </c>
      <c r="C350" s="2" t="s">
        <v>57</v>
      </c>
      <c r="D350" s="2" t="s">
        <v>170</v>
      </c>
      <c r="E350" s="2" t="s">
        <v>2988</v>
      </c>
      <c r="F350" s="2" t="s">
        <v>2989</v>
      </c>
      <c r="G350" s="2" t="s">
        <v>2990</v>
      </c>
      <c r="H350" s="2" t="s">
        <v>54</v>
      </c>
      <c r="I350" s="2" t="s">
        <v>55</v>
      </c>
      <c r="J350" s="2" t="s">
        <v>56</v>
      </c>
      <c r="K350" s="22">
        <v>1395562500</v>
      </c>
      <c r="L350" s="2" t="s">
        <v>52</v>
      </c>
      <c r="M350" s="2" t="s">
        <v>173</v>
      </c>
      <c r="N350" s="2" t="s">
        <v>169</v>
      </c>
      <c r="O350" s="2" t="s">
        <v>4467</v>
      </c>
      <c r="P350" s="22">
        <v>0.125</v>
      </c>
      <c r="Q350" s="2" t="s">
        <v>4137</v>
      </c>
      <c r="R350" s="2" t="s">
        <v>173</v>
      </c>
      <c r="S350" s="2" t="s">
        <v>1645</v>
      </c>
      <c r="T350" s="2" t="s">
        <v>49</v>
      </c>
      <c r="U350" s="2" t="s">
        <v>53</v>
      </c>
      <c r="V350" s="2" t="s">
        <v>2991</v>
      </c>
      <c r="W350" s="22">
        <v>0.182</v>
      </c>
    </row>
    <row r="351" spans="1:23" x14ac:dyDescent="0.2">
      <c r="A351" s="2" t="s">
        <v>1639</v>
      </c>
      <c r="B351" s="2" t="s">
        <v>1642</v>
      </c>
      <c r="C351" s="2" t="s">
        <v>57</v>
      </c>
      <c r="D351" s="2" t="s">
        <v>170</v>
      </c>
      <c r="E351" s="2" t="s">
        <v>2992</v>
      </c>
      <c r="F351" s="2" t="s">
        <v>2993</v>
      </c>
      <c r="G351" s="2" t="s">
        <v>2994</v>
      </c>
      <c r="H351" s="2" t="s">
        <v>54</v>
      </c>
      <c r="I351" s="2" t="s">
        <v>55</v>
      </c>
      <c r="J351" s="2" t="s">
        <v>56</v>
      </c>
      <c r="K351" s="22">
        <v>558225000</v>
      </c>
      <c r="L351" s="2" t="s">
        <v>52</v>
      </c>
      <c r="M351" s="2" t="s">
        <v>173</v>
      </c>
      <c r="N351" s="2" t="s">
        <v>169</v>
      </c>
      <c r="O351" s="2" t="s">
        <v>4467</v>
      </c>
      <c r="P351" s="22">
        <v>0.625</v>
      </c>
      <c r="Q351" s="2" t="s">
        <v>4468</v>
      </c>
      <c r="R351" s="2" t="s">
        <v>173</v>
      </c>
      <c r="S351" s="2" t="s">
        <v>1645</v>
      </c>
      <c r="T351" s="2" t="s">
        <v>49</v>
      </c>
      <c r="U351" s="2" t="s">
        <v>53</v>
      </c>
      <c r="V351" s="2" t="s">
        <v>2995</v>
      </c>
      <c r="W351" s="22">
        <v>0.66600000000000004</v>
      </c>
    </row>
    <row r="352" spans="1:23" x14ac:dyDescent="0.2">
      <c r="A352" s="2" t="s">
        <v>613</v>
      </c>
      <c r="B352" s="2" t="s">
        <v>616</v>
      </c>
      <c r="C352" s="2" t="s">
        <v>57</v>
      </c>
      <c r="D352" s="2" t="s">
        <v>199</v>
      </c>
      <c r="E352" s="2" t="s">
        <v>2524</v>
      </c>
      <c r="F352" s="2" t="s">
        <v>2525</v>
      </c>
      <c r="G352" s="2" t="s">
        <v>2526</v>
      </c>
      <c r="H352" s="2" t="s">
        <v>54</v>
      </c>
      <c r="I352" s="2" t="s">
        <v>117</v>
      </c>
      <c r="J352" s="2" t="s">
        <v>56</v>
      </c>
      <c r="K352" s="22">
        <v>1005921000</v>
      </c>
      <c r="L352" s="2" t="s">
        <v>52</v>
      </c>
      <c r="M352" s="2" t="s">
        <v>1770</v>
      </c>
      <c r="N352" s="2" t="s">
        <v>199</v>
      </c>
      <c r="O352" s="2" t="s">
        <v>4469</v>
      </c>
      <c r="P352" s="22">
        <v>0.625</v>
      </c>
      <c r="Q352" s="2" t="s">
        <v>4025</v>
      </c>
      <c r="R352" s="2" t="s">
        <v>225</v>
      </c>
      <c r="S352" s="2" t="s">
        <v>619</v>
      </c>
      <c r="T352" s="2" t="s">
        <v>49</v>
      </c>
      <c r="U352" s="2" t="s">
        <v>53</v>
      </c>
      <c r="V352" s="2" t="s">
        <v>2527</v>
      </c>
      <c r="W352" s="22">
        <v>0.71699999999999997</v>
      </c>
    </row>
    <row r="353" spans="1:23" x14ac:dyDescent="0.2">
      <c r="A353" s="2" t="s">
        <v>613</v>
      </c>
      <c r="B353" s="2" t="s">
        <v>616</v>
      </c>
      <c r="C353" s="2" t="s">
        <v>57</v>
      </c>
      <c r="D353" s="2" t="s">
        <v>199</v>
      </c>
      <c r="E353" s="2" t="s">
        <v>2528</v>
      </c>
      <c r="F353" s="2" t="s">
        <v>2529</v>
      </c>
      <c r="G353" s="2" t="s">
        <v>2530</v>
      </c>
      <c r="H353" s="2" t="s">
        <v>54</v>
      </c>
      <c r="I353" s="2" t="s">
        <v>117</v>
      </c>
      <c r="J353" s="2" t="s">
        <v>56</v>
      </c>
      <c r="K353" s="22">
        <v>670614000</v>
      </c>
      <c r="L353" s="2" t="s">
        <v>52</v>
      </c>
      <c r="M353" s="2" t="s">
        <v>1770</v>
      </c>
      <c r="N353" s="2" t="s">
        <v>199</v>
      </c>
      <c r="O353" s="2" t="s">
        <v>4469</v>
      </c>
      <c r="P353" s="22">
        <v>1.125</v>
      </c>
      <c r="Q353" s="2" t="s">
        <v>4470</v>
      </c>
      <c r="R353" s="2" t="s">
        <v>225</v>
      </c>
      <c r="S353" s="2" t="s">
        <v>619</v>
      </c>
      <c r="T353" s="2" t="s">
        <v>49</v>
      </c>
      <c r="U353" s="2" t="s">
        <v>53</v>
      </c>
      <c r="V353" s="2" t="s">
        <v>2531</v>
      </c>
      <c r="W353" s="22">
        <v>1.244</v>
      </c>
    </row>
    <row r="354" spans="1:23" x14ac:dyDescent="0.2">
      <c r="A354" s="2" t="s">
        <v>979</v>
      </c>
      <c r="B354" s="2" t="s">
        <v>982</v>
      </c>
      <c r="C354" s="2" t="s">
        <v>57</v>
      </c>
      <c r="D354" s="2" t="s">
        <v>199</v>
      </c>
      <c r="E354" s="2" t="s">
        <v>2630</v>
      </c>
      <c r="F354" s="2" t="s">
        <v>2631</v>
      </c>
      <c r="G354" s="2" t="s">
        <v>2632</v>
      </c>
      <c r="H354" s="2" t="s">
        <v>54</v>
      </c>
      <c r="I354" s="2" t="s">
        <v>55</v>
      </c>
      <c r="J354" s="2" t="s">
        <v>56</v>
      </c>
      <c r="K354" s="22">
        <v>439808000</v>
      </c>
      <c r="L354" s="2" t="s">
        <v>52</v>
      </c>
      <c r="M354" s="2" t="s">
        <v>1775</v>
      </c>
      <c r="N354" s="2" t="s">
        <v>199</v>
      </c>
      <c r="O354" s="2" t="s">
        <v>4471</v>
      </c>
      <c r="P354" s="22">
        <v>0.875</v>
      </c>
      <c r="Q354" s="2" t="s">
        <v>4472</v>
      </c>
      <c r="R354" s="2" t="s">
        <v>225</v>
      </c>
      <c r="S354" s="2" t="s">
        <v>174</v>
      </c>
      <c r="T354" s="2" t="s">
        <v>49</v>
      </c>
      <c r="U354" s="2" t="s">
        <v>53</v>
      </c>
      <c r="V354" s="2" t="s">
        <v>2633</v>
      </c>
      <c r="W354" s="22">
        <v>0.998</v>
      </c>
    </row>
    <row r="355" spans="1:23" x14ac:dyDescent="0.2">
      <c r="A355" s="2" t="s">
        <v>1216</v>
      </c>
      <c r="B355" s="2" t="s">
        <v>1219</v>
      </c>
      <c r="C355" s="2" t="s">
        <v>57</v>
      </c>
      <c r="D355" s="2" t="s">
        <v>45</v>
      </c>
      <c r="E355" s="2" t="s">
        <v>2887</v>
      </c>
      <c r="F355" s="2" t="s">
        <v>2888</v>
      </c>
      <c r="G355" s="2" t="s">
        <v>2889</v>
      </c>
      <c r="H355" s="2" t="s">
        <v>54</v>
      </c>
      <c r="I355" s="2" t="s">
        <v>420</v>
      </c>
      <c r="J355" s="2" t="s">
        <v>56</v>
      </c>
      <c r="K355" s="22">
        <v>558380000</v>
      </c>
      <c r="L355" s="2" t="s">
        <v>52</v>
      </c>
      <c r="M355" s="2" t="s">
        <v>1770</v>
      </c>
      <c r="N355" s="2" t="s">
        <v>45</v>
      </c>
      <c r="O355" s="2" t="s">
        <v>4473</v>
      </c>
      <c r="P355" s="22">
        <v>1</v>
      </c>
      <c r="Q355" s="2" t="s">
        <v>4474</v>
      </c>
      <c r="R355" s="2" t="s">
        <v>225</v>
      </c>
      <c r="S355" s="2" t="s">
        <v>174</v>
      </c>
      <c r="T355" s="2" t="s">
        <v>115</v>
      </c>
      <c r="U355" s="2" t="s">
        <v>53</v>
      </c>
      <c r="V355" s="2" t="s">
        <v>2890</v>
      </c>
      <c r="W355" s="22">
        <v>1.2430000000000001</v>
      </c>
    </row>
    <row r="356" spans="1:23" x14ac:dyDescent="0.2">
      <c r="A356" s="2" t="s">
        <v>1066</v>
      </c>
      <c r="B356" s="2" t="s">
        <v>1069</v>
      </c>
      <c r="C356" s="2" t="s">
        <v>57</v>
      </c>
      <c r="D356" s="2" t="s">
        <v>184</v>
      </c>
      <c r="E356" s="2" t="s">
        <v>1849</v>
      </c>
      <c r="F356" s="2" t="s">
        <v>1850</v>
      </c>
      <c r="G356" s="2" t="s">
        <v>1851</v>
      </c>
      <c r="H356" s="2" t="s">
        <v>54</v>
      </c>
      <c r="I356" s="2" t="s">
        <v>55</v>
      </c>
      <c r="J356" s="2" t="s">
        <v>56</v>
      </c>
      <c r="K356" s="22">
        <v>334839000</v>
      </c>
      <c r="L356" s="2" t="s">
        <v>52</v>
      </c>
      <c r="M356" s="2" t="s">
        <v>1770</v>
      </c>
      <c r="N356" s="2" t="s">
        <v>184</v>
      </c>
      <c r="O356" s="2" t="s">
        <v>4475</v>
      </c>
      <c r="P356" s="22">
        <v>1.444</v>
      </c>
      <c r="Q356" s="2" t="s">
        <v>4476</v>
      </c>
      <c r="R356" s="2" t="s">
        <v>173</v>
      </c>
      <c r="S356" s="2" t="s">
        <v>54</v>
      </c>
      <c r="T356" s="2" t="s">
        <v>115</v>
      </c>
      <c r="U356" s="2" t="s">
        <v>53</v>
      </c>
      <c r="V356" s="2" t="s">
        <v>1852</v>
      </c>
      <c r="W356" s="2" t="s">
        <v>54</v>
      </c>
    </row>
    <row r="357" spans="1:23" x14ac:dyDescent="0.2">
      <c r="A357" s="2" t="s">
        <v>1359</v>
      </c>
      <c r="B357" s="2" t="s">
        <v>1362</v>
      </c>
      <c r="C357" s="2" t="s">
        <v>57</v>
      </c>
      <c r="D357" s="2" t="s">
        <v>199</v>
      </c>
      <c r="E357" s="2" t="s">
        <v>3257</v>
      </c>
      <c r="F357" s="2" t="s">
        <v>3258</v>
      </c>
      <c r="G357" s="2" t="s">
        <v>3259</v>
      </c>
      <c r="H357" s="2" t="s">
        <v>54</v>
      </c>
      <c r="I357" s="2" t="s">
        <v>117</v>
      </c>
      <c r="J357" s="2" t="s">
        <v>56</v>
      </c>
      <c r="K357" s="22">
        <v>1361362500</v>
      </c>
      <c r="L357" s="2" t="s">
        <v>52</v>
      </c>
      <c r="M357" s="2" t="s">
        <v>1770</v>
      </c>
      <c r="N357" s="2" t="s">
        <v>199</v>
      </c>
      <c r="O357" s="2" t="s">
        <v>4477</v>
      </c>
      <c r="P357" s="22">
        <v>0.875</v>
      </c>
      <c r="Q357" s="2" t="s">
        <v>4478</v>
      </c>
      <c r="R357" s="2" t="s">
        <v>225</v>
      </c>
      <c r="S357" s="2" t="s">
        <v>174</v>
      </c>
      <c r="T357" s="2" t="s">
        <v>49</v>
      </c>
      <c r="U357" s="2" t="s">
        <v>53</v>
      </c>
      <c r="V357" s="2" t="s">
        <v>3260</v>
      </c>
      <c r="W357" s="22">
        <v>0.86699999999999999</v>
      </c>
    </row>
    <row r="358" spans="1:23" x14ac:dyDescent="0.2">
      <c r="A358" s="2" t="s">
        <v>679</v>
      </c>
      <c r="B358" s="2" t="s">
        <v>682</v>
      </c>
      <c r="C358" s="2" t="s">
        <v>391</v>
      </c>
      <c r="D358" s="2" t="s">
        <v>367</v>
      </c>
      <c r="E358" s="2" t="s">
        <v>3289</v>
      </c>
      <c r="F358" s="2" t="s">
        <v>3290</v>
      </c>
      <c r="G358" s="2" t="s">
        <v>3291</v>
      </c>
      <c r="H358" s="2" t="s">
        <v>54</v>
      </c>
      <c r="I358" s="2" t="s">
        <v>55</v>
      </c>
      <c r="J358" s="2" t="s">
        <v>342</v>
      </c>
      <c r="K358" s="22">
        <v>50000000</v>
      </c>
      <c r="L358" s="2" t="s">
        <v>458</v>
      </c>
      <c r="M358" s="2" t="s">
        <v>1770</v>
      </c>
      <c r="N358" s="2" t="s">
        <v>367</v>
      </c>
      <c r="O358" s="2" t="s">
        <v>4479</v>
      </c>
      <c r="P358" s="2" t="s">
        <v>54</v>
      </c>
      <c r="Q358" s="2" t="s">
        <v>4480</v>
      </c>
      <c r="R358" s="2" t="s">
        <v>350</v>
      </c>
      <c r="S358" s="2" t="s">
        <v>189</v>
      </c>
      <c r="T358" s="2" t="s">
        <v>3292</v>
      </c>
      <c r="U358" s="2" t="s">
        <v>262</v>
      </c>
      <c r="V358" s="2" t="s">
        <v>3293</v>
      </c>
      <c r="W358" s="2" t="s">
        <v>54</v>
      </c>
    </row>
    <row r="359" spans="1:23" x14ac:dyDescent="0.2">
      <c r="A359" s="2" t="s">
        <v>1224</v>
      </c>
      <c r="B359" s="2" t="s">
        <v>1227</v>
      </c>
      <c r="C359" s="2" t="s">
        <v>57</v>
      </c>
      <c r="D359" s="2" t="s">
        <v>594</v>
      </c>
      <c r="E359" s="2" t="s">
        <v>2814</v>
      </c>
      <c r="F359" s="2" t="s">
        <v>2815</v>
      </c>
      <c r="G359" s="2" t="s">
        <v>2816</v>
      </c>
      <c r="H359" s="2" t="s">
        <v>54</v>
      </c>
      <c r="I359" s="2" t="s">
        <v>55</v>
      </c>
      <c r="J359" s="2" t="s">
        <v>56</v>
      </c>
      <c r="K359" s="22">
        <v>1070023000</v>
      </c>
      <c r="L359" s="2" t="s">
        <v>52</v>
      </c>
      <c r="M359" s="2" t="s">
        <v>173</v>
      </c>
      <c r="N359" s="2" t="s">
        <v>594</v>
      </c>
      <c r="O359" s="2" t="s">
        <v>4481</v>
      </c>
      <c r="P359" s="22">
        <v>2.375</v>
      </c>
      <c r="Q359" s="2" t="s">
        <v>4482</v>
      </c>
      <c r="R359" s="2" t="s">
        <v>173</v>
      </c>
      <c r="S359" s="2" t="s">
        <v>174</v>
      </c>
      <c r="T359" s="2" t="s">
        <v>115</v>
      </c>
      <c r="U359" s="2" t="s">
        <v>53</v>
      </c>
      <c r="V359" s="2" t="s">
        <v>2817</v>
      </c>
      <c r="W359" s="2" t="s">
        <v>54</v>
      </c>
    </row>
    <row r="360" spans="1:23" x14ac:dyDescent="0.2">
      <c r="A360" s="2" t="s">
        <v>1559</v>
      </c>
      <c r="B360" s="2" t="s">
        <v>1562</v>
      </c>
      <c r="C360" s="2" t="s">
        <v>57</v>
      </c>
      <c r="D360" s="2" t="s">
        <v>257</v>
      </c>
      <c r="E360" s="2" t="s">
        <v>2775</v>
      </c>
      <c r="F360" s="2" t="s">
        <v>2776</v>
      </c>
      <c r="G360" s="2" t="s">
        <v>2777</v>
      </c>
      <c r="H360" s="2" t="s">
        <v>54</v>
      </c>
      <c r="I360" s="2" t="s">
        <v>55</v>
      </c>
      <c r="J360" s="2" t="s">
        <v>56</v>
      </c>
      <c r="K360" s="22">
        <v>848182500</v>
      </c>
      <c r="L360" s="2" t="s">
        <v>52</v>
      </c>
      <c r="M360" s="2" t="s">
        <v>1770</v>
      </c>
      <c r="N360" s="2" t="s">
        <v>366</v>
      </c>
      <c r="O360" s="2" t="s">
        <v>4483</v>
      </c>
      <c r="P360" s="22">
        <v>2.125</v>
      </c>
      <c r="Q360" s="2" t="s">
        <v>4484</v>
      </c>
      <c r="R360" s="2" t="s">
        <v>173</v>
      </c>
      <c r="S360" s="2" t="s">
        <v>174</v>
      </c>
      <c r="T360" s="2" t="s">
        <v>49</v>
      </c>
      <c r="U360" s="2" t="s">
        <v>53</v>
      </c>
      <c r="V360" s="2" t="s">
        <v>2778</v>
      </c>
      <c r="W360" s="22">
        <v>2.2509999999999999</v>
      </c>
    </row>
    <row r="361" spans="1:23" x14ac:dyDescent="0.2">
      <c r="A361" s="2" t="s">
        <v>180</v>
      </c>
      <c r="B361" s="2" t="s">
        <v>183</v>
      </c>
      <c r="C361" s="2" t="s">
        <v>57</v>
      </c>
      <c r="D361" s="2" t="s">
        <v>185</v>
      </c>
      <c r="E361" s="2" t="s">
        <v>3192</v>
      </c>
      <c r="F361" s="2" t="s">
        <v>3193</v>
      </c>
      <c r="G361" s="2" t="s">
        <v>3194</v>
      </c>
      <c r="H361" s="2" t="s">
        <v>54</v>
      </c>
      <c r="I361" s="2" t="s">
        <v>133</v>
      </c>
      <c r="J361" s="2" t="s">
        <v>56</v>
      </c>
      <c r="K361" s="22">
        <v>894712000</v>
      </c>
      <c r="L361" s="2" t="s">
        <v>52</v>
      </c>
      <c r="M361" s="2" t="s">
        <v>1770</v>
      </c>
      <c r="N361" s="2" t="s">
        <v>184</v>
      </c>
      <c r="O361" s="2" t="s">
        <v>4485</v>
      </c>
      <c r="P361" s="22">
        <v>1.5</v>
      </c>
      <c r="Q361" s="2" t="s">
        <v>4486</v>
      </c>
      <c r="R361" s="2" t="s">
        <v>2171</v>
      </c>
      <c r="S361" s="2" t="s">
        <v>446</v>
      </c>
      <c r="T361" s="2" t="s">
        <v>115</v>
      </c>
      <c r="U361" s="2" t="s">
        <v>53</v>
      </c>
      <c r="V361" s="2" t="s">
        <v>3195</v>
      </c>
      <c r="W361" s="22">
        <v>1.446</v>
      </c>
    </row>
    <row r="362" spans="1:23" x14ac:dyDescent="0.2">
      <c r="A362" s="2" t="s">
        <v>1157</v>
      </c>
      <c r="B362" s="2" t="s">
        <v>1160</v>
      </c>
      <c r="C362" s="2" t="s">
        <v>57</v>
      </c>
      <c r="D362" s="2" t="s">
        <v>184</v>
      </c>
      <c r="E362" s="2" t="s">
        <v>1808</v>
      </c>
      <c r="F362" s="2" t="s">
        <v>1809</v>
      </c>
      <c r="G362" s="2" t="s">
        <v>1810</v>
      </c>
      <c r="H362" s="22">
        <v>2.4079999999999999</v>
      </c>
      <c r="I362" s="2" t="s">
        <v>117</v>
      </c>
      <c r="J362" s="2" t="s">
        <v>56</v>
      </c>
      <c r="K362" s="22">
        <v>565215000</v>
      </c>
      <c r="L362" s="2" t="s">
        <v>52</v>
      </c>
      <c r="M362" s="2" t="s">
        <v>1770</v>
      </c>
      <c r="N362" s="2" t="s">
        <v>184</v>
      </c>
      <c r="O362" s="2" t="s">
        <v>4487</v>
      </c>
      <c r="P362" s="22">
        <v>3.625</v>
      </c>
      <c r="Q362" s="2" t="s">
        <v>4488</v>
      </c>
      <c r="R362" s="2" t="s">
        <v>173</v>
      </c>
      <c r="S362" s="2" t="s">
        <v>263</v>
      </c>
      <c r="T362" s="2" t="s">
        <v>49</v>
      </c>
      <c r="U362" s="2" t="s">
        <v>53</v>
      </c>
      <c r="V362" s="2" t="s">
        <v>1811</v>
      </c>
      <c r="W362" s="22">
        <v>2.7389999999999999</v>
      </c>
    </row>
    <row r="363" spans="1:23" x14ac:dyDescent="0.2">
      <c r="A363" s="2" t="s">
        <v>476</v>
      </c>
      <c r="B363" s="2" t="s">
        <v>479</v>
      </c>
      <c r="C363" s="2" t="s">
        <v>391</v>
      </c>
      <c r="D363" s="2" t="s">
        <v>45</v>
      </c>
      <c r="E363" s="2" t="s">
        <v>2185</v>
      </c>
      <c r="F363" s="2" t="s">
        <v>2186</v>
      </c>
      <c r="G363" s="2" t="s">
        <v>2187</v>
      </c>
      <c r="H363" s="2" t="s">
        <v>54</v>
      </c>
      <c r="I363" s="2" t="s">
        <v>55</v>
      </c>
      <c r="J363" s="2" t="s">
        <v>70</v>
      </c>
      <c r="K363" s="22">
        <v>11160000</v>
      </c>
      <c r="L363" s="2" t="s">
        <v>2011</v>
      </c>
      <c r="M363" s="2" t="s">
        <v>2129</v>
      </c>
      <c r="N363" s="2" t="s">
        <v>45</v>
      </c>
      <c r="O363" s="2" t="s">
        <v>4489</v>
      </c>
      <c r="P363" s="22">
        <v>0.10200000000000001</v>
      </c>
      <c r="Q363" s="2" t="s">
        <v>4490</v>
      </c>
      <c r="R363" s="2" t="s">
        <v>225</v>
      </c>
      <c r="S363" s="2" t="s">
        <v>117</v>
      </c>
      <c r="T363" s="2" t="s">
        <v>49</v>
      </c>
      <c r="U363" s="2" t="s">
        <v>53</v>
      </c>
      <c r="V363" s="2" t="s">
        <v>2188</v>
      </c>
      <c r="W363" s="2" t="s">
        <v>54</v>
      </c>
    </row>
    <row r="364" spans="1:23" x14ac:dyDescent="0.2">
      <c r="A364" s="2" t="s">
        <v>613</v>
      </c>
      <c r="B364" s="2" t="s">
        <v>616</v>
      </c>
      <c r="C364" s="2" t="s">
        <v>57</v>
      </c>
      <c r="D364" s="2" t="s">
        <v>199</v>
      </c>
      <c r="E364" s="2" t="s">
        <v>2532</v>
      </c>
      <c r="F364" s="2" t="s">
        <v>2533</v>
      </c>
      <c r="G364" s="2" t="s">
        <v>2534</v>
      </c>
      <c r="H364" s="2" t="s">
        <v>54</v>
      </c>
      <c r="I364" s="2" t="s">
        <v>117</v>
      </c>
      <c r="J364" s="2" t="s">
        <v>56</v>
      </c>
      <c r="K364" s="22">
        <v>852510000</v>
      </c>
      <c r="L364" s="2" t="s">
        <v>52</v>
      </c>
      <c r="M364" s="2" t="s">
        <v>1770</v>
      </c>
      <c r="N364" s="2" t="s">
        <v>199</v>
      </c>
      <c r="O364" s="2" t="s">
        <v>4491</v>
      </c>
      <c r="P364" s="22">
        <v>1.75</v>
      </c>
      <c r="Q364" s="2" t="s">
        <v>4492</v>
      </c>
      <c r="R364" s="2" t="s">
        <v>225</v>
      </c>
      <c r="S364" s="2" t="s">
        <v>619</v>
      </c>
      <c r="T364" s="2" t="s">
        <v>49</v>
      </c>
      <c r="U364" s="2" t="s">
        <v>53</v>
      </c>
      <c r="V364" s="2" t="s">
        <v>2535</v>
      </c>
      <c r="W364" s="22">
        <v>1.764</v>
      </c>
    </row>
    <row r="365" spans="1:23" x14ac:dyDescent="0.2">
      <c r="A365" s="2" t="s">
        <v>1518</v>
      </c>
      <c r="B365" s="2" t="s">
        <v>1521</v>
      </c>
      <c r="C365" s="2" t="s">
        <v>57</v>
      </c>
      <c r="D365" s="2" t="s">
        <v>184</v>
      </c>
      <c r="E365" s="2" t="s">
        <v>3147</v>
      </c>
      <c r="F365" s="2" t="s">
        <v>3148</v>
      </c>
      <c r="G365" s="2" t="s">
        <v>3149</v>
      </c>
      <c r="H365" s="2" t="s">
        <v>54</v>
      </c>
      <c r="I365" s="2" t="s">
        <v>117</v>
      </c>
      <c r="J365" s="2" t="s">
        <v>56</v>
      </c>
      <c r="K365" s="22">
        <v>834330000</v>
      </c>
      <c r="L365" s="2" t="s">
        <v>52</v>
      </c>
      <c r="M365" s="2" t="s">
        <v>1770</v>
      </c>
      <c r="N365" s="2" t="s">
        <v>184</v>
      </c>
      <c r="O365" s="2" t="s">
        <v>4493</v>
      </c>
      <c r="P365" s="22">
        <v>1.5</v>
      </c>
      <c r="Q365" s="2" t="s">
        <v>4494</v>
      </c>
      <c r="R365" s="2" t="s">
        <v>225</v>
      </c>
      <c r="S365" s="2" t="s">
        <v>483</v>
      </c>
      <c r="T365" s="2" t="s">
        <v>115</v>
      </c>
      <c r="U365" s="2" t="s">
        <v>53</v>
      </c>
      <c r="V365" s="2" t="s">
        <v>3150</v>
      </c>
      <c r="W365" s="22">
        <v>1.57</v>
      </c>
    </row>
    <row r="366" spans="1:23" x14ac:dyDescent="0.2">
      <c r="A366" s="2" t="s">
        <v>1525</v>
      </c>
      <c r="B366" s="2" t="s">
        <v>1528</v>
      </c>
      <c r="C366" s="2" t="s">
        <v>57</v>
      </c>
      <c r="D366" s="2" t="s">
        <v>184</v>
      </c>
      <c r="E366" s="2" t="s">
        <v>3025</v>
      </c>
      <c r="F366" s="2" t="s">
        <v>3026</v>
      </c>
      <c r="G366" s="2" t="s">
        <v>3027</v>
      </c>
      <c r="H366" s="2" t="s">
        <v>54</v>
      </c>
      <c r="I366" s="2" t="s">
        <v>420</v>
      </c>
      <c r="J366" s="2" t="s">
        <v>56</v>
      </c>
      <c r="K366" s="22">
        <v>561890000</v>
      </c>
      <c r="L366" s="2" t="s">
        <v>52</v>
      </c>
      <c r="M366" s="2" t="s">
        <v>1770</v>
      </c>
      <c r="N366" s="2" t="s">
        <v>184</v>
      </c>
      <c r="O366" s="2" t="s">
        <v>4495</v>
      </c>
      <c r="P366" s="22">
        <v>1.875</v>
      </c>
      <c r="Q366" s="2" t="s">
        <v>4496</v>
      </c>
      <c r="R366" s="2" t="s">
        <v>173</v>
      </c>
      <c r="S366" s="2" t="s">
        <v>189</v>
      </c>
      <c r="T366" s="2" t="s">
        <v>115</v>
      </c>
      <c r="U366" s="2" t="s">
        <v>53</v>
      </c>
      <c r="V366" s="2" t="s">
        <v>3028</v>
      </c>
      <c r="W366" s="22">
        <v>1.89</v>
      </c>
    </row>
    <row r="367" spans="1:23" x14ac:dyDescent="0.2">
      <c r="A367" s="2" t="s">
        <v>1058</v>
      </c>
      <c r="B367" s="2" t="s">
        <v>1045</v>
      </c>
      <c r="C367" s="2" t="s">
        <v>71</v>
      </c>
      <c r="D367" s="2" t="s">
        <v>1046</v>
      </c>
      <c r="E367" s="2" t="s">
        <v>3398</v>
      </c>
      <c r="F367" s="2" t="s">
        <v>3399</v>
      </c>
      <c r="G367" s="2" t="s">
        <v>3400</v>
      </c>
      <c r="H367" s="2" t="s">
        <v>54</v>
      </c>
      <c r="I367" s="2" t="s">
        <v>55</v>
      </c>
      <c r="J367" s="2" t="s">
        <v>56</v>
      </c>
      <c r="K367" s="22">
        <v>998190000</v>
      </c>
      <c r="L367" s="2" t="s">
        <v>52</v>
      </c>
      <c r="M367" s="2" t="s">
        <v>173</v>
      </c>
      <c r="N367" s="2" t="s">
        <v>366</v>
      </c>
      <c r="O367" s="2" t="s">
        <v>1621</v>
      </c>
      <c r="P367" s="22">
        <v>7.125</v>
      </c>
      <c r="Q367" s="2" t="s">
        <v>4497</v>
      </c>
      <c r="R367" s="2" t="s">
        <v>173</v>
      </c>
      <c r="S367" s="2" t="s">
        <v>296</v>
      </c>
      <c r="T367" s="2" t="s">
        <v>115</v>
      </c>
      <c r="U367" s="2" t="s">
        <v>262</v>
      </c>
      <c r="V367" s="2" t="s">
        <v>3401</v>
      </c>
      <c r="W367" s="2" t="s">
        <v>54</v>
      </c>
    </row>
    <row r="368" spans="1:23" x14ac:dyDescent="0.2">
      <c r="A368" s="2" t="s">
        <v>1121</v>
      </c>
      <c r="B368" s="2" t="s">
        <v>1124</v>
      </c>
      <c r="C368" s="2" t="s">
        <v>57</v>
      </c>
      <c r="D368" s="2" t="s">
        <v>366</v>
      </c>
      <c r="E368" s="2" t="s">
        <v>2866</v>
      </c>
      <c r="F368" s="2" t="s">
        <v>2867</v>
      </c>
      <c r="G368" s="2" t="s">
        <v>2868</v>
      </c>
      <c r="H368" s="2" t="s">
        <v>54</v>
      </c>
      <c r="I368" s="2" t="s">
        <v>133</v>
      </c>
      <c r="J368" s="2" t="s">
        <v>56</v>
      </c>
      <c r="K368" s="22">
        <v>712014000</v>
      </c>
      <c r="L368" s="2" t="s">
        <v>52</v>
      </c>
      <c r="M368" s="2" t="s">
        <v>1770</v>
      </c>
      <c r="N368" s="2" t="s">
        <v>366</v>
      </c>
      <c r="O368" s="2" t="s">
        <v>1621</v>
      </c>
      <c r="P368" s="22">
        <v>0.875</v>
      </c>
      <c r="Q368" s="2" t="s">
        <v>4498</v>
      </c>
      <c r="R368" s="2" t="s">
        <v>225</v>
      </c>
      <c r="S368" s="2" t="s">
        <v>496</v>
      </c>
      <c r="T368" s="2" t="s">
        <v>115</v>
      </c>
      <c r="U368" s="2" t="s">
        <v>53</v>
      </c>
      <c r="V368" s="2" t="s">
        <v>2869</v>
      </c>
      <c r="W368" s="22">
        <v>0.90800000000000003</v>
      </c>
    </row>
    <row r="369" spans="1:23" x14ac:dyDescent="0.2">
      <c r="A369" s="2" t="s">
        <v>871</v>
      </c>
      <c r="B369" s="2" t="s">
        <v>874</v>
      </c>
      <c r="C369" s="2" t="s">
        <v>57</v>
      </c>
      <c r="D369" s="2" t="s">
        <v>185</v>
      </c>
      <c r="E369" s="2" t="s">
        <v>2799</v>
      </c>
      <c r="F369" s="2" t="s">
        <v>2800</v>
      </c>
      <c r="G369" s="2" t="s">
        <v>2801</v>
      </c>
      <c r="H369" s="2" t="s">
        <v>54</v>
      </c>
      <c r="I369" s="2" t="s">
        <v>55</v>
      </c>
      <c r="J369" s="2" t="s">
        <v>56</v>
      </c>
      <c r="K369" s="22">
        <v>592640000</v>
      </c>
      <c r="L369" s="2" t="s">
        <v>52</v>
      </c>
      <c r="M369" s="2" t="s">
        <v>1775</v>
      </c>
      <c r="N369" s="2" t="s">
        <v>594</v>
      </c>
      <c r="O369" s="2" t="s">
        <v>1629</v>
      </c>
      <c r="P369" s="22">
        <v>0.375</v>
      </c>
      <c r="Q369" s="2" t="s">
        <v>1635</v>
      </c>
      <c r="R369" s="2" t="s">
        <v>173</v>
      </c>
      <c r="S369" s="2" t="s">
        <v>174</v>
      </c>
      <c r="T369" s="2" t="s">
        <v>115</v>
      </c>
      <c r="U369" s="2" t="s">
        <v>53</v>
      </c>
      <c r="V369" s="2" t="s">
        <v>2802</v>
      </c>
      <c r="W369" s="22">
        <v>0.35699999999999998</v>
      </c>
    </row>
    <row r="370" spans="1:23" x14ac:dyDescent="0.2">
      <c r="A370" s="2" t="s">
        <v>871</v>
      </c>
      <c r="B370" s="2" t="s">
        <v>874</v>
      </c>
      <c r="C370" s="2" t="s">
        <v>57</v>
      </c>
      <c r="D370" s="2" t="s">
        <v>185</v>
      </c>
      <c r="E370" s="2" t="s">
        <v>2803</v>
      </c>
      <c r="F370" s="2" t="s">
        <v>2804</v>
      </c>
      <c r="G370" s="2" t="s">
        <v>2805</v>
      </c>
      <c r="H370" s="2" t="s">
        <v>54</v>
      </c>
      <c r="I370" s="2" t="s">
        <v>55</v>
      </c>
      <c r="J370" s="2" t="s">
        <v>56</v>
      </c>
      <c r="K370" s="22">
        <v>592640000</v>
      </c>
      <c r="L370" s="2" t="s">
        <v>52</v>
      </c>
      <c r="M370" s="2" t="s">
        <v>1775</v>
      </c>
      <c r="N370" s="2" t="s">
        <v>594</v>
      </c>
      <c r="O370" s="2" t="s">
        <v>1629</v>
      </c>
      <c r="P370" s="22">
        <v>1</v>
      </c>
      <c r="Q370" s="2" t="s">
        <v>4499</v>
      </c>
      <c r="R370" s="2" t="s">
        <v>173</v>
      </c>
      <c r="S370" s="2" t="s">
        <v>174</v>
      </c>
      <c r="T370" s="2" t="s">
        <v>115</v>
      </c>
      <c r="U370" s="2" t="s">
        <v>53</v>
      </c>
      <c r="V370" s="2" t="s">
        <v>2806</v>
      </c>
      <c r="W370" s="22">
        <v>0.92</v>
      </c>
    </row>
    <row r="371" spans="1:23" x14ac:dyDescent="0.2">
      <c r="A371" s="2" t="s">
        <v>1042</v>
      </c>
      <c r="B371" s="2" t="s">
        <v>1045</v>
      </c>
      <c r="C371" s="2" t="s">
        <v>71</v>
      </c>
      <c r="D371" s="2" t="s">
        <v>1046</v>
      </c>
      <c r="E371" s="2" t="s">
        <v>3358</v>
      </c>
      <c r="F371" s="2" t="s">
        <v>3359</v>
      </c>
      <c r="G371" s="2" t="s">
        <v>3360</v>
      </c>
      <c r="H371" s="2" t="s">
        <v>54</v>
      </c>
      <c r="I371" s="2" t="s">
        <v>55</v>
      </c>
      <c r="J371" s="2" t="s">
        <v>56</v>
      </c>
      <c r="K371" s="22">
        <v>1186690000</v>
      </c>
      <c r="L371" s="2" t="s">
        <v>52</v>
      </c>
      <c r="M371" s="2" t="s">
        <v>1775</v>
      </c>
      <c r="N371" s="2" t="s">
        <v>366</v>
      </c>
      <c r="O371" s="2" t="s">
        <v>1621</v>
      </c>
      <c r="P371" s="22">
        <v>6</v>
      </c>
      <c r="Q371" s="2" t="s">
        <v>4497</v>
      </c>
      <c r="R371" s="2" t="s">
        <v>173</v>
      </c>
      <c r="S371" s="2" t="s">
        <v>296</v>
      </c>
      <c r="T371" s="2" t="s">
        <v>115</v>
      </c>
      <c r="U371" s="2" t="s">
        <v>53</v>
      </c>
      <c r="V371" s="2" t="s">
        <v>3361</v>
      </c>
      <c r="W371" s="2" t="s">
        <v>54</v>
      </c>
    </row>
    <row r="372" spans="1:23" x14ac:dyDescent="0.2">
      <c r="A372" s="2" t="s">
        <v>476</v>
      </c>
      <c r="B372" s="2" t="s">
        <v>479</v>
      </c>
      <c r="C372" s="2" t="s">
        <v>57</v>
      </c>
      <c r="D372" s="2" t="s">
        <v>45</v>
      </c>
      <c r="E372" s="2" t="s">
        <v>2189</v>
      </c>
      <c r="F372" s="2" t="s">
        <v>2190</v>
      </c>
      <c r="G372" s="2" t="s">
        <v>2191</v>
      </c>
      <c r="H372" s="2" t="s">
        <v>54</v>
      </c>
      <c r="I372" s="2" t="s">
        <v>55</v>
      </c>
      <c r="J372" s="2" t="s">
        <v>56</v>
      </c>
      <c r="K372" s="22">
        <v>10563930</v>
      </c>
      <c r="L372" s="2" t="s">
        <v>458</v>
      </c>
      <c r="M372" s="2" t="s">
        <v>1770</v>
      </c>
      <c r="N372" s="2" t="s">
        <v>45</v>
      </c>
      <c r="O372" s="2" t="s">
        <v>4500</v>
      </c>
      <c r="P372" s="22">
        <v>0.13</v>
      </c>
      <c r="Q372" s="2" t="s">
        <v>4501</v>
      </c>
      <c r="R372" s="2" t="s">
        <v>225</v>
      </c>
      <c r="S372" s="2" t="s">
        <v>189</v>
      </c>
      <c r="T372" s="2" t="s">
        <v>115</v>
      </c>
      <c r="U372" s="2" t="s">
        <v>53</v>
      </c>
      <c r="V372" s="2" t="s">
        <v>2192</v>
      </c>
      <c r="W372" s="2" t="s">
        <v>54</v>
      </c>
    </row>
    <row r="373" spans="1:23" x14ac:dyDescent="0.2">
      <c r="A373" s="2" t="s">
        <v>41</v>
      </c>
      <c r="B373" s="2" t="s">
        <v>44</v>
      </c>
      <c r="C373" s="2" t="s">
        <v>57</v>
      </c>
      <c r="D373" s="2" t="s">
        <v>45</v>
      </c>
      <c r="E373" s="2" t="s">
        <v>2361</v>
      </c>
      <c r="F373" s="2" t="s">
        <v>2362</v>
      </c>
      <c r="G373" s="2" t="s">
        <v>2363</v>
      </c>
      <c r="H373" s="2" t="s">
        <v>54</v>
      </c>
      <c r="I373" s="2" t="s">
        <v>55</v>
      </c>
      <c r="J373" s="2" t="s">
        <v>56</v>
      </c>
      <c r="K373" s="22">
        <v>176172000</v>
      </c>
      <c r="L373" s="2" t="s">
        <v>52</v>
      </c>
      <c r="M373" s="2" t="s">
        <v>1815</v>
      </c>
      <c r="N373" s="2" t="s">
        <v>45</v>
      </c>
      <c r="O373" s="2" t="s">
        <v>4502</v>
      </c>
      <c r="P373" s="22">
        <v>0.75</v>
      </c>
      <c r="Q373" s="2" t="s">
        <v>4503</v>
      </c>
      <c r="R373" s="2" t="s">
        <v>2364</v>
      </c>
      <c r="S373" s="2" t="s">
        <v>54</v>
      </c>
      <c r="T373" s="2" t="s">
        <v>188</v>
      </c>
      <c r="U373" s="2" t="s">
        <v>53</v>
      </c>
      <c r="V373" s="2" t="s">
        <v>2365</v>
      </c>
      <c r="W373" s="22">
        <v>3.9E-2</v>
      </c>
    </row>
    <row r="374" spans="1:23" x14ac:dyDescent="0.2">
      <c r="A374" s="2" t="s">
        <v>476</v>
      </c>
      <c r="B374" s="2" t="s">
        <v>479</v>
      </c>
      <c r="C374" s="2" t="s">
        <v>57</v>
      </c>
      <c r="D374" s="2" t="s">
        <v>45</v>
      </c>
      <c r="E374" s="2" t="s">
        <v>2193</v>
      </c>
      <c r="F374" s="2" t="s">
        <v>2194</v>
      </c>
      <c r="G374" s="2" t="s">
        <v>2195</v>
      </c>
      <c r="H374" s="2" t="s">
        <v>54</v>
      </c>
      <c r="I374" s="2" t="s">
        <v>55</v>
      </c>
      <c r="J374" s="2" t="s">
        <v>1805</v>
      </c>
      <c r="K374" s="22">
        <v>17716200</v>
      </c>
      <c r="L374" s="2" t="s">
        <v>458</v>
      </c>
      <c r="M374" s="2" t="s">
        <v>173</v>
      </c>
      <c r="N374" s="2" t="s">
        <v>45</v>
      </c>
      <c r="O374" s="2" t="s">
        <v>4504</v>
      </c>
      <c r="P374" s="22">
        <v>0.03</v>
      </c>
      <c r="Q374" s="2" t="s">
        <v>4505</v>
      </c>
      <c r="R374" s="2" t="s">
        <v>225</v>
      </c>
      <c r="S374" s="2" t="s">
        <v>189</v>
      </c>
      <c r="T374" s="2" t="s">
        <v>115</v>
      </c>
      <c r="U374" s="2" t="s">
        <v>53</v>
      </c>
      <c r="V374" s="2" t="s">
        <v>2196</v>
      </c>
      <c r="W374" s="2" t="s">
        <v>54</v>
      </c>
    </row>
    <row r="375" spans="1:23" x14ac:dyDescent="0.2">
      <c r="A375" s="2" t="s">
        <v>476</v>
      </c>
      <c r="B375" s="2" t="s">
        <v>479</v>
      </c>
      <c r="C375" s="2" t="s">
        <v>57</v>
      </c>
      <c r="D375" s="2" t="s">
        <v>45</v>
      </c>
      <c r="E375" s="2" t="s">
        <v>2197</v>
      </c>
      <c r="F375" s="2" t="s">
        <v>2198</v>
      </c>
      <c r="G375" s="2" t="s">
        <v>2199</v>
      </c>
      <c r="H375" s="22">
        <v>5.5E-2</v>
      </c>
      <c r="I375" s="2" t="s">
        <v>55</v>
      </c>
      <c r="J375" s="2" t="s">
        <v>56</v>
      </c>
      <c r="K375" s="22">
        <v>11719000</v>
      </c>
      <c r="L375" s="2" t="s">
        <v>482</v>
      </c>
      <c r="M375" s="2" t="s">
        <v>1770</v>
      </c>
      <c r="N375" s="2" t="s">
        <v>45</v>
      </c>
      <c r="O375" s="2" t="s">
        <v>4506</v>
      </c>
      <c r="P375" s="22">
        <v>5.5E-2</v>
      </c>
      <c r="Q375" s="2" t="s">
        <v>4507</v>
      </c>
      <c r="R375" s="2" t="s">
        <v>225</v>
      </c>
      <c r="S375" s="2" t="s">
        <v>483</v>
      </c>
      <c r="T375" s="2" t="s">
        <v>49</v>
      </c>
      <c r="U375" s="2" t="s">
        <v>53</v>
      </c>
      <c r="V375" s="2" t="s">
        <v>2200</v>
      </c>
      <c r="W375" s="2" t="s">
        <v>54</v>
      </c>
    </row>
    <row r="376" spans="1:23" x14ac:dyDescent="0.2">
      <c r="A376" s="2" t="s">
        <v>813</v>
      </c>
      <c r="B376" s="2" t="s">
        <v>816</v>
      </c>
      <c r="C376" s="2" t="s">
        <v>57</v>
      </c>
      <c r="D376" s="2" t="s">
        <v>184</v>
      </c>
      <c r="E376" s="2" t="s">
        <v>3452</v>
      </c>
      <c r="F376" s="2" t="s">
        <v>173</v>
      </c>
      <c r="G376" s="2" t="s">
        <v>3453</v>
      </c>
      <c r="H376" s="2" t="s">
        <v>54</v>
      </c>
      <c r="I376" s="2" t="s">
        <v>133</v>
      </c>
      <c r="J376" s="2" t="s">
        <v>56</v>
      </c>
      <c r="K376" s="22">
        <v>617601480</v>
      </c>
      <c r="L376" s="2" t="s">
        <v>52</v>
      </c>
      <c r="M376" s="2" t="s">
        <v>173</v>
      </c>
      <c r="N376" s="2" t="s">
        <v>184</v>
      </c>
      <c r="O376" s="2" t="s">
        <v>4177</v>
      </c>
      <c r="P376" s="22">
        <v>1.2909999999999999</v>
      </c>
      <c r="Q376" s="2" t="s">
        <v>4178</v>
      </c>
      <c r="R376" s="2" t="s">
        <v>1311</v>
      </c>
      <c r="S376" s="2" t="s">
        <v>54</v>
      </c>
      <c r="T376" s="2" t="s">
        <v>49</v>
      </c>
      <c r="U376" s="2" t="s">
        <v>53</v>
      </c>
      <c r="V376" s="2" t="s">
        <v>3454</v>
      </c>
      <c r="W376" s="2" t="s">
        <v>54</v>
      </c>
    </row>
    <row r="377" spans="1:23" x14ac:dyDescent="0.2">
      <c r="A377" s="2" t="s">
        <v>813</v>
      </c>
      <c r="B377" s="2" t="s">
        <v>816</v>
      </c>
      <c r="C377" s="2" t="s">
        <v>57</v>
      </c>
      <c r="D377" s="2" t="s">
        <v>184</v>
      </c>
      <c r="E377" s="2" t="s">
        <v>3455</v>
      </c>
      <c r="F377" s="2" t="s">
        <v>173</v>
      </c>
      <c r="G377" s="2" t="s">
        <v>3456</v>
      </c>
      <c r="H377" s="2" t="s">
        <v>54</v>
      </c>
      <c r="I377" s="2" t="s">
        <v>133</v>
      </c>
      <c r="J377" s="2" t="s">
        <v>56</v>
      </c>
      <c r="K377" s="22">
        <v>617601480</v>
      </c>
      <c r="L377" s="2" t="s">
        <v>52</v>
      </c>
      <c r="M377" s="2" t="s">
        <v>173</v>
      </c>
      <c r="N377" s="2" t="s">
        <v>184</v>
      </c>
      <c r="O377" s="2" t="s">
        <v>4177</v>
      </c>
      <c r="P377" s="22">
        <v>0.95</v>
      </c>
      <c r="Q377" s="2" t="s">
        <v>4179</v>
      </c>
      <c r="R377" s="2" t="s">
        <v>1315</v>
      </c>
      <c r="S377" s="2" t="s">
        <v>54</v>
      </c>
      <c r="T377" s="2" t="s">
        <v>49</v>
      </c>
      <c r="U377" s="2" t="s">
        <v>53</v>
      </c>
      <c r="V377" s="2" t="s">
        <v>3457</v>
      </c>
      <c r="W377" s="2" t="s">
        <v>54</v>
      </c>
    </row>
    <row r="378" spans="1:23" x14ac:dyDescent="0.2">
      <c r="A378" s="2" t="s">
        <v>1625</v>
      </c>
      <c r="B378" s="2" t="s">
        <v>1628</v>
      </c>
      <c r="C378" s="2" t="s">
        <v>57</v>
      </c>
      <c r="D378" s="2" t="s">
        <v>45</v>
      </c>
      <c r="E378" s="2" t="s">
        <v>2716</v>
      </c>
      <c r="F378" s="2" t="s">
        <v>173</v>
      </c>
      <c r="G378" s="2" t="s">
        <v>2717</v>
      </c>
      <c r="H378" s="2" t="s">
        <v>54</v>
      </c>
      <c r="I378" s="2" t="s">
        <v>55</v>
      </c>
      <c r="J378" s="2" t="s">
        <v>56</v>
      </c>
      <c r="K378" s="22">
        <v>65749800</v>
      </c>
      <c r="L378" s="2" t="s">
        <v>52</v>
      </c>
      <c r="M378" s="2" t="s">
        <v>173</v>
      </c>
      <c r="N378" s="2" t="s">
        <v>45</v>
      </c>
      <c r="O378" s="2" t="s">
        <v>4508</v>
      </c>
      <c r="P378" s="22">
        <v>0</v>
      </c>
      <c r="Q378" s="2" t="s">
        <v>4509</v>
      </c>
      <c r="R378" s="2" t="s">
        <v>69</v>
      </c>
      <c r="S378" s="2" t="s">
        <v>54</v>
      </c>
      <c r="T378" s="2" t="s">
        <v>49</v>
      </c>
      <c r="U378" s="2" t="s">
        <v>53</v>
      </c>
      <c r="V378" s="2" t="s">
        <v>2718</v>
      </c>
      <c r="W378" s="2" t="s">
        <v>54</v>
      </c>
    </row>
    <row r="379" spans="1:23" x14ac:dyDescent="0.2">
      <c r="A379" s="2" t="s">
        <v>1625</v>
      </c>
      <c r="B379" s="2" t="s">
        <v>1628</v>
      </c>
      <c r="C379" s="2" t="s">
        <v>57</v>
      </c>
      <c r="D379" s="2" t="s">
        <v>45</v>
      </c>
      <c r="E379" s="2" t="s">
        <v>2719</v>
      </c>
      <c r="F379" s="2" t="s">
        <v>173</v>
      </c>
      <c r="G379" s="2" t="s">
        <v>2720</v>
      </c>
      <c r="H379" s="2" t="s">
        <v>54</v>
      </c>
      <c r="I379" s="2" t="s">
        <v>55</v>
      </c>
      <c r="J379" s="2" t="s">
        <v>56</v>
      </c>
      <c r="K379" s="22">
        <v>65749800</v>
      </c>
      <c r="L379" s="2" t="s">
        <v>52</v>
      </c>
      <c r="M379" s="2" t="s">
        <v>173</v>
      </c>
      <c r="N379" s="2" t="s">
        <v>45</v>
      </c>
      <c r="O379" s="2" t="s">
        <v>4508</v>
      </c>
      <c r="P379" s="22">
        <v>0</v>
      </c>
      <c r="Q379" s="2" t="s">
        <v>4510</v>
      </c>
      <c r="R379" s="2" t="s">
        <v>69</v>
      </c>
      <c r="S379" s="2" t="s">
        <v>54</v>
      </c>
      <c r="T379" s="2" t="s">
        <v>49</v>
      </c>
      <c r="U379" s="2" t="s">
        <v>53</v>
      </c>
      <c r="V379" s="2" t="s">
        <v>2721</v>
      </c>
      <c r="W379" s="2" t="s">
        <v>54</v>
      </c>
    </row>
    <row r="380" spans="1:23" x14ac:dyDescent="0.2">
      <c r="A380" s="2" t="s">
        <v>1198</v>
      </c>
      <c r="B380" s="2" t="s">
        <v>1201</v>
      </c>
      <c r="C380" s="2" t="s">
        <v>57</v>
      </c>
      <c r="D380" s="2" t="s">
        <v>1202</v>
      </c>
      <c r="E380" s="2" t="s">
        <v>2946</v>
      </c>
      <c r="F380" s="2" t="s">
        <v>2947</v>
      </c>
      <c r="G380" s="2" t="s">
        <v>2948</v>
      </c>
      <c r="H380" s="2" t="s">
        <v>54</v>
      </c>
      <c r="I380" s="2" t="s">
        <v>55</v>
      </c>
      <c r="J380" s="2" t="s">
        <v>56</v>
      </c>
      <c r="K380" s="22">
        <v>55699500</v>
      </c>
      <c r="L380" s="2" t="s">
        <v>52</v>
      </c>
      <c r="M380" s="2" t="s">
        <v>173</v>
      </c>
      <c r="N380" s="2" t="s">
        <v>1202</v>
      </c>
      <c r="O380" s="2" t="s">
        <v>4511</v>
      </c>
      <c r="P380" s="22">
        <v>2.75</v>
      </c>
      <c r="Q380" s="2" t="s">
        <v>4512</v>
      </c>
      <c r="R380" s="2" t="s">
        <v>173</v>
      </c>
      <c r="S380" s="2" t="s">
        <v>54</v>
      </c>
      <c r="T380" s="2" t="s">
        <v>2949</v>
      </c>
      <c r="U380" s="2" t="s">
        <v>53</v>
      </c>
      <c r="V380" s="2" t="s">
        <v>2950</v>
      </c>
      <c r="W380" s="22">
        <v>2.5529999999999999</v>
      </c>
    </row>
    <row r="381" spans="1:23" x14ac:dyDescent="0.2">
      <c r="A381" s="2" t="s">
        <v>1413</v>
      </c>
      <c r="B381" s="2" t="s">
        <v>1416</v>
      </c>
      <c r="C381" s="2" t="s">
        <v>57</v>
      </c>
      <c r="D381" s="2" t="s">
        <v>199</v>
      </c>
      <c r="E381" s="2" t="s">
        <v>3469</v>
      </c>
      <c r="F381" s="2" t="s">
        <v>3470</v>
      </c>
      <c r="G381" s="2" t="s">
        <v>3471</v>
      </c>
      <c r="H381" s="2" t="s">
        <v>54</v>
      </c>
      <c r="I381" s="2" t="s">
        <v>55</v>
      </c>
      <c r="J381" s="2" t="s">
        <v>56</v>
      </c>
      <c r="K381" s="22">
        <v>275222500</v>
      </c>
      <c r="L381" s="2" t="s">
        <v>52</v>
      </c>
      <c r="M381" s="2" t="s">
        <v>1775</v>
      </c>
      <c r="N381" s="2" t="s">
        <v>199</v>
      </c>
      <c r="O381" s="2" t="s">
        <v>4513</v>
      </c>
      <c r="P381" s="22">
        <v>3.625</v>
      </c>
      <c r="Q381" s="2" t="s">
        <v>4514</v>
      </c>
      <c r="R381" s="2" t="s">
        <v>173</v>
      </c>
      <c r="S381" s="2" t="s">
        <v>189</v>
      </c>
      <c r="T381" s="2" t="s">
        <v>49</v>
      </c>
      <c r="U381" s="2" t="s">
        <v>53</v>
      </c>
      <c r="V381" s="2" t="s">
        <v>3472</v>
      </c>
      <c r="W381" s="22">
        <v>3.9780000000000002</v>
      </c>
    </row>
    <row r="382" spans="1:23" x14ac:dyDescent="0.2">
      <c r="A382" s="2" t="s">
        <v>613</v>
      </c>
      <c r="B382" s="2" t="s">
        <v>616</v>
      </c>
      <c r="C382" s="2" t="s">
        <v>57</v>
      </c>
      <c r="D382" s="2" t="s">
        <v>199</v>
      </c>
      <c r="E382" s="2" t="s">
        <v>2536</v>
      </c>
      <c r="F382" s="2" t="s">
        <v>2537</v>
      </c>
      <c r="G382" s="2" t="s">
        <v>2538</v>
      </c>
      <c r="H382" s="2" t="s">
        <v>54</v>
      </c>
      <c r="I382" s="2" t="s">
        <v>117</v>
      </c>
      <c r="J382" s="2" t="s">
        <v>56</v>
      </c>
      <c r="K382" s="22">
        <v>1105100000</v>
      </c>
      <c r="L382" s="2" t="s">
        <v>52</v>
      </c>
      <c r="M382" s="2" t="s">
        <v>1770</v>
      </c>
      <c r="N382" s="2" t="s">
        <v>199</v>
      </c>
      <c r="O382" s="2" t="s">
        <v>4515</v>
      </c>
      <c r="P382" s="22">
        <v>0.625</v>
      </c>
      <c r="Q382" s="2" t="s">
        <v>4516</v>
      </c>
      <c r="R382" s="2" t="s">
        <v>225</v>
      </c>
      <c r="S382" s="2" t="s">
        <v>619</v>
      </c>
      <c r="T382" s="2" t="s">
        <v>49</v>
      </c>
      <c r="U382" s="2" t="s">
        <v>53</v>
      </c>
      <c r="V382" s="2" t="s">
        <v>2539</v>
      </c>
      <c r="W382" s="22">
        <v>0.54200000000000004</v>
      </c>
    </row>
    <row r="383" spans="1:23" x14ac:dyDescent="0.2">
      <c r="A383" s="2" t="s">
        <v>476</v>
      </c>
      <c r="B383" s="2" t="s">
        <v>479</v>
      </c>
      <c r="C383" s="2" t="s">
        <v>57</v>
      </c>
      <c r="D383" s="2" t="s">
        <v>45</v>
      </c>
      <c r="E383" s="2" t="s">
        <v>2201</v>
      </c>
      <c r="F383" s="2" t="s">
        <v>2202</v>
      </c>
      <c r="G383" s="2" t="s">
        <v>2203</v>
      </c>
      <c r="H383" s="2" t="s">
        <v>54</v>
      </c>
      <c r="I383" s="2" t="s">
        <v>55</v>
      </c>
      <c r="J383" s="2" t="s">
        <v>56</v>
      </c>
      <c r="K383" s="22">
        <v>33153000</v>
      </c>
      <c r="L383" s="2" t="s">
        <v>482</v>
      </c>
      <c r="M383" s="2" t="s">
        <v>173</v>
      </c>
      <c r="N383" s="2" t="s">
        <v>45</v>
      </c>
      <c r="O383" s="2" t="s">
        <v>4515</v>
      </c>
      <c r="P383" s="22">
        <v>8.8999999999999996E-2</v>
      </c>
      <c r="Q383" s="2" t="s">
        <v>4517</v>
      </c>
      <c r="R383" s="2" t="s">
        <v>225</v>
      </c>
      <c r="S383" s="2" t="s">
        <v>483</v>
      </c>
      <c r="T383" s="2" t="s">
        <v>49</v>
      </c>
      <c r="U383" s="2" t="s">
        <v>53</v>
      </c>
      <c r="V383" s="2" t="s">
        <v>2204</v>
      </c>
      <c r="W383" s="2" t="s">
        <v>54</v>
      </c>
    </row>
    <row r="384" spans="1:23" x14ac:dyDescent="0.2">
      <c r="A384" s="2" t="s">
        <v>476</v>
      </c>
      <c r="B384" s="2" t="s">
        <v>479</v>
      </c>
      <c r="C384" s="2" t="s">
        <v>391</v>
      </c>
      <c r="D384" s="2" t="s">
        <v>45</v>
      </c>
      <c r="E384" s="2" t="s">
        <v>2205</v>
      </c>
      <c r="F384" s="2" t="s">
        <v>2206</v>
      </c>
      <c r="G384" s="2" t="s">
        <v>2207</v>
      </c>
      <c r="H384" s="2" t="s">
        <v>54</v>
      </c>
      <c r="I384" s="2" t="s">
        <v>55</v>
      </c>
      <c r="J384" s="2" t="s">
        <v>70</v>
      </c>
      <c r="K384" s="22">
        <v>22017800</v>
      </c>
      <c r="L384" s="2" t="s">
        <v>458</v>
      </c>
      <c r="M384" s="2" t="s">
        <v>1770</v>
      </c>
      <c r="N384" s="2" t="s">
        <v>45</v>
      </c>
      <c r="O384" s="2" t="s">
        <v>4513</v>
      </c>
      <c r="P384" s="22">
        <v>6.9999999999999993E-2</v>
      </c>
      <c r="Q384" s="2" t="s">
        <v>4518</v>
      </c>
      <c r="R384" s="2" t="s">
        <v>225</v>
      </c>
      <c r="S384" s="2" t="s">
        <v>189</v>
      </c>
      <c r="T384" s="2" t="s">
        <v>49</v>
      </c>
      <c r="U384" s="2" t="s">
        <v>53</v>
      </c>
      <c r="V384" s="2" t="s">
        <v>2208</v>
      </c>
      <c r="W384" s="2" t="s">
        <v>54</v>
      </c>
    </row>
    <row r="385" spans="1:23" x14ac:dyDescent="0.2">
      <c r="A385" s="2" t="s">
        <v>1559</v>
      </c>
      <c r="B385" s="2" t="s">
        <v>1562</v>
      </c>
      <c r="C385" s="2" t="s">
        <v>57</v>
      </c>
      <c r="D385" s="2" t="s">
        <v>257</v>
      </c>
      <c r="E385" s="2" t="s">
        <v>2779</v>
      </c>
      <c r="F385" s="2" t="s">
        <v>2780</v>
      </c>
      <c r="G385" s="2" t="s">
        <v>2781</v>
      </c>
      <c r="H385" s="2" t="s">
        <v>54</v>
      </c>
      <c r="I385" s="2" t="s">
        <v>55</v>
      </c>
      <c r="J385" s="2" t="s">
        <v>56</v>
      </c>
      <c r="K385" s="22">
        <v>193950750</v>
      </c>
      <c r="L385" s="2" t="s">
        <v>52</v>
      </c>
      <c r="M385" s="2" t="s">
        <v>173</v>
      </c>
      <c r="N385" s="2" t="s">
        <v>366</v>
      </c>
      <c r="O385" s="2" t="s">
        <v>4519</v>
      </c>
      <c r="P385" s="22">
        <v>2</v>
      </c>
      <c r="Q385" s="2" t="s">
        <v>4520</v>
      </c>
      <c r="R385" s="2" t="s">
        <v>173</v>
      </c>
      <c r="S385" s="2" t="s">
        <v>54</v>
      </c>
      <c r="T385" s="2" t="s">
        <v>49</v>
      </c>
      <c r="U385" s="2" t="s">
        <v>53</v>
      </c>
      <c r="V385" s="2" t="s">
        <v>2782</v>
      </c>
      <c r="W385" s="22">
        <v>1.7490000000000001</v>
      </c>
    </row>
    <row r="386" spans="1:23" x14ac:dyDescent="0.2">
      <c r="A386" s="2" t="s">
        <v>1335</v>
      </c>
      <c r="B386" s="2" t="s">
        <v>1338</v>
      </c>
      <c r="C386" s="2" t="s">
        <v>57</v>
      </c>
      <c r="D386" s="2" t="s">
        <v>1339</v>
      </c>
      <c r="E386" s="2" t="s">
        <v>2353</v>
      </c>
      <c r="F386" s="2" t="s">
        <v>2354</v>
      </c>
      <c r="G386" s="2" t="s">
        <v>2355</v>
      </c>
      <c r="H386" s="2" t="s">
        <v>54</v>
      </c>
      <c r="I386" s="2" t="s">
        <v>55</v>
      </c>
      <c r="J386" s="2" t="s">
        <v>56</v>
      </c>
      <c r="K386" s="22">
        <v>32186500</v>
      </c>
      <c r="L386" s="2" t="s">
        <v>52</v>
      </c>
      <c r="M386" s="2" t="s">
        <v>173</v>
      </c>
      <c r="N386" s="2" t="s">
        <v>169</v>
      </c>
      <c r="O386" s="2" t="s">
        <v>4521</v>
      </c>
      <c r="P386" s="22">
        <v>3.0139999999999998</v>
      </c>
      <c r="Q386" s="2" t="s">
        <v>4522</v>
      </c>
      <c r="R386" s="2" t="s">
        <v>225</v>
      </c>
      <c r="S386" s="2" t="s">
        <v>174</v>
      </c>
      <c r="T386" s="2" t="s">
        <v>49</v>
      </c>
      <c r="U386" s="2" t="s">
        <v>2330</v>
      </c>
      <c r="V386" s="2" t="s">
        <v>2356</v>
      </c>
      <c r="W386" s="2" t="s">
        <v>54</v>
      </c>
    </row>
    <row r="387" spans="1:23" x14ac:dyDescent="0.2">
      <c r="A387" s="2" t="s">
        <v>476</v>
      </c>
      <c r="B387" s="2" t="s">
        <v>479</v>
      </c>
      <c r="C387" s="2" t="s">
        <v>57</v>
      </c>
      <c r="D387" s="2" t="s">
        <v>45</v>
      </c>
      <c r="E387" s="2" t="s">
        <v>2209</v>
      </c>
      <c r="F387" s="2" t="s">
        <v>2210</v>
      </c>
      <c r="G387" s="2" t="s">
        <v>2211</v>
      </c>
      <c r="H387" s="2" t="s">
        <v>54</v>
      </c>
      <c r="I387" s="2" t="s">
        <v>55</v>
      </c>
      <c r="J387" s="2" t="s">
        <v>56</v>
      </c>
      <c r="K387" s="22">
        <v>541610000</v>
      </c>
      <c r="L387" s="2" t="s">
        <v>458</v>
      </c>
      <c r="M387" s="2" t="s">
        <v>173</v>
      </c>
      <c r="N387" s="2" t="s">
        <v>45</v>
      </c>
      <c r="O387" s="2" t="s">
        <v>4523</v>
      </c>
      <c r="P387" s="22">
        <v>0.01</v>
      </c>
      <c r="Q387" s="2" t="s">
        <v>4524</v>
      </c>
      <c r="R387" s="2" t="s">
        <v>173</v>
      </c>
      <c r="S387" s="2" t="s">
        <v>189</v>
      </c>
      <c r="T387" s="2" t="s">
        <v>49</v>
      </c>
      <c r="U387" s="2" t="s">
        <v>53</v>
      </c>
      <c r="V387" s="2" t="s">
        <v>2212</v>
      </c>
      <c r="W387" s="22">
        <v>-0.23</v>
      </c>
    </row>
    <row r="388" spans="1:23" x14ac:dyDescent="0.2">
      <c r="A388" s="2" t="s">
        <v>476</v>
      </c>
      <c r="B388" s="2" t="s">
        <v>479</v>
      </c>
      <c r="C388" s="2" t="s">
        <v>57</v>
      </c>
      <c r="D388" s="2" t="s">
        <v>45</v>
      </c>
      <c r="E388" s="2" t="s">
        <v>2213</v>
      </c>
      <c r="F388" s="2" t="s">
        <v>2214</v>
      </c>
      <c r="G388" s="2" t="s">
        <v>2215</v>
      </c>
      <c r="H388" s="2" t="s">
        <v>54</v>
      </c>
      <c r="I388" s="2" t="s">
        <v>55</v>
      </c>
      <c r="J388" s="2" t="s">
        <v>56</v>
      </c>
      <c r="K388" s="22">
        <v>111262000</v>
      </c>
      <c r="L388" s="2" t="s">
        <v>458</v>
      </c>
      <c r="M388" s="2" t="s">
        <v>173</v>
      </c>
      <c r="N388" s="2" t="s">
        <v>45</v>
      </c>
      <c r="O388" s="2" t="s">
        <v>1692</v>
      </c>
      <c r="P388" s="22">
        <v>0.01</v>
      </c>
      <c r="Q388" s="2" t="s">
        <v>4525</v>
      </c>
      <c r="R388" s="2" t="s">
        <v>225</v>
      </c>
      <c r="S388" s="2" t="s">
        <v>189</v>
      </c>
      <c r="T388" s="2" t="s">
        <v>49</v>
      </c>
      <c r="U388" s="2" t="s">
        <v>53</v>
      </c>
      <c r="V388" s="2" t="s">
        <v>2216</v>
      </c>
      <c r="W388" s="22">
        <v>-0.32500000000000001</v>
      </c>
    </row>
    <row r="389" spans="1:23" x14ac:dyDescent="0.2">
      <c r="A389" s="2" t="s">
        <v>1525</v>
      </c>
      <c r="B389" s="2" t="s">
        <v>1528</v>
      </c>
      <c r="C389" s="2" t="s">
        <v>57</v>
      </c>
      <c r="D389" s="2" t="s">
        <v>184</v>
      </c>
      <c r="E389" s="2" t="s">
        <v>3029</v>
      </c>
      <c r="F389" s="2" t="s">
        <v>3030</v>
      </c>
      <c r="G389" s="2" t="s">
        <v>3031</v>
      </c>
      <c r="H389" s="2" t="s">
        <v>54</v>
      </c>
      <c r="I389" s="2" t="s">
        <v>420</v>
      </c>
      <c r="J389" s="2" t="s">
        <v>56</v>
      </c>
      <c r="K389" s="22">
        <v>555340000</v>
      </c>
      <c r="L389" s="2" t="s">
        <v>52</v>
      </c>
      <c r="M389" s="2" t="s">
        <v>1770</v>
      </c>
      <c r="N389" s="2" t="s">
        <v>184</v>
      </c>
      <c r="O389" s="2" t="s">
        <v>4526</v>
      </c>
      <c r="P389" s="22">
        <v>0</v>
      </c>
      <c r="Q389" s="2" t="s">
        <v>4527</v>
      </c>
      <c r="R389" s="2" t="s">
        <v>173</v>
      </c>
      <c r="S389" s="2" t="s">
        <v>619</v>
      </c>
      <c r="T389" s="2" t="s">
        <v>115</v>
      </c>
      <c r="U389" s="2" t="s">
        <v>53</v>
      </c>
      <c r="V389" s="2" t="s">
        <v>3032</v>
      </c>
      <c r="W389" s="22">
        <v>-7.2999999999999995E-2</v>
      </c>
    </row>
    <row r="390" spans="1:23" x14ac:dyDescent="0.2">
      <c r="A390" s="2" t="s">
        <v>1525</v>
      </c>
      <c r="B390" s="2" t="s">
        <v>1528</v>
      </c>
      <c r="C390" s="2" t="s">
        <v>57</v>
      </c>
      <c r="D390" s="2" t="s">
        <v>184</v>
      </c>
      <c r="E390" s="2" t="s">
        <v>3033</v>
      </c>
      <c r="F390" s="2" t="s">
        <v>3034</v>
      </c>
      <c r="G390" s="2" t="s">
        <v>3035</v>
      </c>
      <c r="H390" s="2" t="s">
        <v>54</v>
      </c>
      <c r="I390" s="2" t="s">
        <v>420</v>
      </c>
      <c r="J390" s="2" t="s">
        <v>56</v>
      </c>
      <c r="K390" s="22">
        <v>555340000</v>
      </c>
      <c r="L390" s="2" t="s">
        <v>52</v>
      </c>
      <c r="M390" s="2" t="s">
        <v>1770</v>
      </c>
      <c r="N390" s="2" t="s">
        <v>184</v>
      </c>
      <c r="O390" s="2" t="s">
        <v>4526</v>
      </c>
      <c r="P390" s="22">
        <v>0.5</v>
      </c>
      <c r="Q390" s="2" t="s">
        <v>4528</v>
      </c>
      <c r="R390" s="2" t="s">
        <v>173</v>
      </c>
      <c r="S390" s="2" t="s">
        <v>619</v>
      </c>
      <c r="T390" s="2" t="s">
        <v>115</v>
      </c>
      <c r="U390" s="2" t="s">
        <v>53</v>
      </c>
      <c r="V390" s="2" t="s">
        <v>3036</v>
      </c>
      <c r="W390" s="22">
        <v>0.38</v>
      </c>
    </row>
    <row r="391" spans="1:23" x14ac:dyDescent="0.2">
      <c r="A391" s="2" t="s">
        <v>1525</v>
      </c>
      <c r="B391" s="2" t="s">
        <v>1528</v>
      </c>
      <c r="C391" s="2" t="s">
        <v>57</v>
      </c>
      <c r="D391" s="2" t="s">
        <v>184</v>
      </c>
      <c r="E391" s="2" t="s">
        <v>3037</v>
      </c>
      <c r="F391" s="2" t="s">
        <v>3038</v>
      </c>
      <c r="G391" s="2" t="s">
        <v>3039</v>
      </c>
      <c r="H391" s="2" t="s">
        <v>54</v>
      </c>
      <c r="I391" s="2" t="s">
        <v>420</v>
      </c>
      <c r="J391" s="2" t="s">
        <v>56</v>
      </c>
      <c r="K391" s="22">
        <v>555340000</v>
      </c>
      <c r="L391" s="2" t="s">
        <v>52</v>
      </c>
      <c r="M391" s="2" t="s">
        <v>1770</v>
      </c>
      <c r="N391" s="2" t="s">
        <v>184</v>
      </c>
      <c r="O391" s="2" t="s">
        <v>4526</v>
      </c>
      <c r="P391" s="22">
        <v>0.875</v>
      </c>
      <c r="Q391" s="2" t="s">
        <v>4529</v>
      </c>
      <c r="R391" s="2" t="s">
        <v>173</v>
      </c>
      <c r="S391" s="2" t="s">
        <v>619</v>
      </c>
      <c r="T391" s="2" t="s">
        <v>115</v>
      </c>
      <c r="U391" s="2" t="s">
        <v>53</v>
      </c>
      <c r="V391" s="2" t="s">
        <v>3040</v>
      </c>
      <c r="W391" s="22">
        <v>0.78100000000000003</v>
      </c>
    </row>
    <row r="392" spans="1:23" x14ac:dyDescent="0.2">
      <c r="A392" s="2" t="s">
        <v>1198</v>
      </c>
      <c r="B392" s="2" t="s">
        <v>1201</v>
      </c>
      <c r="C392" s="2" t="s">
        <v>71</v>
      </c>
      <c r="D392" s="2" t="s">
        <v>1202</v>
      </c>
      <c r="E392" s="2" t="s">
        <v>2951</v>
      </c>
      <c r="F392" s="2" t="s">
        <v>2952</v>
      </c>
      <c r="G392" s="2" t="s">
        <v>2953</v>
      </c>
      <c r="H392" s="2" t="s">
        <v>54</v>
      </c>
      <c r="I392" s="2" t="s">
        <v>55</v>
      </c>
      <c r="J392" s="2" t="s">
        <v>56</v>
      </c>
      <c r="K392" s="22">
        <v>186756644.17500001</v>
      </c>
      <c r="L392" s="2" t="s">
        <v>52</v>
      </c>
      <c r="M392" s="2" t="s">
        <v>173</v>
      </c>
      <c r="N392" s="2" t="s">
        <v>1202</v>
      </c>
      <c r="O392" s="2" t="s">
        <v>4530</v>
      </c>
      <c r="P392" s="22">
        <v>4.375</v>
      </c>
      <c r="Q392" s="2" t="s">
        <v>4531</v>
      </c>
      <c r="R392" s="2" t="s">
        <v>173</v>
      </c>
      <c r="S392" s="2" t="s">
        <v>54</v>
      </c>
      <c r="T392" s="2" t="s">
        <v>1205</v>
      </c>
      <c r="U392" s="2" t="s">
        <v>53</v>
      </c>
      <c r="V392" s="2" t="s">
        <v>2955</v>
      </c>
      <c r="W392" s="2" t="s">
        <v>54</v>
      </c>
    </row>
    <row r="393" spans="1:23" x14ac:dyDescent="0.2">
      <c r="A393" s="2" t="s">
        <v>1066</v>
      </c>
      <c r="B393" s="2" t="s">
        <v>1069</v>
      </c>
      <c r="C393" s="2" t="s">
        <v>173</v>
      </c>
      <c r="D393" s="2" t="s">
        <v>184</v>
      </c>
      <c r="E393" s="2" t="s">
        <v>1853</v>
      </c>
      <c r="F393" s="2" t="s">
        <v>1854</v>
      </c>
      <c r="G393" s="2" t="s">
        <v>1855</v>
      </c>
      <c r="H393" s="2" t="s">
        <v>54</v>
      </c>
      <c r="I393" s="2" t="s">
        <v>55</v>
      </c>
      <c r="J393" s="2" t="s">
        <v>675</v>
      </c>
      <c r="K393" s="22">
        <v>553305000</v>
      </c>
      <c r="L393" s="2" t="s">
        <v>52</v>
      </c>
      <c r="M393" s="2" t="s">
        <v>1775</v>
      </c>
      <c r="N393" s="2" t="s">
        <v>184</v>
      </c>
      <c r="O393" s="2" t="s">
        <v>4532</v>
      </c>
      <c r="P393" s="22">
        <v>0</v>
      </c>
      <c r="Q393" s="2" t="s">
        <v>4533</v>
      </c>
      <c r="R393" s="2" t="s">
        <v>173</v>
      </c>
      <c r="S393" s="2" t="s">
        <v>54</v>
      </c>
      <c r="T393" s="2" t="s">
        <v>188</v>
      </c>
      <c r="U393" s="2" t="s">
        <v>53</v>
      </c>
      <c r="V393" s="2" t="s">
        <v>1856</v>
      </c>
      <c r="W393" s="22">
        <v>-2.198</v>
      </c>
    </row>
    <row r="394" spans="1:23" x14ac:dyDescent="0.2">
      <c r="A394" s="2" t="s">
        <v>528</v>
      </c>
      <c r="B394" s="2" t="s">
        <v>531</v>
      </c>
      <c r="C394" s="2" t="s">
        <v>57</v>
      </c>
      <c r="D394" s="2" t="s">
        <v>257</v>
      </c>
      <c r="E394" s="2" t="s">
        <v>3422</v>
      </c>
      <c r="F394" s="2" t="s">
        <v>3423</v>
      </c>
      <c r="G394" s="2" t="s">
        <v>3424</v>
      </c>
      <c r="H394" s="2" t="s">
        <v>54</v>
      </c>
      <c r="I394" s="2" t="s">
        <v>55</v>
      </c>
      <c r="J394" s="2" t="s">
        <v>56</v>
      </c>
      <c r="K394" s="22">
        <v>131989200</v>
      </c>
      <c r="L394" s="2" t="s">
        <v>52</v>
      </c>
      <c r="M394" s="2" t="s">
        <v>173</v>
      </c>
      <c r="N394" s="2" t="s">
        <v>257</v>
      </c>
      <c r="O394" s="2" t="s">
        <v>4534</v>
      </c>
      <c r="P394" s="22">
        <v>2.75</v>
      </c>
      <c r="Q394" s="2" t="s">
        <v>4535</v>
      </c>
      <c r="R394" s="2" t="s">
        <v>173</v>
      </c>
      <c r="S394" s="2" t="s">
        <v>54</v>
      </c>
      <c r="T394" s="2" t="s">
        <v>49</v>
      </c>
      <c r="U394" s="2" t="s">
        <v>53</v>
      </c>
      <c r="V394" s="2" t="s">
        <v>3425</v>
      </c>
      <c r="W394" s="22">
        <v>2.1309999999999998</v>
      </c>
    </row>
    <row r="395" spans="1:23" x14ac:dyDescent="0.2">
      <c r="A395" s="2" t="s">
        <v>1058</v>
      </c>
      <c r="B395" s="2" t="s">
        <v>1045</v>
      </c>
      <c r="C395" s="2" t="s">
        <v>71</v>
      </c>
      <c r="D395" s="2" t="s">
        <v>1046</v>
      </c>
      <c r="E395" s="2" t="s">
        <v>3402</v>
      </c>
      <c r="F395" s="2" t="s">
        <v>3403</v>
      </c>
      <c r="G395" s="2" t="s">
        <v>3404</v>
      </c>
      <c r="H395" s="22">
        <v>7.125</v>
      </c>
      <c r="I395" s="2" t="s">
        <v>55</v>
      </c>
      <c r="J395" s="2" t="s">
        <v>56</v>
      </c>
      <c r="K395" s="22">
        <v>1000000000</v>
      </c>
      <c r="L395" s="2" t="s">
        <v>52</v>
      </c>
      <c r="M395" s="2" t="s">
        <v>1770</v>
      </c>
      <c r="N395" s="2" t="s">
        <v>366</v>
      </c>
      <c r="O395" s="2" t="s">
        <v>4536</v>
      </c>
      <c r="P395" s="22">
        <v>7.125</v>
      </c>
      <c r="Q395" s="2" t="s">
        <v>4497</v>
      </c>
      <c r="R395" s="2" t="s">
        <v>261</v>
      </c>
      <c r="S395" s="2" t="s">
        <v>296</v>
      </c>
      <c r="T395" s="2" t="s">
        <v>115</v>
      </c>
      <c r="U395" s="2" t="s">
        <v>262</v>
      </c>
      <c r="V395" s="2" t="s">
        <v>3405</v>
      </c>
      <c r="W395" s="22">
        <v>6.75</v>
      </c>
    </row>
    <row r="396" spans="1:23" x14ac:dyDescent="0.2">
      <c r="A396" s="2" t="s">
        <v>1058</v>
      </c>
      <c r="B396" s="2" t="s">
        <v>1045</v>
      </c>
      <c r="C396" s="2" t="s">
        <v>71</v>
      </c>
      <c r="D396" s="2" t="s">
        <v>1046</v>
      </c>
      <c r="E396" s="2" t="s">
        <v>3406</v>
      </c>
      <c r="F396" s="2" t="s">
        <v>3407</v>
      </c>
      <c r="G396" s="2" t="s">
        <v>3408</v>
      </c>
      <c r="H396" s="22">
        <v>7.125</v>
      </c>
      <c r="I396" s="2" t="s">
        <v>55</v>
      </c>
      <c r="J396" s="2" t="s">
        <v>56</v>
      </c>
      <c r="K396" s="22">
        <v>1000000000</v>
      </c>
      <c r="L396" s="2" t="s">
        <v>52</v>
      </c>
      <c r="M396" s="2" t="s">
        <v>1770</v>
      </c>
      <c r="N396" s="2" t="s">
        <v>366</v>
      </c>
      <c r="O396" s="2" t="s">
        <v>4536</v>
      </c>
      <c r="P396" s="22">
        <v>7.125</v>
      </c>
      <c r="Q396" s="2" t="s">
        <v>4497</v>
      </c>
      <c r="R396" s="2" t="s">
        <v>270</v>
      </c>
      <c r="S396" s="2" t="s">
        <v>296</v>
      </c>
      <c r="T396" s="2" t="s">
        <v>115</v>
      </c>
      <c r="U396" s="2" t="s">
        <v>262</v>
      </c>
      <c r="V396" s="2" t="s">
        <v>3409</v>
      </c>
      <c r="W396" s="22">
        <v>6.7460000000000004</v>
      </c>
    </row>
    <row r="397" spans="1:23" x14ac:dyDescent="0.2">
      <c r="A397" s="2" t="s">
        <v>1075</v>
      </c>
      <c r="B397" s="2" t="s">
        <v>1078</v>
      </c>
      <c r="C397" s="2" t="s">
        <v>71</v>
      </c>
      <c r="D397" s="2" t="s">
        <v>184</v>
      </c>
      <c r="E397" s="2" t="s">
        <v>2578</v>
      </c>
      <c r="F397" s="2" t="s">
        <v>2579</v>
      </c>
      <c r="G397" s="2" t="s">
        <v>2580</v>
      </c>
      <c r="H397" s="2" t="s">
        <v>54</v>
      </c>
      <c r="I397" s="2" t="s">
        <v>884</v>
      </c>
      <c r="J397" s="2" t="s">
        <v>56</v>
      </c>
      <c r="K397" s="22">
        <v>979017800</v>
      </c>
      <c r="L397" s="2" t="s">
        <v>52</v>
      </c>
      <c r="M397" s="2" t="s">
        <v>1839</v>
      </c>
      <c r="N397" s="2" t="s">
        <v>184</v>
      </c>
      <c r="O397" s="2" t="s">
        <v>4537</v>
      </c>
      <c r="P397" s="22">
        <v>2.375</v>
      </c>
      <c r="Q397" s="2" t="s">
        <v>4538</v>
      </c>
      <c r="R397" s="2" t="s">
        <v>173</v>
      </c>
      <c r="S397" s="2" t="s">
        <v>884</v>
      </c>
      <c r="T397" s="2" t="s">
        <v>115</v>
      </c>
      <c r="U397" s="2" t="s">
        <v>53</v>
      </c>
      <c r="V397" s="2" t="s">
        <v>2581</v>
      </c>
      <c r="W397" s="22">
        <v>2.1680000000000001</v>
      </c>
    </row>
    <row r="398" spans="1:23" x14ac:dyDescent="0.2">
      <c r="A398" s="2" t="s">
        <v>165</v>
      </c>
      <c r="B398" s="2" t="s">
        <v>168</v>
      </c>
      <c r="C398" s="2" t="s">
        <v>57</v>
      </c>
      <c r="D398" s="2" t="s">
        <v>170</v>
      </c>
      <c r="E398" s="2" t="s">
        <v>2678</v>
      </c>
      <c r="F398" s="2" t="s">
        <v>2679</v>
      </c>
      <c r="G398" s="2" t="s">
        <v>2680</v>
      </c>
      <c r="H398" s="2" t="s">
        <v>54</v>
      </c>
      <c r="I398" s="2" t="s">
        <v>55</v>
      </c>
      <c r="J398" s="2" t="s">
        <v>56</v>
      </c>
      <c r="K398" s="22">
        <v>550810000</v>
      </c>
      <c r="L398" s="2" t="s">
        <v>52</v>
      </c>
      <c r="M398" s="2" t="s">
        <v>1770</v>
      </c>
      <c r="N398" s="2" t="s">
        <v>169</v>
      </c>
      <c r="O398" s="2" t="s">
        <v>4539</v>
      </c>
      <c r="P398" s="22">
        <v>0.5</v>
      </c>
      <c r="Q398" s="2" t="s">
        <v>4540</v>
      </c>
      <c r="R398" s="2" t="s">
        <v>225</v>
      </c>
      <c r="S398" s="2" t="s">
        <v>174</v>
      </c>
      <c r="T398" s="2" t="s">
        <v>115</v>
      </c>
      <c r="U398" s="2" t="s">
        <v>53</v>
      </c>
      <c r="V398" s="2" t="s">
        <v>2681</v>
      </c>
      <c r="W398" s="22">
        <v>0.59699999999999998</v>
      </c>
    </row>
    <row r="399" spans="1:23" x14ac:dyDescent="0.2">
      <c r="A399" s="2" t="s">
        <v>127</v>
      </c>
      <c r="B399" s="2" t="s">
        <v>130</v>
      </c>
      <c r="C399" s="2" t="s">
        <v>57</v>
      </c>
      <c r="D399" s="2" t="s">
        <v>45</v>
      </c>
      <c r="E399" s="2" t="s">
        <v>3069</v>
      </c>
      <c r="F399" s="2" t="s">
        <v>173</v>
      </c>
      <c r="G399" s="2" t="s">
        <v>3070</v>
      </c>
      <c r="H399" s="2" t="s">
        <v>54</v>
      </c>
      <c r="I399" s="2" t="s">
        <v>133</v>
      </c>
      <c r="J399" s="2" t="s">
        <v>56</v>
      </c>
      <c r="K399" s="22">
        <v>77916300</v>
      </c>
      <c r="L399" s="2" t="s">
        <v>52</v>
      </c>
      <c r="M399" s="2" t="s">
        <v>1770</v>
      </c>
      <c r="N399" s="2" t="s">
        <v>45</v>
      </c>
      <c r="O399" s="2" t="s">
        <v>4541</v>
      </c>
      <c r="P399" s="22">
        <v>0</v>
      </c>
      <c r="Q399" s="2" t="s">
        <v>160</v>
      </c>
      <c r="R399" s="2" t="s">
        <v>104</v>
      </c>
      <c r="S399" s="2" t="s">
        <v>54</v>
      </c>
      <c r="T399" s="2" t="s">
        <v>49</v>
      </c>
      <c r="U399" s="2" t="s">
        <v>53</v>
      </c>
      <c r="V399" s="2" t="s">
        <v>3071</v>
      </c>
      <c r="W399" s="2" t="s">
        <v>54</v>
      </c>
    </row>
    <row r="400" spans="1:23" x14ac:dyDescent="0.2">
      <c r="A400" s="2" t="s">
        <v>127</v>
      </c>
      <c r="B400" s="2" t="s">
        <v>130</v>
      </c>
      <c r="C400" s="2" t="s">
        <v>71</v>
      </c>
      <c r="D400" s="2" t="s">
        <v>45</v>
      </c>
      <c r="E400" s="2" t="s">
        <v>3072</v>
      </c>
      <c r="F400" s="2" t="s">
        <v>173</v>
      </c>
      <c r="G400" s="2" t="s">
        <v>3073</v>
      </c>
      <c r="H400" s="2" t="s">
        <v>54</v>
      </c>
      <c r="I400" s="2" t="s">
        <v>133</v>
      </c>
      <c r="J400" s="2" t="s">
        <v>70</v>
      </c>
      <c r="K400" s="22">
        <v>77916300</v>
      </c>
      <c r="L400" s="2" t="s">
        <v>52</v>
      </c>
      <c r="M400" s="2" t="s">
        <v>1770</v>
      </c>
      <c r="N400" s="2" t="s">
        <v>45</v>
      </c>
      <c r="O400" s="2" t="s">
        <v>4541</v>
      </c>
      <c r="P400" s="22">
        <v>0</v>
      </c>
      <c r="Q400" s="2" t="s">
        <v>160</v>
      </c>
      <c r="R400" s="2" t="s">
        <v>94</v>
      </c>
      <c r="S400" s="2" t="s">
        <v>54</v>
      </c>
      <c r="T400" s="2" t="s">
        <v>49</v>
      </c>
      <c r="U400" s="2" t="s">
        <v>53</v>
      </c>
      <c r="V400" s="2" t="s">
        <v>3074</v>
      </c>
      <c r="W400" s="2" t="s">
        <v>54</v>
      </c>
    </row>
    <row r="401" spans="1:23" x14ac:dyDescent="0.2">
      <c r="A401" s="2" t="s">
        <v>476</v>
      </c>
      <c r="B401" s="2" t="s">
        <v>479</v>
      </c>
      <c r="C401" s="2" t="s">
        <v>391</v>
      </c>
      <c r="D401" s="2" t="s">
        <v>45</v>
      </c>
      <c r="E401" s="2" t="s">
        <v>2217</v>
      </c>
      <c r="F401" s="2" t="s">
        <v>2218</v>
      </c>
      <c r="G401" s="2" t="s">
        <v>2219</v>
      </c>
      <c r="H401" s="2" t="s">
        <v>54</v>
      </c>
      <c r="I401" s="2" t="s">
        <v>55</v>
      </c>
      <c r="J401" s="2" t="s">
        <v>70</v>
      </c>
      <c r="K401" s="22">
        <v>467742250</v>
      </c>
      <c r="L401" s="2" t="s">
        <v>458</v>
      </c>
      <c r="M401" s="2" t="s">
        <v>173</v>
      </c>
      <c r="N401" s="2" t="s">
        <v>45</v>
      </c>
      <c r="O401" s="2" t="s">
        <v>4536</v>
      </c>
      <c r="P401" s="22">
        <v>0</v>
      </c>
      <c r="Q401" s="2" t="s">
        <v>4542</v>
      </c>
      <c r="R401" s="2" t="s">
        <v>225</v>
      </c>
      <c r="S401" s="2" t="s">
        <v>189</v>
      </c>
      <c r="T401" s="2" t="s">
        <v>49</v>
      </c>
      <c r="U401" s="2" t="s">
        <v>53</v>
      </c>
      <c r="V401" s="2" t="s">
        <v>2220</v>
      </c>
      <c r="W401" s="22">
        <v>-5.0000000000000001E-3</v>
      </c>
    </row>
    <row r="402" spans="1:23" x14ac:dyDescent="0.2">
      <c r="A402" s="2" t="s">
        <v>476</v>
      </c>
      <c r="B402" s="2" t="s">
        <v>479</v>
      </c>
      <c r="C402" s="2" t="s">
        <v>57</v>
      </c>
      <c r="D402" s="2" t="s">
        <v>45</v>
      </c>
      <c r="E402" s="2" t="s">
        <v>2221</v>
      </c>
      <c r="F402" s="2" t="s">
        <v>2222</v>
      </c>
      <c r="G402" s="2" t="s">
        <v>2223</v>
      </c>
      <c r="H402" s="2" t="s">
        <v>54</v>
      </c>
      <c r="I402" s="2" t="s">
        <v>55</v>
      </c>
      <c r="J402" s="2" t="s">
        <v>56</v>
      </c>
      <c r="K402" s="22">
        <v>49756050</v>
      </c>
      <c r="L402" s="2" t="s">
        <v>2011</v>
      </c>
      <c r="M402" s="2" t="s">
        <v>2012</v>
      </c>
      <c r="N402" s="2" t="s">
        <v>45</v>
      </c>
      <c r="O402" s="2" t="s">
        <v>1707</v>
      </c>
      <c r="P402" s="22">
        <v>1.157</v>
      </c>
      <c r="Q402" s="2" t="s">
        <v>4543</v>
      </c>
      <c r="R402" s="2" t="s">
        <v>173</v>
      </c>
      <c r="S402" s="2" t="s">
        <v>117</v>
      </c>
      <c r="T402" s="2" t="s">
        <v>49</v>
      </c>
      <c r="U402" s="2" t="s">
        <v>53</v>
      </c>
      <c r="V402" s="2" t="s">
        <v>2224</v>
      </c>
      <c r="W402" s="2" t="s">
        <v>54</v>
      </c>
    </row>
    <row r="403" spans="1:23" x14ac:dyDescent="0.2">
      <c r="A403" s="2" t="s">
        <v>1559</v>
      </c>
      <c r="B403" s="2" t="s">
        <v>1562</v>
      </c>
      <c r="C403" s="2" t="s">
        <v>57</v>
      </c>
      <c r="D403" s="2" t="s">
        <v>257</v>
      </c>
      <c r="E403" s="2" t="s">
        <v>2783</v>
      </c>
      <c r="F403" s="2" t="s">
        <v>2784</v>
      </c>
      <c r="G403" s="2" t="s">
        <v>2785</v>
      </c>
      <c r="H403" s="2" t="s">
        <v>54</v>
      </c>
      <c r="I403" s="2" t="s">
        <v>55</v>
      </c>
      <c r="J403" s="2" t="s">
        <v>56</v>
      </c>
      <c r="K403" s="22">
        <v>833872500</v>
      </c>
      <c r="L403" s="2" t="s">
        <v>52</v>
      </c>
      <c r="M403" s="2" t="s">
        <v>1775</v>
      </c>
      <c r="N403" s="2" t="s">
        <v>366</v>
      </c>
      <c r="O403" s="2" t="s">
        <v>4544</v>
      </c>
      <c r="P403" s="22">
        <v>1</v>
      </c>
      <c r="Q403" s="2" t="s">
        <v>4545</v>
      </c>
      <c r="R403" s="2" t="s">
        <v>173</v>
      </c>
      <c r="S403" s="2" t="s">
        <v>174</v>
      </c>
      <c r="T403" s="2" t="s">
        <v>49</v>
      </c>
      <c r="U403" s="2" t="s">
        <v>53</v>
      </c>
      <c r="V403" s="2" t="s">
        <v>2786</v>
      </c>
      <c r="W403" s="22">
        <v>0.9</v>
      </c>
    </row>
    <row r="404" spans="1:23" x14ac:dyDescent="0.2">
      <c r="A404" s="2" t="s">
        <v>1559</v>
      </c>
      <c r="B404" s="2" t="s">
        <v>1562</v>
      </c>
      <c r="C404" s="2" t="s">
        <v>57</v>
      </c>
      <c r="D404" s="2" t="s">
        <v>257</v>
      </c>
      <c r="E404" s="2" t="s">
        <v>2787</v>
      </c>
      <c r="F404" s="2" t="s">
        <v>2788</v>
      </c>
      <c r="G404" s="2" t="s">
        <v>2789</v>
      </c>
      <c r="H404" s="2" t="s">
        <v>54</v>
      </c>
      <c r="I404" s="2" t="s">
        <v>55</v>
      </c>
      <c r="J404" s="2" t="s">
        <v>56</v>
      </c>
      <c r="K404" s="22">
        <v>833872500</v>
      </c>
      <c r="L404" s="2" t="s">
        <v>52</v>
      </c>
      <c r="M404" s="2" t="s">
        <v>1770</v>
      </c>
      <c r="N404" s="2" t="s">
        <v>366</v>
      </c>
      <c r="O404" s="2" t="s">
        <v>4544</v>
      </c>
      <c r="P404" s="22">
        <v>2.25</v>
      </c>
      <c r="Q404" s="2" t="s">
        <v>4520</v>
      </c>
      <c r="R404" s="2" t="s">
        <v>173</v>
      </c>
      <c r="S404" s="2" t="s">
        <v>174</v>
      </c>
      <c r="T404" s="2" t="s">
        <v>49</v>
      </c>
      <c r="U404" s="2" t="s">
        <v>53</v>
      </c>
      <c r="V404" s="2" t="s">
        <v>2790</v>
      </c>
      <c r="W404" s="22">
        <v>2.181</v>
      </c>
    </row>
    <row r="405" spans="1:23" x14ac:dyDescent="0.2">
      <c r="A405" s="2" t="s">
        <v>476</v>
      </c>
      <c r="B405" s="2" t="s">
        <v>479</v>
      </c>
      <c r="C405" s="2" t="s">
        <v>57</v>
      </c>
      <c r="D405" s="2" t="s">
        <v>45</v>
      </c>
      <c r="E405" s="2" t="s">
        <v>2225</v>
      </c>
      <c r="F405" s="2" t="s">
        <v>2226</v>
      </c>
      <c r="G405" s="2" t="s">
        <v>2227</v>
      </c>
      <c r="H405" s="2" t="s">
        <v>54</v>
      </c>
      <c r="I405" s="2" t="s">
        <v>55</v>
      </c>
      <c r="J405" s="2" t="s">
        <v>56</v>
      </c>
      <c r="K405" s="22">
        <v>1109670000</v>
      </c>
      <c r="L405" s="2" t="s">
        <v>458</v>
      </c>
      <c r="M405" s="2" t="s">
        <v>1770</v>
      </c>
      <c r="N405" s="2" t="s">
        <v>45</v>
      </c>
      <c r="O405" s="2" t="s">
        <v>4546</v>
      </c>
      <c r="P405" s="22">
        <v>0.01</v>
      </c>
      <c r="Q405" s="2" t="s">
        <v>4547</v>
      </c>
      <c r="R405" s="2" t="s">
        <v>225</v>
      </c>
      <c r="S405" s="2" t="s">
        <v>189</v>
      </c>
      <c r="T405" s="2" t="s">
        <v>49</v>
      </c>
      <c r="U405" s="2" t="s">
        <v>53</v>
      </c>
      <c r="V405" s="2" t="s">
        <v>2228</v>
      </c>
      <c r="W405" s="22">
        <v>-0.58099999999999996</v>
      </c>
    </row>
    <row r="406" spans="1:23" x14ac:dyDescent="0.2">
      <c r="A406" s="2" t="s">
        <v>670</v>
      </c>
      <c r="B406" s="2" t="s">
        <v>673</v>
      </c>
      <c r="C406" s="2" t="s">
        <v>173</v>
      </c>
      <c r="D406" s="2" t="s">
        <v>184</v>
      </c>
      <c r="E406" s="2" t="s">
        <v>2382</v>
      </c>
      <c r="F406" s="2" t="s">
        <v>2383</v>
      </c>
      <c r="G406" s="2" t="s">
        <v>2384</v>
      </c>
      <c r="H406" s="2" t="s">
        <v>54</v>
      </c>
      <c r="I406" s="2" t="s">
        <v>420</v>
      </c>
      <c r="J406" s="2" t="s">
        <v>675</v>
      </c>
      <c r="K406" s="22">
        <v>551770000</v>
      </c>
      <c r="L406" s="2" t="s">
        <v>52</v>
      </c>
      <c r="M406" s="2" t="s">
        <v>1770</v>
      </c>
      <c r="N406" s="2" t="s">
        <v>184</v>
      </c>
      <c r="O406" s="2" t="s">
        <v>4548</v>
      </c>
      <c r="P406" s="22">
        <v>0</v>
      </c>
      <c r="Q406" s="2" t="s">
        <v>4549</v>
      </c>
      <c r="R406" s="2" t="s">
        <v>674</v>
      </c>
      <c r="S406" s="2" t="s">
        <v>54</v>
      </c>
      <c r="T406" s="2" t="s">
        <v>188</v>
      </c>
      <c r="U406" s="2" t="s">
        <v>53</v>
      </c>
      <c r="V406" s="2" t="s">
        <v>2385</v>
      </c>
      <c r="W406" s="22">
        <v>-1.6040000000000001</v>
      </c>
    </row>
    <row r="407" spans="1:23" x14ac:dyDescent="0.2">
      <c r="A407" s="2" t="s">
        <v>1359</v>
      </c>
      <c r="B407" s="2" t="s">
        <v>1362</v>
      </c>
      <c r="C407" s="2" t="s">
        <v>57</v>
      </c>
      <c r="D407" s="2" t="s">
        <v>199</v>
      </c>
      <c r="E407" s="2" t="s">
        <v>3261</v>
      </c>
      <c r="F407" s="2" t="s">
        <v>3262</v>
      </c>
      <c r="G407" s="2" t="s">
        <v>3263</v>
      </c>
      <c r="H407" s="2" t="s">
        <v>54</v>
      </c>
      <c r="I407" s="2" t="s">
        <v>117</v>
      </c>
      <c r="J407" s="2" t="s">
        <v>56</v>
      </c>
      <c r="K407" s="22">
        <v>774753000</v>
      </c>
      <c r="L407" s="2" t="s">
        <v>52</v>
      </c>
      <c r="M407" s="2" t="s">
        <v>1770</v>
      </c>
      <c r="N407" s="2" t="s">
        <v>199</v>
      </c>
      <c r="O407" s="2" t="s">
        <v>4550</v>
      </c>
      <c r="P407" s="22">
        <v>0</v>
      </c>
      <c r="Q407" s="2" t="s">
        <v>4551</v>
      </c>
      <c r="R407" s="2" t="s">
        <v>173</v>
      </c>
      <c r="S407" s="2" t="s">
        <v>174</v>
      </c>
      <c r="T407" s="2" t="s">
        <v>115</v>
      </c>
      <c r="U407" s="2" t="s">
        <v>53</v>
      </c>
      <c r="V407" s="2" t="s">
        <v>3264</v>
      </c>
      <c r="W407" s="22">
        <v>0.14099999999999999</v>
      </c>
    </row>
    <row r="408" spans="1:23" x14ac:dyDescent="0.2">
      <c r="A408" s="2" t="s">
        <v>1359</v>
      </c>
      <c r="B408" s="2" t="s">
        <v>1362</v>
      </c>
      <c r="C408" s="2" t="s">
        <v>57</v>
      </c>
      <c r="D408" s="2" t="s">
        <v>199</v>
      </c>
      <c r="E408" s="2" t="s">
        <v>3265</v>
      </c>
      <c r="F408" s="2" t="s">
        <v>3266</v>
      </c>
      <c r="G408" s="2" t="s">
        <v>3267</v>
      </c>
      <c r="H408" s="2" t="s">
        <v>54</v>
      </c>
      <c r="I408" s="2" t="s">
        <v>117</v>
      </c>
      <c r="J408" s="2" t="s">
        <v>56</v>
      </c>
      <c r="K408" s="22">
        <v>664074000</v>
      </c>
      <c r="L408" s="2" t="s">
        <v>52</v>
      </c>
      <c r="M408" s="2" t="s">
        <v>1770</v>
      </c>
      <c r="N408" s="2" t="s">
        <v>199</v>
      </c>
      <c r="O408" s="2" t="s">
        <v>4550</v>
      </c>
      <c r="P408" s="22">
        <v>1</v>
      </c>
      <c r="Q408" s="2" t="s">
        <v>4552</v>
      </c>
      <c r="R408" s="2" t="s">
        <v>225</v>
      </c>
      <c r="S408" s="2" t="s">
        <v>174</v>
      </c>
      <c r="T408" s="2" t="s">
        <v>115</v>
      </c>
      <c r="U408" s="2" t="s">
        <v>53</v>
      </c>
      <c r="V408" s="2" t="s">
        <v>3268</v>
      </c>
      <c r="W408" s="22">
        <v>1.1120000000000001</v>
      </c>
    </row>
    <row r="409" spans="1:23" x14ac:dyDescent="0.2">
      <c r="A409" s="2" t="s">
        <v>1208</v>
      </c>
      <c r="B409" s="2" t="s">
        <v>1211</v>
      </c>
      <c r="C409" s="2" t="s">
        <v>391</v>
      </c>
      <c r="D409" s="2" t="s">
        <v>367</v>
      </c>
      <c r="E409" s="2" t="s">
        <v>2929</v>
      </c>
      <c r="F409" s="2" t="s">
        <v>2930</v>
      </c>
      <c r="G409" s="2" t="s">
        <v>2931</v>
      </c>
      <c r="H409" s="2" t="s">
        <v>54</v>
      </c>
      <c r="I409" s="2" t="s">
        <v>55</v>
      </c>
      <c r="J409" s="2" t="s">
        <v>70</v>
      </c>
      <c r="K409" s="22">
        <v>180505500</v>
      </c>
      <c r="L409" s="2" t="s">
        <v>52</v>
      </c>
      <c r="M409" s="2" t="s">
        <v>1770</v>
      </c>
      <c r="N409" s="2" t="s">
        <v>367</v>
      </c>
      <c r="O409" s="2" t="s">
        <v>4553</v>
      </c>
      <c r="P409" s="22">
        <v>1.23</v>
      </c>
      <c r="Q409" s="2" t="s">
        <v>4133</v>
      </c>
      <c r="R409" s="2" t="s">
        <v>685</v>
      </c>
      <c r="S409" s="2" t="s">
        <v>54</v>
      </c>
      <c r="T409" s="2" t="s">
        <v>49</v>
      </c>
      <c r="U409" s="2" t="s">
        <v>686</v>
      </c>
      <c r="V409" s="2" t="s">
        <v>2932</v>
      </c>
      <c r="W409" s="2" t="s">
        <v>54</v>
      </c>
    </row>
    <row r="410" spans="1:23" x14ac:dyDescent="0.2">
      <c r="A410" s="2" t="s">
        <v>1224</v>
      </c>
      <c r="B410" s="2" t="s">
        <v>1227</v>
      </c>
      <c r="C410" s="2" t="s">
        <v>57</v>
      </c>
      <c r="D410" s="2" t="s">
        <v>594</v>
      </c>
      <c r="E410" s="2" t="s">
        <v>2818</v>
      </c>
      <c r="F410" s="2" t="s">
        <v>2819</v>
      </c>
      <c r="G410" s="2" t="s">
        <v>2820</v>
      </c>
      <c r="H410" s="2" t="s">
        <v>54</v>
      </c>
      <c r="I410" s="2" t="s">
        <v>55</v>
      </c>
      <c r="J410" s="2" t="s">
        <v>56</v>
      </c>
      <c r="K410" s="22">
        <v>825547500</v>
      </c>
      <c r="L410" s="2" t="s">
        <v>52</v>
      </c>
      <c r="M410" s="2" t="s">
        <v>173</v>
      </c>
      <c r="N410" s="2" t="s">
        <v>594</v>
      </c>
      <c r="O410" s="2" t="s">
        <v>4554</v>
      </c>
      <c r="P410" s="22">
        <v>0.625</v>
      </c>
      <c r="Q410" s="2" t="s">
        <v>4555</v>
      </c>
      <c r="R410" s="2" t="s">
        <v>173</v>
      </c>
      <c r="S410" s="2" t="s">
        <v>174</v>
      </c>
      <c r="T410" s="2" t="s">
        <v>115</v>
      </c>
      <c r="U410" s="2" t="s">
        <v>53</v>
      </c>
      <c r="V410" s="2" t="s">
        <v>2821</v>
      </c>
      <c r="W410" s="22">
        <v>0.68799999999999994</v>
      </c>
    </row>
    <row r="411" spans="1:23" x14ac:dyDescent="0.2">
      <c r="A411" s="2" t="s">
        <v>1132</v>
      </c>
      <c r="B411" s="2" t="s">
        <v>1135</v>
      </c>
      <c r="C411" s="2" t="s">
        <v>57</v>
      </c>
      <c r="D411" s="2" t="s">
        <v>45</v>
      </c>
      <c r="E411" s="2" t="s">
        <v>2610</v>
      </c>
      <c r="F411" s="2" t="s">
        <v>2611</v>
      </c>
      <c r="G411" s="2" t="s">
        <v>2612</v>
      </c>
      <c r="H411" s="2" t="s">
        <v>54</v>
      </c>
      <c r="I411" s="2" t="s">
        <v>420</v>
      </c>
      <c r="J411" s="2" t="s">
        <v>56</v>
      </c>
      <c r="K411" s="22">
        <v>614495000</v>
      </c>
      <c r="L411" s="2" t="s">
        <v>52</v>
      </c>
      <c r="M411" s="2" t="s">
        <v>1770</v>
      </c>
      <c r="N411" s="2" t="s">
        <v>45</v>
      </c>
      <c r="O411" s="2" t="s">
        <v>4556</v>
      </c>
      <c r="P411" s="22">
        <v>1</v>
      </c>
      <c r="Q411" s="2" t="s">
        <v>4557</v>
      </c>
      <c r="R411" s="2" t="s">
        <v>173</v>
      </c>
      <c r="S411" s="2" t="s">
        <v>117</v>
      </c>
      <c r="T411" s="2" t="s">
        <v>115</v>
      </c>
      <c r="U411" s="2" t="s">
        <v>1547</v>
      </c>
      <c r="V411" s="2" t="s">
        <v>2613</v>
      </c>
      <c r="W411" s="22">
        <v>0.86799999999999999</v>
      </c>
    </row>
    <row r="412" spans="1:23" x14ac:dyDescent="0.2">
      <c r="A412" s="2" t="s">
        <v>1132</v>
      </c>
      <c r="B412" s="2" t="s">
        <v>1135</v>
      </c>
      <c r="C412" s="2" t="s">
        <v>57</v>
      </c>
      <c r="D412" s="2" t="s">
        <v>45</v>
      </c>
      <c r="E412" s="2" t="s">
        <v>2614</v>
      </c>
      <c r="F412" s="2" t="s">
        <v>2615</v>
      </c>
      <c r="G412" s="2" t="s">
        <v>2616</v>
      </c>
      <c r="H412" s="2" t="s">
        <v>54</v>
      </c>
      <c r="I412" s="2" t="s">
        <v>420</v>
      </c>
      <c r="J412" s="2" t="s">
        <v>56</v>
      </c>
      <c r="K412" s="22">
        <v>430146500</v>
      </c>
      <c r="L412" s="2" t="s">
        <v>52</v>
      </c>
      <c r="M412" s="2" t="s">
        <v>1770</v>
      </c>
      <c r="N412" s="2" t="s">
        <v>45</v>
      </c>
      <c r="O412" s="2" t="s">
        <v>4556</v>
      </c>
      <c r="P412" s="22">
        <v>1.25</v>
      </c>
      <c r="Q412" s="2" t="s">
        <v>4558</v>
      </c>
      <c r="R412" s="2" t="s">
        <v>173</v>
      </c>
      <c r="S412" s="2" t="s">
        <v>117</v>
      </c>
      <c r="T412" s="2" t="s">
        <v>115</v>
      </c>
      <c r="U412" s="2" t="s">
        <v>1547</v>
      </c>
      <c r="V412" s="2" t="s">
        <v>2617</v>
      </c>
      <c r="W412" s="22">
        <v>1.147</v>
      </c>
    </row>
    <row r="413" spans="1:23" x14ac:dyDescent="0.2">
      <c r="A413" s="2" t="s">
        <v>946</v>
      </c>
      <c r="B413" s="2" t="s">
        <v>949</v>
      </c>
      <c r="C413" s="2" t="s">
        <v>57</v>
      </c>
      <c r="D413" s="2" t="s">
        <v>366</v>
      </c>
      <c r="E413" s="2" t="s">
        <v>2964</v>
      </c>
      <c r="F413" s="2" t="s">
        <v>2965</v>
      </c>
      <c r="G413" s="2" t="s">
        <v>2966</v>
      </c>
      <c r="H413" s="2" t="s">
        <v>54</v>
      </c>
      <c r="I413" s="2" t="s">
        <v>55</v>
      </c>
      <c r="J413" s="2" t="s">
        <v>56</v>
      </c>
      <c r="K413" s="22">
        <v>549140000</v>
      </c>
      <c r="L413" s="2" t="s">
        <v>52</v>
      </c>
      <c r="M413" s="2" t="s">
        <v>1770</v>
      </c>
      <c r="N413" s="2" t="s">
        <v>366</v>
      </c>
      <c r="O413" s="2" t="s">
        <v>4559</v>
      </c>
      <c r="P413" s="22">
        <v>0.375</v>
      </c>
      <c r="Q413" s="2" t="s">
        <v>4560</v>
      </c>
      <c r="R413" s="2" t="s">
        <v>225</v>
      </c>
      <c r="S413" s="2" t="s">
        <v>189</v>
      </c>
      <c r="T413" s="2" t="s">
        <v>115</v>
      </c>
      <c r="U413" s="2" t="s">
        <v>53</v>
      </c>
      <c r="V413" s="2" t="s">
        <v>2967</v>
      </c>
      <c r="W413" s="22">
        <v>0.36</v>
      </c>
    </row>
    <row r="414" spans="1:23" x14ac:dyDescent="0.2">
      <c r="A414" s="2" t="s">
        <v>476</v>
      </c>
      <c r="B414" s="2" t="s">
        <v>479</v>
      </c>
      <c r="C414" s="2" t="s">
        <v>391</v>
      </c>
      <c r="D414" s="2" t="s">
        <v>45</v>
      </c>
      <c r="E414" s="2" t="s">
        <v>2229</v>
      </c>
      <c r="F414" s="2" t="s">
        <v>2230</v>
      </c>
      <c r="G414" s="2" t="s">
        <v>2231</v>
      </c>
      <c r="H414" s="2" t="s">
        <v>54</v>
      </c>
      <c r="I414" s="2" t="s">
        <v>55</v>
      </c>
      <c r="J414" s="2" t="s">
        <v>70</v>
      </c>
      <c r="K414" s="22">
        <v>163546500</v>
      </c>
      <c r="L414" s="2" t="s">
        <v>458</v>
      </c>
      <c r="M414" s="2" t="s">
        <v>173</v>
      </c>
      <c r="N414" s="2" t="s">
        <v>45</v>
      </c>
      <c r="O414" s="2" t="s">
        <v>4556</v>
      </c>
      <c r="P414" s="22">
        <v>0</v>
      </c>
      <c r="Q414" s="2" t="s">
        <v>4561</v>
      </c>
      <c r="R414" s="2" t="s">
        <v>225</v>
      </c>
      <c r="S414" s="2" t="s">
        <v>189</v>
      </c>
      <c r="T414" s="2" t="s">
        <v>49</v>
      </c>
      <c r="U414" s="2" t="s">
        <v>53</v>
      </c>
      <c r="V414" s="2" t="s">
        <v>2232</v>
      </c>
      <c r="W414" s="2" t="s">
        <v>54</v>
      </c>
    </row>
    <row r="415" spans="1:23" x14ac:dyDescent="0.2">
      <c r="A415" s="2" t="s">
        <v>613</v>
      </c>
      <c r="B415" s="2" t="s">
        <v>616</v>
      </c>
      <c r="C415" s="2" t="s">
        <v>57</v>
      </c>
      <c r="D415" s="2" t="s">
        <v>199</v>
      </c>
      <c r="E415" s="2" t="s">
        <v>2540</v>
      </c>
      <c r="F415" s="2" t="s">
        <v>2541</v>
      </c>
      <c r="G415" s="2" t="s">
        <v>2542</v>
      </c>
      <c r="H415" s="2" t="s">
        <v>54</v>
      </c>
      <c r="I415" s="2" t="s">
        <v>117</v>
      </c>
      <c r="J415" s="2" t="s">
        <v>56</v>
      </c>
      <c r="K415" s="22">
        <v>828795000</v>
      </c>
      <c r="L415" s="2" t="s">
        <v>52</v>
      </c>
      <c r="M415" s="2" t="s">
        <v>1770</v>
      </c>
      <c r="N415" s="2" t="s">
        <v>199</v>
      </c>
      <c r="O415" s="2" t="s">
        <v>4562</v>
      </c>
      <c r="P415" s="22">
        <v>1</v>
      </c>
      <c r="Q415" s="2" t="s">
        <v>4563</v>
      </c>
      <c r="R415" s="2" t="s">
        <v>225</v>
      </c>
      <c r="S415" s="2" t="s">
        <v>619</v>
      </c>
      <c r="T415" s="2" t="s">
        <v>49</v>
      </c>
      <c r="U415" s="2" t="s">
        <v>53</v>
      </c>
      <c r="V415" s="2" t="s">
        <v>2543</v>
      </c>
      <c r="W415" s="22">
        <v>1.054</v>
      </c>
    </row>
    <row r="416" spans="1:23" x14ac:dyDescent="0.2">
      <c r="A416" s="2" t="s">
        <v>1066</v>
      </c>
      <c r="B416" s="2" t="s">
        <v>1069</v>
      </c>
      <c r="C416" s="2" t="s">
        <v>57</v>
      </c>
      <c r="D416" s="2" t="s">
        <v>184</v>
      </c>
      <c r="E416" s="2" t="s">
        <v>1857</v>
      </c>
      <c r="F416" s="2" t="s">
        <v>1858</v>
      </c>
      <c r="G416" s="2" t="s">
        <v>1859</v>
      </c>
      <c r="H416" s="2" t="s">
        <v>54</v>
      </c>
      <c r="I416" s="2" t="s">
        <v>55</v>
      </c>
      <c r="J416" s="2" t="s">
        <v>56</v>
      </c>
      <c r="K416" s="22">
        <v>56481500</v>
      </c>
      <c r="L416" s="2" t="s">
        <v>52</v>
      </c>
      <c r="M416" s="2" t="s">
        <v>173</v>
      </c>
      <c r="N416" s="2" t="s">
        <v>184</v>
      </c>
      <c r="O416" s="2" t="s">
        <v>4564</v>
      </c>
      <c r="P416" s="22">
        <v>1.125</v>
      </c>
      <c r="Q416" s="2" t="s">
        <v>4284</v>
      </c>
      <c r="R416" s="2" t="s">
        <v>173</v>
      </c>
      <c r="S416" s="2" t="s">
        <v>54</v>
      </c>
      <c r="T416" s="2" t="s">
        <v>49</v>
      </c>
      <c r="U416" s="2" t="s">
        <v>53</v>
      </c>
      <c r="V416" s="2" t="s">
        <v>1860</v>
      </c>
      <c r="W416" s="2" t="s">
        <v>54</v>
      </c>
    </row>
    <row r="417" spans="1:23" x14ac:dyDescent="0.2">
      <c r="A417" s="2" t="s">
        <v>613</v>
      </c>
      <c r="B417" s="2" t="s">
        <v>616</v>
      </c>
      <c r="C417" s="2" t="s">
        <v>71</v>
      </c>
      <c r="D417" s="2" t="s">
        <v>199</v>
      </c>
      <c r="E417" s="2" t="s">
        <v>2544</v>
      </c>
      <c r="F417" s="2" t="s">
        <v>2545</v>
      </c>
      <c r="G417" s="2" t="s">
        <v>2546</v>
      </c>
      <c r="H417" s="22">
        <v>4.282</v>
      </c>
      <c r="I417" s="2" t="s">
        <v>117</v>
      </c>
      <c r="J417" s="2" t="s">
        <v>56</v>
      </c>
      <c r="K417" s="22">
        <v>1000000000</v>
      </c>
      <c r="L417" s="2" t="s">
        <v>52</v>
      </c>
      <c r="M417" s="2" t="s">
        <v>1775</v>
      </c>
      <c r="N417" s="2" t="s">
        <v>199</v>
      </c>
      <c r="O417" s="2" t="s">
        <v>4565</v>
      </c>
      <c r="P417" s="22">
        <v>4.25</v>
      </c>
      <c r="Q417" s="2" t="s">
        <v>1061</v>
      </c>
      <c r="R417" s="2" t="s">
        <v>261</v>
      </c>
      <c r="S417" s="2" t="s">
        <v>619</v>
      </c>
      <c r="T417" s="2" t="s">
        <v>115</v>
      </c>
      <c r="U417" s="2" t="s">
        <v>262</v>
      </c>
      <c r="V417" s="2" t="s">
        <v>2547</v>
      </c>
      <c r="W417" s="2" t="s">
        <v>54</v>
      </c>
    </row>
    <row r="418" spans="1:23" x14ac:dyDescent="0.2">
      <c r="A418" s="2" t="s">
        <v>613</v>
      </c>
      <c r="B418" s="2" t="s">
        <v>616</v>
      </c>
      <c r="C418" s="2" t="s">
        <v>71</v>
      </c>
      <c r="D418" s="2" t="s">
        <v>199</v>
      </c>
      <c r="E418" s="2" t="s">
        <v>2548</v>
      </c>
      <c r="F418" s="2" t="s">
        <v>2549</v>
      </c>
      <c r="G418" s="2" t="s">
        <v>2550</v>
      </c>
      <c r="H418" s="22">
        <v>4.282</v>
      </c>
      <c r="I418" s="2" t="s">
        <v>117</v>
      </c>
      <c r="J418" s="2" t="s">
        <v>56</v>
      </c>
      <c r="K418" s="22">
        <v>1000000000</v>
      </c>
      <c r="L418" s="2" t="s">
        <v>52</v>
      </c>
      <c r="M418" s="2" t="s">
        <v>1775</v>
      </c>
      <c r="N418" s="2" t="s">
        <v>199</v>
      </c>
      <c r="O418" s="2" t="s">
        <v>4565</v>
      </c>
      <c r="P418" s="22">
        <v>4.25</v>
      </c>
      <c r="Q418" s="2" t="s">
        <v>1061</v>
      </c>
      <c r="R418" s="2" t="s">
        <v>270</v>
      </c>
      <c r="S418" s="2" t="s">
        <v>619</v>
      </c>
      <c r="T418" s="2" t="s">
        <v>115</v>
      </c>
      <c r="U418" s="2" t="s">
        <v>262</v>
      </c>
      <c r="V418" s="2" t="s">
        <v>2551</v>
      </c>
      <c r="W418" s="2" t="s">
        <v>54</v>
      </c>
    </row>
    <row r="419" spans="1:23" x14ac:dyDescent="0.2">
      <c r="A419" s="2" t="s">
        <v>1486</v>
      </c>
      <c r="B419" s="2" t="s">
        <v>1489</v>
      </c>
      <c r="C419" s="2" t="s">
        <v>57</v>
      </c>
      <c r="D419" s="2" t="s">
        <v>184</v>
      </c>
      <c r="E419" s="2" t="s">
        <v>2283</v>
      </c>
      <c r="F419" s="2" t="s">
        <v>2284</v>
      </c>
      <c r="G419" s="2" t="s">
        <v>2285</v>
      </c>
      <c r="H419" s="2" t="s">
        <v>54</v>
      </c>
      <c r="I419" s="2" t="s">
        <v>117</v>
      </c>
      <c r="J419" s="2" t="s">
        <v>56</v>
      </c>
      <c r="K419" s="22">
        <v>560320000</v>
      </c>
      <c r="L419" s="2" t="s">
        <v>52</v>
      </c>
      <c r="M419" s="2" t="s">
        <v>1770</v>
      </c>
      <c r="N419" s="2" t="s">
        <v>184</v>
      </c>
      <c r="O419" s="2" t="s">
        <v>4566</v>
      </c>
      <c r="P419" s="22">
        <v>1</v>
      </c>
      <c r="Q419" s="2" t="s">
        <v>4567</v>
      </c>
      <c r="R419" s="2" t="s">
        <v>225</v>
      </c>
      <c r="S419" s="2" t="s">
        <v>189</v>
      </c>
      <c r="T419" s="2" t="s">
        <v>115</v>
      </c>
      <c r="U419" s="2" t="s">
        <v>53</v>
      </c>
      <c r="V419" s="2" t="s">
        <v>2286</v>
      </c>
      <c r="W419" s="22">
        <v>1.032</v>
      </c>
    </row>
    <row r="420" spans="1:23" x14ac:dyDescent="0.2">
      <c r="A420" s="2" t="s">
        <v>613</v>
      </c>
      <c r="B420" s="2" t="s">
        <v>616</v>
      </c>
      <c r="C420" s="2" t="s">
        <v>71</v>
      </c>
      <c r="D420" s="2" t="s">
        <v>199</v>
      </c>
      <c r="E420" s="2" t="s">
        <v>2552</v>
      </c>
      <c r="F420" s="2" t="s">
        <v>2553</v>
      </c>
      <c r="G420" s="2" t="s">
        <v>2554</v>
      </c>
      <c r="H420" s="22">
        <v>4.282</v>
      </c>
      <c r="I420" s="2" t="s">
        <v>117</v>
      </c>
      <c r="J420" s="2" t="s">
        <v>56</v>
      </c>
      <c r="K420" s="22">
        <v>1000000000</v>
      </c>
      <c r="L420" s="2" t="s">
        <v>52</v>
      </c>
      <c r="M420" s="2" t="s">
        <v>1775</v>
      </c>
      <c r="N420" s="2" t="s">
        <v>199</v>
      </c>
      <c r="O420" s="2" t="s">
        <v>4565</v>
      </c>
      <c r="P420" s="22">
        <v>4.25</v>
      </c>
      <c r="Q420" s="2" t="s">
        <v>1061</v>
      </c>
      <c r="R420" s="2" t="s">
        <v>1333</v>
      </c>
      <c r="S420" s="2" t="s">
        <v>619</v>
      </c>
      <c r="T420" s="2" t="s">
        <v>115</v>
      </c>
      <c r="U420" s="2" t="s">
        <v>262</v>
      </c>
      <c r="V420" s="2" t="s">
        <v>2555</v>
      </c>
      <c r="W420" s="2" t="s">
        <v>54</v>
      </c>
    </row>
    <row r="421" spans="1:23" x14ac:dyDescent="0.2">
      <c r="A421" s="2" t="s">
        <v>1431</v>
      </c>
      <c r="B421" s="2" t="s">
        <v>1434</v>
      </c>
      <c r="C421" s="2" t="s">
        <v>391</v>
      </c>
      <c r="D421" s="2" t="s">
        <v>367</v>
      </c>
      <c r="E421" s="2" t="s">
        <v>1877</v>
      </c>
      <c r="F421" s="2" t="s">
        <v>1878</v>
      </c>
      <c r="G421" s="2" t="s">
        <v>1879</v>
      </c>
      <c r="H421" s="2" t="s">
        <v>54</v>
      </c>
      <c r="I421" s="2" t="s">
        <v>55</v>
      </c>
      <c r="J421" s="2" t="s">
        <v>70</v>
      </c>
      <c r="K421" s="22">
        <v>51782500</v>
      </c>
      <c r="L421" s="2" t="s">
        <v>52</v>
      </c>
      <c r="M421" s="2" t="s">
        <v>173</v>
      </c>
      <c r="N421" s="2" t="s">
        <v>367</v>
      </c>
      <c r="O421" s="2" t="s">
        <v>4568</v>
      </c>
      <c r="P421" s="22">
        <v>0.90600000000000003</v>
      </c>
      <c r="Q421" s="2" t="s">
        <v>4569</v>
      </c>
      <c r="R421" s="2" t="s">
        <v>685</v>
      </c>
      <c r="S421" s="2" t="s">
        <v>54</v>
      </c>
      <c r="T421" s="2" t="s">
        <v>49</v>
      </c>
      <c r="U421" s="2" t="s">
        <v>686</v>
      </c>
      <c r="V421" s="2" t="s">
        <v>1880</v>
      </c>
      <c r="W421" s="22">
        <v>0.874</v>
      </c>
    </row>
    <row r="422" spans="1:23" x14ac:dyDescent="0.2">
      <c r="A422" s="2" t="s">
        <v>1010</v>
      </c>
      <c r="B422" s="2" t="s">
        <v>1013</v>
      </c>
      <c r="C422" s="2" t="s">
        <v>71</v>
      </c>
      <c r="D422" s="2" t="s">
        <v>184</v>
      </c>
      <c r="E422" s="2" t="s">
        <v>3204</v>
      </c>
      <c r="F422" s="2" t="s">
        <v>3205</v>
      </c>
      <c r="G422" s="2" t="s">
        <v>3206</v>
      </c>
      <c r="H422" s="2" t="s">
        <v>54</v>
      </c>
      <c r="I422" s="2" t="s">
        <v>55</v>
      </c>
      <c r="J422" s="2" t="s">
        <v>56</v>
      </c>
      <c r="K422" s="22">
        <v>66942000</v>
      </c>
      <c r="L422" s="2" t="s">
        <v>52</v>
      </c>
      <c r="M422" s="2" t="s">
        <v>173</v>
      </c>
      <c r="N422" s="2" t="s">
        <v>184</v>
      </c>
      <c r="O422" s="2" t="s">
        <v>4570</v>
      </c>
      <c r="P422" s="22">
        <v>2.9</v>
      </c>
      <c r="Q422" s="2" t="s">
        <v>4571</v>
      </c>
      <c r="R422" s="2" t="s">
        <v>173</v>
      </c>
      <c r="S422" s="2" t="s">
        <v>54</v>
      </c>
      <c r="T422" s="2" t="s">
        <v>49</v>
      </c>
      <c r="U422" s="2" t="s">
        <v>53</v>
      </c>
      <c r="V422" s="2" t="s">
        <v>3207</v>
      </c>
      <c r="W422" s="22">
        <v>2.8170000000000002</v>
      </c>
    </row>
    <row r="423" spans="1:23" x14ac:dyDescent="0.2">
      <c r="A423" s="2" t="s">
        <v>754</v>
      </c>
      <c r="B423" s="2" t="s">
        <v>757</v>
      </c>
      <c r="C423" s="2" t="s">
        <v>71</v>
      </c>
      <c r="D423" s="2" t="s">
        <v>258</v>
      </c>
      <c r="E423" s="2" t="s">
        <v>3318</v>
      </c>
      <c r="F423" s="2" t="s">
        <v>3319</v>
      </c>
      <c r="G423" s="2" t="s">
        <v>3320</v>
      </c>
      <c r="H423" s="22">
        <v>5.18</v>
      </c>
      <c r="I423" s="2" t="s">
        <v>55</v>
      </c>
      <c r="J423" s="2" t="s">
        <v>56</v>
      </c>
      <c r="K423" s="22">
        <v>1000000000</v>
      </c>
      <c r="L423" s="2" t="s">
        <v>52</v>
      </c>
      <c r="M423" s="2" t="s">
        <v>1775</v>
      </c>
      <c r="N423" s="2" t="s">
        <v>257</v>
      </c>
      <c r="O423" s="2" t="s">
        <v>4572</v>
      </c>
      <c r="P423" s="22">
        <v>5</v>
      </c>
      <c r="Q423" s="2" t="s">
        <v>4196</v>
      </c>
      <c r="R423" s="2" t="s">
        <v>261</v>
      </c>
      <c r="S423" s="2" t="s">
        <v>496</v>
      </c>
      <c r="T423" s="2" t="s">
        <v>115</v>
      </c>
      <c r="U423" s="2" t="s">
        <v>262</v>
      </c>
      <c r="V423" s="2" t="s">
        <v>3321</v>
      </c>
      <c r="W423" s="22">
        <v>5.2679999999999998</v>
      </c>
    </row>
    <row r="424" spans="1:23" x14ac:dyDescent="0.2">
      <c r="A424" s="2" t="s">
        <v>754</v>
      </c>
      <c r="B424" s="2" t="s">
        <v>757</v>
      </c>
      <c r="C424" s="2" t="s">
        <v>71</v>
      </c>
      <c r="D424" s="2" t="s">
        <v>258</v>
      </c>
      <c r="E424" s="2" t="s">
        <v>3322</v>
      </c>
      <c r="F424" s="2" t="s">
        <v>3323</v>
      </c>
      <c r="G424" s="2" t="s">
        <v>3324</v>
      </c>
      <c r="H424" s="22">
        <v>5.18</v>
      </c>
      <c r="I424" s="2" t="s">
        <v>55</v>
      </c>
      <c r="J424" s="2" t="s">
        <v>56</v>
      </c>
      <c r="K424" s="22">
        <v>1000000000</v>
      </c>
      <c r="L424" s="2" t="s">
        <v>52</v>
      </c>
      <c r="M424" s="2" t="s">
        <v>1775</v>
      </c>
      <c r="N424" s="2" t="s">
        <v>257</v>
      </c>
      <c r="O424" s="2" t="s">
        <v>4572</v>
      </c>
      <c r="P424" s="22">
        <v>5</v>
      </c>
      <c r="Q424" s="2" t="s">
        <v>4196</v>
      </c>
      <c r="R424" s="2" t="s">
        <v>270</v>
      </c>
      <c r="S424" s="2" t="s">
        <v>496</v>
      </c>
      <c r="T424" s="2" t="s">
        <v>115</v>
      </c>
      <c r="U424" s="2" t="s">
        <v>262</v>
      </c>
      <c r="V424" s="2" t="s">
        <v>3325</v>
      </c>
      <c r="W424" s="22">
        <v>5.2709999999999999</v>
      </c>
    </row>
    <row r="425" spans="1:23" x14ac:dyDescent="0.2">
      <c r="A425" s="2" t="s">
        <v>476</v>
      </c>
      <c r="B425" s="2" t="s">
        <v>479</v>
      </c>
      <c r="C425" s="2" t="s">
        <v>57</v>
      </c>
      <c r="D425" s="2" t="s">
        <v>45</v>
      </c>
      <c r="E425" s="2" t="s">
        <v>2233</v>
      </c>
      <c r="F425" s="2" t="s">
        <v>2234</v>
      </c>
      <c r="G425" s="2" t="s">
        <v>2235</v>
      </c>
      <c r="H425" s="2" t="s">
        <v>54</v>
      </c>
      <c r="I425" s="2" t="s">
        <v>55</v>
      </c>
      <c r="J425" s="2" t="s">
        <v>56</v>
      </c>
      <c r="K425" s="22">
        <v>556690000</v>
      </c>
      <c r="L425" s="2" t="s">
        <v>458</v>
      </c>
      <c r="M425" s="2" t="s">
        <v>173</v>
      </c>
      <c r="N425" s="2" t="s">
        <v>45</v>
      </c>
      <c r="O425" s="2" t="s">
        <v>4572</v>
      </c>
      <c r="P425" s="22">
        <v>0.375</v>
      </c>
      <c r="Q425" s="2" t="s">
        <v>4573</v>
      </c>
      <c r="R425" s="2" t="s">
        <v>173</v>
      </c>
      <c r="S425" s="2" t="s">
        <v>189</v>
      </c>
      <c r="T425" s="2" t="s">
        <v>49</v>
      </c>
      <c r="U425" s="2" t="s">
        <v>53</v>
      </c>
      <c r="V425" s="2" t="s">
        <v>2236</v>
      </c>
      <c r="W425" s="22">
        <v>0.317</v>
      </c>
    </row>
    <row r="426" spans="1:23" x14ac:dyDescent="0.2">
      <c r="A426" s="2" t="s">
        <v>1359</v>
      </c>
      <c r="B426" s="2" t="s">
        <v>1362</v>
      </c>
      <c r="C426" s="2" t="s">
        <v>57</v>
      </c>
      <c r="D426" s="2" t="s">
        <v>199</v>
      </c>
      <c r="E426" s="2" t="s">
        <v>3269</v>
      </c>
      <c r="F426" s="2" t="s">
        <v>3270</v>
      </c>
      <c r="G426" s="2" t="s">
        <v>3271</v>
      </c>
      <c r="H426" s="2" t="s">
        <v>54</v>
      </c>
      <c r="I426" s="2" t="s">
        <v>117</v>
      </c>
      <c r="J426" s="2" t="s">
        <v>56</v>
      </c>
      <c r="K426" s="22">
        <v>283500000</v>
      </c>
      <c r="L426" s="2" t="s">
        <v>52</v>
      </c>
      <c r="M426" s="2" t="s">
        <v>1770</v>
      </c>
      <c r="N426" s="2" t="s">
        <v>199</v>
      </c>
      <c r="O426" s="2" t="s">
        <v>4574</v>
      </c>
      <c r="P426" s="22">
        <v>1.625</v>
      </c>
      <c r="Q426" s="2" t="s">
        <v>4575</v>
      </c>
      <c r="R426" s="2" t="s">
        <v>225</v>
      </c>
      <c r="S426" s="2" t="s">
        <v>174</v>
      </c>
      <c r="T426" s="2" t="s">
        <v>115</v>
      </c>
      <c r="U426" s="2" t="s">
        <v>53</v>
      </c>
      <c r="V426" s="2" t="s">
        <v>3272</v>
      </c>
      <c r="W426" s="22">
        <v>1.4830000000000001</v>
      </c>
    </row>
    <row r="427" spans="1:23" x14ac:dyDescent="0.2">
      <c r="A427" s="2" t="s">
        <v>1335</v>
      </c>
      <c r="B427" s="2" t="s">
        <v>1338</v>
      </c>
      <c r="C427" s="2" t="s">
        <v>57</v>
      </c>
      <c r="D427" s="2" t="s">
        <v>1339</v>
      </c>
      <c r="E427" s="2" t="s">
        <v>2357</v>
      </c>
      <c r="F427" s="2" t="s">
        <v>2358</v>
      </c>
      <c r="G427" s="2" t="s">
        <v>2359</v>
      </c>
      <c r="H427" s="2" t="s">
        <v>54</v>
      </c>
      <c r="I427" s="2" t="s">
        <v>55</v>
      </c>
      <c r="J427" s="2" t="s">
        <v>56</v>
      </c>
      <c r="K427" s="22">
        <v>36096650</v>
      </c>
      <c r="L427" s="2" t="s">
        <v>52</v>
      </c>
      <c r="M427" s="2" t="s">
        <v>173</v>
      </c>
      <c r="N427" s="2" t="s">
        <v>169</v>
      </c>
      <c r="O427" s="2" t="s">
        <v>4576</v>
      </c>
      <c r="P427" s="22">
        <v>4.45</v>
      </c>
      <c r="Q427" s="2" t="s">
        <v>4577</v>
      </c>
      <c r="R427" s="2" t="s">
        <v>225</v>
      </c>
      <c r="S427" s="2" t="s">
        <v>174</v>
      </c>
      <c r="T427" s="2" t="s">
        <v>49</v>
      </c>
      <c r="U427" s="2" t="s">
        <v>2330</v>
      </c>
      <c r="V427" s="2" t="s">
        <v>2360</v>
      </c>
      <c r="W427" s="2" t="s">
        <v>54</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79"/>
  <sheetViews>
    <sheetView workbookViewId="0"/>
  </sheetViews>
  <sheetFormatPr baseColWidth="10" defaultColWidth="14.5" defaultRowHeight="15" customHeight="1" x14ac:dyDescent="0.2"/>
  <sheetData>
    <row r="1" spans="1:19" x14ac:dyDescent="0.2">
      <c r="A1" s="1" t="s">
        <v>4578</v>
      </c>
      <c r="B1" s="1" t="s">
        <v>5</v>
      </c>
      <c r="C1" s="1" t="s">
        <v>4579</v>
      </c>
      <c r="D1" s="1" t="s">
        <v>11</v>
      </c>
      <c r="E1" s="1" t="s">
        <v>10</v>
      </c>
      <c r="F1" s="1" t="s">
        <v>2</v>
      </c>
      <c r="G1" s="1" t="s">
        <v>4580</v>
      </c>
      <c r="H1" s="1" t="s">
        <v>4581</v>
      </c>
      <c r="I1" s="1" t="s">
        <v>4582</v>
      </c>
      <c r="J1" s="1" t="s">
        <v>4583</v>
      </c>
      <c r="K1" s="1" t="s">
        <v>4584</v>
      </c>
      <c r="L1" s="1" t="s">
        <v>20</v>
      </c>
      <c r="M1" s="1" t="s">
        <v>4585</v>
      </c>
      <c r="N1" s="1" t="s">
        <v>4586</v>
      </c>
      <c r="O1" s="1" t="s">
        <v>4587</v>
      </c>
      <c r="P1" s="1" t="s">
        <v>4588</v>
      </c>
      <c r="Q1" s="1" t="s">
        <v>4589</v>
      </c>
      <c r="R1" s="1" t="s">
        <v>4590</v>
      </c>
      <c r="S1" s="2" t="s">
        <v>4591</v>
      </c>
    </row>
    <row r="2" spans="1:19" x14ac:dyDescent="0.2">
      <c r="A2" s="2" t="s">
        <v>335</v>
      </c>
      <c r="B2" s="2" t="s">
        <v>4592</v>
      </c>
      <c r="C2" s="2" t="s">
        <v>4593</v>
      </c>
      <c r="D2" s="2"/>
      <c r="E2" s="2" t="s">
        <v>339</v>
      </c>
      <c r="F2" s="2" t="s">
        <v>3557</v>
      </c>
      <c r="G2" s="2" t="s">
        <v>4594</v>
      </c>
      <c r="H2" s="2" t="s">
        <v>4595</v>
      </c>
      <c r="I2" s="2" t="s">
        <v>4596</v>
      </c>
      <c r="J2" s="2" t="s">
        <v>60</v>
      </c>
      <c r="K2" s="2" t="s">
        <v>4597</v>
      </c>
      <c r="L2" s="2" t="s">
        <v>4598</v>
      </c>
      <c r="M2" s="20" t="s">
        <v>4599</v>
      </c>
      <c r="N2" s="2"/>
      <c r="O2" s="2" t="s">
        <v>4600</v>
      </c>
      <c r="P2" s="22">
        <v>44299</v>
      </c>
      <c r="Q2" s="22">
        <v>3.121</v>
      </c>
      <c r="R2" s="22">
        <v>-49</v>
      </c>
      <c r="S2" s="2" t="str">
        <f t="shared" ref="S2:S179" si="0">IF(R2&lt;&gt;0,"",Q2)</f>
        <v/>
      </c>
    </row>
    <row r="3" spans="1:19" x14ac:dyDescent="0.2">
      <c r="A3" s="2" t="s">
        <v>528</v>
      </c>
      <c r="B3" s="2" t="s">
        <v>4601</v>
      </c>
      <c r="C3" s="2" t="s">
        <v>4602</v>
      </c>
      <c r="D3" s="2"/>
      <c r="E3" s="2" t="s">
        <v>552</v>
      </c>
      <c r="F3" s="2" t="s">
        <v>3617</v>
      </c>
      <c r="G3" s="2" t="s">
        <v>4603</v>
      </c>
      <c r="H3" s="2" t="s">
        <v>4595</v>
      </c>
      <c r="I3" s="2" t="s">
        <v>4604</v>
      </c>
      <c r="J3" s="2" t="s">
        <v>60</v>
      </c>
      <c r="K3" s="2" t="s">
        <v>4597</v>
      </c>
      <c r="L3" s="2" t="s">
        <v>4605</v>
      </c>
      <c r="M3" s="20" t="s">
        <v>4606</v>
      </c>
      <c r="N3" s="2"/>
      <c r="O3" s="2" t="s">
        <v>4607</v>
      </c>
      <c r="P3" s="22">
        <v>44365</v>
      </c>
      <c r="Q3" s="22">
        <v>5.5860000000000003</v>
      </c>
      <c r="R3" s="22">
        <v>0</v>
      </c>
      <c r="S3" s="2">
        <f t="shared" si="0"/>
        <v>5.5860000000000003</v>
      </c>
    </row>
    <row r="4" spans="1:19" x14ac:dyDescent="0.2">
      <c r="A4" s="2" t="s">
        <v>4608</v>
      </c>
      <c r="B4" s="2" t="s">
        <v>4609</v>
      </c>
      <c r="C4" s="2" t="s">
        <v>4610</v>
      </c>
      <c r="D4" s="2" t="s">
        <v>1693</v>
      </c>
      <c r="E4" s="2" t="s">
        <v>1692</v>
      </c>
      <c r="F4" s="2" t="s">
        <v>3954</v>
      </c>
      <c r="G4" s="2" t="s">
        <v>4611</v>
      </c>
      <c r="H4" s="2" t="s">
        <v>4595</v>
      </c>
      <c r="I4" s="2" t="s">
        <v>4612</v>
      </c>
      <c r="J4" s="2" t="s">
        <v>60</v>
      </c>
      <c r="K4" s="2" t="s">
        <v>4613</v>
      </c>
      <c r="L4" s="2" t="s">
        <v>4614</v>
      </c>
      <c r="M4" s="2" t="s">
        <v>4615</v>
      </c>
      <c r="N4" s="2" t="s">
        <v>4616</v>
      </c>
      <c r="O4" s="2" t="s">
        <v>4617</v>
      </c>
      <c r="P4" s="22">
        <v>43755</v>
      </c>
      <c r="Q4" s="22">
        <v>0.19600000000000001</v>
      </c>
      <c r="R4" s="22">
        <v>0</v>
      </c>
      <c r="S4" s="2">
        <f t="shared" si="0"/>
        <v>0.19600000000000001</v>
      </c>
    </row>
    <row r="5" spans="1:19" x14ac:dyDescent="0.2">
      <c r="A5" s="2" t="s">
        <v>4608</v>
      </c>
      <c r="B5" s="2" t="s">
        <v>4609</v>
      </c>
      <c r="C5" s="2" t="s">
        <v>4618</v>
      </c>
      <c r="D5" s="2" t="s">
        <v>1738</v>
      </c>
      <c r="E5" s="2" t="s">
        <v>1737</v>
      </c>
      <c r="F5" s="2" t="s">
        <v>3967</v>
      </c>
      <c r="G5" s="2" t="s">
        <v>4619</v>
      </c>
      <c r="H5" s="2" t="s">
        <v>4620</v>
      </c>
      <c r="I5" s="2" t="s">
        <v>4621</v>
      </c>
      <c r="J5" s="2" t="s">
        <v>60</v>
      </c>
      <c r="K5" s="2" t="s">
        <v>4622</v>
      </c>
      <c r="L5" s="2" t="s">
        <v>4614</v>
      </c>
      <c r="M5" s="2" t="s">
        <v>4623</v>
      </c>
      <c r="N5" s="2" t="s">
        <v>4616</v>
      </c>
      <c r="O5" s="2" t="s">
        <v>4624</v>
      </c>
      <c r="P5" s="22">
        <v>43718</v>
      </c>
      <c r="Q5" s="22">
        <v>2.673</v>
      </c>
      <c r="R5" s="22">
        <v>0</v>
      </c>
      <c r="S5" s="2">
        <f t="shared" si="0"/>
        <v>2.673</v>
      </c>
    </row>
    <row r="6" spans="1:19" x14ac:dyDescent="0.2">
      <c r="A6" s="2" t="s">
        <v>4608</v>
      </c>
      <c r="B6" s="2" t="s">
        <v>4609</v>
      </c>
      <c r="C6" s="2" t="s">
        <v>4618</v>
      </c>
      <c r="D6" s="2" t="s">
        <v>1738</v>
      </c>
      <c r="E6" s="2" t="s">
        <v>1737</v>
      </c>
      <c r="F6" s="2" t="s">
        <v>3969</v>
      </c>
      <c r="G6" s="2" t="s">
        <v>4625</v>
      </c>
      <c r="H6" s="2" t="s">
        <v>4620</v>
      </c>
      <c r="I6" s="2" t="s">
        <v>4612</v>
      </c>
      <c r="J6" s="2" t="s">
        <v>60</v>
      </c>
      <c r="K6" s="2" t="s">
        <v>4622</v>
      </c>
      <c r="L6" s="2" t="s">
        <v>4614</v>
      </c>
      <c r="M6" s="2" t="s">
        <v>4623</v>
      </c>
      <c r="N6" s="2" t="s">
        <v>4616</v>
      </c>
      <c r="O6" s="2" t="s">
        <v>4626</v>
      </c>
      <c r="P6" s="22">
        <v>43724</v>
      </c>
      <c r="Q6" s="22">
        <v>2.7069999999999999</v>
      </c>
      <c r="R6" s="22">
        <v>-6</v>
      </c>
      <c r="S6" s="2" t="str">
        <f t="shared" si="0"/>
        <v/>
      </c>
    </row>
    <row r="7" spans="1:19" x14ac:dyDescent="0.2">
      <c r="A7" s="2" t="s">
        <v>1276</v>
      </c>
      <c r="B7" s="2" t="s">
        <v>4627</v>
      </c>
      <c r="C7" s="2" t="s">
        <v>4628</v>
      </c>
      <c r="D7" s="2" t="s">
        <v>1281</v>
      </c>
      <c r="E7" s="2" t="s">
        <v>1280</v>
      </c>
      <c r="F7" s="2" t="s">
        <v>3835</v>
      </c>
      <c r="G7" s="2" t="s">
        <v>4629</v>
      </c>
      <c r="H7" s="2" t="s">
        <v>4630</v>
      </c>
      <c r="I7" s="2" t="s">
        <v>4631</v>
      </c>
      <c r="J7" s="2" t="s">
        <v>60</v>
      </c>
      <c r="K7" s="2" t="s">
        <v>4613</v>
      </c>
      <c r="L7" s="2" t="s">
        <v>4632</v>
      </c>
      <c r="M7" s="20" t="s">
        <v>4633</v>
      </c>
      <c r="N7" s="2"/>
      <c r="O7" s="2" t="s">
        <v>4600</v>
      </c>
      <c r="P7" s="61" t="e">
        <v>#N/A</v>
      </c>
      <c r="Q7" s="2"/>
      <c r="R7" s="61" t="e">
        <v>#N/A</v>
      </c>
      <c r="S7" s="2" t="e">
        <f t="shared" si="0"/>
        <v>#N/A</v>
      </c>
    </row>
    <row r="8" spans="1:19" x14ac:dyDescent="0.2">
      <c r="A8" s="2" t="s">
        <v>4634</v>
      </c>
      <c r="B8" s="2" t="s">
        <v>4635</v>
      </c>
      <c r="C8" s="2" t="s">
        <v>4593</v>
      </c>
      <c r="D8" s="2" t="s">
        <v>360</v>
      </c>
      <c r="E8" s="2" t="s">
        <v>359</v>
      </c>
      <c r="F8" s="2" t="s">
        <v>3563</v>
      </c>
      <c r="G8" s="2" t="s">
        <v>4636</v>
      </c>
      <c r="H8" s="2" t="s">
        <v>4595</v>
      </c>
      <c r="I8" s="2" t="s">
        <v>4637</v>
      </c>
      <c r="J8" s="2" t="s">
        <v>60</v>
      </c>
      <c r="K8" s="2" t="s">
        <v>4613</v>
      </c>
      <c r="L8" s="2" t="s">
        <v>4638</v>
      </c>
      <c r="M8" s="20" t="s">
        <v>4639</v>
      </c>
      <c r="N8" s="2"/>
      <c r="O8" s="2" t="s">
        <v>4600</v>
      </c>
      <c r="P8" s="61" t="e">
        <v>#N/A</v>
      </c>
      <c r="Q8" s="2"/>
      <c r="R8" s="61" t="e">
        <v>#N/A</v>
      </c>
      <c r="S8" s="2" t="e">
        <f t="shared" si="0"/>
        <v>#N/A</v>
      </c>
    </row>
    <row r="9" spans="1:19" x14ac:dyDescent="0.2">
      <c r="A9" s="2" t="s">
        <v>4640</v>
      </c>
      <c r="B9" s="2" t="s">
        <v>4641</v>
      </c>
      <c r="C9" s="2" t="s">
        <v>4642</v>
      </c>
      <c r="D9" s="2" t="s">
        <v>608</v>
      </c>
      <c r="E9" s="2" t="s">
        <v>607</v>
      </c>
      <c r="F9" s="2" t="s">
        <v>3631</v>
      </c>
      <c r="G9" s="2" t="s">
        <v>4643</v>
      </c>
      <c r="H9" s="2" t="s">
        <v>4644</v>
      </c>
      <c r="I9" s="2" t="s">
        <v>4645</v>
      </c>
      <c r="J9" s="2" t="s">
        <v>60</v>
      </c>
      <c r="K9" s="2" t="s">
        <v>4613</v>
      </c>
      <c r="L9" s="2" t="s">
        <v>4632</v>
      </c>
      <c r="M9" s="20" t="s">
        <v>4646</v>
      </c>
      <c r="N9" s="2"/>
      <c r="O9" s="2" t="s">
        <v>4600</v>
      </c>
      <c r="P9" s="22">
        <v>44358</v>
      </c>
      <c r="Q9" s="22">
        <v>5.3419999999999996</v>
      </c>
      <c r="R9" s="22">
        <v>-2</v>
      </c>
      <c r="S9" s="2" t="str">
        <f t="shared" si="0"/>
        <v/>
      </c>
    </row>
    <row r="10" spans="1:19" x14ac:dyDescent="0.2">
      <c r="A10" s="2" t="s">
        <v>4647</v>
      </c>
      <c r="B10" s="2" t="s">
        <v>4648</v>
      </c>
      <c r="C10" s="2" t="s">
        <v>4649</v>
      </c>
      <c r="D10" s="2" t="s">
        <v>844</v>
      </c>
      <c r="E10" s="2" t="s">
        <v>843</v>
      </c>
      <c r="F10" s="2" t="s">
        <v>3706</v>
      </c>
      <c r="G10" s="2" t="s">
        <v>4650</v>
      </c>
      <c r="H10" s="2" t="s">
        <v>4595</v>
      </c>
      <c r="I10" s="2" t="s">
        <v>4612</v>
      </c>
      <c r="J10" s="2" t="s">
        <v>60</v>
      </c>
      <c r="K10" s="2" t="s">
        <v>4622</v>
      </c>
      <c r="L10" s="2" t="s">
        <v>4614</v>
      </c>
      <c r="M10" s="2" t="s">
        <v>4651</v>
      </c>
      <c r="N10" s="2" t="s">
        <v>4616</v>
      </c>
      <c r="O10" s="2" t="s">
        <v>4652</v>
      </c>
      <c r="P10" s="22">
        <v>44455</v>
      </c>
      <c r="Q10" s="22">
        <v>0.03</v>
      </c>
      <c r="R10" s="22">
        <v>0</v>
      </c>
      <c r="S10" s="2">
        <f t="shared" si="0"/>
        <v>0.03</v>
      </c>
    </row>
    <row r="11" spans="1:19" x14ac:dyDescent="0.2">
      <c r="A11" s="2" t="s">
        <v>108</v>
      </c>
      <c r="B11" s="2" t="s">
        <v>4653</v>
      </c>
      <c r="C11" s="2" t="s">
        <v>4654</v>
      </c>
      <c r="D11" s="2" t="s">
        <v>114</v>
      </c>
      <c r="E11" s="2" t="s">
        <v>113</v>
      </c>
      <c r="F11" s="2" t="s">
        <v>3513</v>
      </c>
      <c r="G11" s="2" t="s">
        <v>4655</v>
      </c>
      <c r="H11" s="2" t="s">
        <v>4656</v>
      </c>
      <c r="I11" s="2" t="s">
        <v>4657</v>
      </c>
      <c r="J11" s="2" t="s">
        <v>60</v>
      </c>
      <c r="K11" s="2" t="s">
        <v>4613</v>
      </c>
      <c r="L11" s="2" t="s">
        <v>4632</v>
      </c>
      <c r="M11" s="20" t="s">
        <v>4658</v>
      </c>
      <c r="N11" s="2"/>
      <c r="O11" s="2" t="s">
        <v>4659</v>
      </c>
      <c r="P11" s="22">
        <v>44292</v>
      </c>
      <c r="Q11" s="22">
        <v>0.95299999999999996</v>
      </c>
      <c r="R11" s="22">
        <v>-158</v>
      </c>
      <c r="S11" s="2" t="str">
        <f t="shared" si="0"/>
        <v/>
      </c>
    </row>
    <row r="12" spans="1:19" x14ac:dyDescent="0.2">
      <c r="A12" s="2" t="s">
        <v>1018</v>
      </c>
      <c r="B12" s="2" t="s">
        <v>4660</v>
      </c>
      <c r="C12" s="2" t="s">
        <v>4661</v>
      </c>
      <c r="D12" s="2" t="s">
        <v>1022</v>
      </c>
      <c r="E12" s="2" t="s">
        <v>1014</v>
      </c>
      <c r="F12" s="2" t="s">
        <v>3758</v>
      </c>
      <c r="G12" s="2" t="s">
        <v>4662</v>
      </c>
      <c r="H12" s="2" t="s">
        <v>4630</v>
      </c>
      <c r="I12" s="2" t="s">
        <v>4631</v>
      </c>
      <c r="J12" s="2" t="s">
        <v>60</v>
      </c>
      <c r="K12" s="2" t="s">
        <v>4613</v>
      </c>
      <c r="L12" s="2" t="s">
        <v>4632</v>
      </c>
      <c r="M12" s="20" t="s">
        <v>4663</v>
      </c>
      <c r="N12" s="2"/>
      <c r="O12" s="2" t="s">
        <v>4664</v>
      </c>
      <c r="P12" s="22">
        <v>44683</v>
      </c>
      <c r="Q12" s="22">
        <v>7.8630000000000004</v>
      </c>
      <c r="R12" s="22">
        <v>-179</v>
      </c>
      <c r="S12" s="2" t="str">
        <f t="shared" si="0"/>
        <v/>
      </c>
    </row>
    <row r="13" spans="1:19" x14ac:dyDescent="0.2">
      <c r="A13" s="2" t="s">
        <v>4608</v>
      </c>
      <c r="B13" s="2" t="s">
        <v>4609</v>
      </c>
      <c r="C13" s="2" t="s">
        <v>4665</v>
      </c>
      <c r="D13" s="2" t="s">
        <v>1347</v>
      </c>
      <c r="E13" s="2" t="s">
        <v>1346</v>
      </c>
      <c r="F13" s="2" t="s">
        <v>3856</v>
      </c>
      <c r="G13" s="2" t="s">
        <v>4666</v>
      </c>
      <c r="H13" s="2" t="s">
        <v>4595</v>
      </c>
      <c r="I13" s="2" t="s">
        <v>4612</v>
      </c>
      <c r="J13" s="2" t="s">
        <v>60</v>
      </c>
      <c r="K13" s="2" t="s">
        <v>4622</v>
      </c>
      <c r="L13" s="2" t="s">
        <v>4614</v>
      </c>
      <c r="M13" s="2" t="s">
        <v>4667</v>
      </c>
      <c r="N13" s="2" t="s">
        <v>4616</v>
      </c>
      <c r="O13" s="2" t="s">
        <v>4668</v>
      </c>
      <c r="P13" s="22">
        <v>44578</v>
      </c>
      <c r="Q13" s="22">
        <v>0.222</v>
      </c>
      <c r="R13" s="22">
        <v>0</v>
      </c>
      <c r="S13" s="2">
        <f t="shared" si="0"/>
        <v>0.222</v>
      </c>
    </row>
    <row r="14" spans="1:19" x14ac:dyDescent="0.2">
      <c r="A14" s="2" t="s">
        <v>4669</v>
      </c>
      <c r="B14" s="2" t="s">
        <v>4670</v>
      </c>
      <c r="C14" s="2" t="s">
        <v>4671</v>
      </c>
      <c r="D14" s="2" t="s">
        <v>211</v>
      </c>
      <c r="E14" s="2" t="s">
        <v>210</v>
      </c>
      <c r="F14" s="2" t="s">
        <v>3528</v>
      </c>
      <c r="G14" s="2" t="s">
        <v>4672</v>
      </c>
      <c r="H14" s="2" t="s">
        <v>4656</v>
      </c>
      <c r="I14" s="2" t="s">
        <v>4657</v>
      </c>
      <c r="J14" s="2" t="s">
        <v>60</v>
      </c>
      <c r="K14" s="2" t="s">
        <v>4613</v>
      </c>
      <c r="L14" s="2" t="s">
        <v>4632</v>
      </c>
      <c r="M14" s="2" t="s">
        <v>4658</v>
      </c>
      <c r="N14" s="2" t="s">
        <v>4616</v>
      </c>
      <c r="O14" s="2" t="s">
        <v>4673</v>
      </c>
      <c r="P14" s="22">
        <v>44203</v>
      </c>
      <c r="Q14" s="22">
        <v>1.032</v>
      </c>
      <c r="R14" s="22">
        <v>-16</v>
      </c>
      <c r="S14" s="2" t="str">
        <f t="shared" si="0"/>
        <v/>
      </c>
    </row>
    <row r="15" spans="1:19" x14ac:dyDescent="0.2">
      <c r="A15" s="2" t="s">
        <v>4674</v>
      </c>
      <c r="B15" s="2" t="s">
        <v>4675</v>
      </c>
      <c r="C15" s="2" t="s">
        <v>4676</v>
      </c>
      <c r="D15" s="2" t="s">
        <v>409</v>
      </c>
      <c r="E15" s="2" t="s">
        <v>408</v>
      </c>
      <c r="F15" s="2" t="s">
        <v>3575</v>
      </c>
      <c r="G15" s="2" t="s">
        <v>4677</v>
      </c>
      <c r="H15" s="2" t="s">
        <v>4595</v>
      </c>
      <c r="I15" s="2" t="s">
        <v>4612</v>
      </c>
      <c r="J15" s="2" t="s">
        <v>60</v>
      </c>
      <c r="K15" s="2" t="s">
        <v>4622</v>
      </c>
      <c r="L15" s="2" t="s">
        <v>4614</v>
      </c>
      <c r="M15" s="2" t="s">
        <v>4678</v>
      </c>
      <c r="N15" s="2" t="s">
        <v>4679</v>
      </c>
      <c r="O15" s="2" t="s">
        <v>4680</v>
      </c>
      <c r="P15" s="22">
        <v>44273</v>
      </c>
      <c r="Q15" s="22">
        <v>3.335</v>
      </c>
      <c r="R15" s="22">
        <v>0</v>
      </c>
      <c r="S15" s="2">
        <f t="shared" si="0"/>
        <v>3.335</v>
      </c>
    </row>
    <row r="16" spans="1:19" x14ac:dyDescent="0.2">
      <c r="A16" s="2" t="s">
        <v>452</v>
      </c>
      <c r="B16" s="2" t="s">
        <v>4681</v>
      </c>
      <c r="C16" s="2" t="s">
        <v>4682</v>
      </c>
      <c r="D16" s="2" t="s">
        <v>457</v>
      </c>
      <c r="E16" s="2" t="s">
        <v>456</v>
      </c>
      <c r="F16" s="2" t="s">
        <v>3591</v>
      </c>
      <c r="G16" s="2" t="s">
        <v>4683</v>
      </c>
      <c r="H16" s="2" t="s">
        <v>4595</v>
      </c>
      <c r="I16" s="2" t="s">
        <v>4612</v>
      </c>
      <c r="J16" s="2" t="s">
        <v>60</v>
      </c>
      <c r="K16" s="2" t="s">
        <v>4622</v>
      </c>
      <c r="L16" s="2" t="s">
        <v>4614</v>
      </c>
      <c r="M16" s="2" t="s">
        <v>4684</v>
      </c>
      <c r="N16" s="2" t="s">
        <v>4679</v>
      </c>
      <c r="O16" s="2" t="s">
        <v>4685</v>
      </c>
      <c r="P16" s="22">
        <v>44308</v>
      </c>
      <c r="Q16" s="22">
        <v>4.5510000000000002</v>
      </c>
      <c r="R16" s="22">
        <v>0</v>
      </c>
      <c r="S16" s="2">
        <f t="shared" si="0"/>
        <v>4.5510000000000002</v>
      </c>
    </row>
    <row r="17" spans="1:19" x14ac:dyDescent="0.2">
      <c r="A17" s="2" t="s">
        <v>452</v>
      </c>
      <c r="B17" s="2" t="s">
        <v>4681</v>
      </c>
      <c r="C17" s="2" t="s">
        <v>4682</v>
      </c>
      <c r="D17" s="2" t="s">
        <v>457</v>
      </c>
      <c r="E17" s="2" t="s">
        <v>456</v>
      </c>
      <c r="F17" s="2" t="s">
        <v>3593</v>
      </c>
      <c r="G17" s="2" t="s">
        <v>4686</v>
      </c>
      <c r="H17" s="2" t="s">
        <v>4595</v>
      </c>
      <c r="I17" s="2" t="s">
        <v>4612</v>
      </c>
      <c r="J17" s="2" t="s">
        <v>60</v>
      </c>
      <c r="K17" s="2" t="s">
        <v>4622</v>
      </c>
      <c r="L17" s="2" t="s">
        <v>4632</v>
      </c>
      <c r="M17" s="2" t="s">
        <v>4687</v>
      </c>
      <c r="N17" s="2" t="s">
        <v>4679</v>
      </c>
      <c r="O17" s="2" t="s">
        <v>4688</v>
      </c>
      <c r="P17" s="22">
        <v>44308</v>
      </c>
      <c r="Q17" s="22">
        <v>4.2830000000000004</v>
      </c>
      <c r="R17" s="22">
        <v>0</v>
      </c>
      <c r="S17" s="2">
        <f t="shared" si="0"/>
        <v>4.2830000000000004</v>
      </c>
    </row>
    <row r="18" spans="1:19" x14ac:dyDescent="0.2">
      <c r="A18" s="2" t="s">
        <v>452</v>
      </c>
      <c r="B18" s="2" t="s">
        <v>4681</v>
      </c>
      <c r="C18" s="2" t="s">
        <v>4682</v>
      </c>
      <c r="D18" s="2" t="s">
        <v>457</v>
      </c>
      <c r="E18" s="2" t="s">
        <v>456</v>
      </c>
      <c r="F18" s="2" t="s">
        <v>3587</v>
      </c>
      <c r="G18" s="2" t="s">
        <v>4689</v>
      </c>
      <c r="H18" s="2" t="s">
        <v>4595</v>
      </c>
      <c r="I18" s="2" t="s">
        <v>4621</v>
      </c>
      <c r="J18" s="2" t="s">
        <v>60</v>
      </c>
      <c r="K18" s="2" t="s">
        <v>4622</v>
      </c>
      <c r="L18" s="2" t="s">
        <v>4614</v>
      </c>
      <c r="M18" s="2" t="s">
        <v>4684</v>
      </c>
      <c r="N18" s="2" t="s">
        <v>4679</v>
      </c>
      <c r="O18" s="2" t="s">
        <v>4690</v>
      </c>
      <c r="P18" s="22">
        <v>44308</v>
      </c>
      <c r="Q18" s="22">
        <v>4.535825</v>
      </c>
      <c r="R18" s="22">
        <v>0</v>
      </c>
      <c r="S18" s="2">
        <f t="shared" si="0"/>
        <v>4.535825</v>
      </c>
    </row>
    <row r="19" spans="1:19" x14ac:dyDescent="0.2">
      <c r="A19" s="2" t="s">
        <v>452</v>
      </c>
      <c r="B19" s="2" t="s">
        <v>4681</v>
      </c>
      <c r="C19" s="2" t="s">
        <v>4682</v>
      </c>
      <c r="D19" s="2" t="s">
        <v>457</v>
      </c>
      <c r="E19" s="2" t="s">
        <v>456</v>
      </c>
      <c r="F19" s="2" t="s">
        <v>3589</v>
      </c>
      <c r="G19" s="2" t="s">
        <v>4691</v>
      </c>
      <c r="H19" s="2" t="s">
        <v>4595</v>
      </c>
      <c r="I19" s="2" t="s">
        <v>4621</v>
      </c>
      <c r="J19" s="2" t="s">
        <v>60</v>
      </c>
      <c r="K19" s="2" t="s">
        <v>4622</v>
      </c>
      <c r="L19" s="2" t="s">
        <v>4632</v>
      </c>
      <c r="M19" s="2" t="s">
        <v>4687</v>
      </c>
      <c r="N19" s="2" t="s">
        <v>4679</v>
      </c>
      <c r="O19" s="2" t="s">
        <v>4692</v>
      </c>
      <c r="P19" s="22">
        <v>44308</v>
      </c>
      <c r="Q19" s="22">
        <v>4.5510570000000001</v>
      </c>
      <c r="R19" s="22">
        <v>0</v>
      </c>
      <c r="S19" s="2">
        <f t="shared" si="0"/>
        <v>4.5510570000000001</v>
      </c>
    </row>
    <row r="20" spans="1:19" x14ac:dyDescent="0.2">
      <c r="A20" s="2" t="s">
        <v>1498</v>
      </c>
      <c r="B20" s="2" t="s">
        <v>4693</v>
      </c>
      <c r="C20" s="2" t="s">
        <v>4694</v>
      </c>
      <c r="D20" s="2" t="s">
        <v>1503</v>
      </c>
      <c r="E20" s="2" t="s">
        <v>1502</v>
      </c>
      <c r="F20" s="2" t="s">
        <v>3901</v>
      </c>
      <c r="G20" s="2" t="s">
        <v>4695</v>
      </c>
      <c r="H20" s="2" t="s">
        <v>4630</v>
      </c>
      <c r="I20" s="2" t="s">
        <v>4631</v>
      </c>
      <c r="J20" s="2" t="s">
        <v>60</v>
      </c>
      <c r="K20" s="2" t="s">
        <v>4613</v>
      </c>
      <c r="L20" s="2" t="s">
        <v>4632</v>
      </c>
      <c r="M20" s="20" t="s">
        <v>4696</v>
      </c>
      <c r="N20" s="2"/>
      <c r="O20" s="2" t="s">
        <v>4697</v>
      </c>
      <c r="P20" s="22">
        <v>44677</v>
      </c>
      <c r="Q20" s="22">
        <v>9.266</v>
      </c>
      <c r="R20" s="22">
        <v>-7</v>
      </c>
      <c r="S20" s="2" t="str">
        <f t="shared" si="0"/>
        <v/>
      </c>
    </row>
    <row r="21" spans="1:19" x14ac:dyDescent="0.2">
      <c r="A21" s="2" t="s">
        <v>165</v>
      </c>
      <c r="B21" s="2" t="s">
        <v>4698</v>
      </c>
      <c r="C21" s="2" t="s">
        <v>4699</v>
      </c>
      <c r="D21" s="2" t="s">
        <v>1540</v>
      </c>
      <c r="E21" s="2" t="s">
        <v>1539</v>
      </c>
      <c r="F21" s="2" t="s">
        <v>3913</v>
      </c>
      <c r="G21" s="2" t="s">
        <v>4700</v>
      </c>
      <c r="H21" s="2" t="s">
        <v>4595</v>
      </c>
      <c r="I21" s="2" t="s">
        <v>4612</v>
      </c>
      <c r="J21" s="2" t="s">
        <v>60</v>
      </c>
      <c r="K21" s="2" t="s">
        <v>4622</v>
      </c>
      <c r="L21" s="2" t="s">
        <v>4614</v>
      </c>
      <c r="M21" s="2" t="s">
        <v>4599</v>
      </c>
      <c r="N21" s="2" t="s">
        <v>4616</v>
      </c>
      <c r="O21" s="2" t="s">
        <v>4600</v>
      </c>
      <c r="P21" s="61" t="e">
        <v>#N/A</v>
      </c>
      <c r="Q21" s="2"/>
      <c r="R21" s="61" t="e">
        <v>#N/A</v>
      </c>
      <c r="S21" s="2" t="e">
        <f t="shared" si="0"/>
        <v>#N/A</v>
      </c>
    </row>
    <row r="22" spans="1:19" x14ac:dyDescent="0.2">
      <c r="A22" s="2" t="s">
        <v>528</v>
      </c>
      <c r="B22" s="2" t="s">
        <v>4601</v>
      </c>
      <c r="C22" s="2" t="s">
        <v>4701</v>
      </c>
      <c r="D22" s="2" t="s">
        <v>533</v>
      </c>
      <c r="E22" s="2" t="s">
        <v>532</v>
      </c>
      <c r="F22" s="2" t="s">
        <v>3611</v>
      </c>
      <c r="G22" s="2" t="s">
        <v>4702</v>
      </c>
      <c r="H22" s="2" t="s">
        <v>4595</v>
      </c>
      <c r="I22" s="2" t="s">
        <v>4604</v>
      </c>
      <c r="J22" s="2" t="s">
        <v>60</v>
      </c>
      <c r="K22" s="2" t="s">
        <v>4597</v>
      </c>
      <c r="L22" s="2" t="s">
        <v>4614</v>
      </c>
      <c r="M22" s="20" t="s">
        <v>4703</v>
      </c>
      <c r="N22" s="2"/>
      <c r="O22" s="2" t="s">
        <v>4704</v>
      </c>
      <c r="P22" s="61" t="e">
        <v>#N/A</v>
      </c>
      <c r="Q22" s="2"/>
      <c r="R22" s="61" t="e">
        <v>#N/A</v>
      </c>
      <c r="S22" s="2" t="e">
        <f t="shared" si="0"/>
        <v>#N/A</v>
      </c>
    </row>
    <row r="23" spans="1:19" x14ac:dyDescent="0.2">
      <c r="A23" s="2" t="s">
        <v>4608</v>
      </c>
      <c r="B23" s="2" t="s">
        <v>4609</v>
      </c>
      <c r="C23" s="2" t="s">
        <v>4610</v>
      </c>
      <c r="D23" s="2" t="s">
        <v>904</v>
      </c>
      <c r="E23" s="2" t="s">
        <v>903</v>
      </c>
      <c r="F23" s="2" t="s">
        <v>3724</v>
      </c>
      <c r="G23" s="2" t="s">
        <v>4705</v>
      </c>
      <c r="H23" s="2" t="s">
        <v>4595</v>
      </c>
      <c r="I23" s="2" t="s">
        <v>4612</v>
      </c>
      <c r="J23" s="2" t="s">
        <v>60</v>
      </c>
      <c r="K23" s="2" t="s">
        <v>4622</v>
      </c>
      <c r="L23" s="2" t="s">
        <v>4614</v>
      </c>
      <c r="M23" s="2" t="s">
        <v>4667</v>
      </c>
      <c r="N23" s="2" t="s">
        <v>4616</v>
      </c>
      <c r="O23" s="2" t="s">
        <v>4706</v>
      </c>
      <c r="P23" s="22">
        <v>44467</v>
      </c>
      <c r="Q23" s="22">
        <v>4.8000000000000001E-2</v>
      </c>
      <c r="R23" s="22">
        <v>0</v>
      </c>
      <c r="S23" s="2">
        <f t="shared" si="0"/>
        <v>4.8000000000000001E-2</v>
      </c>
    </row>
    <row r="24" spans="1:19" x14ac:dyDescent="0.2">
      <c r="A24" s="2" t="s">
        <v>4707</v>
      </c>
      <c r="B24" s="2" t="s">
        <v>4708</v>
      </c>
      <c r="C24" s="2" t="s">
        <v>4610</v>
      </c>
      <c r="D24" s="2" t="s">
        <v>187</v>
      </c>
      <c r="E24" s="2" t="s">
        <v>186</v>
      </c>
      <c r="F24" s="2" t="s">
        <v>3524</v>
      </c>
      <c r="G24" s="2" t="s">
        <v>4709</v>
      </c>
      <c r="H24" s="2" t="s">
        <v>4595</v>
      </c>
      <c r="I24" s="2" t="s">
        <v>4710</v>
      </c>
      <c r="J24" s="2" t="s">
        <v>60</v>
      </c>
      <c r="K24" s="2" t="s">
        <v>4613</v>
      </c>
      <c r="L24" s="2" t="s">
        <v>4711</v>
      </c>
      <c r="M24" s="2" t="s">
        <v>4712</v>
      </c>
      <c r="N24" s="2" t="s">
        <v>4616</v>
      </c>
      <c r="O24" s="2" t="s">
        <v>4713</v>
      </c>
      <c r="P24" s="22">
        <v>44685</v>
      </c>
      <c r="Q24" s="61" t="e">
        <v>#N/A</v>
      </c>
      <c r="R24" s="22">
        <v>-526</v>
      </c>
      <c r="S24" s="2" t="str">
        <f t="shared" si="0"/>
        <v/>
      </c>
    </row>
    <row r="25" spans="1:19" x14ac:dyDescent="0.2">
      <c r="A25" s="2" t="s">
        <v>679</v>
      </c>
      <c r="B25" s="2" t="s">
        <v>4714</v>
      </c>
      <c r="C25" s="2" t="s">
        <v>4715</v>
      </c>
      <c r="D25" s="2" t="s">
        <v>684</v>
      </c>
      <c r="E25" s="2" t="s">
        <v>683</v>
      </c>
      <c r="F25" s="2" t="s">
        <v>3651</v>
      </c>
      <c r="G25" s="2" t="s">
        <v>4716</v>
      </c>
      <c r="H25" s="2" t="s">
        <v>4630</v>
      </c>
      <c r="I25" s="2" t="s">
        <v>4612</v>
      </c>
      <c r="J25" s="2" t="s">
        <v>60</v>
      </c>
      <c r="K25" s="2" t="s">
        <v>4622</v>
      </c>
      <c r="L25" s="2" t="s">
        <v>4632</v>
      </c>
      <c r="M25" s="20" t="s">
        <v>4717</v>
      </c>
      <c r="N25" s="2"/>
      <c r="O25" s="2" t="s">
        <v>4718</v>
      </c>
      <c r="P25" s="22">
        <v>44363</v>
      </c>
      <c r="Q25" s="22">
        <v>1.7330000000000001</v>
      </c>
      <c r="R25" s="22">
        <v>0</v>
      </c>
      <c r="S25" s="2">
        <f t="shared" si="0"/>
        <v>1.7330000000000001</v>
      </c>
    </row>
    <row r="26" spans="1:19" x14ac:dyDescent="0.2">
      <c r="A26" s="2" t="s">
        <v>1473</v>
      </c>
      <c r="B26" s="2" t="s">
        <v>4719</v>
      </c>
      <c r="C26" s="2" t="s">
        <v>4720</v>
      </c>
      <c r="D26" s="2" t="s">
        <v>1478</v>
      </c>
      <c r="E26" s="2" t="s">
        <v>1477</v>
      </c>
      <c r="F26" s="2" t="s">
        <v>3894</v>
      </c>
      <c r="G26" s="2" t="s">
        <v>4721</v>
      </c>
      <c r="H26" s="2" t="s">
        <v>4595</v>
      </c>
      <c r="I26" s="2" t="s">
        <v>4710</v>
      </c>
      <c r="J26" s="2" t="s">
        <v>60</v>
      </c>
      <c r="K26" s="2" t="s">
        <v>4613</v>
      </c>
      <c r="L26" s="2" t="s">
        <v>4614</v>
      </c>
      <c r="M26" s="2" t="s">
        <v>4667</v>
      </c>
      <c r="N26" s="2" t="s">
        <v>4616</v>
      </c>
      <c r="O26" s="2" t="s">
        <v>4722</v>
      </c>
      <c r="P26" s="22">
        <v>44649</v>
      </c>
      <c r="Q26" s="22">
        <v>0.94299999999999995</v>
      </c>
      <c r="R26" s="22">
        <v>0</v>
      </c>
      <c r="S26" s="2">
        <f t="shared" si="0"/>
        <v>0.94299999999999995</v>
      </c>
    </row>
    <row r="27" spans="1:19" x14ac:dyDescent="0.2">
      <c r="A27" s="2" t="s">
        <v>4723</v>
      </c>
      <c r="B27" s="2" t="s">
        <v>4724</v>
      </c>
      <c r="C27" s="2" t="s">
        <v>4593</v>
      </c>
      <c r="D27" s="2" t="s">
        <v>731</v>
      </c>
      <c r="E27" s="2" t="s">
        <v>730</v>
      </c>
      <c r="F27" s="2" t="s">
        <v>3670</v>
      </c>
      <c r="G27" s="2" t="s">
        <v>4725</v>
      </c>
      <c r="H27" s="2" t="s">
        <v>4595</v>
      </c>
      <c r="I27" s="2" t="s">
        <v>4612</v>
      </c>
      <c r="J27" s="2" t="s">
        <v>60</v>
      </c>
      <c r="K27" s="2" t="s">
        <v>4622</v>
      </c>
      <c r="L27" s="2" t="s">
        <v>4632</v>
      </c>
      <c r="M27" s="2" t="s">
        <v>4726</v>
      </c>
      <c r="N27" s="2" t="s">
        <v>4679</v>
      </c>
      <c r="O27" s="2" t="s">
        <v>4727</v>
      </c>
      <c r="P27" s="22">
        <v>44389</v>
      </c>
      <c r="Q27" s="22">
        <v>3.3220000000000001</v>
      </c>
      <c r="R27" s="22">
        <v>-5</v>
      </c>
      <c r="S27" s="2" t="str">
        <f t="shared" si="0"/>
        <v/>
      </c>
    </row>
    <row r="28" spans="1:19" x14ac:dyDescent="0.2">
      <c r="A28" s="2" t="s">
        <v>726</v>
      </c>
      <c r="B28" s="2" t="s">
        <v>4728</v>
      </c>
      <c r="C28" s="2" t="s">
        <v>4676</v>
      </c>
      <c r="D28" s="2" t="s">
        <v>731</v>
      </c>
      <c r="E28" s="2" t="s">
        <v>730</v>
      </c>
      <c r="F28" s="2" t="s">
        <v>3668</v>
      </c>
      <c r="G28" s="2" t="s">
        <v>4729</v>
      </c>
      <c r="H28" s="2" t="s">
        <v>4595</v>
      </c>
      <c r="I28" s="2" t="s">
        <v>4612</v>
      </c>
      <c r="J28" s="2" t="s">
        <v>60</v>
      </c>
      <c r="K28" s="2" t="s">
        <v>4622</v>
      </c>
      <c r="L28" s="2" t="s">
        <v>4614</v>
      </c>
      <c r="M28" s="2" t="s">
        <v>4730</v>
      </c>
      <c r="N28" s="2" t="s">
        <v>4679</v>
      </c>
      <c r="O28" s="2" t="s">
        <v>4731</v>
      </c>
      <c r="P28" s="22">
        <v>44384</v>
      </c>
      <c r="Q28" s="22">
        <v>3.653</v>
      </c>
      <c r="R28" s="22">
        <v>0</v>
      </c>
      <c r="S28" s="2">
        <f t="shared" si="0"/>
        <v>3.653</v>
      </c>
    </row>
    <row r="29" spans="1:19" x14ac:dyDescent="0.2">
      <c r="A29" s="2" t="s">
        <v>726</v>
      </c>
      <c r="B29" s="2" t="s">
        <v>4728</v>
      </c>
      <c r="C29" s="2" t="s">
        <v>4676</v>
      </c>
      <c r="D29" s="2" t="s">
        <v>731</v>
      </c>
      <c r="E29" s="2" t="s">
        <v>730</v>
      </c>
      <c r="F29" s="2" t="s">
        <v>3662</v>
      </c>
      <c r="G29" s="2" t="s">
        <v>4732</v>
      </c>
      <c r="H29" s="2" t="s">
        <v>4595</v>
      </c>
      <c r="I29" s="2" t="s">
        <v>4621</v>
      </c>
      <c r="J29" s="2" t="s">
        <v>60</v>
      </c>
      <c r="K29" s="2" t="s">
        <v>4622</v>
      </c>
      <c r="L29" s="2" t="s">
        <v>4614</v>
      </c>
      <c r="M29" s="2" t="s">
        <v>4730</v>
      </c>
      <c r="N29" s="2" t="s">
        <v>4679</v>
      </c>
      <c r="O29" s="2" t="s">
        <v>4733</v>
      </c>
      <c r="P29" s="22">
        <v>44384</v>
      </c>
      <c r="Q29" s="22">
        <v>3.6570269999999998</v>
      </c>
      <c r="R29" s="22">
        <v>0</v>
      </c>
      <c r="S29" s="2">
        <f t="shared" si="0"/>
        <v>3.6570269999999998</v>
      </c>
    </row>
    <row r="30" spans="1:19" x14ac:dyDescent="0.2">
      <c r="A30" s="2" t="s">
        <v>4723</v>
      </c>
      <c r="B30" s="2" t="s">
        <v>4724</v>
      </c>
      <c r="C30" s="2" t="s">
        <v>4593</v>
      </c>
      <c r="D30" s="2" t="s">
        <v>731</v>
      </c>
      <c r="E30" s="2" t="s">
        <v>730</v>
      </c>
      <c r="F30" s="2" t="s">
        <v>3664</v>
      </c>
      <c r="G30" s="2" t="s">
        <v>4734</v>
      </c>
      <c r="H30" s="2" t="s">
        <v>4595</v>
      </c>
      <c r="I30" s="2" t="s">
        <v>4621</v>
      </c>
      <c r="J30" s="2" t="s">
        <v>60</v>
      </c>
      <c r="K30" s="2" t="s">
        <v>4622</v>
      </c>
      <c r="L30" s="2" t="s">
        <v>4632</v>
      </c>
      <c r="M30" s="2" t="s">
        <v>4726</v>
      </c>
      <c r="N30" s="2" t="s">
        <v>4679</v>
      </c>
      <c r="O30" s="2" t="s">
        <v>4727</v>
      </c>
      <c r="P30" s="22">
        <v>44392</v>
      </c>
      <c r="Q30" s="22">
        <v>3.6321850000000002</v>
      </c>
      <c r="R30" s="22">
        <v>-8</v>
      </c>
      <c r="S30" s="2" t="str">
        <f t="shared" si="0"/>
        <v/>
      </c>
    </row>
    <row r="31" spans="1:19" x14ac:dyDescent="0.2">
      <c r="A31" s="2" t="s">
        <v>4608</v>
      </c>
      <c r="B31" s="2" t="s">
        <v>4609</v>
      </c>
      <c r="C31" s="2" t="s">
        <v>4735</v>
      </c>
      <c r="D31" s="2" t="s">
        <v>784</v>
      </c>
      <c r="E31" s="2" t="s">
        <v>783</v>
      </c>
      <c r="F31" s="2" t="s">
        <v>3682</v>
      </c>
      <c r="G31" s="2" t="s">
        <v>4736</v>
      </c>
      <c r="H31" s="2" t="s">
        <v>4620</v>
      </c>
      <c r="I31" s="2" t="s">
        <v>4621</v>
      </c>
      <c r="J31" s="2" t="s">
        <v>60</v>
      </c>
      <c r="K31" s="2" t="s">
        <v>4622</v>
      </c>
      <c r="L31" s="2" t="s">
        <v>4614</v>
      </c>
      <c r="M31" s="2" t="s">
        <v>4737</v>
      </c>
      <c r="N31" s="2" t="s">
        <v>4616</v>
      </c>
      <c r="O31" s="2" t="s">
        <v>4738</v>
      </c>
      <c r="P31" s="22">
        <v>44389</v>
      </c>
      <c r="Q31" s="22">
        <v>1.3660000000000001</v>
      </c>
      <c r="R31" s="22">
        <v>0</v>
      </c>
      <c r="S31" s="2">
        <f t="shared" si="0"/>
        <v>1.3660000000000001</v>
      </c>
    </row>
    <row r="32" spans="1:19" x14ac:dyDescent="0.2">
      <c r="A32" s="2" t="s">
        <v>4608</v>
      </c>
      <c r="B32" s="2" t="s">
        <v>4609</v>
      </c>
      <c r="C32" s="2" t="s">
        <v>4735</v>
      </c>
      <c r="D32" s="2" t="s">
        <v>784</v>
      </c>
      <c r="E32" s="2" t="s">
        <v>783</v>
      </c>
      <c r="F32" s="2" t="s">
        <v>3690</v>
      </c>
      <c r="G32" s="2" t="s">
        <v>4739</v>
      </c>
      <c r="H32" s="2" t="s">
        <v>4620</v>
      </c>
      <c r="I32" s="2" t="s">
        <v>4612</v>
      </c>
      <c r="J32" s="2" t="s">
        <v>60</v>
      </c>
      <c r="K32" s="2" t="s">
        <v>4622</v>
      </c>
      <c r="L32" s="2" t="s">
        <v>4614</v>
      </c>
      <c r="M32" s="2" t="s">
        <v>4737</v>
      </c>
      <c r="N32" s="2" t="s">
        <v>4616</v>
      </c>
      <c r="O32" s="2" t="s">
        <v>4738</v>
      </c>
      <c r="P32" s="22">
        <v>44390</v>
      </c>
      <c r="Q32" s="22">
        <v>1.464</v>
      </c>
      <c r="R32" s="22">
        <v>-1</v>
      </c>
      <c r="S32" s="2" t="str">
        <f t="shared" si="0"/>
        <v/>
      </c>
    </row>
    <row r="33" spans="1:19" x14ac:dyDescent="0.2">
      <c r="A33" s="2" t="s">
        <v>703</v>
      </c>
      <c r="B33" s="2" t="s">
        <v>4740</v>
      </c>
      <c r="C33" s="2" t="s">
        <v>4741</v>
      </c>
      <c r="D33" s="2" t="s">
        <v>708</v>
      </c>
      <c r="E33" s="2" t="s">
        <v>707</v>
      </c>
      <c r="F33" s="2" t="s">
        <v>3658</v>
      </c>
      <c r="G33" s="2" t="s">
        <v>4742</v>
      </c>
      <c r="H33" s="2" t="s">
        <v>4595</v>
      </c>
      <c r="I33" s="2" t="s">
        <v>4612</v>
      </c>
      <c r="J33" s="2" t="s">
        <v>60</v>
      </c>
      <c r="K33" s="2" t="s">
        <v>4622</v>
      </c>
      <c r="L33" s="2" t="s">
        <v>4614</v>
      </c>
      <c r="M33" s="2" t="s">
        <v>4743</v>
      </c>
      <c r="N33" s="2" t="s">
        <v>4679</v>
      </c>
      <c r="O33" s="2" t="s">
        <v>4744</v>
      </c>
      <c r="P33" s="22">
        <v>44378</v>
      </c>
      <c r="Q33" s="22">
        <v>3.4079999999999999</v>
      </c>
      <c r="R33" s="22">
        <v>0</v>
      </c>
      <c r="S33" s="2">
        <f t="shared" si="0"/>
        <v>3.4079999999999999</v>
      </c>
    </row>
    <row r="34" spans="1:19" x14ac:dyDescent="0.2">
      <c r="A34" s="2" t="s">
        <v>703</v>
      </c>
      <c r="B34" s="2" t="s">
        <v>4740</v>
      </c>
      <c r="C34" s="2" t="s">
        <v>4741</v>
      </c>
      <c r="D34" s="2" t="s">
        <v>708</v>
      </c>
      <c r="E34" s="2" t="s">
        <v>707</v>
      </c>
      <c r="F34" s="2" t="s">
        <v>3656</v>
      </c>
      <c r="G34" s="2" t="s">
        <v>4745</v>
      </c>
      <c r="H34" s="2" t="s">
        <v>4595</v>
      </c>
      <c r="I34" s="2" t="s">
        <v>4621</v>
      </c>
      <c r="J34" s="2" t="s">
        <v>60</v>
      </c>
      <c r="K34" s="2" t="s">
        <v>4622</v>
      </c>
      <c r="L34" s="2" t="s">
        <v>4614</v>
      </c>
      <c r="M34" s="2" t="s">
        <v>4743</v>
      </c>
      <c r="N34" s="2" t="s">
        <v>4679</v>
      </c>
      <c r="O34" s="2" t="s">
        <v>4746</v>
      </c>
      <c r="P34" s="22">
        <v>44378</v>
      </c>
      <c r="Q34" s="22">
        <v>3.455965</v>
      </c>
      <c r="R34" s="22">
        <v>0</v>
      </c>
      <c r="S34" s="2">
        <f t="shared" si="0"/>
        <v>3.455965</v>
      </c>
    </row>
    <row r="35" spans="1:19" x14ac:dyDescent="0.2">
      <c r="A35" s="2" t="s">
        <v>1413</v>
      </c>
      <c r="B35" s="2" t="s">
        <v>4747</v>
      </c>
      <c r="C35" s="2" t="s">
        <v>4676</v>
      </c>
      <c r="D35" s="2" t="s">
        <v>1418</v>
      </c>
      <c r="E35" s="2" t="s">
        <v>1417</v>
      </c>
      <c r="F35" s="2" t="s">
        <v>3876</v>
      </c>
      <c r="G35" s="2" t="s">
        <v>4748</v>
      </c>
      <c r="H35" s="2" t="s">
        <v>4595</v>
      </c>
      <c r="I35" s="2" t="s">
        <v>4612</v>
      </c>
      <c r="J35" s="2" t="s">
        <v>60</v>
      </c>
      <c r="K35" s="2" t="s">
        <v>4622</v>
      </c>
      <c r="L35" s="2" t="s">
        <v>4614</v>
      </c>
      <c r="M35" s="2" t="s">
        <v>4684</v>
      </c>
      <c r="N35" s="2" t="s">
        <v>4679</v>
      </c>
      <c r="O35" s="2" t="s">
        <v>4749</v>
      </c>
      <c r="P35" s="22">
        <v>44589</v>
      </c>
      <c r="Q35" s="22">
        <v>3.996</v>
      </c>
      <c r="R35" s="22">
        <v>0</v>
      </c>
      <c r="S35" s="2">
        <f t="shared" si="0"/>
        <v>3.996</v>
      </c>
    </row>
    <row r="36" spans="1:19" x14ac:dyDescent="0.2">
      <c r="A36" s="2" t="s">
        <v>893</v>
      </c>
      <c r="B36" s="2" t="s">
        <v>4750</v>
      </c>
      <c r="C36" s="2" t="s">
        <v>4751</v>
      </c>
      <c r="D36" s="2" t="s">
        <v>898</v>
      </c>
      <c r="E36" s="2" t="s">
        <v>897</v>
      </c>
      <c r="F36" s="2" t="s">
        <v>3722</v>
      </c>
      <c r="G36" s="2" t="s">
        <v>4752</v>
      </c>
      <c r="H36" s="2" t="s">
        <v>4630</v>
      </c>
      <c r="I36" s="2" t="s">
        <v>4631</v>
      </c>
      <c r="J36" s="2" t="s">
        <v>60</v>
      </c>
      <c r="K36" s="2" t="s">
        <v>4613</v>
      </c>
      <c r="L36" s="2" t="s">
        <v>4632</v>
      </c>
      <c r="M36" s="20" t="s">
        <v>4753</v>
      </c>
      <c r="N36" s="2"/>
      <c r="O36" s="2" t="s">
        <v>4754</v>
      </c>
      <c r="P36" s="22">
        <v>44468</v>
      </c>
      <c r="Q36" s="22">
        <v>1.0269999999999999</v>
      </c>
      <c r="R36" s="22">
        <v>0</v>
      </c>
      <c r="S36" s="2">
        <f t="shared" si="0"/>
        <v>1.0269999999999999</v>
      </c>
    </row>
    <row r="37" spans="1:19" x14ac:dyDescent="0.2">
      <c r="A37" s="2" t="s">
        <v>858</v>
      </c>
      <c r="B37" s="2" t="s">
        <v>4755</v>
      </c>
      <c r="C37" s="2" t="s">
        <v>4756</v>
      </c>
      <c r="D37" s="2" t="s">
        <v>863</v>
      </c>
      <c r="E37" s="2" t="s">
        <v>862</v>
      </c>
      <c r="F37" s="2" t="s">
        <v>3712</v>
      </c>
      <c r="G37" s="2" t="s">
        <v>4757</v>
      </c>
      <c r="H37" s="2" t="s">
        <v>4595</v>
      </c>
      <c r="I37" s="2" t="s">
        <v>4621</v>
      </c>
      <c r="J37" s="2" t="s">
        <v>60</v>
      </c>
      <c r="K37" s="2" t="s">
        <v>4622</v>
      </c>
      <c r="L37" s="2" t="s">
        <v>4614</v>
      </c>
      <c r="M37" s="2" t="s">
        <v>4758</v>
      </c>
      <c r="N37" s="2" t="s">
        <v>4679</v>
      </c>
      <c r="O37" s="2" t="s">
        <v>4759</v>
      </c>
      <c r="P37" s="22">
        <v>44470</v>
      </c>
      <c r="Q37" s="22">
        <v>4.1489779999999996</v>
      </c>
      <c r="R37" s="22">
        <v>0</v>
      </c>
      <c r="S37" s="2">
        <f t="shared" si="0"/>
        <v>4.1489779999999996</v>
      </c>
    </row>
    <row r="38" spans="1:19" x14ac:dyDescent="0.2">
      <c r="A38" s="2" t="s">
        <v>858</v>
      </c>
      <c r="B38" s="2" t="s">
        <v>4755</v>
      </c>
      <c r="C38" s="2" t="s">
        <v>4756</v>
      </c>
      <c r="D38" s="2" t="s">
        <v>863</v>
      </c>
      <c r="E38" s="2" t="s">
        <v>862</v>
      </c>
      <c r="F38" s="2" t="s">
        <v>3714</v>
      </c>
      <c r="G38" s="2" t="s">
        <v>4760</v>
      </c>
      <c r="H38" s="2" t="s">
        <v>4595</v>
      </c>
      <c r="I38" s="2" t="s">
        <v>4612</v>
      </c>
      <c r="J38" s="2" t="s">
        <v>60</v>
      </c>
      <c r="K38" s="2" t="s">
        <v>4622</v>
      </c>
      <c r="L38" s="2" t="s">
        <v>4614</v>
      </c>
      <c r="M38" s="2" t="s">
        <v>4758</v>
      </c>
      <c r="N38" s="2" t="s">
        <v>4679</v>
      </c>
      <c r="O38" s="2" t="s">
        <v>4761</v>
      </c>
      <c r="P38" s="22">
        <v>44470</v>
      </c>
      <c r="Q38" s="22">
        <v>4.0810000000000004</v>
      </c>
      <c r="R38" s="22">
        <v>0</v>
      </c>
      <c r="S38" s="2">
        <f t="shared" si="0"/>
        <v>4.0810000000000004</v>
      </c>
    </row>
    <row r="39" spans="1:19" x14ac:dyDescent="0.2">
      <c r="A39" s="2" t="s">
        <v>4762</v>
      </c>
      <c r="B39" s="2" t="s">
        <v>4763</v>
      </c>
      <c r="C39" s="2" t="s">
        <v>4756</v>
      </c>
      <c r="D39" s="2" t="s">
        <v>959</v>
      </c>
      <c r="E39" s="2" t="s">
        <v>958</v>
      </c>
      <c r="F39" s="2" t="s">
        <v>3743</v>
      </c>
      <c r="G39" s="2" t="s">
        <v>4764</v>
      </c>
      <c r="H39" s="2" t="s">
        <v>4595</v>
      </c>
      <c r="I39" s="2" t="s">
        <v>4612</v>
      </c>
      <c r="J39" s="2" t="s">
        <v>60</v>
      </c>
      <c r="K39" s="2" t="s">
        <v>4622</v>
      </c>
      <c r="L39" s="2" t="s">
        <v>4614</v>
      </c>
      <c r="M39" s="2" t="s">
        <v>4765</v>
      </c>
      <c r="N39" s="2" t="s">
        <v>4679</v>
      </c>
      <c r="O39" s="2" t="s">
        <v>4766</v>
      </c>
      <c r="P39" s="22">
        <v>44481</v>
      </c>
      <c r="Q39" s="22">
        <v>4.5369999999999999</v>
      </c>
      <c r="R39" s="22">
        <v>0</v>
      </c>
      <c r="S39" s="2">
        <f t="shared" si="0"/>
        <v>4.5369999999999999</v>
      </c>
    </row>
    <row r="40" spans="1:19" x14ac:dyDescent="0.2">
      <c r="A40" s="2" t="s">
        <v>4762</v>
      </c>
      <c r="B40" s="2" t="s">
        <v>4763</v>
      </c>
      <c r="C40" s="2" t="s">
        <v>4682</v>
      </c>
      <c r="D40" s="2" t="s">
        <v>959</v>
      </c>
      <c r="E40" s="2" t="s">
        <v>958</v>
      </c>
      <c r="F40" s="2" t="s">
        <v>3745</v>
      </c>
      <c r="G40" s="2" t="s">
        <v>4767</v>
      </c>
      <c r="H40" s="2" t="s">
        <v>4595</v>
      </c>
      <c r="I40" s="2" t="s">
        <v>4612</v>
      </c>
      <c r="J40" s="2" t="s">
        <v>60</v>
      </c>
      <c r="K40" s="2" t="s">
        <v>4622</v>
      </c>
      <c r="L40" s="2" t="s">
        <v>4632</v>
      </c>
      <c r="M40" s="2" t="s">
        <v>4768</v>
      </c>
      <c r="N40" s="2" t="s">
        <v>4679</v>
      </c>
      <c r="O40" s="2" t="s">
        <v>4769</v>
      </c>
      <c r="P40" s="22">
        <v>44482</v>
      </c>
      <c r="Q40" s="22">
        <v>3.9849999999999999</v>
      </c>
      <c r="R40" s="22">
        <v>-1</v>
      </c>
      <c r="S40" s="2" t="str">
        <f t="shared" si="0"/>
        <v/>
      </c>
    </row>
    <row r="41" spans="1:19" x14ac:dyDescent="0.2">
      <c r="A41" s="2" t="s">
        <v>4762</v>
      </c>
      <c r="B41" s="2" t="s">
        <v>4763</v>
      </c>
      <c r="C41" s="2" t="s">
        <v>4756</v>
      </c>
      <c r="D41" s="2" t="s">
        <v>959</v>
      </c>
      <c r="E41" s="2" t="s">
        <v>958</v>
      </c>
      <c r="F41" s="2" t="s">
        <v>3739</v>
      </c>
      <c r="G41" s="2" t="s">
        <v>4770</v>
      </c>
      <c r="H41" s="2" t="s">
        <v>4595</v>
      </c>
      <c r="I41" s="2" t="s">
        <v>4621</v>
      </c>
      <c r="J41" s="2" t="s">
        <v>60</v>
      </c>
      <c r="K41" s="2" t="s">
        <v>4622</v>
      </c>
      <c r="L41" s="2" t="s">
        <v>4614</v>
      </c>
      <c r="M41" s="2" t="s">
        <v>4765</v>
      </c>
      <c r="N41" s="2" t="s">
        <v>4679</v>
      </c>
      <c r="O41" s="2" t="s">
        <v>4771</v>
      </c>
      <c r="P41" s="22">
        <v>44481</v>
      </c>
      <c r="Q41" s="22">
        <v>4.5880349999999996</v>
      </c>
      <c r="R41" s="22">
        <v>0</v>
      </c>
      <c r="S41" s="2">
        <f t="shared" si="0"/>
        <v>4.5880349999999996</v>
      </c>
    </row>
    <row r="42" spans="1:19" x14ac:dyDescent="0.2">
      <c r="A42" s="2" t="s">
        <v>4762</v>
      </c>
      <c r="B42" s="2" t="s">
        <v>4763</v>
      </c>
      <c r="C42" s="2" t="s">
        <v>4682</v>
      </c>
      <c r="D42" s="2" t="s">
        <v>959</v>
      </c>
      <c r="E42" s="2" t="s">
        <v>958</v>
      </c>
      <c r="F42" s="2" t="s">
        <v>3741</v>
      </c>
      <c r="G42" s="2" t="s">
        <v>4772</v>
      </c>
      <c r="H42" s="2" t="s">
        <v>4595</v>
      </c>
      <c r="I42" s="2" t="s">
        <v>4621</v>
      </c>
      <c r="J42" s="2" t="s">
        <v>60</v>
      </c>
      <c r="K42" s="2" t="s">
        <v>4622</v>
      </c>
      <c r="L42" s="2" t="s">
        <v>4632</v>
      </c>
      <c r="M42" s="2" t="s">
        <v>4773</v>
      </c>
      <c r="N42" s="2" t="s">
        <v>4679</v>
      </c>
      <c r="O42" s="2" t="s">
        <v>4600</v>
      </c>
      <c r="P42" s="22">
        <v>44685</v>
      </c>
      <c r="Q42" s="61" t="e">
        <v>#N/A</v>
      </c>
      <c r="R42" s="22">
        <v>-204</v>
      </c>
      <c r="S42" s="2" t="str">
        <f t="shared" si="0"/>
        <v/>
      </c>
    </row>
    <row r="43" spans="1:19" x14ac:dyDescent="0.2">
      <c r="A43" s="2" t="s">
        <v>1486</v>
      </c>
      <c r="B43" s="2" t="s">
        <v>4774</v>
      </c>
      <c r="C43" s="2" t="s">
        <v>4775</v>
      </c>
      <c r="D43" s="2" t="s">
        <v>1490</v>
      </c>
      <c r="E43" s="2" t="s">
        <v>1454</v>
      </c>
      <c r="F43" s="2" t="s">
        <v>3897</v>
      </c>
      <c r="G43" s="2" t="s">
        <v>4776</v>
      </c>
      <c r="H43" s="2" t="s">
        <v>4595</v>
      </c>
      <c r="I43" s="2" t="s">
        <v>4710</v>
      </c>
      <c r="J43" s="2" t="s">
        <v>60</v>
      </c>
      <c r="K43" s="2" t="s">
        <v>4613</v>
      </c>
      <c r="L43" s="2" t="s">
        <v>4614</v>
      </c>
      <c r="M43" s="2" t="s">
        <v>4730</v>
      </c>
      <c r="N43" s="2" t="s">
        <v>4616</v>
      </c>
      <c r="O43" s="2" t="s">
        <v>4777</v>
      </c>
      <c r="P43" s="22">
        <v>44650</v>
      </c>
      <c r="Q43" s="22">
        <v>1.867</v>
      </c>
      <c r="R43" s="22">
        <v>0</v>
      </c>
      <c r="S43" s="2">
        <f t="shared" si="0"/>
        <v>1.867</v>
      </c>
    </row>
    <row r="44" spans="1:19" x14ac:dyDescent="0.2">
      <c r="A44" s="2" t="s">
        <v>1132</v>
      </c>
      <c r="B44" s="2" t="s">
        <v>4778</v>
      </c>
      <c r="C44" s="2" t="s">
        <v>4779</v>
      </c>
      <c r="D44" s="2" t="s">
        <v>1142</v>
      </c>
      <c r="E44" s="2" t="s">
        <v>1136</v>
      </c>
      <c r="F44" s="2" t="s">
        <v>3792</v>
      </c>
      <c r="G44" s="2" t="s">
        <v>4780</v>
      </c>
      <c r="H44" s="2" t="s">
        <v>4620</v>
      </c>
      <c r="I44" s="2" t="s">
        <v>4612</v>
      </c>
      <c r="J44" s="2" t="s">
        <v>60</v>
      </c>
      <c r="K44" s="2" t="s">
        <v>4622</v>
      </c>
      <c r="L44" s="2" t="s">
        <v>4614</v>
      </c>
      <c r="M44" s="2" t="s">
        <v>4781</v>
      </c>
      <c r="N44" s="2" t="s">
        <v>4616</v>
      </c>
      <c r="O44" s="2" t="s">
        <v>4782</v>
      </c>
      <c r="P44" s="22">
        <v>44517</v>
      </c>
      <c r="Q44" s="22">
        <v>1.8380000000000001</v>
      </c>
      <c r="R44" s="22">
        <v>0</v>
      </c>
      <c r="S44" s="2">
        <f t="shared" si="0"/>
        <v>1.8380000000000001</v>
      </c>
    </row>
    <row r="45" spans="1:19" x14ac:dyDescent="0.2">
      <c r="A45" s="2" t="s">
        <v>1145</v>
      </c>
      <c r="B45" s="2" t="s">
        <v>4783</v>
      </c>
      <c r="C45" s="2" t="s">
        <v>4784</v>
      </c>
      <c r="D45" s="2" t="s">
        <v>1150</v>
      </c>
      <c r="E45" s="2" t="s">
        <v>1149</v>
      </c>
      <c r="F45" s="2" t="s">
        <v>3794</v>
      </c>
      <c r="G45" s="2" t="s">
        <v>4785</v>
      </c>
      <c r="H45" s="2" t="s">
        <v>4630</v>
      </c>
      <c r="I45" s="2" t="s">
        <v>4631</v>
      </c>
      <c r="J45" s="2" t="s">
        <v>60</v>
      </c>
      <c r="K45" s="2" t="s">
        <v>4613</v>
      </c>
      <c r="L45" s="2" t="s">
        <v>4632</v>
      </c>
      <c r="M45" s="20" t="s">
        <v>4786</v>
      </c>
      <c r="N45" s="2"/>
      <c r="O45" s="2" t="s">
        <v>4787</v>
      </c>
      <c r="P45" s="22">
        <v>44523</v>
      </c>
      <c r="Q45" s="22">
        <v>0.51700000000000002</v>
      </c>
      <c r="R45" s="22">
        <v>0</v>
      </c>
      <c r="S45" s="2">
        <f t="shared" si="0"/>
        <v>0.51700000000000002</v>
      </c>
    </row>
    <row r="46" spans="1:19" x14ac:dyDescent="0.2">
      <c r="A46" s="2" t="s">
        <v>1166</v>
      </c>
      <c r="B46" s="2" t="s">
        <v>4788</v>
      </c>
      <c r="C46" s="2" t="s">
        <v>4789</v>
      </c>
      <c r="D46" s="2" t="s">
        <v>1171</v>
      </c>
      <c r="E46" s="2" t="s">
        <v>1170</v>
      </c>
      <c r="F46" s="2" t="s">
        <v>3800</v>
      </c>
      <c r="G46" s="2" t="s">
        <v>4790</v>
      </c>
      <c r="H46" s="2" t="s">
        <v>4595</v>
      </c>
      <c r="I46" s="2" t="s">
        <v>4612</v>
      </c>
      <c r="J46" s="2" t="s">
        <v>60</v>
      </c>
      <c r="K46" s="2" t="s">
        <v>4622</v>
      </c>
      <c r="L46" s="2" t="s">
        <v>4614</v>
      </c>
      <c r="M46" s="2" t="s">
        <v>4730</v>
      </c>
      <c r="N46" s="2" t="s">
        <v>4616</v>
      </c>
      <c r="O46" s="2" t="s">
        <v>4791</v>
      </c>
      <c r="P46" s="22">
        <v>44525</v>
      </c>
      <c r="Q46" s="22">
        <v>0.91900000000000004</v>
      </c>
      <c r="R46" s="22">
        <v>0</v>
      </c>
      <c r="S46" s="2">
        <f t="shared" si="0"/>
        <v>0.91900000000000004</v>
      </c>
    </row>
    <row r="47" spans="1:19" x14ac:dyDescent="0.2">
      <c r="A47" s="2" t="s">
        <v>1208</v>
      </c>
      <c r="B47" s="2" t="s">
        <v>4792</v>
      </c>
      <c r="C47" s="2" t="s">
        <v>4793</v>
      </c>
      <c r="D47" s="2" t="s">
        <v>1213</v>
      </c>
      <c r="E47" s="2" t="s">
        <v>1212</v>
      </c>
      <c r="F47" s="2" t="s">
        <v>3814</v>
      </c>
      <c r="G47" s="2" t="s">
        <v>4794</v>
      </c>
      <c r="H47" s="2" t="s">
        <v>4630</v>
      </c>
      <c r="I47" s="2" t="s">
        <v>4631</v>
      </c>
      <c r="J47" s="2" t="s">
        <v>60</v>
      </c>
      <c r="K47" s="2" t="s">
        <v>4613</v>
      </c>
      <c r="L47" s="2" t="s">
        <v>4632</v>
      </c>
      <c r="M47" s="20" t="s">
        <v>4786</v>
      </c>
      <c r="N47" s="2"/>
      <c r="O47" s="2" t="s">
        <v>4795</v>
      </c>
      <c r="P47" s="22">
        <v>44594</v>
      </c>
      <c r="Q47" s="22">
        <v>1.2130000000000001</v>
      </c>
      <c r="R47" s="22">
        <v>-64</v>
      </c>
      <c r="S47" s="2" t="str">
        <f t="shared" si="0"/>
        <v/>
      </c>
    </row>
    <row r="48" spans="1:19" x14ac:dyDescent="0.2">
      <c r="A48" s="2" t="s">
        <v>4796</v>
      </c>
      <c r="B48" s="2" t="s">
        <v>4797</v>
      </c>
      <c r="C48" s="2" t="s">
        <v>4798</v>
      </c>
      <c r="D48" s="2" t="s">
        <v>1204</v>
      </c>
      <c r="E48" s="2" t="s">
        <v>1203</v>
      </c>
      <c r="F48" s="2" t="s">
        <v>3812</v>
      </c>
      <c r="G48" s="2" t="s">
        <v>4799</v>
      </c>
      <c r="H48" s="2" t="s">
        <v>4595</v>
      </c>
      <c r="I48" s="2" t="s">
        <v>4800</v>
      </c>
      <c r="J48" s="2" t="s">
        <v>60</v>
      </c>
      <c r="K48" s="2" t="s">
        <v>4613</v>
      </c>
      <c r="L48" s="2" t="s">
        <v>4614</v>
      </c>
      <c r="M48" s="20" t="s">
        <v>4801</v>
      </c>
      <c r="N48" s="2"/>
      <c r="O48" s="2" t="s">
        <v>4802</v>
      </c>
      <c r="P48" s="22">
        <v>44536</v>
      </c>
      <c r="Q48" s="22">
        <v>4.1360000000000001</v>
      </c>
      <c r="R48" s="22">
        <v>-4</v>
      </c>
      <c r="S48" s="2" t="str">
        <f t="shared" si="0"/>
        <v/>
      </c>
    </row>
    <row r="49" spans="1:19" x14ac:dyDescent="0.2">
      <c r="A49" s="2" t="s">
        <v>4803</v>
      </c>
      <c r="B49" s="2" t="s">
        <v>4804</v>
      </c>
      <c r="C49" s="2" t="s">
        <v>4805</v>
      </c>
      <c r="D49" s="2" t="s">
        <v>1235</v>
      </c>
      <c r="E49" s="2" t="s">
        <v>1028</v>
      </c>
      <c r="F49" s="2" t="s">
        <v>3820</v>
      </c>
      <c r="G49" s="2" t="s">
        <v>4806</v>
      </c>
      <c r="H49" s="2" t="s">
        <v>4630</v>
      </c>
      <c r="I49" s="2" t="s">
        <v>4631</v>
      </c>
      <c r="J49" s="2" t="s">
        <v>60</v>
      </c>
      <c r="K49" s="2" t="s">
        <v>4613</v>
      </c>
      <c r="L49" s="2" t="s">
        <v>4632</v>
      </c>
      <c r="M49" s="20" t="s">
        <v>4807</v>
      </c>
      <c r="N49" s="2"/>
      <c r="O49" s="2" t="s">
        <v>4808</v>
      </c>
      <c r="P49" s="22">
        <v>44649</v>
      </c>
      <c r="Q49" s="22">
        <v>6.944</v>
      </c>
      <c r="R49" s="22">
        <v>-112</v>
      </c>
      <c r="S49" s="2" t="str">
        <f t="shared" si="0"/>
        <v/>
      </c>
    </row>
    <row r="50" spans="1:19" x14ac:dyDescent="0.2">
      <c r="A50" s="2" t="s">
        <v>4809</v>
      </c>
      <c r="B50" s="2" t="s">
        <v>4810</v>
      </c>
      <c r="C50" s="2" t="s">
        <v>4811</v>
      </c>
      <c r="D50" s="2" t="s">
        <v>224</v>
      </c>
      <c r="E50" s="2" t="s">
        <v>1243</v>
      </c>
      <c r="F50" s="2" t="s">
        <v>3822</v>
      </c>
      <c r="G50" s="2" t="s">
        <v>4812</v>
      </c>
      <c r="H50" s="2" t="s">
        <v>4595</v>
      </c>
      <c r="I50" s="2" t="s">
        <v>4621</v>
      </c>
      <c r="J50" s="2" t="s">
        <v>60</v>
      </c>
      <c r="K50" s="2" t="s">
        <v>4622</v>
      </c>
      <c r="L50" s="2" t="s">
        <v>4632</v>
      </c>
      <c r="M50" s="2" t="s">
        <v>4813</v>
      </c>
      <c r="N50" s="2" t="s">
        <v>4679</v>
      </c>
      <c r="O50" s="2" t="s">
        <v>4814</v>
      </c>
      <c r="P50" s="22">
        <v>44545</v>
      </c>
      <c r="Q50" s="22">
        <v>5.542872</v>
      </c>
      <c r="R50" s="22">
        <v>-1</v>
      </c>
      <c r="S50" s="2" t="str">
        <f t="shared" si="0"/>
        <v/>
      </c>
    </row>
    <row r="51" spans="1:19" x14ac:dyDescent="0.2">
      <c r="A51" s="2" t="s">
        <v>4809</v>
      </c>
      <c r="B51" s="2" t="s">
        <v>4810</v>
      </c>
      <c r="C51" s="2" t="s">
        <v>4811</v>
      </c>
      <c r="D51" s="2" t="s">
        <v>224</v>
      </c>
      <c r="E51" s="2" t="s">
        <v>1243</v>
      </c>
      <c r="F51" s="2" t="s">
        <v>3824</v>
      </c>
      <c r="G51" s="2" t="s">
        <v>4815</v>
      </c>
      <c r="H51" s="2" t="s">
        <v>4595</v>
      </c>
      <c r="I51" s="2" t="s">
        <v>4612</v>
      </c>
      <c r="J51" s="2" t="s">
        <v>60</v>
      </c>
      <c r="K51" s="2" t="s">
        <v>4622</v>
      </c>
      <c r="L51" s="2" t="s">
        <v>4632</v>
      </c>
      <c r="M51" s="2" t="s">
        <v>4813</v>
      </c>
      <c r="N51" s="2" t="s">
        <v>4679</v>
      </c>
      <c r="O51" s="2" t="s">
        <v>4816</v>
      </c>
      <c r="P51" s="22">
        <v>44544</v>
      </c>
      <c r="Q51" s="22">
        <v>4.9020000000000001</v>
      </c>
      <c r="R51" s="22">
        <v>0</v>
      </c>
      <c r="S51" s="2">
        <f t="shared" si="0"/>
        <v>4.9020000000000001</v>
      </c>
    </row>
    <row r="52" spans="1:19" x14ac:dyDescent="0.2">
      <c r="A52" s="2" t="s">
        <v>4634</v>
      </c>
      <c r="B52" s="2" t="s">
        <v>4635</v>
      </c>
      <c r="C52" s="2" t="s">
        <v>4817</v>
      </c>
      <c r="D52" s="2" t="s">
        <v>224</v>
      </c>
      <c r="E52" s="2" t="s">
        <v>248</v>
      </c>
      <c r="F52" s="2" t="s">
        <v>3530</v>
      </c>
      <c r="G52" s="2" t="s">
        <v>4818</v>
      </c>
      <c r="H52" s="2" t="s">
        <v>4595</v>
      </c>
      <c r="I52" s="2" t="s">
        <v>4637</v>
      </c>
      <c r="J52" s="2" t="s">
        <v>60</v>
      </c>
      <c r="K52" s="2" t="s">
        <v>4613</v>
      </c>
      <c r="L52" s="2" t="s">
        <v>4638</v>
      </c>
      <c r="M52" s="20" t="s">
        <v>4819</v>
      </c>
      <c r="N52" s="2"/>
      <c r="O52" s="2" t="s">
        <v>4600</v>
      </c>
      <c r="P52" s="61" t="e">
        <v>#N/A</v>
      </c>
      <c r="Q52" s="2"/>
      <c r="R52" s="61" t="e">
        <v>#N/A</v>
      </c>
      <c r="S52" s="2" t="e">
        <f t="shared" si="0"/>
        <v>#N/A</v>
      </c>
    </row>
    <row r="53" spans="1:19" x14ac:dyDescent="0.2">
      <c r="A53" s="2" t="s">
        <v>4820</v>
      </c>
      <c r="B53" s="2" t="s">
        <v>4821</v>
      </c>
      <c r="C53" s="2" t="s">
        <v>4822</v>
      </c>
      <c r="D53" s="2" t="s">
        <v>224</v>
      </c>
      <c r="E53" s="2" t="s">
        <v>1243</v>
      </c>
      <c r="F53" s="2" t="s">
        <v>3826</v>
      </c>
      <c r="G53" s="2" t="s">
        <v>4823</v>
      </c>
      <c r="H53" s="2" t="s">
        <v>4630</v>
      </c>
      <c r="I53" s="2" t="s">
        <v>4631</v>
      </c>
      <c r="J53" s="2" t="s">
        <v>60</v>
      </c>
      <c r="K53" s="2" t="s">
        <v>4613</v>
      </c>
      <c r="L53" s="2" t="s">
        <v>4632</v>
      </c>
      <c r="M53" s="20" t="s">
        <v>4824</v>
      </c>
      <c r="N53" s="2"/>
      <c r="O53" s="2" t="s">
        <v>4825</v>
      </c>
      <c r="P53" s="22">
        <v>44544</v>
      </c>
      <c r="Q53" s="22">
        <v>0.73699999999999999</v>
      </c>
      <c r="R53" s="22">
        <v>0</v>
      </c>
      <c r="S53" s="2">
        <f t="shared" si="0"/>
        <v>0.73699999999999999</v>
      </c>
    </row>
    <row r="54" spans="1:19" x14ac:dyDescent="0.2">
      <c r="A54" s="2" t="s">
        <v>1075</v>
      </c>
      <c r="B54" s="2" t="s">
        <v>4826</v>
      </c>
      <c r="C54" s="2" t="s">
        <v>4827</v>
      </c>
      <c r="D54" s="2" t="s">
        <v>1114</v>
      </c>
      <c r="E54" s="2" t="s">
        <v>936</v>
      </c>
      <c r="F54" s="2" t="s">
        <v>3784</v>
      </c>
      <c r="G54" s="2" t="s">
        <v>4828</v>
      </c>
      <c r="H54" s="2" t="s">
        <v>4595</v>
      </c>
      <c r="I54" s="2" t="s">
        <v>4612</v>
      </c>
      <c r="J54" s="2" t="s">
        <v>60</v>
      </c>
      <c r="K54" s="2" t="s">
        <v>4622</v>
      </c>
      <c r="L54" s="2" t="s">
        <v>4614</v>
      </c>
      <c r="M54" s="2" t="s">
        <v>4829</v>
      </c>
      <c r="N54" s="2" t="s">
        <v>4679</v>
      </c>
      <c r="O54" s="2" t="s">
        <v>4830</v>
      </c>
      <c r="P54" s="22">
        <v>44510</v>
      </c>
      <c r="Q54" s="22">
        <v>2.3889999999999998</v>
      </c>
      <c r="R54" s="22">
        <v>0</v>
      </c>
      <c r="S54" s="2">
        <f t="shared" si="0"/>
        <v>2.3889999999999998</v>
      </c>
    </row>
    <row r="55" spans="1:19" x14ac:dyDescent="0.2">
      <c r="A55" s="2" t="s">
        <v>1431</v>
      </c>
      <c r="B55" s="2" t="s">
        <v>4831</v>
      </c>
      <c r="C55" s="2" t="s">
        <v>4832</v>
      </c>
      <c r="D55" s="2" t="s">
        <v>1436</v>
      </c>
      <c r="E55" s="2" t="s">
        <v>1435</v>
      </c>
      <c r="F55" s="2" t="s">
        <v>3882</v>
      </c>
      <c r="G55" s="2" t="s">
        <v>4833</v>
      </c>
      <c r="H55" s="2" t="s">
        <v>4630</v>
      </c>
      <c r="I55" s="2" t="s">
        <v>4631</v>
      </c>
      <c r="J55" s="2" t="s">
        <v>60</v>
      </c>
      <c r="K55" s="2" t="s">
        <v>4613</v>
      </c>
      <c r="L55" s="2" t="s">
        <v>4632</v>
      </c>
      <c r="M55" s="20" t="s">
        <v>4834</v>
      </c>
      <c r="N55" s="2"/>
      <c r="O55" s="2" t="s">
        <v>4835</v>
      </c>
      <c r="P55" s="22">
        <v>44614</v>
      </c>
      <c r="Q55" s="22">
        <v>1.3280000000000001</v>
      </c>
      <c r="R55" s="22">
        <v>0</v>
      </c>
      <c r="S55" s="2">
        <f t="shared" si="0"/>
        <v>1.3280000000000001</v>
      </c>
    </row>
    <row r="56" spans="1:19" x14ac:dyDescent="0.2">
      <c r="A56" s="2" t="s">
        <v>4836</v>
      </c>
      <c r="B56" s="2" t="s">
        <v>4837</v>
      </c>
      <c r="C56" s="2" t="s">
        <v>4838</v>
      </c>
      <c r="D56" s="2" t="s">
        <v>68</v>
      </c>
      <c r="E56" s="2" t="s">
        <v>1508</v>
      </c>
      <c r="F56" s="2" t="s">
        <v>3905</v>
      </c>
      <c r="G56" s="2" t="s">
        <v>4839</v>
      </c>
      <c r="H56" s="2" t="s">
        <v>4595</v>
      </c>
      <c r="I56" s="2" t="s">
        <v>4612</v>
      </c>
      <c r="J56" s="2" t="s">
        <v>60</v>
      </c>
      <c r="K56" s="2" t="s">
        <v>4622</v>
      </c>
      <c r="L56" s="2" t="s">
        <v>4605</v>
      </c>
      <c r="M56" s="2" t="s">
        <v>4840</v>
      </c>
      <c r="N56" s="2" t="s">
        <v>4616</v>
      </c>
      <c r="O56" s="2" t="s">
        <v>4841</v>
      </c>
      <c r="P56" s="22">
        <v>44657</v>
      </c>
      <c r="Q56" s="22">
        <v>2.2360000000000002</v>
      </c>
      <c r="R56" s="22">
        <v>0</v>
      </c>
      <c r="S56" s="2">
        <f t="shared" si="0"/>
        <v>2.2360000000000002</v>
      </c>
    </row>
    <row r="57" spans="1:19" x14ac:dyDescent="0.2">
      <c r="A57" s="2" t="s">
        <v>1550</v>
      </c>
      <c r="B57" s="2" t="s">
        <v>4842</v>
      </c>
      <c r="C57" s="2" t="s">
        <v>4843</v>
      </c>
      <c r="D57" s="2" t="s">
        <v>1556</v>
      </c>
      <c r="E57" s="2" t="s">
        <v>1555</v>
      </c>
      <c r="F57" s="2" t="s">
        <v>3917</v>
      </c>
      <c r="G57" s="2" t="s">
        <v>4844</v>
      </c>
      <c r="H57" s="2" t="s">
        <v>4595</v>
      </c>
      <c r="I57" s="2" t="s">
        <v>4845</v>
      </c>
      <c r="J57" s="2" t="s">
        <v>60</v>
      </c>
      <c r="K57" s="2" t="s">
        <v>4613</v>
      </c>
      <c r="L57" s="2" t="s">
        <v>4614</v>
      </c>
      <c r="M57" s="20" t="s">
        <v>4846</v>
      </c>
      <c r="N57" s="2"/>
      <c r="O57" s="2" t="s">
        <v>4600</v>
      </c>
      <c r="P57" s="20" t="s">
        <v>4847</v>
      </c>
      <c r="Q57" s="2"/>
      <c r="R57" s="61" t="e">
        <v>#VALUE!</v>
      </c>
      <c r="S57" s="2" t="e">
        <f t="shared" si="0"/>
        <v>#VALUE!</v>
      </c>
    </row>
    <row r="58" spans="1:19" x14ac:dyDescent="0.2">
      <c r="A58" s="2" t="s">
        <v>1058</v>
      </c>
      <c r="B58" s="2" t="s">
        <v>4848</v>
      </c>
      <c r="C58" s="2" t="s">
        <v>4682</v>
      </c>
      <c r="D58" s="2" t="s">
        <v>1048</v>
      </c>
      <c r="E58" s="2" t="s">
        <v>1047</v>
      </c>
      <c r="F58" s="2" t="s">
        <v>3770</v>
      </c>
      <c r="G58" s="2" t="s">
        <v>4849</v>
      </c>
      <c r="H58" s="2" t="s">
        <v>4620</v>
      </c>
      <c r="I58" s="2" t="s">
        <v>4621</v>
      </c>
      <c r="J58" s="2" t="s">
        <v>60</v>
      </c>
      <c r="K58" s="2" t="s">
        <v>4622</v>
      </c>
      <c r="L58" s="2" t="s">
        <v>4614</v>
      </c>
      <c r="M58" s="2" t="s">
        <v>4850</v>
      </c>
      <c r="N58" s="2" t="s">
        <v>4679</v>
      </c>
      <c r="O58" s="2" t="s">
        <v>4851</v>
      </c>
      <c r="P58" s="22">
        <v>44509</v>
      </c>
      <c r="Q58" s="22">
        <v>4.4272</v>
      </c>
      <c r="R58" s="22">
        <v>0</v>
      </c>
      <c r="S58" s="2">
        <f t="shared" si="0"/>
        <v>4.4272</v>
      </c>
    </row>
    <row r="59" spans="1:19" x14ac:dyDescent="0.2">
      <c r="A59" s="2" t="s">
        <v>1042</v>
      </c>
      <c r="B59" s="2" t="s">
        <v>4852</v>
      </c>
      <c r="C59" s="2" t="s">
        <v>4853</v>
      </c>
      <c r="D59" s="2" t="s">
        <v>1048</v>
      </c>
      <c r="E59" s="2" t="s">
        <v>1047</v>
      </c>
      <c r="F59" s="2" t="s">
        <v>3764</v>
      </c>
      <c r="G59" s="2" t="s">
        <v>4854</v>
      </c>
      <c r="H59" s="2" t="s">
        <v>4595</v>
      </c>
      <c r="I59" s="2" t="s">
        <v>4612</v>
      </c>
      <c r="J59" s="2" t="s">
        <v>60</v>
      </c>
      <c r="K59" s="2" t="s">
        <v>4622</v>
      </c>
      <c r="L59" s="2" t="s">
        <v>4614</v>
      </c>
      <c r="M59" s="2" t="s">
        <v>4855</v>
      </c>
      <c r="N59" s="2" t="s">
        <v>4679</v>
      </c>
      <c r="O59" s="2" t="s">
        <v>4856</v>
      </c>
      <c r="P59" s="22">
        <v>44509</v>
      </c>
      <c r="Q59" s="22">
        <v>3.7189999999999999</v>
      </c>
      <c r="R59" s="22">
        <v>0</v>
      </c>
      <c r="S59" s="2">
        <f t="shared" si="0"/>
        <v>3.7189999999999999</v>
      </c>
    </row>
    <row r="60" spans="1:19" x14ac:dyDescent="0.2">
      <c r="A60" s="2" t="s">
        <v>590</v>
      </c>
      <c r="B60" s="2" t="s">
        <v>4857</v>
      </c>
      <c r="C60" s="2" t="s">
        <v>4779</v>
      </c>
      <c r="D60" s="2" t="s">
        <v>597</v>
      </c>
      <c r="E60" s="2" t="s">
        <v>596</v>
      </c>
      <c r="F60" s="2" t="s">
        <v>3629</v>
      </c>
      <c r="G60" s="2" t="s">
        <v>4858</v>
      </c>
      <c r="H60" s="2" t="s">
        <v>4595</v>
      </c>
      <c r="I60" s="2" t="s">
        <v>4612</v>
      </c>
      <c r="J60" s="2" t="s">
        <v>60</v>
      </c>
      <c r="K60" s="2" t="s">
        <v>4622</v>
      </c>
      <c r="L60" s="2" t="s">
        <v>4614</v>
      </c>
      <c r="M60" s="2" t="s">
        <v>4859</v>
      </c>
      <c r="N60" s="2" t="s">
        <v>4616</v>
      </c>
      <c r="O60" s="2" t="s">
        <v>4860</v>
      </c>
      <c r="P60" s="22">
        <v>44350</v>
      </c>
      <c r="Q60" s="22">
        <v>1.821</v>
      </c>
      <c r="R60" s="22">
        <v>0</v>
      </c>
      <c r="S60" s="2">
        <f t="shared" si="0"/>
        <v>1.821</v>
      </c>
    </row>
    <row r="61" spans="1:19" x14ac:dyDescent="0.2">
      <c r="A61" s="2" t="s">
        <v>4608</v>
      </c>
      <c r="B61" s="2" t="s">
        <v>4609</v>
      </c>
      <c r="C61" s="2" t="s">
        <v>4861</v>
      </c>
      <c r="D61" s="2" t="s">
        <v>646</v>
      </c>
      <c r="E61" s="2" t="s">
        <v>1692</v>
      </c>
      <c r="F61" s="2" t="s">
        <v>3956</v>
      </c>
      <c r="G61" s="2" t="s">
        <v>4862</v>
      </c>
      <c r="H61" s="2" t="s">
        <v>4595</v>
      </c>
      <c r="I61" s="2" t="s">
        <v>4612</v>
      </c>
      <c r="J61" s="2" t="s">
        <v>60</v>
      </c>
      <c r="K61" s="2" t="s">
        <v>4622</v>
      </c>
      <c r="L61" s="2" t="s">
        <v>4614</v>
      </c>
      <c r="M61" s="2" t="s">
        <v>4615</v>
      </c>
      <c r="N61" s="2" t="s">
        <v>4616</v>
      </c>
      <c r="O61" s="2" t="s">
        <v>4863</v>
      </c>
      <c r="P61" s="22">
        <v>43755</v>
      </c>
      <c r="Q61" s="22">
        <v>0.50600000000000001</v>
      </c>
      <c r="R61" s="22">
        <v>0</v>
      </c>
      <c r="S61" s="2">
        <f t="shared" si="0"/>
        <v>0.50600000000000001</v>
      </c>
    </row>
    <row r="62" spans="1:19" x14ac:dyDescent="0.2">
      <c r="A62" s="2" t="s">
        <v>4608</v>
      </c>
      <c r="B62" s="2" t="s">
        <v>4609</v>
      </c>
      <c r="C62" s="2" t="s">
        <v>4610</v>
      </c>
      <c r="D62" s="2" t="s">
        <v>646</v>
      </c>
      <c r="E62" s="2" t="s">
        <v>645</v>
      </c>
      <c r="F62" s="2" t="s">
        <v>3639</v>
      </c>
      <c r="G62" s="2" t="s">
        <v>4864</v>
      </c>
      <c r="H62" s="2" t="s">
        <v>4595</v>
      </c>
      <c r="I62" s="2" t="s">
        <v>4612</v>
      </c>
      <c r="J62" s="2" t="s">
        <v>60</v>
      </c>
      <c r="K62" s="2" t="s">
        <v>4622</v>
      </c>
      <c r="L62" s="2" t="s">
        <v>4614</v>
      </c>
      <c r="M62" s="2" t="s">
        <v>4615</v>
      </c>
      <c r="N62" s="2" t="s">
        <v>4616</v>
      </c>
      <c r="O62" s="2" t="s">
        <v>4865</v>
      </c>
      <c r="P62" s="22">
        <v>44364</v>
      </c>
      <c r="Q62" s="22">
        <v>0.11899999999999999</v>
      </c>
      <c r="R62" s="22">
        <v>0</v>
      </c>
      <c r="S62" s="2">
        <f t="shared" si="0"/>
        <v>0.11899999999999999</v>
      </c>
    </row>
    <row r="63" spans="1:19" x14ac:dyDescent="0.2">
      <c r="A63" s="2" t="s">
        <v>740</v>
      </c>
      <c r="B63" s="2" t="s">
        <v>4866</v>
      </c>
      <c r="C63" s="2" t="s">
        <v>4867</v>
      </c>
      <c r="D63" s="2" t="s">
        <v>743</v>
      </c>
      <c r="E63" s="2" t="s">
        <v>730</v>
      </c>
      <c r="F63" s="2" t="s">
        <v>3672</v>
      </c>
      <c r="G63" s="2" t="s">
        <v>4868</v>
      </c>
      <c r="H63" s="2" t="s">
        <v>4595</v>
      </c>
      <c r="I63" s="2" t="s">
        <v>4612</v>
      </c>
      <c r="J63" s="2" t="s">
        <v>60</v>
      </c>
      <c r="K63" s="2" t="s">
        <v>4622</v>
      </c>
      <c r="L63" s="2" t="s">
        <v>4614</v>
      </c>
      <c r="M63" s="2" t="s">
        <v>4869</v>
      </c>
      <c r="N63" s="2" t="s">
        <v>4679</v>
      </c>
      <c r="O63" s="2" t="s">
        <v>4870</v>
      </c>
      <c r="P63" s="22">
        <v>44384</v>
      </c>
      <c r="Q63" s="22">
        <v>5.2610000000000001</v>
      </c>
      <c r="R63" s="22">
        <v>0</v>
      </c>
      <c r="S63" s="2">
        <f t="shared" si="0"/>
        <v>5.2610000000000001</v>
      </c>
    </row>
    <row r="64" spans="1:19" x14ac:dyDescent="0.2">
      <c r="A64" s="2" t="s">
        <v>740</v>
      </c>
      <c r="B64" s="2" t="s">
        <v>4866</v>
      </c>
      <c r="C64" s="2" t="s">
        <v>4867</v>
      </c>
      <c r="D64" s="2" t="s">
        <v>743</v>
      </c>
      <c r="E64" s="2" t="s">
        <v>730</v>
      </c>
      <c r="F64" s="2" t="s">
        <v>3666</v>
      </c>
      <c r="G64" s="2" t="s">
        <v>4871</v>
      </c>
      <c r="H64" s="2" t="s">
        <v>4595</v>
      </c>
      <c r="I64" s="2" t="s">
        <v>4621</v>
      </c>
      <c r="J64" s="2" t="s">
        <v>60</v>
      </c>
      <c r="K64" s="2" t="s">
        <v>4622</v>
      </c>
      <c r="L64" s="2" t="s">
        <v>4614</v>
      </c>
      <c r="M64" s="2" t="s">
        <v>4869</v>
      </c>
      <c r="N64" s="2" t="s">
        <v>4679</v>
      </c>
      <c r="O64" s="2" t="s">
        <v>4872</v>
      </c>
      <c r="P64" s="22">
        <v>44384</v>
      </c>
      <c r="Q64" s="22">
        <v>5.1890000000000001</v>
      </c>
      <c r="R64" s="22">
        <v>0</v>
      </c>
      <c r="S64" s="2">
        <f t="shared" si="0"/>
        <v>5.1890000000000001</v>
      </c>
    </row>
    <row r="65" spans="1:19" x14ac:dyDescent="0.2">
      <c r="A65" s="2" t="s">
        <v>1421</v>
      </c>
      <c r="B65" s="2" t="s">
        <v>4873</v>
      </c>
      <c r="C65" s="2" t="s">
        <v>4874</v>
      </c>
      <c r="D65" s="2" t="s">
        <v>1426</v>
      </c>
      <c r="E65" s="2" t="s">
        <v>1425</v>
      </c>
      <c r="F65" s="2" t="s">
        <v>3878</v>
      </c>
      <c r="G65" s="2" t="s">
        <v>4875</v>
      </c>
      <c r="H65" s="2" t="s">
        <v>4595</v>
      </c>
      <c r="I65" s="2" t="s">
        <v>4612</v>
      </c>
      <c r="J65" s="2" t="s">
        <v>60</v>
      </c>
      <c r="K65" s="2" t="s">
        <v>4622</v>
      </c>
      <c r="L65" s="2" t="s">
        <v>4614</v>
      </c>
      <c r="M65" s="2" t="s">
        <v>4687</v>
      </c>
      <c r="N65" s="2" t="s">
        <v>4679</v>
      </c>
      <c r="O65" s="2" t="s">
        <v>4876</v>
      </c>
      <c r="P65" s="22">
        <v>44602</v>
      </c>
      <c r="Q65" s="22">
        <v>5.9459999999999997</v>
      </c>
      <c r="R65" s="22">
        <v>0</v>
      </c>
      <c r="S65" s="2">
        <f t="shared" si="0"/>
        <v>5.9459999999999997</v>
      </c>
    </row>
    <row r="66" spans="1:19" x14ac:dyDescent="0.2">
      <c r="A66" s="2" t="s">
        <v>1421</v>
      </c>
      <c r="B66" s="2" t="s">
        <v>4873</v>
      </c>
      <c r="C66" s="2" t="s">
        <v>4874</v>
      </c>
      <c r="D66" s="2" t="s">
        <v>1426</v>
      </c>
      <c r="E66" s="2" t="s">
        <v>1425</v>
      </c>
      <c r="F66" s="2" t="s">
        <v>3880</v>
      </c>
      <c r="G66" s="2" t="s">
        <v>4877</v>
      </c>
      <c r="H66" s="2" t="s">
        <v>4595</v>
      </c>
      <c r="I66" s="2" t="s">
        <v>4621</v>
      </c>
      <c r="J66" s="2" t="s">
        <v>60</v>
      </c>
      <c r="K66" s="2" t="s">
        <v>4622</v>
      </c>
      <c r="L66" s="2" t="s">
        <v>4614</v>
      </c>
      <c r="M66" s="2" t="s">
        <v>4687</v>
      </c>
      <c r="N66" s="2" t="s">
        <v>4679</v>
      </c>
      <c r="O66" s="2" t="s">
        <v>4878</v>
      </c>
      <c r="P66" s="22">
        <v>44608</v>
      </c>
      <c r="Q66" s="22">
        <v>5.7009999999999996</v>
      </c>
      <c r="R66" s="22">
        <v>-6</v>
      </c>
      <c r="S66" s="2" t="str">
        <f t="shared" si="0"/>
        <v/>
      </c>
    </row>
    <row r="67" spans="1:19" x14ac:dyDescent="0.2">
      <c r="A67" s="2" t="s">
        <v>4608</v>
      </c>
      <c r="B67" s="2" t="s">
        <v>4609</v>
      </c>
      <c r="C67" s="2" t="s">
        <v>4789</v>
      </c>
      <c r="D67" s="2" t="s">
        <v>1651</v>
      </c>
      <c r="E67" s="2" t="s">
        <v>1650</v>
      </c>
      <c r="F67" s="2" t="s">
        <v>3945</v>
      </c>
      <c r="G67" s="2" t="s">
        <v>4879</v>
      </c>
      <c r="H67" s="2" t="s">
        <v>4880</v>
      </c>
      <c r="I67" s="2" t="s">
        <v>4612</v>
      </c>
      <c r="J67" s="2" t="s">
        <v>60</v>
      </c>
      <c r="K67" s="2" t="s">
        <v>4622</v>
      </c>
      <c r="L67" s="2" t="s">
        <v>4614</v>
      </c>
      <c r="M67" s="2" t="s">
        <v>4881</v>
      </c>
      <c r="N67" s="2" t="s">
        <v>4616</v>
      </c>
      <c r="O67" s="2" t="s">
        <v>4882</v>
      </c>
      <c r="P67" s="22">
        <v>44124</v>
      </c>
      <c r="Q67" s="22">
        <v>0.90500000000000003</v>
      </c>
      <c r="R67" s="22">
        <v>0</v>
      </c>
      <c r="S67" s="2">
        <f t="shared" si="0"/>
        <v>0.90500000000000003</v>
      </c>
    </row>
    <row r="68" spans="1:19" x14ac:dyDescent="0.2">
      <c r="A68" s="2" t="s">
        <v>988</v>
      </c>
      <c r="B68" s="2" t="s">
        <v>4883</v>
      </c>
      <c r="C68" s="2" t="s">
        <v>4884</v>
      </c>
      <c r="D68" s="2" t="s">
        <v>992</v>
      </c>
      <c r="E68" s="2" t="s">
        <v>936</v>
      </c>
      <c r="F68" s="2" t="s">
        <v>3751</v>
      </c>
      <c r="G68" s="2" t="s">
        <v>4885</v>
      </c>
      <c r="H68" s="2" t="s">
        <v>4595</v>
      </c>
      <c r="I68" s="2" t="s">
        <v>4612</v>
      </c>
      <c r="J68" s="2" t="s">
        <v>60</v>
      </c>
      <c r="K68" s="2" t="s">
        <v>4622</v>
      </c>
      <c r="L68" s="2" t="s">
        <v>4614</v>
      </c>
      <c r="M68" s="20" t="s">
        <v>4886</v>
      </c>
      <c r="N68" s="2"/>
      <c r="O68" s="2" t="s">
        <v>4887</v>
      </c>
      <c r="P68" s="22">
        <v>44641</v>
      </c>
      <c r="Q68" s="22">
        <v>2.38</v>
      </c>
      <c r="R68" s="22">
        <v>-131</v>
      </c>
      <c r="S68" s="2" t="str">
        <f t="shared" si="0"/>
        <v/>
      </c>
    </row>
    <row r="69" spans="1:19" x14ac:dyDescent="0.2">
      <c r="A69" s="2" t="s">
        <v>231</v>
      </c>
      <c r="B69" s="2" t="s">
        <v>4888</v>
      </c>
      <c r="C69" s="2" t="s">
        <v>4889</v>
      </c>
      <c r="D69" s="2" t="s">
        <v>236</v>
      </c>
      <c r="E69" s="2" t="s">
        <v>235</v>
      </c>
      <c r="F69" s="2" t="s">
        <v>3532</v>
      </c>
      <c r="G69" s="2" t="s">
        <v>4890</v>
      </c>
      <c r="H69" s="2" t="s">
        <v>4595</v>
      </c>
      <c r="I69" s="2" t="s">
        <v>4710</v>
      </c>
      <c r="J69" s="2" t="s">
        <v>60</v>
      </c>
      <c r="K69" s="2" t="s">
        <v>4613</v>
      </c>
      <c r="L69" s="2" t="s">
        <v>4614</v>
      </c>
      <c r="M69" s="20" t="s">
        <v>4891</v>
      </c>
      <c r="N69" s="2"/>
      <c r="O69" s="2" t="s">
        <v>4600</v>
      </c>
      <c r="P69" s="61" t="e">
        <v>#N/A</v>
      </c>
      <c r="Q69" s="2"/>
      <c r="R69" s="61" t="e">
        <v>#N/A</v>
      </c>
      <c r="S69" s="2" t="e">
        <f t="shared" si="0"/>
        <v>#N/A</v>
      </c>
    </row>
    <row r="70" spans="1:19" x14ac:dyDescent="0.2">
      <c r="A70" s="2" t="s">
        <v>4892</v>
      </c>
      <c r="B70" s="2" t="s">
        <v>4893</v>
      </c>
      <c r="C70" s="2" t="s">
        <v>4894</v>
      </c>
      <c r="D70" s="2" t="s">
        <v>201</v>
      </c>
      <c r="E70" s="2" t="s">
        <v>200</v>
      </c>
      <c r="F70" s="2" t="s">
        <v>3526</v>
      </c>
      <c r="G70" s="2" t="s">
        <v>4895</v>
      </c>
      <c r="H70" s="2" t="s">
        <v>4595</v>
      </c>
      <c r="I70" s="2" t="s">
        <v>4612</v>
      </c>
      <c r="J70" s="2" t="s">
        <v>60</v>
      </c>
      <c r="K70" s="2" t="s">
        <v>4622</v>
      </c>
      <c r="L70" s="2" t="s">
        <v>4614</v>
      </c>
      <c r="M70" s="20" t="s">
        <v>4606</v>
      </c>
      <c r="N70" s="2"/>
      <c r="O70" s="2" t="s">
        <v>4896</v>
      </c>
      <c r="P70" s="22">
        <v>44174</v>
      </c>
      <c r="Q70" s="22">
        <v>3.19</v>
      </c>
      <c r="R70" s="22">
        <v>0</v>
      </c>
      <c r="S70" s="2">
        <f t="shared" si="0"/>
        <v>3.19</v>
      </c>
    </row>
    <row r="71" spans="1:19" x14ac:dyDescent="0.2">
      <c r="A71" s="2" t="s">
        <v>774</v>
      </c>
      <c r="B71" s="2" t="s">
        <v>4897</v>
      </c>
      <c r="C71" s="2" t="s">
        <v>4898</v>
      </c>
      <c r="D71" s="2" t="s">
        <v>1464</v>
      </c>
      <c r="E71" s="2" t="s">
        <v>1463</v>
      </c>
      <c r="F71" s="2" t="s">
        <v>3890</v>
      </c>
      <c r="G71" s="2" t="s">
        <v>4899</v>
      </c>
      <c r="H71" s="2" t="s">
        <v>4595</v>
      </c>
      <c r="I71" s="2" t="s">
        <v>4612</v>
      </c>
      <c r="J71" s="2" t="s">
        <v>60</v>
      </c>
      <c r="K71" s="2" t="s">
        <v>4622</v>
      </c>
      <c r="L71" s="2" t="s">
        <v>4614</v>
      </c>
      <c r="M71" s="2" t="s">
        <v>4900</v>
      </c>
      <c r="N71" s="2" t="s">
        <v>4616</v>
      </c>
      <c r="O71" s="2" t="s">
        <v>4901</v>
      </c>
      <c r="P71" s="22">
        <v>44636</v>
      </c>
      <c r="Q71" s="22">
        <v>1.6839139999999999</v>
      </c>
      <c r="R71" s="22">
        <v>0</v>
      </c>
      <c r="S71" s="2">
        <f t="shared" si="0"/>
        <v>1.6839139999999999</v>
      </c>
    </row>
    <row r="72" spans="1:19" x14ac:dyDescent="0.2">
      <c r="A72" s="2" t="s">
        <v>4902</v>
      </c>
      <c r="B72" s="2" t="s">
        <v>4903</v>
      </c>
      <c r="C72" s="2" t="s">
        <v>4779</v>
      </c>
      <c r="D72" s="2" t="s">
        <v>1470</v>
      </c>
      <c r="E72" s="2" t="s">
        <v>1469</v>
      </c>
      <c r="F72" s="2" t="s">
        <v>3892</v>
      </c>
      <c r="G72" s="2" t="s">
        <v>4904</v>
      </c>
      <c r="H72" s="2" t="s">
        <v>4595</v>
      </c>
      <c r="I72" s="2" t="s">
        <v>4612</v>
      </c>
      <c r="J72" s="2" t="s">
        <v>60</v>
      </c>
      <c r="K72" s="2" t="s">
        <v>4622</v>
      </c>
      <c r="L72" s="2" t="s">
        <v>4614</v>
      </c>
      <c r="M72" s="2" t="s">
        <v>4840</v>
      </c>
      <c r="N72" s="2" t="s">
        <v>4616</v>
      </c>
      <c r="O72" s="2" t="s">
        <v>4905</v>
      </c>
      <c r="P72" s="22">
        <v>44642</v>
      </c>
      <c r="Q72" s="22">
        <v>1.8420000000000001</v>
      </c>
      <c r="R72" s="22">
        <v>0</v>
      </c>
      <c r="S72" s="2">
        <f t="shared" si="0"/>
        <v>1.8420000000000001</v>
      </c>
    </row>
    <row r="73" spans="1:19" x14ac:dyDescent="0.2">
      <c r="A73" s="2" t="s">
        <v>557</v>
      </c>
      <c r="B73" s="2" t="s">
        <v>4906</v>
      </c>
      <c r="C73" s="2" t="s">
        <v>4838</v>
      </c>
      <c r="D73" s="2" t="s">
        <v>1509</v>
      </c>
      <c r="E73" s="2" t="s">
        <v>1508</v>
      </c>
      <c r="F73" s="2" t="s">
        <v>3903</v>
      </c>
      <c r="G73" s="2" t="s">
        <v>4907</v>
      </c>
      <c r="H73" s="2" t="s">
        <v>4595</v>
      </c>
      <c r="I73" s="2" t="s">
        <v>4612</v>
      </c>
      <c r="J73" s="2" t="s">
        <v>60</v>
      </c>
      <c r="K73" s="2" t="s">
        <v>4622</v>
      </c>
      <c r="L73" s="2" t="s">
        <v>4614</v>
      </c>
      <c r="M73" s="2" t="s">
        <v>4730</v>
      </c>
      <c r="N73" s="2" t="s">
        <v>4616</v>
      </c>
      <c r="O73" s="2" t="s">
        <v>4908</v>
      </c>
      <c r="P73" s="22">
        <v>44657</v>
      </c>
      <c r="Q73" s="22">
        <v>2.3410000000000002</v>
      </c>
      <c r="R73" s="22">
        <v>0</v>
      </c>
      <c r="S73" s="2">
        <f t="shared" si="0"/>
        <v>2.3410000000000002</v>
      </c>
    </row>
    <row r="74" spans="1:19" x14ac:dyDescent="0.2">
      <c r="A74" s="2" t="s">
        <v>4909</v>
      </c>
      <c r="B74" s="2" t="s">
        <v>4910</v>
      </c>
      <c r="C74" s="2" t="s">
        <v>4911</v>
      </c>
      <c r="D74" s="2" t="s">
        <v>438</v>
      </c>
      <c r="E74" s="2" t="s">
        <v>437</v>
      </c>
      <c r="F74" s="2" t="s">
        <v>3585</v>
      </c>
      <c r="G74" s="2" t="s">
        <v>4912</v>
      </c>
      <c r="H74" s="2" t="s">
        <v>4595</v>
      </c>
      <c r="I74" s="2" t="s">
        <v>4612</v>
      </c>
      <c r="J74" s="2" t="s">
        <v>60</v>
      </c>
      <c r="K74" s="2" t="s">
        <v>4622</v>
      </c>
      <c r="L74" s="2" t="s">
        <v>4614</v>
      </c>
      <c r="M74" s="2" t="s">
        <v>4913</v>
      </c>
      <c r="N74" s="2" t="s">
        <v>4679</v>
      </c>
      <c r="O74" s="2" t="s">
        <v>4914</v>
      </c>
      <c r="P74" s="22">
        <v>44292</v>
      </c>
      <c r="Q74" s="22">
        <v>2.2989999999999999</v>
      </c>
      <c r="R74" s="22">
        <v>0</v>
      </c>
      <c r="S74" s="2">
        <f t="shared" si="0"/>
        <v>2.2989999999999999</v>
      </c>
    </row>
    <row r="75" spans="1:19" x14ac:dyDescent="0.2">
      <c r="A75" s="2" t="s">
        <v>4909</v>
      </c>
      <c r="B75" s="2" t="s">
        <v>4910</v>
      </c>
      <c r="C75" s="2" t="s">
        <v>4911</v>
      </c>
      <c r="D75" s="2" t="s">
        <v>438</v>
      </c>
      <c r="E75" s="2" t="s">
        <v>437</v>
      </c>
      <c r="F75" s="2" t="s">
        <v>3581</v>
      </c>
      <c r="G75" s="2" t="s">
        <v>4915</v>
      </c>
      <c r="H75" s="2" t="s">
        <v>4595</v>
      </c>
      <c r="I75" s="2" t="s">
        <v>4621</v>
      </c>
      <c r="J75" s="2" t="s">
        <v>60</v>
      </c>
      <c r="K75" s="2" t="s">
        <v>4622</v>
      </c>
      <c r="L75" s="2" t="s">
        <v>4614</v>
      </c>
      <c r="M75" s="2" t="s">
        <v>4913</v>
      </c>
      <c r="N75" s="2" t="s">
        <v>4679</v>
      </c>
      <c r="O75" s="2" t="s">
        <v>4916</v>
      </c>
      <c r="P75" s="22">
        <v>44292</v>
      </c>
      <c r="Q75" s="22">
        <v>2.278</v>
      </c>
      <c r="R75" s="22">
        <v>0</v>
      </c>
      <c r="S75" s="2">
        <f t="shared" si="0"/>
        <v>2.278</v>
      </c>
    </row>
    <row r="76" spans="1:19" x14ac:dyDescent="0.2">
      <c r="A76" s="2" t="s">
        <v>4917</v>
      </c>
      <c r="B76" s="2" t="s">
        <v>4918</v>
      </c>
      <c r="C76" s="2" t="s">
        <v>4919</v>
      </c>
      <c r="D76" s="2" t="s">
        <v>542</v>
      </c>
      <c r="E76" s="2" t="s">
        <v>541</v>
      </c>
      <c r="F76" s="2" t="s">
        <v>3613</v>
      </c>
      <c r="G76" s="2" t="s">
        <v>4920</v>
      </c>
      <c r="H76" s="2" t="s">
        <v>4620</v>
      </c>
      <c r="I76" s="2" t="s">
        <v>4621</v>
      </c>
      <c r="J76" s="2" t="s">
        <v>60</v>
      </c>
      <c r="K76" s="2" t="s">
        <v>4622</v>
      </c>
      <c r="L76" s="2" t="s">
        <v>4614</v>
      </c>
      <c r="M76" s="2" t="s">
        <v>4921</v>
      </c>
      <c r="N76" s="2" t="s">
        <v>4679</v>
      </c>
      <c r="O76" s="2" t="s">
        <v>4922</v>
      </c>
      <c r="P76" s="22">
        <v>44323</v>
      </c>
      <c r="Q76" s="22">
        <v>5.2374000000000001</v>
      </c>
      <c r="R76" s="22">
        <v>0</v>
      </c>
      <c r="S76" s="2">
        <f t="shared" si="0"/>
        <v>5.2374000000000001</v>
      </c>
    </row>
    <row r="77" spans="1:19" x14ac:dyDescent="0.2">
      <c r="A77" s="2" t="s">
        <v>4917</v>
      </c>
      <c r="B77" s="2" t="s">
        <v>4918</v>
      </c>
      <c r="C77" s="2" t="s">
        <v>4919</v>
      </c>
      <c r="D77" s="2" t="s">
        <v>542</v>
      </c>
      <c r="E77" s="2" t="s">
        <v>541</v>
      </c>
      <c r="F77" s="2" t="s">
        <v>3615</v>
      </c>
      <c r="G77" s="2" t="s">
        <v>4923</v>
      </c>
      <c r="H77" s="2" t="s">
        <v>4620</v>
      </c>
      <c r="I77" s="2" t="s">
        <v>4612</v>
      </c>
      <c r="J77" s="2" t="s">
        <v>60</v>
      </c>
      <c r="K77" s="2" t="s">
        <v>4622</v>
      </c>
      <c r="L77" s="2" t="s">
        <v>4614</v>
      </c>
      <c r="M77" s="2" t="s">
        <v>4921</v>
      </c>
      <c r="N77" s="2" t="s">
        <v>4679</v>
      </c>
      <c r="O77" s="2" t="s">
        <v>4924</v>
      </c>
      <c r="P77" s="22">
        <v>44323</v>
      </c>
      <c r="Q77" s="22">
        <v>5.2370000000000001</v>
      </c>
      <c r="R77" s="22">
        <v>0</v>
      </c>
      <c r="S77" s="2">
        <f t="shared" si="0"/>
        <v>5.2370000000000001</v>
      </c>
    </row>
    <row r="78" spans="1:19" x14ac:dyDescent="0.2">
      <c r="A78" s="2" t="s">
        <v>4925</v>
      </c>
      <c r="B78" s="2" t="s">
        <v>4926</v>
      </c>
      <c r="C78" s="2" t="s">
        <v>4699</v>
      </c>
      <c r="D78" s="2" t="s">
        <v>577</v>
      </c>
      <c r="E78" s="2" t="s">
        <v>512</v>
      </c>
      <c r="F78" s="2" t="s">
        <v>3623</v>
      </c>
      <c r="G78" s="2" t="s">
        <v>4927</v>
      </c>
      <c r="H78" s="2" t="s">
        <v>4595</v>
      </c>
      <c r="I78" s="2" t="s">
        <v>4710</v>
      </c>
      <c r="J78" s="2" t="s">
        <v>60</v>
      </c>
      <c r="K78" s="2" t="s">
        <v>4613</v>
      </c>
      <c r="L78" s="2" t="s">
        <v>4614</v>
      </c>
      <c r="M78" s="2" t="s">
        <v>4900</v>
      </c>
      <c r="N78" s="2" t="s">
        <v>4679</v>
      </c>
      <c r="O78" s="2" t="s">
        <v>4928</v>
      </c>
      <c r="P78" s="22">
        <v>44330</v>
      </c>
      <c r="Q78" s="22">
        <v>1.63</v>
      </c>
      <c r="R78" s="22">
        <v>0</v>
      </c>
      <c r="S78" s="2">
        <f t="shared" si="0"/>
        <v>1.63</v>
      </c>
    </row>
    <row r="79" spans="1:19" x14ac:dyDescent="0.2">
      <c r="A79" s="2" t="s">
        <v>4929</v>
      </c>
      <c r="B79" s="2" t="s">
        <v>4930</v>
      </c>
      <c r="C79" s="2" t="s">
        <v>4682</v>
      </c>
      <c r="D79" s="2" t="s">
        <v>513</v>
      </c>
      <c r="E79" s="2" t="s">
        <v>512</v>
      </c>
      <c r="F79" s="2" t="s">
        <v>3603</v>
      </c>
      <c r="G79" s="2" t="s">
        <v>4931</v>
      </c>
      <c r="H79" s="2" t="s">
        <v>4620</v>
      </c>
      <c r="I79" s="2" t="s">
        <v>4621</v>
      </c>
      <c r="J79" s="2" t="s">
        <v>60</v>
      </c>
      <c r="K79" s="2" t="s">
        <v>4622</v>
      </c>
      <c r="L79" s="2" t="s">
        <v>4614</v>
      </c>
      <c r="M79" s="2" t="s">
        <v>4932</v>
      </c>
      <c r="N79" s="2" t="s">
        <v>4679</v>
      </c>
      <c r="O79" s="2" t="s">
        <v>4933</v>
      </c>
      <c r="P79" s="22">
        <v>44330</v>
      </c>
      <c r="Q79" s="22">
        <v>4.3559999999999999</v>
      </c>
      <c r="R79" s="22">
        <v>0</v>
      </c>
      <c r="S79" s="2">
        <f t="shared" si="0"/>
        <v>4.3559999999999999</v>
      </c>
    </row>
    <row r="80" spans="1:19" x14ac:dyDescent="0.2">
      <c r="A80" s="2" t="s">
        <v>4929</v>
      </c>
      <c r="B80" s="2" t="s">
        <v>4930</v>
      </c>
      <c r="C80" s="2" t="s">
        <v>4682</v>
      </c>
      <c r="D80" s="2" t="s">
        <v>513</v>
      </c>
      <c r="E80" s="2" t="s">
        <v>512</v>
      </c>
      <c r="F80" s="2" t="s">
        <v>3607</v>
      </c>
      <c r="G80" s="2" t="s">
        <v>4934</v>
      </c>
      <c r="H80" s="2" t="s">
        <v>4620</v>
      </c>
      <c r="I80" s="2" t="s">
        <v>4612</v>
      </c>
      <c r="J80" s="2" t="s">
        <v>60</v>
      </c>
      <c r="K80" s="2" t="s">
        <v>4622</v>
      </c>
      <c r="L80" s="2" t="s">
        <v>4614</v>
      </c>
      <c r="M80" s="2" t="s">
        <v>4932</v>
      </c>
      <c r="N80" s="2" t="s">
        <v>4679</v>
      </c>
      <c r="O80" s="2" t="s">
        <v>4933</v>
      </c>
      <c r="P80" s="22">
        <v>44330</v>
      </c>
      <c r="Q80" s="22">
        <v>4.3559999999999999</v>
      </c>
      <c r="R80" s="22">
        <v>0</v>
      </c>
      <c r="S80" s="2">
        <f t="shared" si="0"/>
        <v>4.3559999999999999</v>
      </c>
    </row>
    <row r="81" spans="1:19" x14ac:dyDescent="0.2">
      <c r="A81" s="2" t="s">
        <v>613</v>
      </c>
      <c r="B81" s="2" t="s">
        <v>4935</v>
      </c>
      <c r="C81" s="2" t="s">
        <v>4861</v>
      </c>
      <c r="D81" s="2" t="s">
        <v>618</v>
      </c>
      <c r="E81" s="2" t="s">
        <v>617</v>
      </c>
      <c r="F81" s="2" t="s">
        <v>3633</v>
      </c>
      <c r="G81" s="2" t="s">
        <v>4936</v>
      </c>
      <c r="H81" s="2" t="s">
        <v>4595</v>
      </c>
      <c r="I81" s="2" t="s">
        <v>4612</v>
      </c>
      <c r="J81" s="2" t="s">
        <v>60</v>
      </c>
      <c r="K81" s="2" t="s">
        <v>4622</v>
      </c>
      <c r="L81" s="2" t="s">
        <v>4614</v>
      </c>
      <c r="M81" s="2" t="s">
        <v>4615</v>
      </c>
      <c r="N81" s="2" t="s">
        <v>4616</v>
      </c>
      <c r="O81" s="2" t="s">
        <v>4937</v>
      </c>
      <c r="P81" s="22">
        <v>44361</v>
      </c>
      <c r="Q81" s="22">
        <v>0.27</v>
      </c>
      <c r="R81" s="22">
        <v>0</v>
      </c>
      <c r="S81" s="2">
        <f t="shared" si="0"/>
        <v>0.27</v>
      </c>
    </row>
    <row r="82" spans="1:19" x14ac:dyDescent="0.2">
      <c r="A82" s="2" t="s">
        <v>670</v>
      </c>
      <c r="B82" s="2" t="s">
        <v>4938</v>
      </c>
      <c r="C82" s="2" t="s">
        <v>4610</v>
      </c>
      <c r="D82" s="2" t="s">
        <v>618</v>
      </c>
      <c r="E82" s="2" t="s">
        <v>617</v>
      </c>
      <c r="F82" s="2" t="s">
        <v>3649</v>
      </c>
      <c r="G82" s="2" t="s">
        <v>4939</v>
      </c>
      <c r="H82" s="2" t="s">
        <v>4595</v>
      </c>
      <c r="I82" s="2" t="s">
        <v>4710</v>
      </c>
      <c r="J82" s="2" t="s">
        <v>60</v>
      </c>
      <c r="K82" s="2" t="s">
        <v>4613</v>
      </c>
      <c r="L82" s="2" t="s">
        <v>4711</v>
      </c>
      <c r="M82" s="20" t="s">
        <v>4940</v>
      </c>
      <c r="N82" s="2"/>
      <c r="O82" s="2" t="s">
        <v>4941</v>
      </c>
      <c r="P82" s="22">
        <v>44459</v>
      </c>
      <c r="Q82" s="22">
        <v>-0.11218400000000001</v>
      </c>
      <c r="R82" s="22">
        <v>-98</v>
      </c>
      <c r="S82" s="2" t="str">
        <f t="shared" si="0"/>
        <v/>
      </c>
    </row>
    <row r="83" spans="1:19" x14ac:dyDescent="0.2">
      <c r="A83" s="2" t="s">
        <v>499</v>
      </c>
      <c r="B83" s="2" t="s">
        <v>4942</v>
      </c>
      <c r="C83" s="2" t="s">
        <v>4943</v>
      </c>
      <c r="D83" s="2" t="s">
        <v>504</v>
      </c>
      <c r="E83" s="2" t="s">
        <v>503</v>
      </c>
      <c r="F83" s="2" t="s">
        <v>3601</v>
      </c>
      <c r="G83" s="2" t="s">
        <v>4944</v>
      </c>
      <c r="H83" s="2" t="s">
        <v>4595</v>
      </c>
      <c r="I83" s="2" t="s">
        <v>4612</v>
      </c>
      <c r="J83" s="2" t="s">
        <v>60</v>
      </c>
      <c r="K83" s="2" t="s">
        <v>4622</v>
      </c>
      <c r="L83" s="2" t="s">
        <v>4614</v>
      </c>
      <c r="M83" s="2" t="s">
        <v>4684</v>
      </c>
      <c r="N83" s="2" t="s">
        <v>4679</v>
      </c>
      <c r="O83" s="2" t="s">
        <v>4945</v>
      </c>
      <c r="P83" s="22">
        <v>44321</v>
      </c>
      <c r="Q83" s="22">
        <v>1.758</v>
      </c>
      <c r="R83" s="22">
        <v>0</v>
      </c>
      <c r="S83" s="2">
        <f t="shared" si="0"/>
        <v>1.758</v>
      </c>
    </row>
    <row r="84" spans="1:19" x14ac:dyDescent="0.2">
      <c r="A84" s="2" t="s">
        <v>4608</v>
      </c>
      <c r="B84" s="2" t="s">
        <v>4609</v>
      </c>
      <c r="C84" s="2" t="s">
        <v>4775</v>
      </c>
      <c r="D84" s="2" t="s">
        <v>789</v>
      </c>
      <c r="E84" s="2" t="s">
        <v>783</v>
      </c>
      <c r="F84" s="2" t="s">
        <v>3684</v>
      </c>
      <c r="G84" s="2" t="s">
        <v>4946</v>
      </c>
      <c r="H84" s="2" t="s">
        <v>4620</v>
      </c>
      <c r="I84" s="2" t="s">
        <v>4621</v>
      </c>
      <c r="J84" s="2" t="s">
        <v>60</v>
      </c>
      <c r="K84" s="2" t="s">
        <v>4622</v>
      </c>
      <c r="L84" s="2" t="s">
        <v>4614</v>
      </c>
      <c r="M84" s="2" t="s">
        <v>4850</v>
      </c>
      <c r="N84" s="2" t="s">
        <v>4616</v>
      </c>
      <c r="O84" s="2" t="s">
        <v>4947</v>
      </c>
      <c r="P84" s="22">
        <v>44390</v>
      </c>
      <c r="Q84" s="22">
        <v>1.8875999999999999</v>
      </c>
      <c r="R84" s="22">
        <v>-1</v>
      </c>
      <c r="S84" s="2" t="str">
        <f t="shared" si="0"/>
        <v/>
      </c>
    </row>
    <row r="85" spans="1:19" x14ac:dyDescent="0.2">
      <c r="A85" s="2" t="s">
        <v>4608</v>
      </c>
      <c r="B85" s="2" t="s">
        <v>4609</v>
      </c>
      <c r="C85" s="2" t="s">
        <v>4775</v>
      </c>
      <c r="D85" s="2" t="s">
        <v>789</v>
      </c>
      <c r="E85" s="2" t="s">
        <v>783</v>
      </c>
      <c r="F85" s="2" t="s">
        <v>3692</v>
      </c>
      <c r="G85" s="2" t="s">
        <v>4948</v>
      </c>
      <c r="H85" s="2" t="s">
        <v>4620</v>
      </c>
      <c r="I85" s="2" t="s">
        <v>4612</v>
      </c>
      <c r="J85" s="2" t="s">
        <v>60</v>
      </c>
      <c r="K85" s="2" t="s">
        <v>4622</v>
      </c>
      <c r="L85" s="2" t="s">
        <v>4614</v>
      </c>
      <c r="M85" s="2" t="s">
        <v>4850</v>
      </c>
      <c r="N85" s="2" t="s">
        <v>4616</v>
      </c>
      <c r="O85" s="2" t="s">
        <v>4949</v>
      </c>
      <c r="P85" s="22">
        <v>44389</v>
      </c>
      <c r="Q85" s="22">
        <v>1.8360000000000001</v>
      </c>
      <c r="R85" s="22">
        <v>0</v>
      </c>
      <c r="S85" s="2">
        <f t="shared" si="0"/>
        <v>1.8360000000000001</v>
      </c>
    </row>
    <row r="86" spans="1:19" x14ac:dyDescent="0.2">
      <c r="A86" s="2" t="s">
        <v>4674</v>
      </c>
      <c r="B86" s="2" t="s">
        <v>4675</v>
      </c>
      <c r="C86" s="2" t="s">
        <v>4950</v>
      </c>
      <c r="D86" s="2" t="s">
        <v>810</v>
      </c>
      <c r="E86" s="2" t="s">
        <v>809</v>
      </c>
      <c r="F86" s="2" t="s">
        <v>3698</v>
      </c>
      <c r="G86" s="2" t="s">
        <v>4951</v>
      </c>
      <c r="H86" s="2" t="s">
        <v>4595</v>
      </c>
      <c r="I86" s="2" t="s">
        <v>4612</v>
      </c>
      <c r="J86" s="2" t="s">
        <v>60</v>
      </c>
      <c r="K86" s="2" t="s">
        <v>4622</v>
      </c>
      <c r="L86" s="2" t="s">
        <v>4614</v>
      </c>
      <c r="M86" s="2" t="s">
        <v>4900</v>
      </c>
      <c r="N86" s="2" t="s">
        <v>4679</v>
      </c>
      <c r="O86" s="2" t="s">
        <v>4952</v>
      </c>
      <c r="P86" s="22">
        <v>44398</v>
      </c>
      <c r="Q86" s="22">
        <v>3.1179999999999999</v>
      </c>
      <c r="R86" s="22">
        <v>0</v>
      </c>
      <c r="S86" s="2">
        <f t="shared" si="0"/>
        <v>3.1179999999999999</v>
      </c>
    </row>
    <row r="87" spans="1:19" x14ac:dyDescent="0.2">
      <c r="A87" s="2" t="s">
        <v>4953</v>
      </c>
      <c r="B87" s="2" t="s">
        <v>4954</v>
      </c>
      <c r="C87" s="2" t="s">
        <v>4789</v>
      </c>
      <c r="D87" s="2" t="s">
        <v>818</v>
      </c>
      <c r="E87" s="2" t="s">
        <v>817</v>
      </c>
      <c r="F87" s="2" t="s">
        <v>3700</v>
      </c>
      <c r="G87" s="2" t="s">
        <v>4955</v>
      </c>
      <c r="H87" s="2" t="s">
        <v>4595</v>
      </c>
      <c r="I87" s="2" t="s">
        <v>4710</v>
      </c>
      <c r="J87" s="2" t="s">
        <v>60</v>
      </c>
      <c r="K87" s="2" t="s">
        <v>4613</v>
      </c>
      <c r="L87" s="2" t="s">
        <v>4614</v>
      </c>
      <c r="M87" s="2" t="s">
        <v>4859</v>
      </c>
      <c r="N87" s="2" t="s">
        <v>4616</v>
      </c>
      <c r="O87" s="2" t="s">
        <v>4956</v>
      </c>
      <c r="P87" s="22">
        <v>44411</v>
      </c>
      <c r="Q87" s="22">
        <v>0.91700000000000004</v>
      </c>
      <c r="R87" s="22">
        <v>0</v>
      </c>
      <c r="S87" s="2">
        <f t="shared" si="0"/>
        <v>0.91700000000000004</v>
      </c>
    </row>
    <row r="88" spans="1:19" x14ac:dyDescent="0.2">
      <c r="A88" s="2" t="s">
        <v>754</v>
      </c>
      <c r="B88" s="2" t="s">
        <v>4957</v>
      </c>
      <c r="C88" s="2" t="s">
        <v>4911</v>
      </c>
      <c r="D88" s="2" t="s">
        <v>855</v>
      </c>
      <c r="E88" s="2" t="s">
        <v>854</v>
      </c>
      <c r="F88" s="2" t="s">
        <v>3710</v>
      </c>
      <c r="G88" s="2" t="s">
        <v>4958</v>
      </c>
      <c r="H88" s="2" t="s">
        <v>4620</v>
      </c>
      <c r="I88" s="2" t="s">
        <v>4621</v>
      </c>
      <c r="J88" s="2" t="s">
        <v>60</v>
      </c>
      <c r="K88" s="2" t="s">
        <v>4622</v>
      </c>
      <c r="L88" s="2" t="s">
        <v>4614</v>
      </c>
      <c r="M88" s="2" t="s">
        <v>4959</v>
      </c>
      <c r="N88" s="2" t="s">
        <v>4616</v>
      </c>
      <c r="O88" s="2" t="s">
        <v>4960</v>
      </c>
      <c r="P88" s="22">
        <v>44452</v>
      </c>
      <c r="Q88" s="22">
        <v>2.5251999999999999</v>
      </c>
      <c r="R88" s="22">
        <v>0</v>
      </c>
      <c r="S88" s="2">
        <f t="shared" si="0"/>
        <v>2.5251999999999999</v>
      </c>
    </row>
    <row r="89" spans="1:19" x14ac:dyDescent="0.2">
      <c r="A89" s="2" t="s">
        <v>4647</v>
      </c>
      <c r="B89" s="2" t="s">
        <v>4648</v>
      </c>
      <c r="C89" s="2" t="s">
        <v>4961</v>
      </c>
      <c r="D89" s="2" t="s">
        <v>850</v>
      </c>
      <c r="E89" s="2" t="s">
        <v>843</v>
      </c>
      <c r="F89" s="2" t="s">
        <v>3708</v>
      </c>
      <c r="G89" s="2" t="s">
        <v>4962</v>
      </c>
      <c r="H89" s="2" t="s">
        <v>4595</v>
      </c>
      <c r="I89" s="2" t="s">
        <v>4612</v>
      </c>
      <c r="J89" s="2" t="s">
        <v>60</v>
      </c>
      <c r="K89" s="2" t="s">
        <v>4622</v>
      </c>
      <c r="L89" s="2" t="s">
        <v>4614</v>
      </c>
      <c r="M89" s="2" t="s">
        <v>4900</v>
      </c>
      <c r="N89" s="2" t="s">
        <v>4616</v>
      </c>
      <c r="O89" s="2" t="s">
        <v>4963</v>
      </c>
      <c r="P89" s="22">
        <v>44455</v>
      </c>
      <c r="Q89" s="22">
        <v>0.46800000000000003</v>
      </c>
      <c r="R89" s="22">
        <v>0</v>
      </c>
      <c r="S89" s="2">
        <f t="shared" si="0"/>
        <v>0.46800000000000003</v>
      </c>
    </row>
    <row r="90" spans="1:19" x14ac:dyDescent="0.2">
      <c r="A90" s="2" t="s">
        <v>1639</v>
      </c>
      <c r="B90" s="2" t="s">
        <v>4964</v>
      </c>
      <c r="C90" s="2" t="s">
        <v>4610</v>
      </c>
      <c r="D90" s="2" t="s">
        <v>1644</v>
      </c>
      <c r="E90" s="2" t="s">
        <v>1643</v>
      </c>
      <c r="F90" s="2" t="s">
        <v>3943</v>
      </c>
      <c r="G90" s="2" t="s">
        <v>4965</v>
      </c>
      <c r="H90" s="2" t="s">
        <v>4595</v>
      </c>
      <c r="I90" s="2" t="s">
        <v>4612</v>
      </c>
      <c r="J90" s="2" t="s">
        <v>60</v>
      </c>
      <c r="K90" s="2" t="s">
        <v>4622</v>
      </c>
      <c r="L90" s="2" t="s">
        <v>4614</v>
      </c>
      <c r="M90" s="2" t="s">
        <v>4966</v>
      </c>
      <c r="N90" s="2" t="s">
        <v>4616</v>
      </c>
      <c r="O90" s="2" t="s">
        <v>4967</v>
      </c>
      <c r="P90" s="22">
        <v>44097</v>
      </c>
      <c r="Q90" s="22">
        <v>3.5000000000000003E-2</v>
      </c>
      <c r="R90" s="22">
        <v>0</v>
      </c>
      <c r="S90" s="2">
        <f t="shared" si="0"/>
        <v>3.5000000000000003E-2</v>
      </c>
    </row>
    <row r="91" spans="1:19" x14ac:dyDescent="0.2">
      <c r="A91" s="2" t="s">
        <v>1010</v>
      </c>
      <c r="B91" s="2" t="s">
        <v>4968</v>
      </c>
      <c r="C91" s="2" t="s">
        <v>4884</v>
      </c>
      <c r="D91" s="2" t="s">
        <v>1015</v>
      </c>
      <c r="E91" s="2" t="s">
        <v>1014</v>
      </c>
      <c r="F91" s="2" t="s">
        <v>3756</v>
      </c>
      <c r="G91" s="2" t="s">
        <v>4969</v>
      </c>
      <c r="H91" s="2" t="s">
        <v>4595</v>
      </c>
      <c r="I91" s="2" t="s">
        <v>4612</v>
      </c>
      <c r="J91" s="2" t="s">
        <v>60</v>
      </c>
      <c r="K91" s="2" t="s">
        <v>4622</v>
      </c>
      <c r="L91" s="2" t="s">
        <v>4614</v>
      </c>
      <c r="M91" s="2" t="s">
        <v>4913</v>
      </c>
      <c r="N91" s="2" t="s">
        <v>4679</v>
      </c>
      <c r="O91" s="2" t="s">
        <v>4970</v>
      </c>
      <c r="P91" s="22">
        <v>44504</v>
      </c>
      <c r="Q91" s="22">
        <v>2.06</v>
      </c>
      <c r="R91" s="22">
        <v>0</v>
      </c>
      <c r="S91" s="2">
        <f t="shared" si="0"/>
        <v>2.06</v>
      </c>
    </row>
    <row r="92" spans="1:19" x14ac:dyDescent="0.2">
      <c r="A92" s="2" t="s">
        <v>4971</v>
      </c>
      <c r="B92" s="2" t="s">
        <v>4972</v>
      </c>
      <c r="C92" s="2" t="s">
        <v>4874</v>
      </c>
      <c r="D92" s="2" t="s">
        <v>1015</v>
      </c>
      <c r="E92" s="2" t="s">
        <v>1102</v>
      </c>
      <c r="F92" s="2" t="s">
        <v>3780</v>
      </c>
      <c r="G92" s="2" t="s">
        <v>4973</v>
      </c>
      <c r="H92" s="2" t="s">
        <v>4595</v>
      </c>
      <c r="I92" s="2" t="s">
        <v>4612</v>
      </c>
      <c r="J92" s="2" t="s">
        <v>60</v>
      </c>
      <c r="K92" s="2" t="s">
        <v>4622</v>
      </c>
      <c r="L92" s="2" t="s">
        <v>4614</v>
      </c>
      <c r="M92" s="2" t="s">
        <v>4651</v>
      </c>
      <c r="N92" s="2" t="s">
        <v>4679</v>
      </c>
      <c r="O92" s="2" t="s">
        <v>4974</v>
      </c>
      <c r="P92" s="22">
        <v>44518</v>
      </c>
      <c r="Q92" s="22">
        <v>5.649</v>
      </c>
      <c r="R92" s="22">
        <v>0</v>
      </c>
      <c r="S92" s="2">
        <f t="shared" si="0"/>
        <v>5.649</v>
      </c>
    </row>
    <row r="93" spans="1:19" x14ac:dyDescent="0.2">
      <c r="A93" s="2" t="s">
        <v>4971</v>
      </c>
      <c r="B93" s="2" t="s">
        <v>4972</v>
      </c>
      <c r="C93" s="2" t="s">
        <v>4874</v>
      </c>
      <c r="D93" s="2" t="s">
        <v>1015</v>
      </c>
      <c r="E93" s="2" t="s">
        <v>1102</v>
      </c>
      <c r="F93" s="2" t="s">
        <v>3778</v>
      </c>
      <c r="G93" s="2" t="s">
        <v>4975</v>
      </c>
      <c r="H93" s="2" t="s">
        <v>4595</v>
      </c>
      <c r="I93" s="2" t="s">
        <v>4621</v>
      </c>
      <c r="J93" s="2" t="s">
        <v>60</v>
      </c>
      <c r="K93" s="2" t="s">
        <v>4622</v>
      </c>
      <c r="L93" s="2" t="s">
        <v>4614</v>
      </c>
      <c r="M93" s="2" t="s">
        <v>4651</v>
      </c>
      <c r="N93" s="2" t="s">
        <v>4679</v>
      </c>
      <c r="O93" s="2" t="s">
        <v>4976</v>
      </c>
      <c r="P93" s="22">
        <v>44518</v>
      </c>
      <c r="Q93" s="22">
        <v>5.4763630000000001</v>
      </c>
      <c r="R93" s="22">
        <v>0</v>
      </c>
      <c r="S93" s="2">
        <f t="shared" si="0"/>
        <v>5.4763630000000001</v>
      </c>
    </row>
    <row r="94" spans="1:19" x14ac:dyDescent="0.2">
      <c r="A94" s="2" t="s">
        <v>1145</v>
      </c>
      <c r="B94" s="2" t="s">
        <v>4783</v>
      </c>
      <c r="C94" s="2" t="s">
        <v>4977</v>
      </c>
      <c r="D94" s="2" t="s">
        <v>1156</v>
      </c>
      <c r="E94" s="2" t="s">
        <v>1149</v>
      </c>
      <c r="F94" s="2" t="s">
        <v>3796</v>
      </c>
      <c r="G94" s="2" t="s">
        <v>4978</v>
      </c>
      <c r="H94" s="2" t="s">
        <v>4630</v>
      </c>
      <c r="I94" s="2" t="s">
        <v>4631</v>
      </c>
      <c r="J94" s="2" t="s">
        <v>60</v>
      </c>
      <c r="K94" s="2" t="s">
        <v>4613</v>
      </c>
      <c r="L94" s="2" t="s">
        <v>4632</v>
      </c>
      <c r="M94" s="20" t="s">
        <v>4979</v>
      </c>
      <c r="N94" s="2"/>
      <c r="O94" s="2" t="s">
        <v>4980</v>
      </c>
      <c r="P94" s="22">
        <v>44523</v>
      </c>
      <c r="Q94" s="22">
        <v>0.74099999999999999</v>
      </c>
      <c r="R94" s="22">
        <v>0</v>
      </c>
      <c r="S94" s="2">
        <f t="shared" si="0"/>
        <v>0.74099999999999999</v>
      </c>
    </row>
    <row r="95" spans="1:19" x14ac:dyDescent="0.2">
      <c r="A95" s="2" t="s">
        <v>1157</v>
      </c>
      <c r="B95" s="2" t="s">
        <v>4981</v>
      </c>
      <c r="C95" s="2" t="s">
        <v>4838</v>
      </c>
      <c r="D95" s="2" t="s">
        <v>1162</v>
      </c>
      <c r="E95" s="2" t="s">
        <v>1161</v>
      </c>
      <c r="F95" s="2" t="s">
        <v>3798</v>
      </c>
      <c r="G95" s="2" t="s">
        <v>4982</v>
      </c>
      <c r="H95" s="2" t="s">
        <v>4595</v>
      </c>
      <c r="I95" s="2" t="s">
        <v>4710</v>
      </c>
      <c r="J95" s="2" t="s">
        <v>60</v>
      </c>
      <c r="K95" s="2" t="s">
        <v>4613</v>
      </c>
      <c r="L95" s="2" t="s">
        <v>4614</v>
      </c>
      <c r="M95" s="2" t="s">
        <v>4859</v>
      </c>
      <c r="N95" s="2" t="s">
        <v>4679</v>
      </c>
      <c r="O95" s="2" t="s">
        <v>4983</v>
      </c>
      <c r="P95" s="22">
        <v>44529</v>
      </c>
      <c r="Q95" s="22">
        <v>2.371</v>
      </c>
      <c r="R95" s="22">
        <v>0</v>
      </c>
      <c r="S95" s="2">
        <f t="shared" si="0"/>
        <v>2.371</v>
      </c>
    </row>
    <row r="96" spans="1:19" x14ac:dyDescent="0.2">
      <c r="A96" s="2" t="s">
        <v>231</v>
      </c>
      <c r="B96" s="2" t="s">
        <v>4888</v>
      </c>
      <c r="C96" s="2" t="s">
        <v>4984</v>
      </c>
      <c r="D96" s="2" t="s">
        <v>242</v>
      </c>
      <c r="E96" s="2" t="s">
        <v>235</v>
      </c>
      <c r="F96" s="2" t="s">
        <v>3534</v>
      </c>
      <c r="G96" s="2" t="s">
        <v>4985</v>
      </c>
      <c r="H96" s="2" t="s">
        <v>4595</v>
      </c>
      <c r="I96" s="2" t="s">
        <v>4710</v>
      </c>
      <c r="J96" s="2" t="s">
        <v>60</v>
      </c>
      <c r="K96" s="2" t="s">
        <v>4613</v>
      </c>
      <c r="L96" s="2" t="s">
        <v>4614</v>
      </c>
      <c r="M96" s="20" t="s">
        <v>4891</v>
      </c>
      <c r="N96" s="2"/>
      <c r="O96" s="2" t="s">
        <v>4600</v>
      </c>
      <c r="P96" s="61" t="e">
        <v>#N/A</v>
      </c>
      <c r="Q96" s="2"/>
      <c r="R96" s="61" t="e">
        <v>#N/A</v>
      </c>
      <c r="S96" s="2" t="e">
        <f t="shared" si="0"/>
        <v>#N/A</v>
      </c>
    </row>
    <row r="97" spans="1:19" x14ac:dyDescent="0.2">
      <c r="A97" s="2" t="s">
        <v>244</v>
      </c>
      <c r="B97" s="2" t="s">
        <v>4986</v>
      </c>
      <c r="C97" s="2" t="s">
        <v>4894</v>
      </c>
      <c r="D97" s="2" t="s">
        <v>249</v>
      </c>
      <c r="E97" s="2" t="s">
        <v>248</v>
      </c>
      <c r="F97" s="2" t="s">
        <v>3536</v>
      </c>
      <c r="G97" s="2" t="s">
        <v>4987</v>
      </c>
      <c r="H97" s="2" t="s">
        <v>4595</v>
      </c>
      <c r="I97" s="2" t="s">
        <v>4710</v>
      </c>
      <c r="J97" s="2" t="s">
        <v>60</v>
      </c>
      <c r="K97" s="2" t="s">
        <v>4613</v>
      </c>
      <c r="L97" s="2" t="s">
        <v>4614</v>
      </c>
      <c r="M97" s="20" t="s">
        <v>4988</v>
      </c>
      <c r="N97" s="2"/>
      <c r="O97" s="2" t="s">
        <v>4600</v>
      </c>
      <c r="P97" s="22">
        <v>44186</v>
      </c>
      <c r="Q97" s="22">
        <v>3.177</v>
      </c>
      <c r="R97" s="22">
        <v>-7</v>
      </c>
      <c r="S97" s="2" t="str">
        <f t="shared" si="0"/>
        <v/>
      </c>
    </row>
    <row r="98" spans="1:19" x14ac:dyDescent="0.2">
      <c r="A98" s="2" t="s">
        <v>4820</v>
      </c>
      <c r="B98" s="2" t="s">
        <v>4821</v>
      </c>
      <c r="C98" s="2" t="s">
        <v>4989</v>
      </c>
      <c r="D98" s="2" t="s">
        <v>249</v>
      </c>
      <c r="E98" s="2" t="s">
        <v>1243</v>
      </c>
      <c r="F98" s="2" t="s">
        <v>3828</v>
      </c>
      <c r="G98" s="2" t="s">
        <v>4990</v>
      </c>
      <c r="H98" s="2" t="s">
        <v>4630</v>
      </c>
      <c r="I98" s="2" t="s">
        <v>4631</v>
      </c>
      <c r="J98" s="2" t="s">
        <v>60</v>
      </c>
      <c r="K98" s="2" t="s">
        <v>4613</v>
      </c>
      <c r="L98" s="2" t="s">
        <v>4614</v>
      </c>
      <c r="M98" s="20" t="s">
        <v>4991</v>
      </c>
      <c r="N98" s="2"/>
      <c r="O98" s="2" t="s">
        <v>4992</v>
      </c>
      <c r="P98" s="22">
        <v>44544</v>
      </c>
      <c r="Q98" s="22">
        <v>1.825</v>
      </c>
      <c r="R98" s="22">
        <v>0</v>
      </c>
      <c r="S98" s="2">
        <f t="shared" si="0"/>
        <v>1.825</v>
      </c>
    </row>
    <row r="99" spans="1:19" x14ac:dyDescent="0.2">
      <c r="A99" s="2" t="s">
        <v>4993</v>
      </c>
      <c r="B99" s="2" t="s">
        <v>4994</v>
      </c>
      <c r="C99" s="2" t="s">
        <v>4995</v>
      </c>
      <c r="D99" s="2" t="s">
        <v>249</v>
      </c>
      <c r="E99" s="2" t="s">
        <v>1243</v>
      </c>
      <c r="F99" s="2" t="s">
        <v>3830</v>
      </c>
      <c r="G99" s="2" t="s">
        <v>4996</v>
      </c>
      <c r="H99" s="2" t="s">
        <v>4595</v>
      </c>
      <c r="I99" s="2" t="s">
        <v>4997</v>
      </c>
      <c r="J99" s="2" t="s">
        <v>60</v>
      </c>
      <c r="K99" s="2" t="s">
        <v>4613</v>
      </c>
      <c r="L99" s="2" t="s">
        <v>4614</v>
      </c>
      <c r="M99" s="20" t="s">
        <v>4913</v>
      </c>
      <c r="N99" s="2"/>
      <c r="O99" s="2" t="s">
        <v>4998</v>
      </c>
      <c r="P99" s="22">
        <v>44545</v>
      </c>
      <c r="Q99" s="22">
        <v>2.5419999999999998</v>
      </c>
      <c r="R99" s="22">
        <v>-1</v>
      </c>
      <c r="S99" s="2" t="str">
        <f t="shared" si="0"/>
        <v/>
      </c>
    </row>
    <row r="100" spans="1:19" x14ac:dyDescent="0.2">
      <c r="A100" s="2" t="s">
        <v>499</v>
      </c>
      <c r="B100" s="2" t="s">
        <v>4942</v>
      </c>
      <c r="C100" s="2" t="s">
        <v>4943</v>
      </c>
      <c r="D100" s="2" t="s">
        <v>1110</v>
      </c>
      <c r="E100" s="2" t="s">
        <v>936</v>
      </c>
      <c r="F100" s="2" t="s">
        <v>3782</v>
      </c>
      <c r="G100" s="2" t="s">
        <v>4999</v>
      </c>
      <c r="H100" s="2" t="s">
        <v>4595</v>
      </c>
      <c r="I100" s="2" t="s">
        <v>4612</v>
      </c>
      <c r="J100" s="2" t="s">
        <v>60</v>
      </c>
      <c r="K100" s="2" t="s">
        <v>4622</v>
      </c>
      <c r="L100" s="2" t="s">
        <v>4614</v>
      </c>
      <c r="M100" s="2" t="s">
        <v>4840</v>
      </c>
      <c r="N100" s="2" t="s">
        <v>4679</v>
      </c>
      <c r="O100" s="2" t="s">
        <v>5000</v>
      </c>
      <c r="P100" s="22">
        <v>44510</v>
      </c>
      <c r="Q100" s="22">
        <v>2.0870000000000002</v>
      </c>
      <c r="R100" s="22">
        <v>0</v>
      </c>
      <c r="S100" s="2">
        <f t="shared" si="0"/>
        <v>2.0870000000000002</v>
      </c>
    </row>
    <row r="101" spans="1:19" x14ac:dyDescent="0.2">
      <c r="A101" s="2" t="s">
        <v>5001</v>
      </c>
      <c r="B101" s="2" t="s">
        <v>5002</v>
      </c>
      <c r="C101" s="2" t="s">
        <v>5003</v>
      </c>
      <c r="D101" s="2" t="s">
        <v>1522</v>
      </c>
      <c r="E101" s="2" t="s">
        <v>1508</v>
      </c>
      <c r="F101" s="2" t="s">
        <v>3907</v>
      </c>
      <c r="G101" s="2" t="s">
        <v>5004</v>
      </c>
      <c r="H101" s="2" t="s">
        <v>4595</v>
      </c>
      <c r="I101" s="2" t="s">
        <v>4710</v>
      </c>
      <c r="J101" s="2" t="s">
        <v>60</v>
      </c>
      <c r="K101" s="2" t="s">
        <v>4613</v>
      </c>
      <c r="L101" s="2" t="s">
        <v>4614</v>
      </c>
      <c r="M101" s="2" t="s">
        <v>4726</v>
      </c>
      <c r="N101" s="2" t="s">
        <v>4616</v>
      </c>
      <c r="O101" s="2" t="s">
        <v>5005</v>
      </c>
      <c r="P101" s="22">
        <v>44657</v>
      </c>
      <c r="Q101" s="22">
        <v>1.335</v>
      </c>
      <c r="R101" s="22">
        <v>0</v>
      </c>
      <c r="S101" s="2">
        <f t="shared" si="0"/>
        <v>1.335</v>
      </c>
    </row>
    <row r="102" spans="1:19" x14ac:dyDescent="0.2">
      <c r="A102" s="2" t="s">
        <v>1525</v>
      </c>
      <c r="B102" s="2" t="s">
        <v>5006</v>
      </c>
      <c r="C102" s="2" t="s">
        <v>4735</v>
      </c>
      <c r="D102" s="2" t="s">
        <v>1530</v>
      </c>
      <c r="E102" s="2" t="s">
        <v>1529</v>
      </c>
      <c r="F102" s="2" t="s">
        <v>3909</v>
      </c>
      <c r="G102" s="2" t="s">
        <v>5007</v>
      </c>
      <c r="H102" s="2" t="s">
        <v>4595</v>
      </c>
      <c r="I102" s="2" t="s">
        <v>4710</v>
      </c>
      <c r="J102" s="2" t="s">
        <v>60</v>
      </c>
      <c r="K102" s="2" t="s">
        <v>4613</v>
      </c>
      <c r="L102" s="2" t="s">
        <v>4614</v>
      </c>
      <c r="M102" s="2" t="s">
        <v>4730</v>
      </c>
      <c r="N102" s="2" t="s">
        <v>4616</v>
      </c>
      <c r="O102" s="2" t="s">
        <v>5008</v>
      </c>
      <c r="P102" s="22">
        <v>44658</v>
      </c>
      <c r="Q102" s="22">
        <v>1.6240000000000001</v>
      </c>
      <c r="R102" s="22">
        <v>0</v>
      </c>
      <c r="S102" s="2">
        <f t="shared" si="0"/>
        <v>1.6240000000000001</v>
      </c>
    </row>
    <row r="103" spans="1:19" x14ac:dyDescent="0.2">
      <c r="A103" s="2" t="s">
        <v>4608</v>
      </c>
      <c r="B103" s="2" t="s">
        <v>4609</v>
      </c>
      <c r="C103" s="2" t="s">
        <v>5009</v>
      </c>
      <c r="D103" s="2" t="s">
        <v>1546</v>
      </c>
      <c r="E103" s="2" t="s">
        <v>1545</v>
      </c>
      <c r="F103" s="2" t="s">
        <v>3915</v>
      </c>
      <c r="G103" s="2" t="s">
        <v>5010</v>
      </c>
      <c r="H103" s="2" t="s">
        <v>4880</v>
      </c>
      <c r="I103" s="2" t="s">
        <v>4612</v>
      </c>
      <c r="J103" s="2" t="s">
        <v>60</v>
      </c>
      <c r="K103" s="2" t="s">
        <v>4622</v>
      </c>
      <c r="L103" s="2" t="s">
        <v>4614</v>
      </c>
      <c r="M103" s="2" t="s">
        <v>5011</v>
      </c>
      <c r="N103" s="2" t="s">
        <v>4616</v>
      </c>
      <c r="O103" s="2" t="s">
        <v>5012</v>
      </c>
      <c r="P103" s="22">
        <v>44662</v>
      </c>
      <c r="Q103" s="22">
        <v>3.121</v>
      </c>
      <c r="R103" s="22">
        <v>0</v>
      </c>
      <c r="S103" s="2">
        <f t="shared" si="0"/>
        <v>3.121</v>
      </c>
    </row>
    <row r="104" spans="1:19" x14ac:dyDescent="0.2">
      <c r="A104" s="2" t="s">
        <v>344</v>
      </c>
      <c r="B104" s="2" t="s">
        <v>5013</v>
      </c>
      <c r="C104" s="2" t="s">
        <v>4853</v>
      </c>
      <c r="D104" s="2" t="s">
        <v>349</v>
      </c>
      <c r="E104" s="2" t="s">
        <v>348</v>
      </c>
      <c r="F104" s="2" t="s">
        <v>3559</v>
      </c>
      <c r="G104" s="2" t="s">
        <v>5014</v>
      </c>
      <c r="H104" s="2" t="s">
        <v>4620</v>
      </c>
      <c r="I104" s="2" t="s">
        <v>4621</v>
      </c>
      <c r="J104" s="2" t="s">
        <v>60</v>
      </c>
      <c r="K104" s="2" t="s">
        <v>4622</v>
      </c>
      <c r="L104" s="2" t="s">
        <v>4614</v>
      </c>
      <c r="M104" s="2" t="s">
        <v>4959</v>
      </c>
      <c r="N104" s="2" t="s">
        <v>4679</v>
      </c>
      <c r="O104" s="2" t="s">
        <v>5015</v>
      </c>
      <c r="P104" s="22">
        <v>44251</v>
      </c>
      <c r="Q104" s="22">
        <v>3.4807999999999999</v>
      </c>
      <c r="R104" s="22">
        <v>0</v>
      </c>
      <c r="S104" s="2">
        <f t="shared" si="0"/>
        <v>3.4807999999999999</v>
      </c>
    </row>
    <row r="105" spans="1:19" x14ac:dyDescent="0.2">
      <c r="A105" s="2" t="s">
        <v>344</v>
      </c>
      <c r="B105" s="2" t="s">
        <v>5013</v>
      </c>
      <c r="C105" s="2" t="s">
        <v>4853</v>
      </c>
      <c r="D105" s="2" t="s">
        <v>349</v>
      </c>
      <c r="E105" s="2" t="s">
        <v>348</v>
      </c>
      <c r="F105" s="2" t="s">
        <v>3561</v>
      </c>
      <c r="G105" s="2" t="s">
        <v>5016</v>
      </c>
      <c r="H105" s="2" t="s">
        <v>4620</v>
      </c>
      <c r="I105" s="2" t="s">
        <v>4612</v>
      </c>
      <c r="J105" s="2" t="s">
        <v>60</v>
      </c>
      <c r="K105" s="2" t="s">
        <v>4622</v>
      </c>
      <c r="L105" s="2" t="s">
        <v>4614</v>
      </c>
      <c r="M105" s="2" t="s">
        <v>4959</v>
      </c>
      <c r="N105" s="2" t="s">
        <v>4679</v>
      </c>
      <c r="O105" s="2" t="s">
        <v>5017</v>
      </c>
      <c r="P105" s="22">
        <v>44251</v>
      </c>
      <c r="Q105" s="22">
        <v>3.4809999999999999</v>
      </c>
      <c r="R105" s="22">
        <v>0</v>
      </c>
      <c r="S105" s="2">
        <f t="shared" si="0"/>
        <v>3.4809999999999999</v>
      </c>
    </row>
    <row r="106" spans="1:19" x14ac:dyDescent="0.2">
      <c r="A106" s="2" t="s">
        <v>1058</v>
      </c>
      <c r="B106" s="2" t="s">
        <v>4848</v>
      </c>
      <c r="C106" s="2" t="s">
        <v>5018</v>
      </c>
      <c r="D106" s="2" t="s">
        <v>1061</v>
      </c>
      <c r="E106" s="2" t="s">
        <v>1047</v>
      </c>
      <c r="F106" s="2" t="s">
        <v>3768</v>
      </c>
      <c r="G106" s="2" t="s">
        <v>5019</v>
      </c>
      <c r="H106" s="2" t="s">
        <v>4620</v>
      </c>
      <c r="I106" s="2" t="s">
        <v>4621</v>
      </c>
      <c r="J106" s="2" t="s">
        <v>60</v>
      </c>
      <c r="K106" s="2" t="s">
        <v>4622</v>
      </c>
      <c r="L106" s="2" t="s">
        <v>4614</v>
      </c>
      <c r="M106" s="2" t="s">
        <v>4850</v>
      </c>
      <c r="N106" s="2" t="s">
        <v>4679</v>
      </c>
      <c r="O106" s="2" t="s">
        <v>5020</v>
      </c>
      <c r="P106" s="22">
        <v>44509</v>
      </c>
      <c r="Q106" s="22">
        <v>5.0011000000000001</v>
      </c>
      <c r="R106" s="22">
        <v>0</v>
      </c>
      <c r="S106" s="2">
        <f t="shared" si="0"/>
        <v>5.0011000000000001</v>
      </c>
    </row>
    <row r="107" spans="1:19" x14ac:dyDescent="0.2">
      <c r="A107" s="2" t="s">
        <v>5021</v>
      </c>
      <c r="B107" s="2" t="s">
        <v>5022</v>
      </c>
      <c r="C107" s="2" t="s">
        <v>4811</v>
      </c>
      <c r="D107" s="2" t="s">
        <v>520</v>
      </c>
      <c r="E107" s="2" t="s">
        <v>512</v>
      </c>
      <c r="F107" s="2" t="s">
        <v>3609</v>
      </c>
      <c r="G107" s="2" t="s">
        <v>5023</v>
      </c>
      <c r="H107" s="2" t="s">
        <v>4595</v>
      </c>
      <c r="I107" s="2" t="s">
        <v>4612</v>
      </c>
      <c r="J107" s="2" t="s">
        <v>60</v>
      </c>
      <c r="K107" s="2" t="s">
        <v>4622</v>
      </c>
      <c r="L107" s="2" t="s">
        <v>4614</v>
      </c>
      <c r="M107" s="2" t="s">
        <v>5024</v>
      </c>
      <c r="N107" s="2" t="s">
        <v>4679</v>
      </c>
      <c r="O107" s="2" t="s">
        <v>5025</v>
      </c>
      <c r="P107" s="22">
        <v>44330</v>
      </c>
      <c r="Q107" s="22">
        <v>5.3520000000000003</v>
      </c>
      <c r="R107" s="22">
        <v>0</v>
      </c>
      <c r="S107" s="2">
        <f t="shared" si="0"/>
        <v>5.3520000000000003</v>
      </c>
    </row>
    <row r="108" spans="1:19" x14ac:dyDescent="0.2">
      <c r="A108" s="2" t="s">
        <v>5021</v>
      </c>
      <c r="B108" s="2" t="s">
        <v>5022</v>
      </c>
      <c r="C108" s="2" t="s">
        <v>4811</v>
      </c>
      <c r="D108" s="2" t="s">
        <v>520</v>
      </c>
      <c r="E108" s="2" t="s">
        <v>512</v>
      </c>
      <c r="F108" s="2" t="s">
        <v>3605</v>
      </c>
      <c r="G108" s="2" t="s">
        <v>5026</v>
      </c>
      <c r="H108" s="2" t="s">
        <v>4595</v>
      </c>
      <c r="I108" s="2" t="s">
        <v>4621</v>
      </c>
      <c r="J108" s="2" t="s">
        <v>60</v>
      </c>
      <c r="K108" s="2" t="s">
        <v>4622</v>
      </c>
      <c r="L108" s="2" t="s">
        <v>4614</v>
      </c>
      <c r="M108" s="2" t="s">
        <v>5024</v>
      </c>
      <c r="N108" s="2" t="s">
        <v>4679</v>
      </c>
      <c r="O108" s="2" t="s">
        <v>5027</v>
      </c>
      <c r="P108" s="22">
        <v>44330</v>
      </c>
      <c r="Q108" s="22">
        <v>5.2931119999999998</v>
      </c>
      <c r="R108" s="22">
        <v>0</v>
      </c>
      <c r="S108" s="2">
        <f t="shared" si="0"/>
        <v>5.2931119999999998</v>
      </c>
    </row>
    <row r="109" spans="1:19" x14ac:dyDescent="0.2">
      <c r="A109" s="2" t="s">
        <v>5028</v>
      </c>
      <c r="B109" s="2" t="s">
        <v>5029</v>
      </c>
      <c r="C109" s="2" t="s">
        <v>5030</v>
      </c>
      <c r="D109" s="2" t="s">
        <v>1584</v>
      </c>
      <c r="E109" s="2" t="s">
        <v>1583</v>
      </c>
      <c r="F109" s="2" t="s">
        <v>3927</v>
      </c>
      <c r="G109" s="2" t="s">
        <v>5031</v>
      </c>
      <c r="H109" s="2" t="s">
        <v>4620</v>
      </c>
      <c r="I109" s="2" t="s">
        <v>4621</v>
      </c>
      <c r="J109" s="2" t="s">
        <v>60</v>
      </c>
      <c r="K109" s="2" t="s">
        <v>4622</v>
      </c>
      <c r="L109" s="2" t="s">
        <v>4614</v>
      </c>
      <c r="M109" s="2" t="s">
        <v>4959</v>
      </c>
      <c r="N109" s="2" t="s">
        <v>4679</v>
      </c>
      <c r="O109" s="2" t="s">
        <v>5032</v>
      </c>
      <c r="P109" s="61" t="e">
        <v>#N/A</v>
      </c>
      <c r="Q109" s="2"/>
      <c r="R109" s="61" t="e">
        <v>#N/A</v>
      </c>
      <c r="S109" s="2" t="e">
        <f t="shared" si="0"/>
        <v>#N/A</v>
      </c>
    </row>
    <row r="110" spans="1:19" x14ac:dyDescent="0.2">
      <c r="A110" s="2" t="s">
        <v>5028</v>
      </c>
      <c r="B110" s="2" t="s">
        <v>5029</v>
      </c>
      <c r="C110" s="2" t="s">
        <v>5030</v>
      </c>
      <c r="D110" s="2" t="s">
        <v>1584</v>
      </c>
      <c r="E110" s="2" t="s">
        <v>1583</v>
      </c>
      <c r="F110" s="2" t="s">
        <v>3929</v>
      </c>
      <c r="G110" s="2" t="s">
        <v>5033</v>
      </c>
      <c r="H110" s="2" t="s">
        <v>4620</v>
      </c>
      <c r="I110" s="2" t="s">
        <v>4612</v>
      </c>
      <c r="J110" s="2" t="s">
        <v>60</v>
      </c>
      <c r="K110" s="2" t="s">
        <v>4622</v>
      </c>
      <c r="L110" s="2" t="s">
        <v>4614</v>
      </c>
      <c r="M110" s="2" t="s">
        <v>4959</v>
      </c>
      <c r="N110" s="2" t="s">
        <v>4679</v>
      </c>
      <c r="O110" s="2" t="s">
        <v>5032</v>
      </c>
      <c r="P110" s="61" t="e">
        <v>#N/A</v>
      </c>
      <c r="Q110" s="2"/>
      <c r="R110" s="61" t="e">
        <v>#N/A</v>
      </c>
      <c r="S110" s="2" t="e">
        <f t="shared" si="0"/>
        <v>#N/A</v>
      </c>
    </row>
    <row r="111" spans="1:19" x14ac:dyDescent="0.2">
      <c r="A111" s="2" t="s">
        <v>5034</v>
      </c>
      <c r="B111" s="2" t="s">
        <v>1572</v>
      </c>
      <c r="C111" s="2" t="s">
        <v>5035</v>
      </c>
      <c r="D111" s="2" t="s">
        <v>1574</v>
      </c>
      <c r="E111" s="2" t="s">
        <v>1573</v>
      </c>
      <c r="F111" s="2" t="s">
        <v>3925</v>
      </c>
      <c r="G111" s="2" t="s">
        <v>5036</v>
      </c>
      <c r="H111" s="2" t="s">
        <v>4620</v>
      </c>
      <c r="I111" s="2" t="s">
        <v>4612</v>
      </c>
      <c r="J111" s="2" t="s">
        <v>60</v>
      </c>
      <c r="K111" s="2" t="s">
        <v>4622</v>
      </c>
      <c r="L111" s="2" t="s">
        <v>4614</v>
      </c>
      <c r="M111" s="2" t="s">
        <v>4932</v>
      </c>
      <c r="N111" s="2" t="s">
        <v>4679</v>
      </c>
      <c r="O111" s="2" t="s">
        <v>5037</v>
      </c>
      <c r="P111" s="22">
        <v>44678</v>
      </c>
      <c r="Q111" s="22">
        <v>6.3230000000000004</v>
      </c>
      <c r="R111" s="22">
        <v>0</v>
      </c>
      <c r="S111" s="2">
        <f t="shared" si="0"/>
        <v>6.3230000000000004</v>
      </c>
    </row>
    <row r="112" spans="1:19" x14ac:dyDescent="0.2">
      <c r="A112" s="2" t="s">
        <v>5034</v>
      </c>
      <c r="B112" s="2" t="s">
        <v>1572</v>
      </c>
      <c r="C112" s="2" t="s">
        <v>5035</v>
      </c>
      <c r="D112" s="2" t="s">
        <v>1574</v>
      </c>
      <c r="E112" s="2" t="s">
        <v>1573</v>
      </c>
      <c r="F112" s="2" t="s">
        <v>3923</v>
      </c>
      <c r="G112" s="2" t="s">
        <v>5038</v>
      </c>
      <c r="H112" s="2" t="s">
        <v>4620</v>
      </c>
      <c r="I112" s="2" t="s">
        <v>4621</v>
      </c>
      <c r="J112" s="2" t="s">
        <v>60</v>
      </c>
      <c r="K112" s="2" t="s">
        <v>4622</v>
      </c>
      <c r="L112" s="2" t="s">
        <v>4614</v>
      </c>
      <c r="M112" s="2" t="s">
        <v>4932</v>
      </c>
      <c r="N112" s="2" t="s">
        <v>4679</v>
      </c>
      <c r="O112" s="2" t="s">
        <v>5039</v>
      </c>
      <c r="P112" s="22">
        <v>44678</v>
      </c>
      <c r="Q112" s="22">
        <v>6.3234000000000004</v>
      </c>
      <c r="R112" s="22">
        <v>0</v>
      </c>
      <c r="S112" s="2">
        <f t="shared" si="0"/>
        <v>6.3234000000000004</v>
      </c>
    </row>
    <row r="113" spans="1:19" x14ac:dyDescent="0.2">
      <c r="A113" s="2" t="s">
        <v>4608</v>
      </c>
      <c r="B113" s="2" t="s">
        <v>4609</v>
      </c>
      <c r="C113" s="2" t="s">
        <v>4861</v>
      </c>
      <c r="D113" s="2" t="s">
        <v>908</v>
      </c>
      <c r="E113" s="2" t="s">
        <v>903</v>
      </c>
      <c r="F113" s="2" t="s">
        <v>3726</v>
      </c>
      <c r="G113" s="2" t="s">
        <v>5040</v>
      </c>
      <c r="H113" s="2" t="s">
        <v>4595</v>
      </c>
      <c r="I113" s="2" t="s">
        <v>4612</v>
      </c>
      <c r="J113" s="2" t="s">
        <v>60</v>
      </c>
      <c r="K113" s="2" t="s">
        <v>4622</v>
      </c>
      <c r="L113" s="2" t="s">
        <v>4614</v>
      </c>
      <c r="M113" s="2" t="s">
        <v>4615</v>
      </c>
      <c r="N113" s="2" t="s">
        <v>4616</v>
      </c>
      <c r="O113" s="2" t="s">
        <v>5041</v>
      </c>
      <c r="P113" s="22">
        <v>44467</v>
      </c>
      <c r="Q113" s="22">
        <v>0.41899999999999998</v>
      </c>
      <c r="R113" s="22">
        <v>0</v>
      </c>
      <c r="S113" s="2">
        <f t="shared" si="0"/>
        <v>0.41899999999999998</v>
      </c>
    </row>
    <row r="114" spans="1:19" x14ac:dyDescent="0.2">
      <c r="A114" s="2" t="s">
        <v>5042</v>
      </c>
      <c r="B114" s="2" t="s">
        <v>5043</v>
      </c>
      <c r="C114" s="2" t="s">
        <v>4898</v>
      </c>
      <c r="D114" s="2" t="s">
        <v>1444</v>
      </c>
      <c r="E114" s="2" t="s">
        <v>1443</v>
      </c>
      <c r="F114" s="2" t="s">
        <v>3884</v>
      </c>
      <c r="G114" s="2" t="s">
        <v>5044</v>
      </c>
      <c r="H114" s="2" t="s">
        <v>4595</v>
      </c>
      <c r="I114" s="2" t="s">
        <v>4612</v>
      </c>
      <c r="J114" s="2" t="s">
        <v>60</v>
      </c>
      <c r="K114" s="2" t="s">
        <v>4622</v>
      </c>
      <c r="L114" s="2" t="s">
        <v>4614</v>
      </c>
      <c r="M114" s="2" t="s">
        <v>4900</v>
      </c>
      <c r="N114" s="2" t="s">
        <v>4616</v>
      </c>
      <c r="O114" s="2" t="s">
        <v>5045</v>
      </c>
      <c r="P114" s="22">
        <v>44635</v>
      </c>
      <c r="Q114" s="22">
        <v>1.4830000000000001</v>
      </c>
      <c r="R114" s="22">
        <v>0</v>
      </c>
      <c r="S114" s="2">
        <f t="shared" si="0"/>
        <v>1.4830000000000001</v>
      </c>
    </row>
    <row r="115" spans="1:19" x14ac:dyDescent="0.2">
      <c r="A115" s="2" t="s">
        <v>1359</v>
      </c>
      <c r="B115" s="2" t="s">
        <v>5046</v>
      </c>
      <c r="C115" s="2" t="s">
        <v>5047</v>
      </c>
      <c r="D115" s="2" t="s">
        <v>1363</v>
      </c>
      <c r="E115" s="2" t="s">
        <v>1320</v>
      </c>
      <c r="F115" s="2" t="s">
        <v>3862</v>
      </c>
      <c r="G115" s="2" t="s">
        <v>5048</v>
      </c>
      <c r="H115" s="2" t="s">
        <v>4595</v>
      </c>
      <c r="I115" s="2" t="s">
        <v>4612</v>
      </c>
      <c r="J115" s="2" t="s">
        <v>60</v>
      </c>
      <c r="K115" s="2" t="s">
        <v>4622</v>
      </c>
      <c r="L115" s="2" t="s">
        <v>4614</v>
      </c>
      <c r="M115" s="2" t="s">
        <v>5049</v>
      </c>
      <c r="N115" s="2" t="s">
        <v>4616</v>
      </c>
      <c r="O115" s="2" t="s">
        <v>5050</v>
      </c>
      <c r="P115" s="22">
        <v>44581</v>
      </c>
      <c r="Q115" s="22">
        <v>0.79775099999999999</v>
      </c>
      <c r="R115" s="22">
        <v>0</v>
      </c>
      <c r="S115" s="2">
        <f t="shared" si="0"/>
        <v>0.79775099999999999</v>
      </c>
    </row>
    <row r="116" spans="1:19" x14ac:dyDescent="0.2">
      <c r="A116" s="2" t="s">
        <v>5051</v>
      </c>
      <c r="B116" s="2" t="s">
        <v>5052</v>
      </c>
      <c r="C116" s="2" t="s">
        <v>4861</v>
      </c>
      <c r="D116" s="2" t="s">
        <v>766</v>
      </c>
      <c r="E116" s="2" t="s">
        <v>628</v>
      </c>
      <c r="F116" s="2" t="s">
        <v>3676</v>
      </c>
      <c r="G116" s="2" t="s">
        <v>5053</v>
      </c>
      <c r="H116" s="2" t="s">
        <v>4595</v>
      </c>
      <c r="I116" s="2" t="s">
        <v>4612</v>
      </c>
      <c r="J116" s="2" t="s">
        <v>60</v>
      </c>
      <c r="K116" s="2" t="s">
        <v>4622</v>
      </c>
      <c r="L116" s="2" t="s">
        <v>4614</v>
      </c>
      <c r="M116" s="2" t="s">
        <v>4726</v>
      </c>
      <c r="N116" s="2" t="s">
        <v>4616</v>
      </c>
      <c r="O116" s="2" t="s">
        <v>5054</v>
      </c>
      <c r="P116" s="22">
        <v>44383</v>
      </c>
      <c r="Q116" s="22">
        <v>0.32300000000000001</v>
      </c>
      <c r="R116" s="22">
        <v>0</v>
      </c>
      <c r="S116" s="2">
        <f t="shared" si="0"/>
        <v>0.32300000000000001</v>
      </c>
    </row>
    <row r="117" spans="1:19" x14ac:dyDescent="0.2">
      <c r="A117" s="2" t="s">
        <v>344</v>
      </c>
      <c r="B117" s="2" t="s">
        <v>5013</v>
      </c>
      <c r="C117" s="2" t="s">
        <v>4701</v>
      </c>
      <c r="D117" s="2" t="s">
        <v>584</v>
      </c>
      <c r="E117" s="2" t="s">
        <v>583</v>
      </c>
      <c r="F117" s="2" t="s">
        <v>3627</v>
      </c>
      <c r="G117" s="2" t="s">
        <v>5055</v>
      </c>
      <c r="H117" s="2" t="s">
        <v>4595</v>
      </c>
      <c r="I117" s="2" t="s">
        <v>4612</v>
      </c>
      <c r="J117" s="2" t="s">
        <v>60</v>
      </c>
      <c r="K117" s="2" t="s">
        <v>4622</v>
      </c>
      <c r="L117" s="2" t="s">
        <v>4614</v>
      </c>
      <c r="M117" s="2" t="s">
        <v>4913</v>
      </c>
      <c r="N117" s="2" t="s">
        <v>4679</v>
      </c>
      <c r="O117" s="2" t="s">
        <v>5056</v>
      </c>
      <c r="P117" s="22">
        <v>44349</v>
      </c>
      <c r="Q117" s="22">
        <v>2.968</v>
      </c>
      <c r="R117" s="22">
        <v>0</v>
      </c>
      <c r="S117" s="2">
        <f t="shared" si="0"/>
        <v>2.968</v>
      </c>
    </row>
    <row r="118" spans="1:19" x14ac:dyDescent="0.2">
      <c r="A118" s="2" t="s">
        <v>344</v>
      </c>
      <c r="B118" s="2" t="s">
        <v>5013</v>
      </c>
      <c r="C118" s="2" t="s">
        <v>4701</v>
      </c>
      <c r="D118" s="2" t="s">
        <v>584</v>
      </c>
      <c r="E118" s="2" t="s">
        <v>583</v>
      </c>
      <c r="F118" s="2" t="s">
        <v>3625</v>
      </c>
      <c r="G118" s="2" t="s">
        <v>5057</v>
      </c>
      <c r="H118" s="2" t="s">
        <v>4595</v>
      </c>
      <c r="I118" s="2" t="s">
        <v>4621</v>
      </c>
      <c r="J118" s="2" t="s">
        <v>60</v>
      </c>
      <c r="K118" s="2" t="s">
        <v>4622</v>
      </c>
      <c r="L118" s="2" t="s">
        <v>4614</v>
      </c>
      <c r="M118" s="2" t="s">
        <v>4913</v>
      </c>
      <c r="N118" s="2" t="s">
        <v>4679</v>
      </c>
      <c r="O118" s="2" t="s">
        <v>5058</v>
      </c>
      <c r="P118" s="22">
        <v>44349</v>
      </c>
      <c r="Q118" s="22">
        <v>3.0006379999999999</v>
      </c>
      <c r="R118" s="22">
        <v>0</v>
      </c>
      <c r="S118" s="2">
        <f t="shared" si="0"/>
        <v>3.0006379999999999</v>
      </c>
    </row>
    <row r="119" spans="1:19" x14ac:dyDescent="0.2">
      <c r="A119" s="2" t="s">
        <v>362</v>
      </c>
      <c r="B119" s="2" t="s">
        <v>5059</v>
      </c>
      <c r="C119" s="2" t="s">
        <v>4665</v>
      </c>
      <c r="D119" s="2" t="s">
        <v>368</v>
      </c>
      <c r="E119" s="2" t="s">
        <v>359</v>
      </c>
      <c r="F119" s="2" t="s">
        <v>3565</v>
      </c>
      <c r="G119" s="2" t="s">
        <v>5060</v>
      </c>
      <c r="H119" s="2" t="s">
        <v>4595</v>
      </c>
      <c r="I119" s="2" t="s">
        <v>4612</v>
      </c>
      <c r="J119" s="2" t="s">
        <v>60</v>
      </c>
      <c r="K119" s="2" t="s">
        <v>4622</v>
      </c>
      <c r="L119" s="2" t="s">
        <v>4614</v>
      </c>
      <c r="M119" s="2" t="s">
        <v>4900</v>
      </c>
      <c r="N119" s="2" t="s">
        <v>4616</v>
      </c>
      <c r="O119" s="2" t="s">
        <v>5061</v>
      </c>
      <c r="P119" s="22">
        <v>44252</v>
      </c>
      <c r="Q119" s="22">
        <v>0.47799999999999998</v>
      </c>
      <c r="R119" s="22">
        <v>0</v>
      </c>
      <c r="S119" s="2">
        <f t="shared" si="0"/>
        <v>0.47799999999999998</v>
      </c>
    </row>
    <row r="120" spans="1:19" x14ac:dyDescent="0.2">
      <c r="A120" s="2" t="s">
        <v>1486</v>
      </c>
      <c r="B120" s="2" t="s">
        <v>4774</v>
      </c>
      <c r="C120" s="2" t="s">
        <v>4838</v>
      </c>
      <c r="D120" s="2" t="s">
        <v>1495</v>
      </c>
      <c r="E120" s="2" t="s">
        <v>1454</v>
      </c>
      <c r="F120" s="2" t="s">
        <v>3899</v>
      </c>
      <c r="G120" s="2" t="s">
        <v>5062</v>
      </c>
      <c r="H120" s="2" t="s">
        <v>4595</v>
      </c>
      <c r="I120" s="2" t="s">
        <v>4710</v>
      </c>
      <c r="J120" s="2" t="s">
        <v>60</v>
      </c>
      <c r="K120" s="2" t="s">
        <v>4613</v>
      </c>
      <c r="L120" s="2" t="s">
        <v>4614</v>
      </c>
      <c r="M120" s="2" t="s">
        <v>4730</v>
      </c>
      <c r="N120" s="2" t="s">
        <v>4616</v>
      </c>
      <c r="O120" s="2" t="s">
        <v>5063</v>
      </c>
      <c r="P120" s="22">
        <v>44650</v>
      </c>
      <c r="Q120" s="22">
        <v>2.234</v>
      </c>
      <c r="R120" s="22">
        <v>0</v>
      </c>
      <c r="S120" s="2">
        <f t="shared" si="0"/>
        <v>2.234</v>
      </c>
    </row>
    <row r="121" spans="1:19" x14ac:dyDescent="0.2">
      <c r="A121" s="2" t="s">
        <v>1066</v>
      </c>
      <c r="B121" s="2" t="s">
        <v>5064</v>
      </c>
      <c r="C121" s="2" t="s">
        <v>4789</v>
      </c>
      <c r="D121" s="2" t="s">
        <v>1071</v>
      </c>
      <c r="E121" s="2" t="s">
        <v>1070</v>
      </c>
      <c r="F121" s="2" t="s">
        <v>3772</v>
      </c>
      <c r="G121" s="2" t="s">
        <v>5065</v>
      </c>
      <c r="H121" s="2" t="s">
        <v>4595</v>
      </c>
      <c r="I121" s="2" t="s">
        <v>4710</v>
      </c>
      <c r="J121" s="2" t="s">
        <v>60</v>
      </c>
      <c r="K121" s="2" t="s">
        <v>4613</v>
      </c>
      <c r="L121" s="2" t="s">
        <v>4614</v>
      </c>
      <c r="M121" s="2" t="s">
        <v>5066</v>
      </c>
      <c r="N121" s="2" t="s">
        <v>4616</v>
      </c>
      <c r="O121" s="2" t="s">
        <v>5067</v>
      </c>
      <c r="P121" s="22">
        <v>44512</v>
      </c>
      <c r="Q121" s="22">
        <v>1.008</v>
      </c>
      <c r="R121" s="22">
        <v>0</v>
      </c>
      <c r="S121" s="2">
        <f t="shared" si="0"/>
        <v>1.008</v>
      </c>
    </row>
    <row r="122" spans="1:19" x14ac:dyDescent="0.2">
      <c r="A122" s="2" t="s">
        <v>4902</v>
      </c>
      <c r="B122" s="2" t="s">
        <v>4903</v>
      </c>
      <c r="C122" s="2" t="s">
        <v>4961</v>
      </c>
      <c r="D122" s="2" t="s">
        <v>1221</v>
      </c>
      <c r="E122" s="2" t="s">
        <v>1220</v>
      </c>
      <c r="F122" s="2" t="s">
        <v>3816</v>
      </c>
      <c r="G122" s="2" t="s">
        <v>5068</v>
      </c>
      <c r="H122" s="2" t="s">
        <v>4595</v>
      </c>
      <c r="I122" s="2" t="s">
        <v>4612</v>
      </c>
      <c r="J122" s="2" t="s">
        <v>60</v>
      </c>
      <c r="K122" s="2" t="s">
        <v>4622</v>
      </c>
      <c r="L122" s="2" t="s">
        <v>4614</v>
      </c>
      <c r="M122" s="2" t="s">
        <v>4840</v>
      </c>
      <c r="N122" s="2" t="s">
        <v>4616</v>
      </c>
      <c r="O122" s="2" t="s">
        <v>5069</v>
      </c>
      <c r="P122" s="22">
        <v>44531</v>
      </c>
      <c r="Q122" s="22">
        <v>0.57099999999999995</v>
      </c>
      <c r="R122" s="22">
        <v>0</v>
      </c>
      <c r="S122" s="2">
        <f t="shared" si="0"/>
        <v>0.57099999999999995</v>
      </c>
    </row>
    <row r="123" spans="1:19" x14ac:dyDescent="0.2">
      <c r="A123" s="2" t="s">
        <v>1335</v>
      </c>
      <c r="B123" s="2" t="s">
        <v>5070</v>
      </c>
      <c r="C123" s="2" t="s">
        <v>4779</v>
      </c>
      <c r="D123" s="2" t="s">
        <v>1341</v>
      </c>
      <c r="E123" s="2" t="s">
        <v>1340</v>
      </c>
      <c r="F123" s="2" t="s">
        <v>3854</v>
      </c>
      <c r="G123" s="2" t="s">
        <v>5071</v>
      </c>
      <c r="H123" s="2" t="s">
        <v>4595</v>
      </c>
      <c r="I123" s="2" t="s">
        <v>4612</v>
      </c>
      <c r="J123" s="2" t="s">
        <v>60</v>
      </c>
      <c r="K123" s="2" t="s">
        <v>4622</v>
      </c>
      <c r="L123" s="2" t="s">
        <v>4614</v>
      </c>
      <c r="M123" s="2" t="s">
        <v>4859</v>
      </c>
      <c r="N123" s="2" t="s">
        <v>4616</v>
      </c>
      <c r="O123" s="2" t="s">
        <v>5072</v>
      </c>
      <c r="P123" s="22">
        <v>44575</v>
      </c>
      <c r="Q123" s="22">
        <v>2.0209999999999999</v>
      </c>
      <c r="R123" s="22">
        <v>0</v>
      </c>
      <c r="S123" s="2">
        <f t="shared" si="0"/>
        <v>2.0209999999999999</v>
      </c>
    </row>
    <row r="124" spans="1:19" x14ac:dyDescent="0.2">
      <c r="A124" s="2" t="s">
        <v>1166</v>
      </c>
      <c r="B124" s="2" t="s">
        <v>4788</v>
      </c>
      <c r="C124" s="2" t="s">
        <v>4898</v>
      </c>
      <c r="D124" s="2" t="s">
        <v>1176</v>
      </c>
      <c r="E124" s="2" t="s">
        <v>1170</v>
      </c>
      <c r="F124" s="2" t="s">
        <v>3802</v>
      </c>
      <c r="G124" s="2" t="s">
        <v>5073</v>
      </c>
      <c r="H124" s="2" t="s">
        <v>4595</v>
      </c>
      <c r="I124" s="2" t="s">
        <v>4612</v>
      </c>
      <c r="J124" s="2" t="s">
        <v>60</v>
      </c>
      <c r="K124" s="2" t="s">
        <v>4622</v>
      </c>
      <c r="L124" s="2" t="s">
        <v>4614</v>
      </c>
      <c r="M124" s="2" t="s">
        <v>4667</v>
      </c>
      <c r="N124" s="2" t="s">
        <v>4616</v>
      </c>
      <c r="O124" s="2" t="s">
        <v>5074</v>
      </c>
      <c r="P124" s="22">
        <v>44525</v>
      </c>
      <c r="Q124" s="22">
        <v>1.645</v>
      </c>
      <c r="R124" s="22">
        <v>0</v>
      </c>
      <c r="S124" s="2">
        <f t="shared" si="0"/>
        <v>1.645</v>
      </c>
    </row>
    <row r="125" spans="1:19" x14ac:dyDescent="0.2">
      <c r="A125" s="2" t="s">
        <v>415</v>
      </c>
      <c r="B125" s="2" t="s">
        <v>5075</v>
      </c>
      <c r="C125" s="2" t="s">
        <v>4861</v>
      </c>
      <c r="D125" s="2" t="s">
        <v>419</v>
      </c>
      <c r="E125" s="2" t="s">
        <v>408</v>
      </c>
      <c r="F125" s="2" t="s">
        <v>3577</v>
      </c>
      <c r="G125" s="2" t="s">
        <v>5076</v>
      </c>
      <c r="H125" s="2" t="s">
        <v>4595</v>
      </c>
      <c r="I125" s="2" t="s">
        <v>4612</v>
      </c>
      <c r="J125" s="2" t="s">
        <v>60</v>
      </c>
      <c r="K125" s="2" t="s">
        <v>4622</v>
      </c>
      <c r="L125" s="2" t="s">
        <v>4614</v>
      </c>
      <c r="M125" s="2" t="s">
        <v>4840</v>
      </c>
      <c r="N125" s="2" t="s">
        <v>4616</v>
      </c>
      <c r="O125" s="2" t="s">
        <v>5077</v>
      </c>
      <c r="P125" s="22">
        <v>44273</v>
      </c>
      <c r="Q125" s="22">
        <v>0.438</v>
      </c>
      <c r="R125" s="22">
        <v>0</v>
      </c>
      <c r="S125" s="2">
        <f t="shared" si="0"/>
        <v>0.438</v>
      </c>
    </row>
    <row r="126" spans="1:19" x14ac:dyDescent="0.2">
      <c r="A126" s="2" t="s">
        <v>1042</v>
      </c>
      <c r="B126" s="2" t="s">
        <v>4852</v>
      </c>
      <c r="C126" s="2" t="s">
        <v>5078</v>
      </c>
      <c r="D126" s="2" t="s">
        <v>1055</v>
      </c>
      <c r="E126" s="2" t="s">
        <v>1047</v>
      </c>
      <c r="F126" s="2" t="s">
        <v>3766</v>
      </c>
      <c r="G126" s="2" t="s">
        <v>5079</v>
      </c>
      <c r="H126" s="2" t="s">
        <v>4595</v>
      </c>
      <c r="I126" s="2" t="s">
        <v>4612</v>
      </c>
      <c r="J126" s="2" t="s">
        <v>60</v>
      </c>
      <c r="K126" s="2" t="s">
        <v>4622</v>
      </c>
      <c r="L126" s="2" t="s">
        <v>4614</v>
      </c>
      <c r="M126" s="2" t="s">
        <v>5080</v>
      </c>
      <c r="N126" s="2" t="s">
        <v>4679</v>
      </c>
      <c r="O126" s="2" t="s">
        <v>5081</v>
      </c>
      <c r="P126" s="22">
        <v>44509</v>
      </c>
      <c r="Q126" s="22">
        <v>4.4059999999999997</v>
      </c>
      <c r="R126" s="22">
        <v>0</v>
      </c>
      <c r="S126" s="2">
        <f t="shared" si="0"/>
        <v>4.4059999999999997</v>
      </c>
    </row>
    <row r="127" spans="1:19" x14ac:dyDescent="0.2">
      <c r="A127" s="2" t="s">
        <v>4608</v>
      </c>
      <c r="B127" s="2" t="s">
        <v>4609</v>
      </c>
      <c r="C127" s="2" t="s">
        <v>5082</v>
      </c>
      <c r="D127" s="2" t="s">
        <v>651</v>
      </c>
      <c r="E127" s="2" t="s">
        <v>645</v>
      </c>
      <c r="F127" s="2" t="s">
        <v>3641</v>
      </c>
      <c r="G127" s="2" t="s">
        <v>5083</v>
      </c>
      <c r="H127" s="2" t="s">
        <v>4595</v>
      </c>
      <c r="I127" s="2" t="s">
        <v>4612</v>
      </c>
      <c r="J127" s="2" t="s">
        <v>60</v>
      </c>
      <c r="K127" s="2" t="s">
        <v>4622</v>
      </c>
      <c r="L127" s="2" t="s">
        <v>4614</v>
      </c>
      <c r="M127" s="2" t="s">
        <v>4667</v>
      </c>
      <c r="N127" s="2" t="s">
        <v>4616</v>
      </c>
      <c r="O127" s="2" t="s">
        <v>5084</v>
      </c>
      <c r="P127" s="22">
        <v>44364</v>
      </c>
      <c r="Q127" s="22">
        <v>0.46600000000000003</v>
      </c>
      <c r="R127" s="22">
        <v>0</v>
      </c>
      <c r="S127" s="2">
        <f t="shared" si="0"/>
        <v>0.46600000000000003</v>
      </c>
    </row>
    <row r="128" spans="1:19" x14ac:dyDescent="0.2">
      <c r="A128" s="2" t="s">
        <v>253</v>
      </c>
      <c r="B128" s="2" t="s">
        <v>5085</v>
      </c>
      <c r="C128" s="2" t="s">
        <v>5086</v>
      </c>
      <c r="D128" s="2" t="s">
        <v>260</v>
      </c>
      <c r="E128" s="2" t="s">
        <v>259</v>
      </c>
      <c r="F128" s="2" t="s">
        <v>3538</v>
      </c>
      <c r="G128" s="2" t="s">
        <v>5087</v>
      </c>
      <c r="H128" s="2" t="s">
        <v>4620</v>
      </c>
      <c r="I128" s="2" t="s">
        <v>4621</v>
      </c>
      <c r="J128" s="2" t="s">
        <v>60</v>
      </c>
      <c r="K128" s="2" t="s">
        <v>4622</v>
      </c>
      <c r="L128" s="2" t="s">
        <v>4614</v>
      </c>
      <c r="M128" s="2" t="s">
        <v>4959</v>
      </c>
      <c r="N128" s="2" t="s">
        <v>4679</v>
      </c>
      <c r="O128" s="2" t="s">
        <v>5088</v>
      </c>
      <c r="P128" s="22">
        <v>44308</v>
      </c>
      <c r="Q128" s="22">
        <v>3.6461999999999999</v>
      </c>
      <c r="R128" s="22">
        <v>-100</v>
      </c>
      <c r="S128" s="2" t="str">
        <f t="shared" si="0"/>
        <v/>
      </c>
    </row>
    <row r="129" spans="1:19" x14ac:dyDescent="0.2">
      <c r="A129" s="2" t="s">
        <v>253</v>
      </c>
      <c r="B129" s="2" t="s">
        <v>5085</v>
      </c>
      <c r="C129" s="2" t="s">
        <v>5086</v>
      </c>
      <c r="D129" s="2" t="s">
        <v>260</v>
      </c>
      <c r="E129" s="2" t="s">
        <v>259</v>
      </c>
      <c r="F129" s="2" t="s">
        <v>3540</v>
      </c>
      <c r="G129" s="2" t="s">
        <v>5089</v>
      </c>
      <c r="H129" s="2" t="s">
        <v>4620</v>
      </c>
      <c r="I129" s="2" t="s">
        <v>4612</v>
      </c>
      <c r="J129" s="2" t="s">
        <v>60</v>
      </c>
      <c r="K129" s="2" t="s">
        <v>4622</v>
      </c>
      <c r="L129" s="2" t="s">
        <v>4614</v>
      </c>
      <c r="M129" s="2" t="s">
        <v>4959</v>
      </c>
      <c r="N129" s="2" t="s">
        <v>4679</v>
      </c>
      <c r="O129" s="2" t="s">
        <v>5090</v>
      </c>
      <c r="P129" s="22">
        <v>44210</v>
      </c>
      <c r="Q129" s="22">
        <v>3.1549999999999998</v>
      </c>
      <c r="R129" s="22">
        <v>-2</v>
      </c>
      <c r="S129" s="2" t="str">
        <f t="shared" si="0"/>
        <v/>
      </c>
    </row>
    <row r="130" spans="1:19" x14ac:dyDescent="0.2">
      <c r="A130" s="2" t="s">
        <v>754</v>
      </c>
      <c r="B130" s="2" t="s">
        <v>4957</v>
      </c>
      <c r="C130" s="2" t="s">
        <v>4853</v>
      </c>
      <c r="D130" s="2" t="s">
        <v>1622</v>
      </c>
      <c r="E130" s="2" t="s">
        <v>1621</v>
      </c>
      <c r="F130" s="2" t="s">
        <v>3938</v>
      </c>
      <c r="G130" s="2" t="s">
        <v>5091</v>
      </c>
      <c r="H130" s="2" t="s">
        <v>4620</v>
      </c>
      <c r="I130" s="2" t="s">
        <v>4621</v>
      </c>
      <c r="J130" s="2" t="s">
        <v>60</v>
      </c>
      <c r="K130" s="2" t="s">
        <v>4622</v>
      </c>
      <c r="L130" s="2" t="s">
        <v>4614</v>
      </c>
      <c r="M130" s="2" t="s">
        <v>4737</v>
      </c>
      <c r="N130" s="2" t="s">
        <v>4616</v>
      </c>
      <c r="O130" s="2" t="s">
        <v>5092</v>
      </c>
      <c r="P130" s="22">
        <v>44089</v>
      </c>
      <c r="Q130" s="22">
        <v>3.5823999999999998</v>
      </c>
      <c r="R130" s="22">
        <v>-1</v>
      </c>
      <c r="S130" s="2" t="str">
        <f t="shared" si="0"/>
        <v/>
      </c>
    </row>
    <row r="131" spans="1:19" x14ac:dyDescent="0.2">
      <c r="A131" s="2" t="s">
        <v>4608</v>
      </c>
      <c r="B131" s="2" t="s">
        <v>4609</v>
      </c>
      <c r="C131" s="2" t="s">
        <v>4720</v>
      </c>
      <c r="D131" s="2" t="s">
        <v>1351</v>
      </c>
      <c r="E131" s="2" t="s">
        <v>1346</v>
      </c>
      <c r="F131" s="2" t="s">
        <v>3858</v>
      </c>
      <c r="G131" s="2" t="s">
        <v>5093</v>
      </c>
      <c r="H131" s="2" t="s">
        <v>4595</v>
      </c>
      <c r="I131" s="2" t="s">
        <v>4612</v>
      </c>
      <c r="J131" s="2" t="s">
        <v>60</v>
      </c>
      <c r="K131" s="2" t="s">
        <v>4622</v>
      </c>
      <c r="L131" s="2" t="s">
        <v>4614</v>
      </c>
      <c r="M131" s="2" t="s">
        <v>4730</v>
      </c>
      <c r="N131" s="2" t="s">
        <v>4616</v>
      </c>
      <c r="O131" s="2" t="s">
        <v>5094</v>
      </c>
      <c r="P131" s="22">
        <v>44578</v>
      </c>
      <c r="Q131" s="22">
        <v>1.008</v>
      </c>
      <c r="R131" s="22">
        <v>0</v>
      </c>
      <c r="S131" s="2">
        <f t="shared" si="0"/>
        <v>1.008</v>
      </c>
    </row>
    <row r="132" spans="1:19" x14ac:dyDescent="0.2">
      <c r="A132" s="2" t="s">
        <v>290</v>
      </c>
      <c r="B132" s="2" t="s">
        <v>5095</v>
      </c>
      <c r="C132" s="2" t="s">
        <v>5096</v>
      </c>
      <c r="D132" s="2" t="s">
        <v>295</v>
      </c>
      <c r="E132" s="2" t="s">
        <v>294</v>
      </c>
      <c r="F132" s="2" t="s">
        <v>3545</v>
      </c>
      <c r="G132" s="2" t="s">
        <v>5097</v>
      </c>
      <c r="H132" s="2" t="s">
        <v>4620</v>
      </c>
      <c r="I132" s="2" t="s">
        <v>4621</v>
      </c>
      <c r="J132" s="2" t="s">
        <v>60</v>
      </c>
      <c r="K132" s="2" t="s">
        <v>4622</v>
      </c>
      <c r="L132" s="2" t="s">
        <v>4614</v>
      </c>
      <c r="M132" s="2" t="s">
        <v>5098</v>
      </c>
      <c r="N132" s="2" t="s">
        <v>4679</v>
      </c>
      <c r="O132" s="2" t="s">
        <v>5099</v>
      </c>
      <c r="P132" s="22">
        <v>44216</v>
      </c>
      <c r="Q132" s="22">
        <v>4.7465000000000002</v>
      </c>
      <c r="R132" s="22">
        <v>0</v>
      </c>
      <c r="S132" s="2">
        <f t="shared" si="0"/>
        <v>4.7465000000000002</v>
      </c>
    </row>
    <row r="133" spans="1:19" x14ac:dyDescent="0.2">
      <c r="A133" s="2" t="s">
        <v>290</v>
      </c>
      <c r="B133" s="2" t="s">
        <v>5095</v>
      </c>
      <c r="C133" s="2" t="s">
        <v>5096</v>
      </c>
      <c r="D133" s="2" t="s">
        <v>295</v>
      </c>
      <c r="E133" s="2" t="s">
        <v>294</v>
      </c>
      <c r="F133" s="2" t="s">
        <v>3547</v>
      </c>
      <c r="G133" s="2" t="s">
        <v>5100</v>
      </c>
      <c r="H133" s="2" t="s">
        <v>4620</v>
      </c>
      <c r="I133" s="2" t="s">
        <v>4612</v>
      </c>
      <c r="J133" s="2" t="s">
        <v>60</v>
      </c>
      <c r="K133" s="2" t="s">
        <v>4622</v>
      </c>
      <c r="L133" s="2" t="s">
        <v>4614</v>
      </c>
      <c r="M133" s="2" t="s">
        <v>5098</v>
      </c>
      <c r="N133" s="2" t="s">
        <v>4679</v>
      </c>
      <c r="O133" s="2" t="s">
        <v>5099</v>
      </c>
      <c r="P133" s="22">
        <v>44216</v>
      </c>
      <c r="Q133" s="22">
        <v>4.7469999999999999</v>
      </c>
      <c r="R133" s="22">
        <v>0</v>
      </c>
      <c r="S133" s="2">
        <f t="shared" si="0"/>
        <v>4.7469999999999999</v>
      </c>
    </row>
    <row r="134" spans="1:19" x14ac:dyDescent="0.2">
      <c r="A134" s="2" t="s">
        <v>323</v>
      </c>
      <c r="B134" s="2" t="s">
        <v>5101</v>
      </c>
      <c r="C134" s="2" t="s">
        <v>4811</v>
      </c>
      <c r="D134" s="2" t="s">
        <v>328</v>
      </c>
      <c r="E134" s="2" t="s">
        <v>327</v>
      </c>
      <c r="F134" s="2" t="s">
        <v>3553</v>
      </c>
      <c r="G134" s="2" t="s">
        <v>5102</v>
      </c>
      <c r="H134" s="2" t="s">
        <v>4620</v>
      </c>
      <c r="I134" s="2" t="s">
        <v>4621</v>
      </c>
      <c r="J134" s="2" t="s">
        <v>60</v>
      </c>
      <c r="K134" s="2" t="s">
        <v>4622</v>
      </c>
      <c r="L134" s="2" t="s">
        <v>4614</v>
      </c>
      <c r="M134" s="2" t="s">
        <v>5103</v>
      </c>
      <c r="N134" s="2" t="s">
        <v>4679</v>
      </c>
      <c r="O134" s="2" t="s">
        <v>5104</v>
      </c>
      <c r="P134" s="22">
        <v>44235</v>
      </c>
      <c r="Q134" s="22">
        <v>5.1727999999999996</v>
      </c>
      <c r="R134" s="22">
        <v>0</v>
      </c>
      <c r="S134" s="2">
        <f t="shared" si="0"/>
        <v>5.1727999999999996</v>
      </c>
    </row>
    <row r="135" spans="1:19" x14ac:dyDescent="0.2">
      <c r="A135" s="2" t="s">
        <v>323</v>
      </c>
      <c r="B135" s="2" t="s">
        <v>5101</v>
      </c>
      <c r="C135" s="2" t="s">
        <v>4811</v>
      </c>
      <c r="D135" s="2" t="s">
        <v>328</v>
      </c>
      <c r="E135" s="2" t="s">
        <v>327</v>
      </c>
      <c r="F135" s="2" t="s">
        <v>3555</v>
      </c>
      <c r="G135" s="2" t="s">
        <v>5105</v>
      </c>
      <c r="H135" s="2" t="s">
        <v>4620</v>
      </c>
      <c r="I135" s="2" t="s">
        <v>4612</v>
      </c>
      <c r="J135" s="2" t="s">
        <v>60</v>
      </c>
      <c r="K135" s="2" t="s">
        <v>4622</v>
      </c>
      <c r="L135" s="2" t="s">
        <v>4614</v>
      </c>
      <c r="M135" s="2" t="s">
        <v>5103</v>
      </c>
      <c r="N135" s="2" t="s">
        <v>4679</v>
      </c>
      <c r="O135" s="2" t="s">
        <v>5104</v>
      </c>
      <c r="P135" s="22">
        <v>44235</v>
      </c>
      <c r="Q135" s="22">
        <v>5.173</v>
      </c>
      <c r="R135" s="22">
        <v>0</v>
      </c>
      <c r="S135" s="2">
        <f t="shared" si="0"/>
        <v>5.173</v>
      </c>
    </row>
    <row r="136" spans="1:19" x14ac:dyDescent="0.2">
      <c r="A136" s="2" t="s">
        <v>4669</v>
      </c>
      <c r="B136" s="2" t="s">
        <v>4670</v>
      </c>
      <c r="C136" s="2" t="s">
        <v>5009</v>
      </c>
      <c r="D136" s="2" t="s">
        <v>429</v>
      </c>
      <c r="E136" s="2" t="s">
        <v>428</v>
      </c>
      <c r="F136" s="2" t="s">
        <v>3579</v>
      </c>
      <c r="G136" s="2" t="s">
        <v>5106</v>
      </c>
      <c r="H136" s="2" t="s">
        <v>4656</v>
      </c>
      <c r="I136" s="2" t="s">
        <v>4657</v>
      </c>
      <c r="J136" s="2" t="s">
        <v>60</v>
      </c>
      <c r="K136" s="2" t="s">
        <v>4613</v>
      </c>
      <c r="L136" s="2" t="s">
        <v>4614</v>
      </c>
      <c r="M136" s="20" t="s">
        <v>4658</v>
      </c>
      <c r="N136" s="2"/>
      <c r="O136" s="2" t="s">
        <v>5107</v>
      </c>
      <c r="P136" s="22">
        <v>44287</v>
      </c>
      <c r="Q136" s="22">
        <v>2.9689999999999999</v>
      </c>
      <c r="R136" s="22">
        <v>-7</v>
      </c>
      <c r="S136" s="2" t="str">
        <f t="shared" si="0"/>
        <v/>
      </c>
    </row>
    <row r="137" spans="1:19" x14ac:dyDescent="0.2">
      <c r="A137" s="2" t="s">
        <v>476</v>
      </c>
      <c r="B137" s="2" t="s">
        <v>5108</v>
      </c>
      <c r="C137" s="2" t="s">
        <v>4861</v>
      </c>
      <c r="D137" s="2" t="s">
        <v>481</v>
      </c>
      <c r="E137" s="2" t="s">
        <v>480</v>
      </c>
      <c r="F137" s="2" t="s">
        <v>3597</v>
      </c>
      <c r="G137" s="2" t="s">
        <v>5109</v>
      </c>
      <c r="H137" s="2" t="s">
        <v>4595</v>
      </c>
      <c r="I137" s="2" t="s">
        <v>4596</v>
      </c>
      <c r="J137" s="2" t="s">
        <v>60</v>
      </c>
      <c r="K137" s="2" t="s">
        <v>4597</v>
      </c>
      <c r="L137" s="2" t="s">
        <v>4614</v>
      </c>
      <c r="M137" s="2" t="s">
        <v>4900</v>
      </c>
      <c r="N137" s="2" t="s">
        <v>4616</v>
      </c>
      <c r="O137" s="2" t="s">
        <v>5110</v>
      </c>
      <c r="P137" s="22">
        <v>44307</v>
      </c>
      <c r="Q137" s="22">
        <v>0.39400000000000002</v>
      </c>
      <c r="R137" s="22">
        <v>0</v>
      </c>
      <c r="S137" s="2">
        <f t="shared" si="0"/>
        <v>0.39400000000000002</v>
      </c>
    </row>
    <row r="138" spans="1:19" x14ac:dyDescent="0.2">
      <c r="A138" s="2" t="s">
        <v>165</v>
      </c>
      <c r="B138" s="2" t="s">
        <v>4698</v>
      </c>
      <c r="C138" s="2" t="s">
        <v>5082</v>
      </c>
      <c r="D138" s="2" t="s">
        <v>172</v>
      </c>
      <c r="E138" s="2" t="s">
        <v>171</v>
      </c>
      <c r="F138" s="2" t="s">
        <v>3522</v>
      </c>
      <c r="G138" s="2" t="s">
        <v>5111</v>
      </c>
      <c r="H138" s="2" t="s">
        <v>4595</v>
      </c>
      <c r="I138" s="2" t="s">
        <v>4612</v>
      </c>
      <c r="J138" s="2" t="s">
        <v>60</v>
      </c>
      <c r="K138" s="2" t="s">
        <v>4622</v>
      </c>
      <c r="L138" s="2" t="s">
        <v>4614</v>
      </c>
      <c r="M138" s="2" t="s">
        <v>5049</v>
      </c>
      <c r="N138" s="2" t="s">
        <v>4616</v>
      </c>
      <c r="O138" s="2" t="s">
        <v>5112</v>
      </c>
      <c r="P138" s="22">
        <v>44158</v>
      </c>
      <c r="Q138" s="22">
        <v>0.47599999999999998</v>
      </c>
      <c r="R138" s="22">
        <v>0</v>
      </c>
      <c r="S138" s="2">
        <f t="shared" si="0"/>
        <v>0.47599999999999998</v>
      </c>
    </row>
    <row r="139" spans="1:19" x14ac:dyDescent="0.2">
      <c r="A139" s="2" t="s">
        <v>557</v>
      </c>
      <c r="B139" s="2" t="s">
        <v>4906</v>
      </c>
      <c r="C139" s="2" t="s">
        <v>4720</v>
      </c>
      <c r="D139" s="2" t="s">
        <v>561</v>
      </c>
      <c r="E139" s="2" t="s">
        <v>512</v>
      </c>
      <c r="F139" s="2" t="s">
        <v>3619</v>
      </c>
      <c r="G139" s="2" t="s">
        <v>5113</v>
      </c>
      <c r="H139" s="2" t="s">
        <v>4595</v>
      </c>
      <c r="I139" s="2" t="s">
        <v>4612</v>
      </c>
      <c r="J139" s="2" t="s">
        <v>60</v>
      </c>
      <c r="K139" s="2" t="s">
        <v>4622</v>
      </c>
      <c r="L139" s="2" t="s">
        <v>4614</v>
      </c>
      <c r="M139" s="2" t="s">
        <v>4900</v>
      </c>
      <c r="N139" s="2" t="s">
        <v>4616</v>
      </c>
      <c r="O139" s="2" t="s">
        <v>5114</v>
      </c>
      <c r="P139" s="22">
        <v>44330</v>
      </c>
      <c r="Q139" s="22">
        <v>0.94599999999999995</v>
      </c>
      <c r="R139" s="22">
        <v>0</v>
      </c>
      <c r="S139" s="2">
        <f t="shared" si="0"/>
        <v>0.94599999999999995</v>
      </c>
    </row>
    <row r="140" spans="1:19" x14ac:dyDescent="0.2">
      <c r="A140" s="2" t="s">
        <v>4608</v>
      </c>
      <c r="B140" s="2" t="s">
        <v>4609</v>
      </c>
      <c r="C140" s="2" t="s">
        <v>4884</v>
      </c>
      <c r="D140" s="2" t="s">
        <v>793</v>
      </c>
      <c r="E140" s="2" t="s">
        <v>783</v>
      </c>
      <c r="F140" s="2" t="s">
        <v>3686</v>
      </c>
      <c r="G140" s="2" t="s">
        <v>5115</v>
      </c>
      <c r="H140" s="2" t="s">
        <v>4620</v>
      </c>
      <c r="I140" s="2" t="s">
        <v>4621</v>
      </c>
      <c r="J140" s="2" t="s">
        <v>60</v>
      </c>
      <c r="K140" s="2" t="s">
        <v>4622</v>
      </c>
      <c r="L140" s="2" t="s">
        <v>4614</v>
      </c>
      <c r="M140" s="2" t="s">
        <v>4850</v>
      </c>
      <c r="N140" s="2" t="s">
        <v>4616</v>
      </c>
      <c r="O140" s="2" t="s">
        <v>5116</v>
      </c>
      <c r="P140" s="22">
        <v>44389</v>
      </c>
      <c r="Q140" s="22">
        <v>2.3144</v>
      </c>
      <c r="R140" s="22">
        <v>0</v>
      </c>
      <c r="S140" s="2">
        <f t="shared" si="0"/>
        <v>2.3144</v>
      </c>
    </row>
    <row r="141" spans="1:19" x14ac:dyDescent="0.2">
      <c r="A141" s="2" t="s">
        <v>4608</v>
      </c>
      <c r="B141" s="2" t="s">
        <v>4609</v>
      </c>
      <c r="C141" s="2" t="s">
        <v>4884</v>
      </c>
      <c r="D141" s="2" t="s">
        <v>793</v>
      </c>
      <c r="E141" s="2" t="s">
        <v>783</v>
      </c>
      <c r="F141" s="2" t="s">
        <v>3694</v>
      </c>
      <c r="G141" s="2" t="s">
        <v>5117</v>
      </c>
      <c r="H141" s="2" t="s">
        <v>4620</v>
      </c>
      <c r="I141" s="2" t="s">
        <v>4612</v>
      </c>
      <c r="J141" s="2" t="s">
        <v>60</v>
      </c>
      <c r="K141" s="2" t="s">
        <v>4622</v>
      </c>
      <c r="L141" s="2" t="s">
        <v>4614</v>
      </c>
      <c r="M141" s="2" t="s">
        <v>4850</v>
      </c>
      <c r="N141" s="2" t="s">
        <v>4616</v>
      </c>
      <c r="O141" s="2" t="s">
        <v>5118</v>
      </c>
      <c r="P141" s="22">
        <v>44389</v>
      </c>
      <c r="Q141" s="22">
        <v>2.3140000000000001</v>
      </c>
      <c r="R141" s="22">
        <v>0</v>
      </c>
      <c r="S141" s="2">
        <f t="shared" si="0"/>
        <v>2.3140000000000001</v>
      </c>
    </row>
    <row r="142" spans="1:19" x14ac:dyDescent="0.2">
      <c r="A142" s="2" t="s">
        <v>566</v>
      </c>
      <c r="B142" s="2" t="s">
        <v>5119</v>
      </c>
      <c r="C142" s="2" t="s">
        <v>4789</v>
      </c>
      <c r="D142" s="2" t="s">
        <v>570</v>
      </c>
      <c r="E142" s="2" t="s">
        <v>512</v>
      </c>
      <c r="F142" s="2" t="s">
        <v>3621</v>
      </c>
      <c r="G142" s="2" t="s">
        <v>5120</v>
      </c>
      <c r="H142" s="2" t="s">
        <v>4595</v>
      </c>
      <c r="I142" s="2" t="s">
        <v>4612</v>
      </c>
      <c r="J142" s="2" t="s">
        <v>60</v>
      </c>
      <c r="K142" s="2" t="s">
        <v>4613</v>
      </c>
      <c r="L142" s="2" t="s">
        <v>4614</v>
      </c>
      <c r="M142" s="2" t="s">
        <v>4913</v>
      </c>
      <c r="N142" s="2" t="s">
        <v>4616</v>
      </c>
      <c r="O142" s="2" t="s">
        <v>5121</v>
      </c>
      <c r="P142" s="22">
        <v>44330</v>
      </c>
      <c r="Q142" s="22">
        <v>1.1240000000000001</v>
      </c>
      <c r="R142" s="22">
        <v>0</v>
      </c>
      <c r="S142" s="2">
        <f t="shared" si="0"/>
        <v>1.1240000000000001</v>
      </c>
    </row>
    <row r="143" spans="1:19" x14ac:dyDescent="0.2">
      <c r="A143" s="2" t="s">
        <v>774</v>
      </c>
      <c r="B143" s="2" t="s">
        <v>4897</v>
      </c>
      <c r="C143" s="2" t="s">
        <v>4961</v>
      </c>
      <c r="D143" s="2" t="s">
        <v>570</v>
      </c>
      <c r="E143" s="2" t="s">
        <v>778</v>
      </c>
      <c r="F143" s="2" t="s">
        <v>3680</v>
      </c>
      <c r="G143" s="2" t="s">
        <v>5122</v>
      </c>
      <c r="H143" s="2" t="s">
        <v>4595</v>
      </c>
      <c r="I143" s="2" t="s">
        <v>4612</v>
      </c>
      <c r="J143" s="2" t="s">
        <v>60</v>
      </c>
      <c r="K143" s="2" t="s">
        <v>4622</v>
      </c>
      <c r="L143" s="2" t="s">
        <v>4614</v>
      </c>
      <c r="M143" s="2" t="s">
        <v>4900</v>
      </c>
      <c r="N143" s="2" t="s">
        <v>4616</v>
      </c>
      <c r="O143" s="2" t="s">
        <v>5123</v>
      </c>
      <c r="P143" s="22">
        <v>44392</v>
      </c>
      <c r="Q143" s="22">
        <v>0.52</v>
      </c>
      <c r="R143" s="22">
        <v>0</v>
      </c>
      <c r="S143" s="2">
        <f t="shared" si="0"/>
        <v>0.52</v>
      </c>
    </row>
    <row r="144" spans="1:19" x14ac:dyDescent="0.2">
      <c r="A144" s="2" t="s">
        <v>490</v>
      </c>
      <c r="B144" s="2" t="s">
        <v>5124</v>
      </c>
      <c r="C144" s="2" t="s">
        <v>4779</v>
      </c>
      <c r="D144" s="2" t="s">
        <v>495</v>
      </c>
      <c r="E144" s="2" t="s">
        <v>494</v>
      </c>
      <c r="F144" s="2" t="s">
        <v>3599</v>
      </c>
      <c r="G144" s="2" t="s">
        <v>5125</v>
      </c>
      <c r="H144" s="2" t="s">
        <v>4595</v>
      </c>
      <c r="I144" s="2" t="s">
        <v>4612</v>
      </c>
      <c r="J144" s="2" t="s">
        <v>60</v>
      </c>
      <c r="K144" s="2" t="s">
        <v>4622</v>
      </c>
      <c r="L144" s="2" t="s">
        <v>4614</v>
      </c>
      <c r="M144" s="2" t="s">
        <v>4900</v>
      </c>
      <c r="N144" s="2" t="s">
        <v>4616</v>
      </c>
      <c r="O144" s="2" t="s">
        <v>5126</v>
      </c>
      <c r="P144" s="22">
        <v>44316</v>
      </c>
      <c r="Q144" s="22">
        <v>1.7470000000000001</v>
      </c>
      <c r="R144" s="22">
        <v>0</v>
      </c>
      <c r="S144" s="2">
        <f t="shared" si="0"/>
        <v>1.7470000000000001</v>
      </c>
    </row>
    <row r="145" spans="1:19" x14ac:dyDescent="0.2">
      <c r="A145" s="2" t="s">
        <v>5127</v>
      </c>
      <c r="B145" s="2" t="s">
        <v>874</v>
      </c>
      <c r="C145" s="2" t="s">
        <v>5128</v>
      </c>
      <c r="D145" s="2" t="s">
        <v>875</v>
      </c>
      <c r="E145" s="2" t="s">
        <v>843</v>
      </c>
      <c r="F145" s="2" t="s">
        <v>3716</v>
      </c>
      <c r="G145" s="2" t="s">
        <v>5129</v>
      </c>
      <c r="H145" s="2" t="s">
        <v>4620</v>
      </c>
      <c r="I145" s="2" t="s">
        <v>4621</v>
      </c>
      <c r="J145" s="2" t="s">
        <v>60</v>
      </c>
      <c r="K145" s="2" t="s">
        <v>4622</v>
      </c>
      <c r="L145" s="2" t="s">
        <v>4614</v>
      </c>
      <c r="M145" s="2" t="s">
        <v>4959</v>
      </c>
      <c r="N145" s="2" t="s">
        <v>4616</v>
      </c>
      <c r="O145" s="2" t="s">
        <v>5130</v>
      </c>
      <c r="P145" s="22">
        <v>44455</v>
      </c>
      <c r="Q145" s="22">
        <v>2.1132</v>
      </c>
      <c r="R145" s="22">
        <v>0</v>
      </c>
      <c r="S145" s="2">
        <f t="shared" si="0"/>
        <v>2.1132</v>
      </c>
    </row>
    <row r="146" spans="1:19" x14ac:dyDescent="0.2">
      <c r="A146" s="2" t="s">
        <v>916</v>
      </c>
      <c r="B146" s="2" t="s">
        <v>5131</v>
      </c>
      <c r="C146" s="2" t="s">
        <v>4861</v>
      </c>
      <c r="D146" s="2" t="s">
        <v>921</v>
      </c>
      <c r="E146" s="2" t="s">
        <v>920</v>
      </c>
      <c r="F146" s="2" t="s">
        <v>3730</v>
      </c>
      <c r="G146" s="2" t="s">
        <v>5132</v>
      </c>
      <c r="H146" s="2" t="s">
        <v>4595</v>
      </c>
      <c r="I146" s="2" t="s">
        <v>4710</v>
      </c>
      <c r="J146" s="2" t="s">
        <v>60</v>
      </c>
      <c r="K146" s="2" t="s">
        <v>4613</v>
      </c>
      <c r="L146" s="2" t="s">
        <v>4614</v>
      </c>
      <c r="M146" s="2" t="s">
        <v>4840</v>
      </c>
      <c r="N146" s="2" t="s">
        <v>4616</v>
      </c>
      <c r="O146" s="2" t="s">
        <v>5133</v>
      </c>
      <c r="P146" s="22">
        <v>44475</v>
      </c>
      <c r="Q146" s="22">
        <v>0.41199999999999998</v>
      </c>
      <c r="R146" s="22">
        <v>0</v>
      </c>
      <c r="S146" s="2">
        <f t="shared" si="0"/>
        <v>0.41199999999999998</v>
      </c>
    </row>
    <row r="147" spans="1:19" x14ac:dyDescent="0.2">
      <c r="A147" s="2" t="s">
        <v>5134</v>
      </c>
      <c r="B147" s="2" t="s">
        <v>5135</v>
      </c>
      <c r="C147" s="2" t="s">
        <v>5136</v>
      </c>
      <c r="D147" s="2" t="s">
        <v>836</v>
      </c>
      <c r="E147" s="2" t="s">
        <v>835</v>
      </c>
      <c r="F147" s="2" t="s">
        <v>3704</v>
      </c>
      <c r="G147" s="2" t="s">
        <v>5137</v>
      </c>
      <c r="H147" s="2" t="s">
        <v>4620</v>
      </c>
      <c r="I147" s="2" t="s">
        <v>4612</v>
      </c>
      <c r="J147" s="2" t="s">
        <v>60</v>
      </c>
      <c r="K147" s="2" t="s">
        <v>4622</v>
      </c>
      <c r="L147" s="2" t="s">
        <v>4614</v>
      </c>
      <c r="M147" s="2" t="s">
        <v>5138</v>
      </c>
      <c r="N147" s="2" t="s">
        <v>4616</v>
      </c>
      <c r="O147" s="2" t="s">
        <v>5139</v>
      </c>
      <c r="P147" s="22">
        <v>44467</v>
      </c>
      <c r="Q147" s="22">
        <v>2.306</v>
      </c>
      <c r="R147" s="22">
        <v>-26</v>
      </c>
      <c r="S147" s="2" t="str">
        <f t="shared" si="0"/>
        <v/>
      </c>
    </row>
    <row r="148" spans="1:19" x14ac:dyDescent="0.2">
      <c r="A148" s="2" t="s">
        <v>4925</v>
      </c>
      <c r="B148" s="2" t="s">
        <v>4926</v>
      </c>
      <c r="C148" s="2" t="s">
        <v>4775</v>
      </c>
      <c r="D148" s="2" t="s">
        <v>937</v>
      </c>
      <c r="E148" s="2" t="s">
        <v>936</v>
      </c>
      <c r="F148" s="2" t="s">
        <v>3786</v>
      </c>
      <c r="G148" s="2" t="s">
        <v>5140</v>
      </c>
      <c r="H148" s="2" t="s">
        <v>4595</v>
      </c>
      <c r="I148" s="2" t="s">
        <v>4710</v>
      </c>
      <c r="J148" s="2" t="s">
        <v>60</v>
      </c>
      <c r="K148" s="2" t="s">
        <v>4613</v>
      </c>
      <c r="L148" s="2" t="s">
        <v>4614</v>
      </c>
      <c r="M148" s="20" t="s">
        <v>4900</v>
      </c>
      <c r="N148" s="2"/>
      <c r="O148" s="2" t="s">
        <v>5141</v>
      </c>
      <c r="P148" s="22">
        <v>44510</v>
      </c>
      <c r="Q148" s="22">
        <v>1.762</v>
      </c>
      <c r="R148" s="22">
        <v>0</v>
      </c>
      <c r="S148" s="2">
        <f t="shared" si="0"/>
        <v>1.762</v>
      </c>
    </row>
    <row r="149" spans="1:19" x14ac:dyDescent="0.2">
      <c r="A149" s="2" t="s">
        <v>5142</v>
      </c>
      <c r="B149" s="2" t="s">
        <v>5143</v>
      </c>
      <c r="C149" s="2" t="s">
        <v>4720</v>
      </c>
      <c r="D149" s="2" t="s">
        <v>1228</v>
      </c>
      <c r="E149" s="2" t="s">
        <v>1220</v>
      </c>
      <c r="F149" s="2" t="s">
        <v>3818</v>
      </c>
      <c r="G149" s="2" t="s">
        <v>5144</v>
      </c>
      <c r="H149" s="2" t="s">
        <v>4595</v>
      </c>
      <c r="I149" s="2" t="s">
        <v>4612</v>
      </c>
      <c r="J149" s="2" t="s">
        <v>60</v>
      </c>
      <c r="K149" s="2" t="s">
        <v>4622</v>
      </c>
      <c r="L149" s="2" t="s">
        <v>4614</v>
      </c>
      <c r="M149" s="2" t="s">
        <v>4730</v>
      </c>
      <c r="N149" s="2" t="s">
        <v>4616</v>
      </c>
      <c r="O149" s="2" t="s">
        <v>5145</v>
      </c>
      <c r="P149" s="22">
        <v>44531</v>
      </c>
      <c r="Q149" s="22">
        <v>0.77700000000000002</v>
      </c>
      <c r="R149" s="22">
        <v>0</v>
      </c>
      <c r="S149" s="2">
        <f t="shared" si="0"/>
        <v>0.77700000000000002</v>
      </c>
    </row>
    <row r="150" spans="1:19" x14ac:dyDescent="0.2">
      <c r="A150" s="2" t="s">
        <v>5146</v>
      </c>
      <c r="B150" s="2" t="s">
        <v>5147</v>
      </c>
      <c r="C150" s="2" t="s">
        <v>4741</v>
      </c>
      <c r="D150" s="2" t="s">
        <v>662</v>
      </c>
      <c r="E150" s="2" t="s">
        <v>661</v>
      </c>
      <c r="F150" s="2" t="s">
        <v>3645</v>
      </c>
      <c r="G150" s="2" t="s">
        <v>5148</v>
      </c>
      <c r="H150" s="2" t="s">
        <v>4620</v>
      </c>
      <c r="I150" s="2" t="s">
        <v>4621</v>
      </c>
      <c r="J150" s="2" t="s">
        <v>60</v>
      </c>
      <c r="K150" s="2" t="s">
        <v>4622</v>
      </c>
      <c r="L150" s="2" t="s">
        <v>4614</v>
      </c>
      <c r="M150" s="2" t="s">
        <v>4850</v>
      </c>
      <c r="N150" s="2" t="s">
        <v>4616</v>
      </c>
      <c r="O150" s="2" t="s">
        <v>5149</v>
      </c>
      <c r="P150" s="22">
        <v>44362</v>
      </c>
      <c r="Q150" s="22">
        <v>3.6533000000000002</v>
      </c>
      <c r="R150" s="22">
        <v>0</v>
      </c>
      <c r="S150" s="2">
        <f t="shared" si="0"/>
        <v>3.6533000000000002</v>
      </c>
    </row>
    <row r="151" spans="1:19" x14ac:dyDescent="0.2">
      <c r="A151" s="2" t="s">
        <v>5146</v>
      </c>
      <c r="B151" s="2" t="s">
        <v>5147</v>
      </c>
      <c r="C151" s="2" t="s">
        <v>4741</v>
      </c>
      <c r="D151" s="2" t="s">
        <v>662</v>
      </c>
      <c r="E151" s="2" t="s">
        <v>661</v>
      </c>
      <c r="F151" s="2" t="s">
        <v>3647</v>
      </c>
      <c r="G151" s="2" t="s">
        <v>5150</v>
      </c>
      <c r="H151" s="2" t="s">
        <v>4620</v>
      </c>
      <c r="I151" s="2" t="s">
        <v>4612</v>
      </c>
      <c r="J151" s="2" t="s">
        <v>60</v>
      </c>
      <c r="K151" s="2" t="s">
        <v>4622</v>
      </c>
      <c r="L151" s="2" t="s">
        <v>4614</v>
      </c>
      <c r="M151" s="2" t="s">
        <v>4850</v>
      </c>
      <c r="N151" s="2" t="s">
        <v>4616</v>
      </c>
      <c r="O151" s="2" t="s">
        <v>5149</v>
      </c>
      <c r="P151" s="22">
        <v>44362</v>
      </c>
      <c r="Q151" s="22">
        <v>3.653</v>
      </c>
      <c r="R151" s="22">
        <v>0</v>
      </c>
      <c r="S151" s="2">
        <f t="shared" si="0"/>
        <v>3.653</v>
      </c>
    </row>
    <row r="152" spans="1:19" x14ac:dyDescent="0.2">
      <c r="A152" s="2" t="s">
        <v>754</v>
      </c>
      <c r="B152" s="2" t="s">
        <v>4957</v>
      </c>
      <c r="C152" s="2" t="s">
        <v>4701</v>
      </c>
      <c r="D152" s="2" t="s">
        <v>662</v>
      </c>
      <c r="E152" s="2" t="s">
        <v>707</v>
      </c>
      <c r="F152" s="2" t="s">
        <v>3674</v>
      </c>
      <c r="G152" s="2" t="s">
        <v>5151</v>
      </c>
      <c r="H152" s="2" t="s">
        <v>4620</v>
      </c>
      <c r="I152" s="2" t="s">
        <v>4621</v>
      </c>
      <c r="J152" s="2" t="s">
        <v>60</v>
      </c>
      <c r="K152" s="2" t="s">
        <v>4622</v>
      </c>
      <c r="L152" s="2" t="s">
        <v>4614</v>
      </c>
      <c r="M152" s="2" t="s">
        <v>4850</v>
      </c>
      <c r="N152" s="2" t="s">
        <v>4616</v>
      </c>
      <c r="O152" s="2" t="s">
        <v>5152</v>
      </c>
      <c r="P152" s="22">
        <v>44378</v>
      </c>
      <c r="Q152" s="22">
        <v>3.2290000000000001</v>
      </c>
      <c r="R152" s="22">
        <v>0</v>
      </c>
      <c r="S152" s="2">
        <f t="shared" si="0"/>
        <v>3.2290000000000001</v>
      </c>
    </row>
    <row r="153" spans="1:19" x14ac:dyDescent="0.2">
      <c r="A153" s="2" t="s">
        <v>1316</v>
      </c>
      <c r="B153" s="2" t="s">
        <v>5153</v>
      </c>
      <c r="C153" s="2" t="s">
        <v>4919</v>
      </c>
      <c r="D153" s="2" t="s">
        <v>662</v>
      </c>
      <c r="E153" s="2" t="s">
        <v>1320</v>
      </c>
      <c r="F153" s="2" t="s">
        <v>3852</v>
      </c>
      <c r="G153" s="2" t="s">
        <v>5154</v>
      </c>
      <c r="H153" s="2" t="s">
        <v>4620</v>
      </c>
      <c r="I153" s="2" t="s">
        <v>4621</v>
      </c>
      <c r="J153" s="2" t="s">
        <v>60</v>
      </c>
      <c r="K153" s="2" t="s">
        <v>4622</v>
      </c>
      <c r="L153" s="2" t="s">
        <v>4614</v>
      </c>
      <c r="M153" s="2" t="s">
        <v>5155</v>
      </c>
      <c r="N153" s="2" t="s">
        <v>4679</v>
      </c>
      <c r="O153" s="2" t="s">
        <v>5156</v>
      </c>
      <c r="P153" s="22">
        <v>44581</v>
      </c>
      <c r="Q153" s="22">
        <v>5.1292999999999997</v>
      </c>
      <c r="R153" s="22">
        <v>0</v>
      </c>
      <c r="S153" s="2">
        <f t="shared" si="0"/>
        <v>5.1292999999999997</v>
      </c>
    </row>
    <row r="154" spans="1:19" x14ac:dyDescent="0.2">
      <c r="A154" s="2" t="s">
        <v>1316</v>
      </c>
      <c r="B154" s="2" t="s">
        <v>5153</v>
      </c>
      <c r="C154" s="2" t="s">
        <v>4919</v>
      </c>
      <c r="D154" s="2" t="s">
        <v>662</v>
      </c>
      <c r="E154" s="2" t="s">
        <v>1320</v>
      </c>
      <c r="F154" s="2" t="s">
        <v>3850</v>
      </c>
      <c r="G154" s="2" t="s">
        <v>5157</v>
      </c>
      <c r="H154" s="2" t="s">
        <v>4620</v>
      </c>
      <c r="I154" s="2" t="s">
        <v>4612</v>
      </c>
      <c r="J154" s="2" t="s">
        <v>60</v>
      </c>
      <c r="K154" s="2" t="s">
        <v>4622</v>
      </c>
      <c r="L154" s="2" t="s">
        <v>4614</v>
      </c>
      <c r="M154" s="2" t="s">
        <v>5155</v>
      </c>
      <c r="N154" s="2" t="s">
        <v>4679</v>
      </c>
      <c r="O154" s="2" t="s">
        <v>5156</v>
      </c>
      <c r="P154" s="22">
        <v>44581</v>
      </c>
      <c r="Q154" s="22">
        <v>5.1289999999999996</v>
      </c>
      <c r="R154" s="22">
        <v>0</v>
      </c>
      <c r="S154" s="2">
        <f t="shared" si="0"/>
        <v>5.1289999999999996</v>
      </c>
    </row>
    <row r="155" spans="1:19" x14ac:dyDescent="0.2">
      <c r="A155" s="2" t="s">
        <v>1316</v>
      </c>
      <c r="B155" s="2" t="s">
        <v>5153</v>
      </c>
      <c r="C155" s="2" t="s">
        <v>5158</v>
      </c>
      <c r="D155" s="2" t="s">
        <v>662</v>
      </c>
      <c r="E155" s="2" t="s">
        <v>1320</v>
      </c>
      <c r="F155" s="2" t="s">
        <v>3848</v>
      </c>
      <c r="G155" s="2" t="s">
        <v>5159</v>
      </c>
      <c r="H155" s="2" t="s">
        <v>4595</v>
      </c>
      <c r="I155" s="2" t="s">
        <v>4612</v>
      </c>
      <c r="J155" s="2" t="s">
        <v>60</v>
      </c>
      <c r="K155" s="2" t="s">
        <v>4622</v>
      </c>
      <c r="L155" s="2" t="s">
        <v>4614</v>
      </c>
      <c r="M155" s="2" t="s">
        <v>4730</v>
      </c>
      <c r="N155" s="2" t="s">
        <v>4679</v>
      </c>
      <c r="O155" s="2" t="s">
        <v>5160</v>
      </c>
      <c r="P155" s="22">
        <v>44581</v>
      </c>
      <c r="Q155" s="22">
        <v>3.5830000000000002</v>
      </c>
      <c r="R155" s="22">
        <v>0</v>
      </c>
      <c r="S155" s="2">
        <f t="shared" si="0"/>
        <v>3.5830000000000002</v>
      </c>
    </row>
    <row r="156" spans="1:19" x14ac:dyDescent="0.2">
      <c r="A156" s="2" t="s">
        <v>1316</v>
      </c>
      <c r="B156" s="2" t="s">
        <v>5153</v>
      </c>
      <c r="C156" s="2" t="s">
        <v>5158</v>
      </c>
      <c r="D156" s="2" t="s">
        <v>662</v>
      </c>
      <c r="E156" s="2" t="s">
        <v>1320</v>
      </c>
      <c r="F156" s="2" t="s">
        <v>3846</v>
      </c>
      <c r="G156" s="2" t="s">
        <v>5161</v>
      </c>
      <c r="H156" s="2" t="s">
        <v>4595</v>
      </c>
      <c r="I156" s="2" t="s">
        <v>4621</v>
      </c>
      <c r="J156" s="2" t="s">
        <v>60</v>
      </c>
      <c r="K156" s="2" t="s">
        <v>4622</v>
      </c>
      <c r="L156" s="2" t="s">
        <v>4614</v>
      </c>
      <c r="M156" s="2" t="s">
        <v>4730</v>
      </c>
      <c r="N156" s="2" t="s">
        <v>4679</v>
      </c>
      <c r="O156" s="2" t="s">
        <v>5162</v>
      </c>
      <c r="P156" s="22">
        <v>44581</v>
      </c>
      <c r="Q156" s="22">
        <v>3.5411540000000001</v>
      </c>
      <c r="R156" s="22">
        <v>0</v>
      </c>
      <c r="S156" s="2">
        <f t="shared" si="0"/>
        <v>3.5411540000000001</v>
      </c>
    </row>
    <row r="157" spans="1:19" x14ac:dyDescent="0.2">
      <c r="A157" s="2" t="s">
        <v>5163</v>
      </c>
      <c r="B157" s="2" t="s">
        <v>5164</v>
      </c>
      <c r="C157" s="2" t="s">
        <v>5165</v>
      </c>
      <c r="D157" s="2" t="s">
        <v>883</v>
      </c>
      <c r="E157" s="2" t="s">
        <v>882</v>
      </c>
      <c r="F157" s="2" t="s">
        <v>3718</v>
      </c>
      <c r="G157" s="2" t="s">
        <v>5166</v>
      </c>
      <c r="H157" s="2" t="s">
        <v>4620</v>
      </c>
      <c r="I157" s="2" t="s">
        <v>4621</v>
      </c>
      <c r="J157" s="2" t="s">
        <v>60</v>
      </c>
      <c r="K157" s="2" t="s">
        <v>4622</v>
      </c>
      <c r="L157" s="2" t="s">
        <v>4614</v>
      </c>
      <c r="M157" s="2" t="s">
        <v>4959</v>
      </c>
      <c r="N157" s="2" t="s">
        <v>4679</v>
      </c>
      <c r="O157" s="2" t="s">
        <v>5167</v>
      </c>
      <c r="P157" s="22">
        <v>44461</v>
      </c>
      <c r="Q157" s="22">
        <v>4.2306999999999997</v>
      </c>
      <c r="R157" s="22">
        <v>0</v>
      </c>
      <c r="S157" s="2">
        <f t="shared" si="0"/>
        <v>4.2306999999999997</v>
      </c>
    </row>
    <row r="158" spans="1:19" x14ac:dyDescent="0.2">
      <c r="A158" s="2" t="s">
        <v>5163</v>
      </c>
      <c r="B158" s="2" t="s">
        <v>5164</v>
      </c>
      <c r="C158" s="2" t="s">
        <v>5165</v>
      </c>
      <c r="D158" s="2" t="s">
        <v>883</v>
      </c>
      <c r="E158" s="2" t="s">
        <v>882</v>
      </c>
      <c r="F158" s="2" t="s">
        <v>3720</v>
      </c>
      <c r="G158" s="2" t="s">
        <v>5168</v>
      </c>
      <c r="H158" s="2" t="s">
        <v>4620</v>
      </c>
      <c r="I158" s="2" t="s">
        <v>4612</v>
      </c>
      <c r="J158" s="2" t="s">
        <v>60</v>
      </c>
      <c r="K158" s="2" t="s">
        <v>4622</v>
      </c>
      <c r="L158" s="2" t="s">
        <v>4614</v>
      </c>
      <c r="M158" s="2" t="s">
        <v>4959</v>
      </c>
      <c r="N158" s="2" t="s">
        <v>4679</v>
      </c>
      <c r="O158" s="2" t="s">
        <v>5167</v>
      </c>
      <c r="P158" s="22">
        <v>44461</v>
      </c>
      <c r="Q158" s="22">
        <v>4.2309999999999999</v>
      </c>
      <c r="R158" s="22">
        <v>0</v>
      </c>
      <c r="S158" s="2">
        <f t="shared" si="0"/>
        <v>4.2309999999999999</v>
      </c>
    </row>
    <row r="159" spans="1:19" x14ac:dyDescent="0.2">
      <c r="A159" s="2" t="s">
        <v>557</v>
      </c>
      <c r="B159" s="2" t="s">
        <v>4906</v>
      </c>
      <c r="C159" s="2" t="s">
        <v>5009</v>
      </c>
      <c r="D159" s="2" t="s">
        <v>1535</v>
      </c>
      <c r="E159" s="2" t="s">
        <v>1508</v>
      </c>
      <c r="F159" s="2" t="s">
        <v>3911</v>
      </c>
      <c r="G159" s="2" t="s">
        <v>5169</v>
      </c>
      <c r="H159" s="2" t="s">
        <v>4595</v>
      </c>
      <c r="I159" s="2" t="s">
        <v>4612</v>
      </c>
      <c r="J159" s="2" t="s">
        <v>60</v>
      </c>
      <c r="K159" s="2" t="s">
        <v>4622</v>
      </c>
      <c r="L159" s="2" t="s">
        <v>4614</v>
      </c>
      <c r="M159" s="2" t="s">
        <v>4730</v>
      </c>
      <c r="N159" s="2" t="s">
        <v>4616</v>
      </c>
      <c r="O159" s="2" t="s">
        <v>5170</v>
      </c>
      <c r="P159" s="22">
        <v>44657</v>
      </c>
      <c r="Q159" s="22">
        <v>2.9409999999999998</v>
      </c>
      <c r="R159" s="22">
        <v>0</v>
      </c>
      <c r="S159" s="2">
        <f t="shared" si="0"/>
        <v>2.9409999999999998</v>
      </c>
    </row>
    <row r="160" spans="1:19" x14ac:dyDescent="0.2">
      <c r="A160" s="2" t="s">
        <v>1132</v>
      </c>
      <c r="B160" s="2" t="s">
        <v>4778</v>
      </c>
      <c r="C160" s="2" t="s">
        <v>5082</v>
      </c>
      <c r="D160" s="2" t="s">
        <v>1137</v>
      </c>
      <c r="E160" s="2" t="s">
        <v>1136</v>
      </c>
      <c r="F160" s="2" t="s">
        <v>3790</v>
      </c>
      <c r="G160" s="2" t="s">
        <v>5171</v>
      </c>
      <c r="H160" s="2" t="s">
        <v>4595</v>
      </c>
      <c r="I160" s="2" t="s">
        <v>4612</v>
      </c>
      <c r="J160" s="2" t="s">
        <v>60</v>
      </c>
      <c r="K160" s="2" t="s">
        <v>4622</v>
      </c>
      <c r="L160" s="2" t="s">
        <v>4614</v>
      </c>
      <c r="M160" s="2" t="s">
        <v>4900</v>
      </c>
      <c r="N160" s="2" t="s">
        <v>4616</v>
      </c>
      <c r="O160" s="2" t="s">
        <v>5172</v>
      </c>
      <c r="P160" s="22">
        <v>44517</v>
      </c>
      <c r="Q160" s="22">
        <v>0.55600000000000005</v>
      </c>
      <c r="R160" s="22">
        <v>0</v>
      </c>
      <c r="S160" s="2">
        <f t="shared" si="0"/>
        <v>0.55600000000000005</v>
      </c>
    </row>
    <row r="161" spans="1:19" x14ac:dyDescent="0.2">
      <c r="A161" s="2" t="s">
        <v>5051</v>
      </c>
      <c r="B161" s="2" t="s">
        <v>5052</v>
      </c>
      <c r="C161" s="2" t="s">
        <v>4720</v>
      </c>
      <c r="D161" s="2" t="s">
        <v>771</v>
      </c>
      <c r="E161" s="2" t="s">
        <v>628</v>
      </c>
      <c r="F161" s="2" t="s">
        <v>3678</v>
      </c>
      <c r="G161" s="2" t="s">
        <v>5173</v>
      </c>
      <c r="H161" s="2" t="s">
        <v>4595</v>
      </c>
      <c r="I161" s="2" t="s">
        <v>4612</v>
      </c>
      <c r="J161" s="2" t="s">
        <v>60</v>
      </c>
      <c r="K161" s="2" t="s">
        <v>4622</v>
      </c>
      <c r="L161" s="2" t="s">
        <v>4614</v>
      </c>
      <c r="M161" s="2" t="s">
        <v>4840</v>
      </c>
      <c r="N161" s="2" t="s">
        <v>4616</v>
      </c>
      <c r="O161" s="2" t="s">
        <v>5174</v>
      </c>
      <c r="P161" s="22">
        <v>44383</v>
      </c>
      <c r="Q161" s="22">
        <v>0.76100000000000001</v>
      </c>
      <c r="R161" s="22">
        <v>0</v>
      </c>
      <c r="S161" s="2">
        <f t="shared" si="0"/>
        <v>0.76100000000000001</v>
      </c>
    </row>
    <row r="162" spans="1:19" x14ac:dyDescent="0.2">
      <c r="A162" s="2" t="s">
        <v>1121</v>
      </c>
      <c r="B162" s="2" t="s">
        <v>1124</v>
      </c>
      <c r="C162" s="2" t="s">
        <v>4720</v>
      </c>
      <c r="D162" s="2" t="s">
        <v>1126</v>
      </c>
      <c r="E162" s="2" t="s">
        <v>1125</v>
      </c>
      <c r="F162" s="2" t="s">
        <v>3788</v>
      </c>
      <c r="G162" s="2" t="s">
        <v>5175</v>
      </c>
      <c r="H162" s="2" t="s">
        <v>4595</v>
      </c>
      <c r="I162" s="2" t="s">
        <v>4612</v>
      </c>
      <c r="J162" s="2" t="s">
        <v>60</v>
      </c>
      <c r="K162" s="2" t="s">
        <v>4622</v>
      </c>
      <c r="L162" s="2" t="s">
        <v>4614</v>
      </c>
      <c r="M162" s="2" t="s">
        <v>4859</v>
      </c>
      <c r="N162" s="2" t="s">
        <v>4616</v>
      </c>
      <c r="O162" s="2" t="s">
        <v>5176</v>
      </c>
      <c r="P162" s="22">
        <v>44515</v>
      </c>
      <c r="Q162" s="22">
        <v>1.026</v>
      </c>
      <c r="R162" s="22">
        <v>0</v>
      </c>
      <c r="S162" s="2">
        <f t="shared" si="0"/>
        <v>1.026</v>
      </c>
    </row>
    <row r="163" spans="1:19" x14ac:dyDescent="0.2">
      <c r="A163" s="2" t="s">
        <v>1166</v>
      </c>
      <c r="B163" s="2" t="s">
        <v>4788</v>
      </c>
      <c r="C163" s="2" t="s">
        <v>4838</v>
      </c>
      <c r="D163" s="2" t="s">
        <v>1180</v>
      </c>
      <c r="E163" s="2" t="s">
        <v>1170</v>
      </c>
      <c r="F163" s="2" t="s">
        <v>3804</v>
      </c>
      <c r="G163" s="2" t="s">
        <v>5177</v>
      </c>
      <c r="H163" s="2" t="s">
        <v>4595</v>
      </c>
      <c r="I163" s="2" t="s">
        <v>4612</v>
      </c>
      <c r="J163" s="2" t="s">
        <v>60</v>
      </c>
      <c r="K163" s="2" t="s">
        <v>4622</v>
      </c>
      <c r="L163" s="2" t="s">
        <v>4614</v>
      </c>
      <c r="M163" s="2" t="s">
        <v>4615</v>
      </c>
      <c r="N163" s="2" t="s">
        <v>4616</v>
      </c>
      <c r="O163" s="2" t="s">
        <v>5178</v>
      </c>
      <c r="P163" s="22">
        <v>44525</v>
      </c>
      <c r="Q163" s="22">
        <v>2.3769999999999998</v>
      </c>
      <c r="R163" s="22">
        <v>0</v>
      </c>
      <c r="S163" s="2">
        <f t="shared" si="0"/>
        <v>2.3769999999999998</v>
      </c>
    </row>
    <row r="164" spans="1:19" x14ac:dyDescent="0.2">
      <c r="A164" s="2" t="s">
        <v>979</v>
      </c>
      <c r="B164" s="2" t="s">
        <v>5179</v>
      </c>
      <c r="C164" s="2" t="s">
        <v>4789</v>
      </c>
      <c r="D164" s="2" t="s">
        <v>984</v>
      </c>
      <c r="E164" s="2" t="s">
        <v>983</v>
      </c>
      <c r="F164" s="2" t="s">
        <v>3749</v>
      </c>
      <c r="G164" s="2" t="s">
        <v>5180</v>
      </c>
      <c r="H164" s="2" t="s">
        <v>4595</v>
      </c>
      <c r="I164" s="2" t="s">
        <v>4612</v>
      </c>
      <c r="J164" s="2" t="s">
        <v>60</v>
      </c>
      <c r="K164" s="2" t="s">
        <v>4622</v>
      </c>
      <c r="L164" s="2" t="s">
        <v>4614</v>
      </c>
      <c r="M164" s="2" t="s">
        <v>4900</v>
      </c>
      <c r="N164" s="2" t="s">
        <v>4616</v>
      </c>
      <c r="O164" s="2" t="s">
        <v>5181</v>
      </c>
      <c r="P164" s="22">
        <v>44494</v>
      </c>
      <c r="Q164" s="22">
        <v>0.97</v>
      </c>
      <c r="R164" s="22">
        <v>0</v>
      </c>
      <c r="S164" s="2">
        <f t="shared" si="0"/>
        <v>0.97</v>
      </c>
    </row>
    <row r="165" spans="1:19" x14ac:dyDescent="0.2">
      <c r="A165" s="2" t="s">
        <v>1439</v>
      </c>
      <c r="B165" s="2" t="s">
        <v>5043</v>
      </c>
      <c r="C165" s="2" t="s">
        <v>5128</v>
      </c>
      <c r="D165" s="2" t="s">
        <v>1449</v>
      </c>
      <c r="E165" s="2" t="s">
        <v>1443</v>
      </c>
      <c r="F165" s="2" t="s">
        <v>3886</v>
      </c>
      <c r="G165" s="2" t="s">
        <v>5182</v>
      </c>
      <c r="H165" s="2" t="s">
        <v>4595</v>
      </c>
      <c r="I165" s="2" t="s">
        <v>4612</v>
      </c>
      <c r="J165" s="2" t="s">
        <v>60</v>
      </c>
      <c r="K165" s="2" t="s">
        <v>4622</v>
      </c>
      <c r="L165" s="2" t="s">
        <v>4614</v>
      </c>
      <c r="M165" s="2" t="s">
        <v>4900</v>
      </c>
      <c r="N165" s="2" t="s">
        <v>4616</v>
      </c>
      <c r="O165" s="2" t="s">
        <v>5183</v>
      </c>
      <c r="P165" s="22">
        <v>44635</v>
      </c>
      <c r="Q165" s="22">
        <v>2.1179999999999999</v>
      </c>
      <c r="R165" s="22">
        <v>0</v>
      </c>
      <c r="S165" s="2">
        <f t="shared" si="0"/>
        <v>2.1179999999999999</v>
      </c>
    </row>
    <row r="166" spans="1:19" x14ac:dyDescent="0.2">
      <c r="A166" s="2" t="s">
        <v>1359</v>
      </c>
      <c r="B166" s="2" t="s">
        <v>5046</v>
      </c>
      <c r="C166" s="2" t="s">
        <v>5003</v>
      </c>
      <c r="D166" s="2" t="s">
        <v>1369</v>
      </c>
      <c r="E166" s="2" t="s">
        <v>1320</v>
      </c>
      <c r="F166" s="2" t="s">
        <v>3864</v>
      </c>
      <c r="G166" s="2" t="s">
        <v>5184</v>
      </c>
      <c r="H166" s="2" t="s">
        <v>4595</v>
      </c>
      <c r="I166" s="2" t="s">
        <v>4612</v>
      </c>
      <c r="J166" s="2" t="s">
        <v>60</v>
      </c>
      <c r="K166" s="2" t="s">
        <v>4622</v>
      </c>
      <c r="L166" s="2" t="s">
        <v>4614</v>
      </c>
      <c r="M166" s="2" t="s">
        <v>4726</v>
      </c>
      <c r="N166" s="2" t="s">
        <v>4616</v>
      </c>
      <c r="O166" s="2" t="s">
        <v>5185</v>
      </c>
      <c r="P166" s="22">
        <v>44581</v>
      </c>
      <c r="Q166" s="22">
        <v>1.2509999999999999</v>
      </c>
      <c r="R166" s="22">
        <v>0</v>
      </c>
      <c r="S166" s="2">
        <f t="shared" si="0"/>
        <v>1.2509999999999999</v>
      </c>
    </row>
    <row r="167" spans="1:19" x14ac:dyDescent="0.2">
      <c r="A167" s="2" t="s">
        <v>4608</v>
      </c>
      <c r="B167" s="2" t="s">
        <v>4609</v>
      </c>
      <c r="C167" s="2" t="s">
        <v>4720</v>
      </c>
      <c r="D167" s="2" t="s">
        <v>913</v>
      </c>
      <c r="E167" s="2" t="s">
        <v>903</v>
      </c>
      <c r="F167" s="2" t="s">
        <v>3728</v>
      </c>
      <c r="G167" s="2" t="s">
        <v>5186</v>
      </c>
      <c r="H167" s="2" t="s">
        <v>4595</v>
      </c>
      <c r="I167" s="2" t="s">
        <v>4612</v>
      </c>
      <c r="J167" s="2" t="s">
        <v>60</v>
      </c>
      <c r="K167" s="2" t="s">
        <v>4622</v>
      </c>
      <c r="L167" s="2" t="s">
        <v>4614</v>
      </c>
      <c r="M167" s="2" t="s">
        <v>4667</v>
      </c>
      <c r="N167" s="2" t="s">
        <v>4616</v>
      </c>
      <c r="O167" s="2" t="s">
        <v>5187</v>
      </c>
      <c r="P167" s="22">
        <v>44467</v>
      </c>
      <c r="Q167" s="22">
        <v>0.93600000000000005</v>
      </c>
      <c r="R167" s="22">
        <v>0</v>
      </c>
      <c r="S167" s="2">
        <f t="shared" si="0"/>
        <v>0.93600000000000005</v>
      </c>
    </row>
    <row r="168" spans="1:19" x14ac:dyDescent="0.2">
      <c r="A168" s="2" t="s">
        <v>4608</v>
      </c>
      <c r="B168" s="2" t="s">
        <v>4609</v>
      </c>
      <c r="C168" s="2" t="s">
        <v>5188</v>
      </c>
      <c r="D168" s="2" t="s">
        <v>1700</v>
      </c>
      <c r="E168" s="2" t="s">
        <v>1692</v>
      </c>
      <c r="F168" s="2" t="s">
        <v>3958</v>
      </c>
      <c r="G168" s="2" t="s">
        <v>5189</v>
      </c>
      <c r="H168" s="2" t="s">
        <v>4595</v>
      </c>
      <c r="I168" s="2" t="s">
        <v>4612</v>
      </c>
      <c r="J168" s="2" t="s">
        <v>60</v>
      </c>
      <c r="K168" s="2" t="s">
        <v>4613</v>
      </c>
      <c r="L168" s="2" t="s">
        <v>4614</v>
      </c>
      <c r="M168" s="2" t="s">
        <v>4900</v>
      </c>
      <c r="N168" s="2" t="s">
        <v>4616</v>
      </c>
      <c r="O168" s="2" t="s">
        <v>5190</v>
      </c>
      <c r="P168" s="22">
        <v>43756</v>
      </c>
      <c r="Q168" s="22">
        <v>1.0409999999999999</v>
      </c>
      <c r="R168" s="22">
        <v>-1</v>
      </c>
      <c r="S168" s="2" t="str">
        <f t="shared" si="0"/>
        <v/>
      </c>
    </row>
    <row r="169" spans="1:19" x14ac:dyDescent="0.2">
      <c r="A169" s="2" t="s">
        <v>4608</v>
      </c>
      <c r="B169" s="2" t="s">
        <v>4609</v>
      </c>
      <c r="C169" s="2" t="s">
        <v>5003</v>
      </c>
      <c r="D169" s="2" t="s">
        <v>1357</v>
      </c>
      <c r="E169" s="2" t="s">
        <v>1346</v>
      </c>
      <c r="F169" s="2" t="s">
        <v>3860</v>
      </c>
      <c r="G169" s="2" t="s">
        <v>5191</v>
      </c>
      <c r="H169" s="2" t="s">
        <v>4595</v>
      </c>
      <c r="I169" s="2" t="s">
        <v>4612</v>
      </c>
      <c r="J169" s="2" t="s">
        <v>60</v>
      </c>
      <c r="K169" s="2" t="s">
        <v>4622</v>
      </c>
      <c r="L169" s="2" t="s">
        <v>4614</v>
      </c>
      <c r="M169" s="2" t="s">
        <v>4730</v>
      </c>
      <c r="N169" s="2" t="s">
        <v>4616</v>
      </c>
      <c r="O169" s="2" t="s">
        <v>5192</v>
      </c>
      <c r="P169" s="22">
        <v>44578</v>
      </c>
      <c r="Q169" s="22">
        <v>1.327</v>
      </c>
      <c r="R169" s="22">
        <v>0</v>
      </c>
      <c r="S169" s="2">
        <f t="shared" si="0"/>
        <v>1.327</v>
      </c>
    </row>
    <row r="170" spans="1:19" x14ac:dyDescent="0.2">
      <c r="A170" s="2" t="s">
        <v>924</v>
      </c>
      <c r="B170" s="2" t="s">
        <v>5193</v>
      </c>
      <c r="C170" s="2" t="s">
        <v>4984</v>
      </c>
      <c r="D170" s="2" t="s">
        <v>929</v>
      </c>
      <c r="E170" s="2" t="s">
        <v>928</v>
      </c>
      <c r="F170" s="2" t="s">
        <v>3732</v>
      </c>
      <c r="G170" s="2" t="s">
        <v>5194</v>
      </c>
      <c r="H170" s="2" t="s">
        <v>4595</v>
      </c>
      <c r="I170" s="2" t="s">
        <v>4637</v>
      </c>
      <c r="J170" s="2" t="s">
        <v>60</v>
      </c>
      <c r="K170" s="2" t="s">
        <v>4613</v>
      </c>
      <c r="L170" s="2" t="s">
        <v>4614</v>
      </c>
      <c r="M170" s="20" t="s">
        <v>5195</v>
      </c>
      <c r="N170" s="2"/>
      <c r="O170" s="2" t="s">
        <v>4600</v>
      </c>
      <c r="P170" s="22">
        <v>44477</v>
      </c>
      <c r="Q170" s="22">
        <v>3.0024999999999999</v>
      </c>
      <c r="R170" s="22">
        <v>-8</v>
      </c>
      <c r="S170" s="2" t="str">
        <f t="shared" si="0"/>
        <v/>
      </c>
    </row>
    <row r="171" spans="1:19" x14ac:dyDescent="0.2">
      <c r="A171" s="2" t="s">
        <v>4608</v>
      </c>
      <c r="B171" s="2" t="s">
        <v>4609</v>
      </c>
      <c r="C171" s="2" t="s">
        <v>4720</v>
      </c>
      <c r="D171" s="2" t="s">
        <v>655</v>
      </c>
      <c r="E171" s="2" t="s">
        <v>645</v>
      </c>
      <c r="F171" s="2" t="s">
        <v>3643</v>
      </c>
      <c r="G171" s="2" t="s">
        <v>5196</v>
      </c>
      <c r="H171" s="2" t="s">
        <v>4595</v>
      </c>
      <c r="I171" s="2" t="s">
        <v>4612</v>
      </c>
      <c r="J171" s="2" t="s">
        <v>60</v>
      </c>
      <c r="K171" s="2" t="s">
        <v>4622</v>
      </c>
      <c r="L171" s="2" t="s">
        <v>4614</v>
      </c>
      <c r="M171" s="2" t="s">
        <v>4615</v>
      </c>
      <c r="N171" s="2" t="s">
        <v>4616</v>
      </c>
      <c r="O171" s="2" t="s">
        <v>5197</v>
      </c>
      <c r="P171" s="22">
        <v>44364</v>
      </c>
      <c r="Q171" s="22">
        <v>0.90600000000000003</v>
      </c>
      <c r="R171" s="22">
        <v>0</v>
      </c>
      <c r="S171" s="2">
        <f t="shared" si="0"/>
        <v>0.90600000000000003</v>
      </c>
    </row>
    <row r="172" spans="1:19" x14ac:dyDescent="0.2">
      <c r="A172" s="2" t="s">
        <v>946</v>
      </c>
      <c r="B172" s="2" t="s">
        <v>5198</v>
      </c>
      <c r="C172" s="2" t="s">
        <v>5047</v>
      </c>
      <c r="D172" s="2" t="s">
        <v>951</v>
      </c>
      <c r="E172" s="2" t="s">
        <v>950</v>
      </c>
      <c r="F172" s="2" t="s">
        <v>3737</v>
      </c>
      <c r="G172" s="2" t="s">
        <v>5199</v>
      </c>
      <c r="H172" s="2" t="s">
        <v>4595</v>
      </c>
      <c r="I172" s="2" t="s">
        <v>4612</v>
      </c>
      <c r="J172" s="2" t="s">
        <v>60</v>
      </c>
      <c r="K172" s="2" t="s">
        <v>4622</v>
      </c>
      <c r="L172" s="2" t="s">
        <v>4614</v>
      </c>
      <c r="M172" s="2" t="s">
        <v>4913</v>
      </c>
      <c r="N172" s="2" t="s">
        <v>4616</v>
      </c>
      <c r="O172" s="2" t="s">
        <v>5200</v>
      </c>
      <c r="P172" s="22">
        <v>44482</v>
      </c>
      <c r="Q172" s="22">
        <v>0.747</v>
      </c>
      <c r="R172" s="22">
        <v>0</v>
      </c>
      <c r="S172" s="2">
        <f t="shared" si="0"/>
        <v>0.747</v>
      </c>
    </row>
    <row r="173" spans="1:19" x14ac:dyDescent="0.2">
      <c r="A173" s="2" t="s">
        <v>440</v>
      </c>
      <c r="B173" s="2" t="s">
        <v>5201</v>
      </c>
      <c r="C173" s="2" t="s">
        <v>5202</v>
      </c>
      <c r="D173" s="2" t="s">
        <v>445</v>
      </c>
      <c r="E173" s="2" t="s">
        <v>444</v>
      </c>
      <c r="F173" s="2" t="s">
        <v>3583</v>
      </c>
      <c r="G173" s="2" t="s">
        <v>5203</v>
      </c>
      <c r="H173" s="2" t="s">
        <v>4595</v>
      </c>
      <c r="I173" s="2" t="s">
        <v>4612</v>
      </c>
      <c r="J173" s="2" t="s">
        <v>60</v>
      </c>
      <c r="K173" s="2" t="s">
        <v>4622</v>
      </c>
      <c r="L173" s="2" t="s">
        <v>4614</v>
      </c>
      <c r="M173" s="2" t="s">
        <v>4900</v>
      </c>
      <c r="N173" s="2" t="s">
        <v>4616</v>
      </c>
      <c r="O173" s="2" t="s">
        <v>5204</v>
      </c>
      <c r="P173" s="22">
        <v>44287</v>
      </c>
      <c r="Q173" s="22">
        <v>0.871</v>
      </c>
      <c r="R173" s="22">
        <v>0</v>
      </c>
      <c r="S173" s="2">
        <f t="shared" si="0"/>
        <v>0.871</v>
      </c>
    </row>
    <row r="174" spans="1:19" x14ac:dyDescent="0.2">
      <c r="A174" s="2" t="s">
        <v>5205</v>
      </c>
      <c r="B174" s="2" t="s">
        <v>5206</v>
      </c>
      <c r="C174" s="2" t="s">
        <v>5207</v>
      </c>
      <c r="D174" s="2" t="s">
        <v>473</v>
      </c>
      <c r="E174" s="2" t="s">
        <v>472</v>
      </c>
      <c r="F174" s="2" t="s">
        <v>3595</v>
      </c>
      <c r="G174" s="2" t="s">
        <v>5208</v>
      </c>
      <c r="H174" s="2" t="s">
        <v>4595</v>
      </c>
      <c r="I174" s="2" t="s">
        <v>4612</v>
      </c>
      <c r="J174" s="2" t="s">
        <v>60</v>
      </c>
      <c r="K174" s="2" t="s">
        <v>4622</v>
      </c>
      <c r="L174" s="2" t="s">
        <v>4614</v>
      </c>
      <c r="M174" s="20" t="s">
        <v>4988</v>
      </c>
      <c r="N174" s="2"/>
      <c r="O174" s="2" t="s">
        <v>4600</v>
      </c>
      <c r="P174" s="61" t="e">
        <v>#N/A</v>
      </c>
      <c r="Q174" s="2"/>
      <c r="R174" s="61" t="e">
        <v>#N/A</v>
      </c>
      <c r="S174" s="2" t="e">
        <f t="shared" si="0"/>
        <v>#N/A</v>
      </c>
    </row>
    <row r="175" spans="1:19" x14ac:dyDescent="0.2">
      <c r="A175" s="2" t="s">
        <v>4608</v>
      </c>
      <c r="B175" s="2" t="s">
        <v>4609</v>
      </c>
      <c r="C175" s="2" t="s">
        <v>5009</v>
      </c>
      <c r="D175" s="2" t="s">
        <v>796</v>
      </c>
      <c r="E175" s="2" t="s">
        <v>783</v>
      </c>
      <c r="F175" s="2" t="s">
        <v>3688</v>
      </c>
      <c r="G175" s="2" t="s">
        <v>5209</v>
      </c>
      <c r="H175" s="2" t="s">
        <v>4620</v>
      </c>
      <c r="I175" s="2" t="s">
        <v>4621</v>
      </c>
      <c r="J175" s="2" t="s">
        <v>60</v>
      </c>
      <c r="K175" s="2" t="s">
        <v>4622</v>
      </c>
      <c r="L175" s="2" t="s">
        <v>4614</v>
      </c>
      <c r="M175" s="2" t="s">
        <v>5210</v>
      </c>
      <c r="N175" s="2" t="s">
        <v>4616</v>
      </c>
      <c r="O175" s="2" t="s">
        <v>5211</v>
      </c>
      <c r="P175" s="22">
        <v>44389</v>
      </c>
      <c r="Q175" s="22">
        <v>3.0232000000000001</v>
      </c>
      <c r="R175" s="22">
        <v>0</v>
      </c>
      <c r="S175" s="2">
        <f t="shared" si="0"/>
        <v>3.0232000000000001</v>
      </c>
    </row>
    <row r="176" spans="1:19" x14ac:dyDescent="0.2">
      <c r="A176" s="2" t="s">
        <v>4608</v>
      </c>
      <c r="B176" s="2" t="s">
        <v>4609</v>
      </c>
      <c r="C176" s="2" t="s">
        <v>5009</v>
      </c>
      <c r="D176" s="2" t="s">
        <v>796</v>
      </c>
      <c r="E176" s="2" t="s">
        <v>783</v>
      </c>
      <c r="F176" s="2" t="s">
        <v>3696</v>
      </c>
      <c r="G176" s="2" t="s">
        <v>5212</v>
      </c>
      <c r="H176" s="2" t="s">
        <v>4620</v>
      </c>
      <c r="I176" s="2" t="s">
        <v>4612</v>
      </c>
      <c r="J176" s="2" t="s">
        <v>60</v>
      </c>
      <c r="K176" s="2" t="s">
        <v>4622</v>
      </c>
      <c r="L176" s="2" t="s">
        <v>4614</v>
      </c>
      <c r="M176" s="2" t="s">
        <v>5210</v>
      </c>
      <c r="N176" s="2" t="s">
        <v>4616</v>
      </c>
      <c r="O176" s="2" t="s">
        <v>5213</v>
      </c>
      <c r="P176" s="22">
        <v>44389</v>
      </c>
      <c r="Q176" s="22">
        <v>3.0230000000000001</v>
      </c>
      <c r="R176" s="22">
        <v>0</v>
      </c>
      <c r="S176" s="2">
        <f t="shared" si="0"/>
        <v>3.0230000000000001</v>
      </c>
    </row>
    <row r="177" spans="1:19" x14ac:dyDescent="0.2">
      <c r="A177" s="2" t="s">
        <v>1559</v>
      </c>
      <c r="B177" s="2" t="s">
        <v>5214</v>
      </c>
      <c r="C177" s="2" t="s">
        <v>4843</v>
      </c>
      <c r="D177" s="2" t="s">
        <v>1564</v>
      </c>
      <c r="E177" s="2" t="s">
        <v>1563</v>
      </c>
      <c r="F177" s="2" t="s">
        <v>3919</v>
      </c>
      <c r="G177" s="2" t="s">
        <v>5215</v>
      </c>
      <c r="H177" s="2" t="s">
        <v>4620</v>
      </c>
      <c r="I177" s="2" t="s">
        <v>4621</v>
      </c>
      <c r="J177" s="2" t="s">
        <v>60</v>
      </c>
      <c r="K177" s="2" t="s">
        <v>4622</v>
      </c>
      <c r="L177" s="2" t="s">
        <v>4614</v>
      </c>
      <c r="M177" s="2" t="s">
        <v>4959</v>
      </c>
      <c r="N177" s="2" t="s">
        <v>4616</v>
      </c>
      <c r="O177" s="2" t="s">
        <v>5216</v>
      </c>
      <c r="P177" s="22">
        <v>44659</v>
      </c>
      <c r="Q177" s="22">
        <v>4.8730000000000002</v>
      </c>
      <c r="R177" s="22">
        <v>0</v>
      </c>
      <c r="S177" s="2">
        <f t="shared" si="0"/>
        <v>4.8730000000000002</v>
      </c>
    </row>
    <row r="178" spans="1:19" x14ac:dyDescent="0.2">
      <c r="A178" s="2" t="s">
        <v>1559</v>
      </c>
      <c r="B178" s="2" t="s">
        <v>5214</v>
      </c>
      <c r="C178" s="2" t="s">
        <v>4843</v>
      </c>
      <c r="D178" s="2" t="s">
        <v>1564</v>
      </c>
      <c r="E178" s="2" t="s">
        <v>1563</v>
      </c>
      <c r="F178" s="2" t="s">
        <v>3921</v>
      </c>
      <c r="G178" s="2" t="s">
        <v>5217</v>
      </c>
      <c r="H178" s="2" t="s">
        <v>4620</v>
      </c>
      <c r="I178" s="2" t="s">
        <v>4612</v>
      </c>
      <c r="J178" s="2" t="s">
        <v>60</v>
      </c>
      <c r="K178" s="2" t="s">
        <v>4622</v>
      </c>
      <c r="L178" s="2" t="s">
        <v>4614</v>
      </c>
      <c r="M178" s="2" t="s">
        <v>4959</v>
      </c>
      <c r="N178" s="2" t="s">
        <v>4616</v>
      </c>
      <c r="O178" s="2" t="s">
        <v>5218</v>
      </c>
      <c r="P178" s="22">
        <v>44659</v>
      </c>
      <c r="Q178" s="22">
        <v>4.8710000000000004</v>
      </c>
      <c r="R178" s="22">
        <v>0</v>
      </c>
      <c r="S178" s="2">
        <f t="shared" si="0"/>
        <v>4.8710000000000004</v>
      </c>
    </row>
    <row r="179" spans="1:19" x14ac:dyDescent="0.2">
      <c r="A179" s="2" t="s">
        <v>970</v>
      </c>
      <c r="B179" s="2" t="s">
        <v>5219</v>
      </c>
      <c r="C179" s="2" t="s">
        <v>5220</v>
      </c>
      <c r="D179" s="2" t="s">
        <v>974</v>
      </c>
      <c r="E179" s="2" t="s">
        <v>950</v>
      </c>
      <c r="F179" s="20" t="s">
        <v>3747</v>
      </c>
      <c r="G179" s="2"/>
      <c r="H179" s="2" t="s">
        <v>5221</v>
      </c>
      <c r="I179" s="2" t="s">
        <v>4612</v>
      </c>
      <c r="J179" s="2" t="s">
        <v>60</v>
      </c>
      <c r="K179" s="2" t="s">
        <v>4613</v>
      </c>
      <c r="L179" s="2" t="s">
        <v>4614</v>
      </c>
      <c r="M179" s="20" t="s">
        <v>5222</v>
      </c>
      <c r="N179" s="2"/>
      <c r="O179" s="2" t="s">
        <v>4600</v>
      </c>
      <c r="P179" s="61" t="e">
        <v>#N/A</v>
      </c>
      <c r="Q179" s="2"/>
      <c r="R179" s="61" t="e">
        <v>#N/A</v>
      </c>
      <c r="S179" s="2" t="e">
        <f t="shared" si="0"/>
        <v>#N/A</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427"/>
  <sheetViews>
    <sheetView workbookViewId="0"/>
  </sheetViews>
  <sheetFormatPr baseColWidth="10" defaultColWidth="14.5" defaultRowHeight="15" customHeight="1" x14ac:dyDescent="0.2"/>
  <sheetData>
    <row r="1" spans="1:21" x14ac:dyDescent="0.2">
      <c r="A1" s="11"/>
      <c r="B1" s="11" t="s">
        <v>5</v>
      </c>
      <c r="C1" s="11" t="s">
        <v>21</v>
      </c>
      <c r="D1" s="11" t="s">
        <v>1763</v>
      </c>
      <c r="E1" s="11" t="s">
        <v>8</v>
      </c>
      <c r="F1" s="11" t="s">
        <v>3</v>
      </c>
      <c r="G1" s="11" t="s">
        <v>2</v>
      </c>
      <c r="H1" s="11" t="s">
        <v>4</v>
      </c>
      <c r="I1" s="11" t="s">
        <v>19</v>
      </c>
      <c r="J1" s="11" t="s">
        <v>20</v>
      </c>
      <c r="K1" s="11" t="s">
        <v>22</v>
      </c>
      <c r="L1" s="11" t="s">
        <v>16</v>
      </c>
      <c r="M1" s="11" t="s">
        <v>1764</v>
      </c>
      <c r="N1" s="11" t="s">
        <v>7</v>
      </c>
      <c r="O1" s="11" t="s">
        <v>10</v>
      </c>
      <c r="P1" s="11" t="s">
        <v>9</v>
      </c>
      <c r="Q1" s="11" t="s">
        <v>11</v>
      </c>
      <c r="R1" s="11" t="s">
        <v>15</v>
      </c>
      <c r="S1" s="11" t="s">
        <v>18</v>
      </c>
      <c r="T1" s="11" t="s">
        <v>13</v>
      </c>
      <c r="U1" s="11" t="s">
        <v>17</v>
      </c>
    </row>
    <row r="2" spans="1:21" x14ac:dyDescent="0.2">
      <c r="A2" s="6" t="s">
        <v>813</v>
      </c>
      <c r="B2" s="6" t="s">
        <v>816</v>
      </c>
      <c r="C2" s="6" t="s">
        <v>57</v>
      </c>
      <c r="D2" s="6" t="s">
        <v>54</v>
      </c>
      <c r="E2" s="6" t="s">
        <v>184</v>
      </c>
      <c r="F2" s="6" t="s">
        <v>3426</v>
      </c>
      <c r="G2" s="6" t="s">
        <v>3427</v>
      </c>
      <c r="H2" s="6" t="s">
        <v>3428</v>
      </c>
      <c r="I2" s="6" t="s">
        <v>133</v>
      </c>
      <c r="J2" s="6" t="s">
        <v>56</v>
      </c>
      <c r="K2" s="5" t="s">
        <v>5223</v>
      </c>
      <c r="L2" s="6" t="s">
        <v>52</v>
      </c>
      <c r="M2" s="6" t="s">
        <v>1770</v>
      </c>
      <c r="N2" s="6" t="s">
        <v>184</v>
      </c>
      <c r="O2" s="17">
        <v>42746</v>
      </c>
      <c r="P2" s="62">
        <v>625</v>
      </c>
      <c r="Q2" s="17">
        <v>44937</v>
      </c>
      <c r="R2" s="6" t="s">
        <v>225</v>
      </c>
      <c r="S2" s="6" t="s">
        <v>263</v>
      </c>
      <c r="T2" s="6" t="s">
        <v>115</v>
      </c>
      <c r="U2" s="6" t="s">
        <v>53</v>
      </c>
    </row>
    <row r="3" spans="1:21" x14ac:dyDescent="0.2">
      <c r="A3" s="6" t="s">
        <v>566</v>
      </c>
      <c r="B3" s="6" t="s">
        <v>569</v>
      </c>
      <c r="C3" s="6" t="s">
        <v>57</v>
      </c>
      <c r="D3" s="6" t="s">
        <v>54</v>
      </c>
      <c r="E3" s="6" t="s">
        <v>184</v>
      </c>
      <c r="F3" s="6" t="s">
        <v>2686</v>
      </c>
      <c r="G3" s="6" t="s">
        <v>2687</v>
      </c>
      <c r="H3" s="6" t="s">
        <v>2688</v>
      </c>
      <c r="I3" s="6" t="s">
        <v>55</v>
      </c>
      <c r="J3" s="6" t="s">
        <v>56</v>
      </c>
      <c r="K3" s="5" t="s">
        <v>5224</v>
      </c>
      <c r="L3" s="6" t="s">
        <v>52</v>
      </c>
      <c r="M3" s="6" t="s">
        <v>173</v>
      </c>
      <c r="N3" s="6" t="s">
        <v>184</v>
      </c>
      <c r="O3" s="17">
        <v>42752</v>
      </c>
      <c r="P3" s="5" t="s">
        <v>5225</v>
      </c>
      <c r="Q3" s="17">
        <v>46402</v>
      </c>
      <c r="R3" s="6" t="s">
        <v>225</v>
      </c>
      <c r="S3" s="6" t="s">
        <v>496</v>
      </c>
      <c r="T3" s="6" t="s">
        <v>115</v>
      </c>
      <c r="U3" s="6" t="s">
        <v>53</v>
      </c>
    </row>
    <row r="4" spans="1:21" x14ac:dyDescent="0.2">
      <c r="A4" s="6" t="s">
        <v>613</v>
      </c>
      <c r="B4" s="6" t="s">
        <v>616</v>
      </c>
      <c r="C4" s="6" t="s">
        <v>57</v>
      </c>
      <c r="D4" s="62">
        <v>1584</v>
      </c>
      <c r="E4" s="6" t="s">
        <v>199</v>
      </c>
      <c r="F4" s="6" t="s">
        <v>2441</v>
      </c>
      <c r="G4" s="6" t="s">
        <v>2442</v>
      </c>
      <c r="H4" s="6" t="s">
        <v>2443</v>
      </c>
      <c r="I4" s="6" t="s">
        <v>117</v>
      </c>
      <c r="J4" s="6" t="s">
        <v>56</v>
      </c>
      <c r="K4" s="5" t="s">
        <v>5226</v>
      </c>
      <c r="L4" s="6" t="s">
        <v>52</v>
      </c>
      <c r="M4" s="6" t="s">
        <v>1770</v>
      </c>
      <c r="N4" s="6" t="s">
        <v>199</v>
      </c>
      <c r="O4" s="17">
        <v>42752</v>
      </c>
      <c r="P4" s="5" t="s">
        <v>5225</v>
      </c>
      <c r="Q4" s="17">
        <v>46404</v>
      </c>
      <c r="R4" s="6" t="s">
        <v>225</v>
      </c>
      <c r="S4" s="6" t="s">
        <v>619</v>
      </c>
      <c r="T4" s="6" t="s">
        <v>49</v>
      </c>
      <c r="U4" s="6" t="s">
        <v>53</v>
      </c>
    </row>
    <row r="5" spans="1:21" x14ac:dyDescent="0.2">
      <c r="A5" s="6" t="s">
        <v>1359</v>
      </c>
      <c r="B5" s="6" t="s">
        <v>1362</v>
      </c>
      <c r="C5" s="6" t="s">
        <v>57</v>
      </c>
      <c r="D5" s="62">
        <v>1318</v>
      </c>
      <c r="E5" s="6" t="s">
        <v>199</v>
      </c>
      <c r="F5" s="6" t="s">
        <v>3208</v>
      </c>
      <c r="G5" s="6" t="s">
        <v>3209</v>
      </c>
      <c r="H5" s="6" t="s">
        <v>3210</v>
      </c>
      <c r="I5" s="6" t="s">
        <v>117</v>
      </c>
      <c r="J5" s="6" t="s">
        <v>56</v>
      </c>
      <c r="K5" s="5" t="s">
        <v>5227</v>
      </c>
      <c r="L5" s="6" t="s">
        <v>52</v>
      </c>
      <c r="M5" s="6" t="s">
        <v>1770</v>
      </c>
      <c r="N5" s="6" t="s">
        <v>199</v>
      </c>
      <c r="O5" s="17">
        <v>42760</v>
      </c>
      <c r="P5" s="5" t="s">
        <v>5228</v>
      </c>
      <c r="Q5" s="17">
        <v>45682</v>
      </c>
      <c r="R5" s="6" t="s">
        <v>225</v>
      </c>
      <c r="S5" s="6" t="s">
        <v>174</v>
      </c>
      <c r="T5" s="6" t="s">
        <v>49</v>
      </c>
      <c r="U5" s="6" t="s">
        <v>53</v>
      </c>
    </row>
    <row r="6" spans="1:21" x14ac:dyDescent="0.2">
      <c r="A6" s="6" t="s">
        <v>1157</v>
      </c>
      <c r="B6" s="6" t="s">
        <v>1160</v>
      </c>
      <c r="C6" s="6" t="s">
        <v>57</v>
      </c>
      <c r="D6" s="62">
        <v>1373</v>
      </c>
      <c r="E6" s="6" t="s">
        <v>184</v>
      </c>
      <c r="F6" s="6" t="s">
        <v>1789</v>
      </c>
      <c r="G6" s="6" t="s">
        <v>1790</v>
      </c>
      <c r="H6" s="6" t="s">
        <v>1791</v>
      </c>
      <c r="I6" s="6" t="s">
        <v>117</v>
      </c>
      <c r="J6" s="6" t="s">
        <v>56</v>
      </c>
      <c r="K6" s="5" t="s">
        <v>5229</v>
      </c>
      <c r="L6" s="6" t="s">
        <v>52</v>
      </c>
      <c r="M6" s="6" t="s">
        <v>1792</v>
      </c>
      <c r="N6" s="6" t="s">
        <v>184</v>
      </c>
      <c r="O6" s="17">
        <v>42760</v>
      </c>
      <c r="P6" s="5" t="s">
        <v>5230</v>
      </c>
      <c r="Q6" s="17">
        <v>45316</v>
      </c>
      <c r="R6" s="6" t="s">
        <v>173</v>
      </c>
      <c r="S6" s="6" t="s">
        <v>263</v>
      </c>
      <c r="T6" s="6" t="s">
        <v>49</v>
      </c>
      <c r="U6" s="6" t="s">
        <v>53</v>
      </c>
    </row>
    <row r="7" spans="1:21" x14ac:dyDescent="0.2">
      <c r="A7" s="6" t="s">
        <v>476</v>
      </c>
      <c r="B7" s="6" t="s">
        <v>479</v>
      </c>
      <c r="C7" s="6" t="s">
        <v>57</v>
      </c>
      <c r="D7" s="6" t="s">
        <v>54</v>
      </c>
      <c r="E7" s="6" t="s">
        <v>45</v>
      </c>
      <c r="F7" s="6" t="s">
        <v>1896</v>
      </c>
      <c r="G7" s="6" t="s">
        <v>1897</v>
      </c>
      <c r="H7" s="6" t="s">
        <v>1898</v>
      </c>
      <c r="I7" s="6" t="s">
        <v>55</v>
      </c>
      <c r="J7" s="6" t="s">
        <v>56</v>
      </c>
      <c r="K7" s="5" t="s">
        <v>5231</v>
      </c>
      <c r="L7" s="6" t="s">
        <v>458</v>
      </c>
      <c r="M7" s="6" t="s">
        <v>173</v>
      </c>
      <c r="N7" s="6" t="s">
        <v>45</v>
      </c>
      <c r="O7" s="17">
        <v>42788</v>
      </c>
      <c r="P7" s="62">
        <v>375</v>
      </c>
      <c r="Q7" s="17">
        <v>45709</v>
      </c>
      <c r="R7" s="6">
        <v>200</v>
      </c>
      <c r="S7" s="6" t="s">
        <v>189</v>
      </c>
      <c r="T7" s="6" t="s">
        <v>49</v>
      </c>
      <c r="U7" s="6" t="s">
        <v>53</v>
      </c>
    </row>
    <row r="8" spans="1:21" x14ac:dyDescent="0.2">
      <c r="A8" s="6" t="s">
        <v>641</v>
      </c>
      <c r="B8" s="6" t="s">
        <v>644</v>
      </c>
      <c r="C8" s="6" t="s">
        <v>57</v>
      </c>
      <c r="D8" s="6" t="s">
        <v>54</v>
      </c>
      <c r="E8" s="6" t="s">
        <v>199</v>
      </c>
      <c r="F8" s="6" t="s">
        <v>2397</v>
      </c>
      <c r="G8" s="6" t="s">
        <v>2398</v>
      </c>
      <c r="H8" s="6" t="s">
        <v>2399</v>
      </c>
      <c r="I8" s="6" t="s">
        <v>55</v>
      </c>
      <c r="J8" s="6" t="s">
        <v>56</v>
      </c>
      <c r="K8" s="5" t="s">
        <v>5232</v>
      </c>
      <c r="L8" s="6" t="s">
        <v>52</v>
      </c>
      <c r="M8" s="6" t="s">
        <v>173</v>
      </c>
      <c r="N8" s="6" t="s">
        <v>366</v>
      </c>
      <c r="O8" s="17">
        <v>42797</v>
      </c>
      <c r="P8" s="5" t="s">
        <v>5233</v>
      </c>
      <c r="Q8" s="17">
        <v>45538</v>
      </c>
      <c r="R8" s="6" t="s">
        <v>225</v>
      </c>
      <c r="S8" s="6" t="s">
        <v>619</v>
      </c>
      <c r="T8" s="6" t="s">
        <v>49</v>
      </c>
      <c r="U8" s="6" t="s">
        <v>1806</v>
      </c>
    </row>
    <row r="9" spans="1:21" x14ac:dyDescent="0.2">
      <c r="A9" s="6" t="s">
        <v>754</v>
      </c>
      <c r="B9" s="6" t="s">
        <v>757</v>
      </c>
      <c r="C9" s="6" t="s">
        <v>71</v>
      </c>
      <c r="D9" s="62">
        <v>7375</v>
      </c>
      <c r="E9" s="6" t="s">
        <v>258</v>
      </c>
      <c r="F9" s="6" t="s">
        <v>3294</v>
      </c>
      <c r="G9" s="6" t="s">
        <v>3295</v>
      </c>
      <c r="H9" s="6" t="s">
        <v>3296</v>
      </c>
      <c r="I9" s="6" t="s">
        <v>55</v>
      </c>
      <c r="J9" s="6" t="s">
        <v>56</v>
      </c>
      <c r="K9" s="5" t="s">
        <v>5234</v>
      </c>
      <c r="L9" s="6" t="s">
        <v>52</v>
      </c>
      <c r="M9" s="6" t="s">
        <v>1775</v>
      </c>
      <c r="N9" s="6" t="s">
        <v>257</v>
      </c>
      <c r="O9" s="17">
        <v>42810</v>
      </c>
      <c r="P9" s="5">
        <v>7</v>
      </c>
      <c r="Q9" s="17">
        <v>53767</v>
      </c>
      <c r="R9" s="6" t="s">
        <v>261</v>
      </c>
      <c r="S9" s="6" t="s">
        <v>496</v>
      </c>
      <c r="T9" s="6" t="s">
        <v>115</v>
      </c>
      <c r="U9" s="6" t="s">
        <v>262</v>
      </c>
    </row>
    <row r="10" spans="1:21" x14ac:dyDescent="0.2">
      <c r="A10" s="6" t="s">
        <v>774</v>
      </c>
      <c r="B10" s="6" t="s">
        <v>777</v>
      </c>
      <c r="C10" s="6" t="s">
        <v>57</v>
      </c>
      <c r="D10" s="6" t="s">
        <v>54</v>
      </c>
      <c r="E10" s="6" t="s">
        <v>199</v>
      </c>
      <c r="F10" s="6" t="s">
        <v>1767</v>
      </c>
      <c r="G10" s="6" t="s">
        <v>1768</v>
      </c>
      <c r="H10" s="6" t="s">
        <v>1769</v>
      </c>
      <c r="I10" s="6" t="s">
        <v>55</v>
      </c>
      <c r="J10" s="6" t="s">
        <v>56</v>
      </c>
      <c r="K10" s="5" t="s">
        <v>5235</v>
      </c>
      <c r="L10" s="6" t="s">
        <v>52</v>
      </c>
      <c r="M10" s="6" t="s">
        <v>1770</v>
      </c>
      <c r="N10" s="6" t="s">
        <v>199</v>
      </c>
      <c r="O10" s="17">
        <v>42810</v>
      </c>
      <c r="P10" s="5" t="s">
        <v>5228</v>
      </c>
      <c r="Q10" s="17">
        <v>45367</v>
      </c>
      <c r="R10" s="6" t="s">
        <v>225</v>
      </c>
      <c r="S10" s="6" t="s">
        <v>189</v>
      </c>
      <c r="T10" s="6" t="s">
        <v>49</v>
      </c>
      <c r="U10" s="6" t="s">
        <v>53</v>
      </c>
    </row>
    <row r="11" spans="1:21" x14ac:dyDescent="0.2">
      <c r="A11" s="6" t="s">
        <v>754</v>
      </c>
      <c r="B11" s="6" t="s">
        <v>757</v>
      </c>
      <c r="C11" s="6" t="s">
        <v>71</v>
      </c>
      <c r="D11" s="62">
        <v>7375</v>
      </c>
      <c r="E11" s="6" t="s">
        <v>258</v>
      </c>
      <c r="F11" s="6" t="s">
        <v>3298</v>
      </c>
      <c r="G11" s="6" t="s">
        <v>3299</v>
      </c>
      <c r="H11" s="6" t="s">
        <v>3300</v>
      </c>
      <c r="I11" s="6" t="s">
        <v>55</v>
      </c>
      <c r="J11" s="6" t="s">
        <v>56</v>
      </c>
      <c r="K11" s="5" t="s">
        <v>5234</v>
      </c>
      <c r="L11" s="6" t="s">
        <v>52</v>
      </c>
      <c r="M11" s="6" t="s">
        <v>1775</v>
      </c>
      <c r="N11" s="6" t="s">
        <v>257</v>
      </c>
      <c r="O11" s="17">
        <v>42810</v>
      </c>
      <c r="P11" s="5">
        <v>7</v>
      </c>
      <c r="Q11" s="17">
        <v>53767</v>
      </c>
      <c r="R11" s="6" t="s">
        <v>270</v>
      </c>
      <c r="S11" s="6" t="s">
        <v>496</v>
      </c>
      <c r="T11" s="6" t="s">
        <v>115</v>
      </c>
      <c r="U11" s="6" t="s">
        <v>262</v>
      </c>
    </row>
    <row r="12" spans="1:21" x14ac:dyDescent="0.2">
      <c r="A12" s="6" t="s">
        <v>1559</v>
      </c>
      <c r="B12" s="6" t="s">
        <v>1562</v>
      </c>
      <c r="C12" s="6" t="s">
        <v>57</v>
      </c>
      <c r="D12" s="6" t="s">
        <v>54</v>
      </c>
      <c r="E12" s="6" t="s">
        <v>257</v>
      </c>
      <c r="F12" s="6" t="s">
        <v>2722</v>
      </c>
      <c r="G12" s="6" t="s">
        <v>2723</v>
      </c>
      <c r="H12" s="6" t="s">
        <v>2724</v>
      </c>
      <c r="I12" s="6" t="s">
        <v>55</v>
      </c>
      <c r="J12" s="6" t="s">
        <v>56</v>
      </c>
      <c r="K12" s="5" t="s">
        <v>5236</v>
      </c>
      <c r="L12" s="6" t="s">
        <v>52</v>
      </c>
      <c r="M12" s="6" t="s">
        <v>1770</v>
      </c>
      <c r="N12" s="6" t="s">
        <v>366</v>
      </c>
      <c r="O12" s="17">
        <v>42873</v>
      </c>
      <c r="P12" s="5" t="s">
        <v>5228</v>
      </c>
      <c r="Q12" s="17">
        <v>45434</v>
      </c>
      <c r="R12" s="6" t="s">
        <v>173</v>
      </c>
      <c r="S12" s="6" t="s">
        <v>174</v>
      </c>
      <c r="T12" s="6" t="s">
        <v>49</v>
      </c>
      <c r="U12" s="6" t="s">
        <v>53</v>
      </c>
    </row>
    <row r="13" spans="1:21" x14ac:dyDescent="0.2">
      <c r="A13" s="6" t="s">
        <v>1559</v>
      </c>
      <c r="B13" s="6" t="s">
        <v>1562</v>
      </c>
      <c r="C13" s="6" t="s">
        <v>57</v>
      </c>
      <c r="D13" s="6" t="s">
        <v>54</v>
      </c>
      <c r="E13" s="6" t="s">
        <v>257</v>
      </c>
      <c r="F13" s="6" t="s">
        <v>2726</v>
      </c>
      <c r="G13" s="6" t="s">
        <v>2727</v>
      </c>
      <c r="H13" s="6" t="s">
        <v>2728</v>
      </c>
      <c r="I13" s="6" t="s">
        <v>55</v>
      </c>
      <c r="J13" s="6" t="s">
        <v>56</v>
      </c>
      <c r="K13" s="5" t="s">
        <v>5236</v>
      </c>
      <c r="L13" s="6" t="s">
        <v>52</v>
      </c>
      <c r="M13" s="6" t="s">
        <v>173</v>
      </c>
      <c r="N13" s="6" t="s">
        <v>366</v>
      </c>
      <c r="O13" s="17">
        <v>42873</v>
      </c>
      <c r="P13" s="5">
        <v>2</v>
      </c>
      <c r="Q13" s="17">
        <v>46891</v>
      </c>
      <c r="R13" s="6" t="s">
        <v>173</v>
      </c>
      <c r="S13" s="6" t="s">
        <v>174</v>
      </c>
      <c r="T13" s="6" t="s">
        <v>49</v>
      </c>
      <c r="U13" s="6" t="s">
        <v>53</v>
      </c>
    </row>
    <row r="14" spans="1:21" x14ac:dyDescent="0.2">
      <c r="A14" s="6" t="s">
        <v>670</v>
      </c>
      <c r="B14" s="6" t="s">
        <v>673</v>
      </c>
      <c r="C14" s="6" t="s">
        <v>57</v>
      </c>
      <c r="D14" s="6" t="s">
        <v>54</v>
      </c>
      <c r="E14" s="6" t="s">
        <v>184</v>
      </c>
      <c r="F14" s="6" t="s">
        <v>2366</v>
      </c>
      <c r="G14" s="6" t="s">
        <v>2367</v>
      </c>
      <c r="H14" s="6" t="s">
        <v>2368</v>
      </c>
      <c r="I14" s="6" t="s">
        <v>420</v>
      </c>
      <c r="J14" s="6" t="s">
        <v>56</v>
      </c>
      <c r="K14" s="5" t="s">
        <v>5237</v>
      </c>
      <c r="L14" s="6" t="s">
        <v>52</v>
      </c>
      <c r="M14" s="6" t="s">
        <v>1770</v>
      </c>
      <c r="N14" s="6" t="s">
        <v>184</v>
      </c>
      <c r="O14" s="17">
        <v>42824</v>
      </c>
      <c r="P14" s="62">
        <v>1875</v>
      </c>
      <c r="Q14" s="17">
        <v>46476</v>
      </c>
      <c r="R14" s="6" t="s">
        <v>173</v>
      </c>
      <c r="S14" s="6" t="s">
        <v>189</v>
      </c>
      <c r="T14" s="6" t="s">
        <v>115</v>
      </c>
      <c r="U14" s="6" t="s">
        <v>53</v>
      </c>
    </row>
    <row r="15" spans="1:21" x14ac:dyDescent="0.2">
      <c r="A15" s="6" t="s">
        <v>1639</v>
      </c>
      <c r="B15" s="6" t="s">
        <v>1642</v>
      </c>
      <c r="C15" s="6" t="s">
        <v>57</v>
      </c>
      <c r="D15" s="6" t="s">
        <v>54</v>
      </c>
      <c r="E15" s="6" t="s">
        <v>170</v>
      </c>
      <c r="F15" s="6" t="s">
        <v>2968</v>
      </c>
      <c r="G15" s="6" t="s">
        <v>2969</v>
      </c>
      <c r="H15" s="6" t="s">
        <v>2970</v>
      </c>
      <c r="I15" s="6" t="s">
        <v>55</v>
      </c>
      <c r="J15" s="6" t="s">
        <v>56</v>
      </c>
      <c r="K15" s="5" t="s">
        <v>5224</v>
      </c>
      <c r="L15" s="6" t="s">
        <v>52</v>
      </c>
      <c r="M15" s="6" t="s">
        <v>1770</v>
      </c>
      <c r="N15" s="6" t="s">
        <v>169</v>
      </c>
      <c r="O15" s="17">
        <v>42825</v>
      </c>
      <c r="P15" s="62">
        <v>1125</v>
      </c>
      <c r="Q15" s="17">
        <v>46660</v>
      </c>
      <c r="R15" s="6" t="s">
        <v>173</v>
      </c>
      <c r="S15" s="6" t="s">
        <v>1645</v>
      </c>
      <c r="T15" s="6" t="s">
        <v>115</v>
      </c>
      <c r="U15" s="6" t="s">
        <v>53</v>
      </c>
    </row>
    <row r="16" spans="1:21" x14ac:dyDescent="0.2">
      <c r="A16" s="6" t="s">
        <v>641</v>
      </c>
      <c r="B16" s="6" t="s">
        <v>644</v>
      </c>
      <c r="C16" s="6" t="s">
        <v>71</v>
      </c>
      <c r="D16" s="5" t="s">
        <v>5238</v>
      </c>
      <c r="E16" s="6" t="s">
        <v>199</v>
      </c>
      <c r="F16" s="6" t="s">
        <v>2401</v>
      </c>
      <c r="G16" s="6" t="s">
        <v>2402</v>
      </c>
      <c r="H16" s="6" t="s">
        <v>2403</v>
      </c>
      <c r="I16" s="6" t="s">
        <v>55</v>
      </c>
      <c r="J16" s="6" t="s">
        <v>56</v>
      </c>
      <c r="K16" s="5" t="s">
        <v>5239</v>
      </c>
      <c r="L16" s="6" t="s">
        <v>52</v>
      </c>
      <c r="M16" s="6" t="s">
        <v>1775</v>
      </c>
      <c r="N16" s="6" t="s">
        <v>366</v>
      </c>
      <c r="O16" s="17">
        <v>42880</v>
      </c>
      <c r="P16" s="5" t="s">
        <v>5240</v>
      </c>
      <c r="Q16" s="17">
        <v>53837</v>
      </c>
      <c r="R16" s="6" t="s">
        <v>270</v>
      </c>
      <c r="S16" s="6" t="s">
        <v>619</v>
      </c>
      <c r="T16" s="6" t="s">
        <v>49</v>
      </c>
      <c r="U16" s="6" t="s">
        <v>262</v>
      </c>
    </row>
    <row r="17" spans="1:21" x14ac:dyDescent="0.2">
      <c r="A17" s="6" t="s">
        <v>641</v>
      </c>
      <c r="B17" s="6" t="s">
        <v>644</v>
      </c>
      <c r="C17" s="6" t="s">
        <v>71</v>
      </c>
      <c r="D17" s="5" t="s">
        <v>5238</v>
      </c>
      <c r="E17" s="6" t="s">
        <v>199</v>
      </c>
      <c r="F17" s="6" t="s">
        <v>2405</v>
      </c>
      <c r="G17" s="6" t="s">
        <v>2406</v>
      </c>
      <c r="H17" s="6" t="s">
        <v>2407</v>
      </c>
      <c r="I17" s="6" t="s">
        <v>55</v>
      </c>
      <c r="J17" s="6" t="s">
        <v>56</v>
      </c>
      <c r="K17" s="5" t="s">
        <v>5239</v>
      </c>
      <c r="L17" s="6" t="s">
        <v>52</v>
      </c>
      <c r="M17" s="6" t="s">
        <v>1775</v>
      </c>
      <c r="N17" s="6" t="s">
        <v>366</v>
      </c>
      <c r="O17" s="17">
        <v>42880</v>
      </c>
      <c r="P17" s="5" t="s">
        <v>5240</v>
      </c>
      <c r="Q17" s="17">
        <v>53837</v>
      </c>
      <c r="R17" s="6" t="s">
        <v>261</v>
      </c>
      <c r="S17" s="6" t="s">
        <v>619</v>
      </c>
      <c r="T17" s="6" t="s">
        <v>49</v>
      </c>
      <c r="U17" s="6" t="s">
        <v>262</v>
      </c>
    </row>
    <row r="18" spans="1:21" x14ac:dyDescent="0.2">
      <c r="A18" s="6" t="s">
        <v>641</v>
      </c>
      <c r="B18" s="6" t="s">
        <v>644</v>
      </c>
      <c r="C18" s="6" t="s">
        <v>71</v>
      </c>
      <c r="D18" s="62">
        <v>3747</v>
      </c>
      <c r="E18" s="6" t="s">
        <v>199</v>
      </c>
      <c r="F18" s="6" t="s">
        <v>2409</v>
      </c>
      <c r="G18" s="6" t="s">
        <v>2410</v>
      </c>
      <c r="H18" s="6" t="s">
        <v>2411</v>
      </c>
      <c r="I18" s="6" t="s">
        <v>55</v>
      </c>
      <c r="J18" s="6" t="s">
        <v>56</v>
      </c>
      <c r="K18" s="63">
        <v>2000000000</v>
      </c>
      <c r="L18" s="6" t="s">
        <v>52</v>
      </c>
      <c r="M18" s="6" t="s">
        <v>1775</v>
      </c>
      <c r="N18" s="6" t="s">
        <v>366</v>
      </c>
      <c r="O18" s="17">
        <v>42880</v>
      </c>
      <c r="P18" s="62">
        <v>3625</v>
      </c>
      <c r="Q18" s="17">
        <v>46532</v>
      </c>
      <c r="R18" s="6" t="s">
        <v>261</v>
      </c>
      <c r="S18" s="6" t="s">
        <v>619</v>
      </c>
      <c r="T18" s="6" t="s">
        <v>49</v>
      </c>
      <c r="U18" s="6" t="s">
        <v>262</v>
      </c>
    </row>
    <row r="19" spans="1:21" x14ac:dyDescent="0.2">
      <c r="A19" s="6" t="s">
        <v>641</v>
      </c>
      <c r="B19" s="6" t="s">
        <v>644</v>
      </c>
      <c r="C19" s="6" t="s">
        <v>71</v>
      </c>
      <c r="D19" s="62">
        <v>3747</v>
      </c>
      <c r="E19" s="6" t="s">
        <v>199</v>
      </c>
      <c r="F19" s="6" t="s">
        <v>2413</v>
      </c>
      <c r="G19" s="6" t="s">
        <v>2414</v>
      </c>
      <c r="H19" s="6" t="s">
        <v>2415</v>
      </c>
      <c r="I19" s="6" t="s">
        <v>55</v>
      </c>
      <c r="J19" s="6" t="s">
        <v>56</v>
      </c>
      <c r="K19" s="63">
        <v>2000000000</v>
      </c>
      <c r="L19" s="6" t="s">
        <v>52</v>
      </c>
      <c r="M19" s="6" t="s">
        <v>1775</v>
      </c>
      <c r="N19" s="6" t="s">
        <v>366</v>
      </c>
      <c r="O19" s="17">
        <v>42880</v>
      </c>
      <c r="P19" s="62">
        <v>3625</v>
      </c>
      <c r="Q19" s="17">
        <v>46532</v>
      </c>
      <c r="R19" s="6" t="s">
        <v>270</v>
      </c>
      <c r="S19" s="6" t="s">
        <v>619</v>
      </c>
      <c r="T19" s="6" t="s">
        <v>49</v>
      </c>
      <c r="U19" s="6" t="s">
        <v>262</v>
      </c>
    </row>
    <row r="20" spans="1:21" x14ac:dyDescent="0.2">
      <c r="A20" s="6" t="s">
        <v>490</v>
      </c>
      <c r="B20" s="6" t="s">
        <v>493</v>
      </c>
      <c r="C20" s="6" t="s">
        <v>57</v>
      </c>
      <c r="D20" s="62">
        <v>1701</v>
      </c>
      <c r="E20" s="6" t="s">
        <v>199</v>
      </c>
      <c r="F20" s="6" t="s">
        <v>1821</v>
      </c>
      <c r="G20" s="6" t="s">
        <v>1822</v>
      </c>
      <c r="H20" s="6" t="s">
        <v>1823</v>
      </c>
      <c r="I20" s="6" t="s">
        <v>55</v>
      </c>
      <c r="J20" s="6" t="s">
        <v>56</v>
      </c>
      <c r="K20" s="5" t="s">
        <v>5241</v>
      </c>
      <c r="L20" s="6" t="s">
        <v>52</v>
      </c>
      <c r="M20" s="6" t="s">
        <v>1824</v>
      </c>
      <c r="N20" s="6" t="s">
        <v>199</v>
      </c>
      <c r="O20" s="17">
        <v>42894</v>
      </c>
      <c r="P20" s="62">
        <v>1625</v>
      </c>
      <c r="Q20" s="17">
        <v>46546</v>
      </c>
      <c r="R20" s="6" t="s">
        <v>225</v>
      </c>
      <c r="S20" s="6" t="s">
        <v>496</v>
      </c>
      <c r="T20" s="6" t="s">
        <v>115</v>
      </c>
      <c r="U20" s="6" t="s">
        <v>53</v>
      </c>
    </row>
    <row r="21" spans="1:21" x14ac:dyDescent="0.2">
      <c r="A21" s="6" t="s">
        <v>1486</v>
      </c>
      <c r="B21" s="6" t="s">
        <v>1489</v>
      </c>
      <c r="C21" s="6" t="s">
        <v>173</v>
      </c>
      <c r="D21" s="5" t="s">
        <v>5242</v>
      </c>
      <c r="E21" s="6" t="s">
        <v>184</v>
      </c>
      <c r="F21" s="6" t="s">
        <v>2250</v>
      </c>
      <c r="G21" s="6" t="s">
        <v>2251</v>
      </c>
      <c r="H21" s="6" t="s">
        <v>2252</v>
      </c>
      <c r="I21" s="6" t="s">
        <v>117</v>
      </c>
      <c r="J21" s="6" t="s">
        <v>675</v>
      </c>
      <c r="K21" s="63">
        <v>500000000</v>
      </c>
      <c r="L21" s="6" t="s">
        <v>52</v>
      </c>
      <c r="M21" s="6" t="s">
        <v>1770</v>
      </c>
      <c r="N21" s="6" t="s">
        <v>184</v>
      </c>
      <c r="O21" s="17">
        <v>42900</v>
      </c>
      <c r="P21" s="5">
        <v>0</v>
      </c>
      <c r="Q21" s="17">
        <v>45091</v>
      </c>
      <c r="R21" s="6" t="s">
        <v>1489</v>
      </c>
      <c r="S21" s="6" t="s">
        <v>54</v>
      </c>
      <c r="T21" s="6" t="s">
        <v>188</v>
      </c>
      <c r="U21" s="6" t="s">
        <v>262</v>
      </c>
    </row>
    <row r="22" spans="1:21" x14ac:dyDescent="0.2">
      <c r="A22" s="6" t="s">
        <v>244</v>
      </c>
      <c r="B22" s="6" t="s">
        <v>247</v>
      </c>
      <c r="C22" s="6" t="s">
        <v>57</v>
      </c>
      <c r="D22" s="6" t="s">
        <v>54</v>
      </c>
      <c r="E22" s="6" t="s">
        <v>184</v>
      </c>
      <c r="F22" s="6" t="s">
        <v>2287</v>
      </c>
      <c r="G22" s="6" t="s">
        <v>2288</v>
      </c>
      <c r="H22" s="6" t="s">
        <v>2289</v>
      </c>
      <c r="I22" s="6" t="s">
        <v>55</v>
      </c>
      <c r="J22" s="6" t="s">
        <v>56</v>
      </c>
      <c r="K22" s="5">
        <v>45059200</v>
      </c>
      <c r="L22" s="6" t="s">
        <v>52</v>
      </c>
      <c r="M22" s="6" t="s">
        <v>173</v>
      </c>
      <c r="N22" s="6" t="s">
        <v>184</v>
      </c>
      <c r="O22" s="17">
        <v>42893</v>
      </c>
      <c r="P22" s="5" t="s">
        <v>5243</v>
      </c>
      <c r="Q22" s="17">
        <v>45815</v>
      </c>
      <c r="R22" s="6" t="s">
        <v>173</v>
      </c>
      <c r="S22" s="6" t="s">
        <v>54</v>
      </c>
      <c r="T22" s="6" t="s">
        <v>49</v>
      </c>
      <c r="U22" s="6" t="s">
        <v>53</v>
      </c>
    </row>
    <row r="23" spans="1:21" x14ac:dyDescent="0.2">
      <c r="A23" s="6" t="s">
        <v>108</v>
      </c>
      <c r="B23" s="6" t="s">
        <v>111</v>
      </c>
      <c r="C23" s="6" t="s">
        <v>57</v>
      </c>
      <c r="D23" s="6" t="s">
        <v>54</v>
      </c>
      <c r="E23" s="6" t="s">
        <v>112</v>
      </c>
      <c r="F23" s="6" t="s">
        <v>3326</v>
      </c>
      <c r="G23" s="6" t="s">
        <v>3327</v>
      </c>
      <c r="H23" s="6" t="s">
        <v>3328</v>
      </c>
      <c r="I23" s="6" t="s">
        <v>55</v>
      </c>
      <c r="J23" s="6" t="s">
        <v>56</v>
      </c>
      <c r="K23" s="5" t="s">
        <v>5244</v>
      </c>
      <c r="L23" s="6" t="s">
        <v>52</v>
      </c>
      <c r="M23" s="6" t="s">
        <v>1775</v>
      </c>
      <c r="N23" s="6" t="s">
        <v>112</v>
      </c>
      <c r="O23" s="17">
        <v>42921</v>
      </c>
      <c r="P23" s="62">
        <v>2375</v>
      </c>
      <c r="Q23" s="17">
        <v>46573</v>
      </c>
      <c r="R23" s="6" t="s">
        <v>173</v>
      </c>
      <c r="S23" s="6" t="s">
        <v>189</v>
      </c>
      <c r="T23" s="6" t="s">
        <v>49</v>
      </c>
      <c r="U23" s="6" t="s">
        <v>53</v>
      </c>
    </row>
    <row r="24" spans="1:21" x14ac:dyDescent="0.2">
      <c r="A24" s="6" t="s">
        <v>916</v>
      </c>
      <c r="B24" s="6" t="s">
        <v>919</v>
      </c>
      <c r="C24" s="6" t="s">
        <v>57</v>
      </c>
      <c r="D24" s="6" t="s">
        <v>54</v>
      </c>
      <c r="E24" s="6" t="s">
        <v>184</v>
      </c>
      <c r="F24" s="6" t="s">
        <v>2891</v>
      </c>
      <c r="G24" s="6" t="s">
        <v>2892</v>
      </c>
      <c r="H24" s="6" t="s">
        <v>2893</v>
      </c>
      <c r="I24" s="6" t="s">
        <v>420</v>
      </c>
      <c r="J24" s="6" t="s">
        <v>56</v>
      </c>
      <c r="K24" s="5" t="s">
        <v>5245</v>
      </c>
      <c r="L24" s="6" t="s">
        <v>52</v>
      </c>
      <c r="M24" s="6" t="s">
        <v>2894</v>
      </c>
      <c r="N24" s="6" t="s">
        <v>184</v>
      </c>
      <c r="O24" s="17">
        <v>42922</v>
      </c>
      <c r="P24" s="62">
        <v>1875</v>
      </c>
      <c r="Q24" s="17">
        <v>48401</v>
      </c>
      <c r="R24" s="6" t="s">
        <v>173</v>
      </c>
      <c r="S24" s="6" t="s">
        <v>189</v>
      </c>
      <c r="T24" s="6" t="s">
        <v>115</v>
      </c>
      <c r="U24" s="6" t="s">
        <v>53</v>
      </c>
    </row>
    <row r="25" spans="1:21" x14ac:dyDescent="0.2">
      <c r="A25" s="6" t="s">
        <v>916</v>
      </c>
      <c r="B25" s="6" t="s">
        <v>919</v>
      </c>
      <c r="C25" s="6" t="s">
        <v>57</v>
      </c>
      <c r="D25" s="6" t="s">
        <v>54</v>
      </c>
      <c r="E25" s="6" t="s">
        <v>184</v>
      </c>
      <c r="F25" s="6" t="s">
        <v>2896</v>
      </c>
      <c r="G25" s="6" t="s">
        <v>2897</v>
      </c>
      <c r="H25" s="6" t="s">
        <v>2898</v>
      </c>
      <c r="I25" s="6" t="s">
        <v>420</v>
      </c>
      <c r="J25" s="6" t="s">
        <v>56</v>
      </c>
      <c r="K25" s="5" t="s">
        <v>5245</v>
      </c>
      <c r="L25" s="6" t="s">
        <v>52</v>
      </c>
      <c r="M25" s="6" t="s">
        <v>2894</v>
      </c>
      <c r="N25" s="6" t="s">
        <v>184</v>
      </c>
      <c r="O25" s="17">
        <v>42922</v>
      </c>
      <c r="P25" s="5" t="s">
        <v>5246</v>
      </c>
      <c r="Q25" s="17">
        <v>45479</v>
      </c>
      <c r="R25" s="6" t="s">
        <v>173</v>
      </c>
      <c r="S25" s="6" t="s">
        <v>189</v>
      </c>
      <c r="T25" s="6" t="s">
        <v>115</v>
      </c>
      <c r="U25" s="6" t="s">
        <v>53</v>
      </c>
    </row>
    <row r="26" spans="1:21" x14ac:dyDescent="0.2">
      <c r="A26" s="6" t="s">
        <v>1359</v>
      </c>
      <c r="B26" s="6" t="s">
        <v>1362</v>
      </c>
      <c r="C26" s="6" t="s">
        <v>391</v>
      </c>
      <c r="D26" s="6" t="s">
        <v>54</v>
      </c>
      <c r="E26" s="6" t="s">
        <v>199</v>
      </c>
      <c r="F26" s="6" t="s">
        <v>3212</v>
      </c>
      <c r="G26" s="6" t="s">
        <v>3213</v>
      </c>
      <c r="H26" s="6" t="s">
        <v>3214</v>
      </c>
      <c r="I26" s="6" t="s">
        <v>117</v>
      </c>
      <c r="J26" s="6" t="s">
        <v>70</v>
      </c>
      <c r="K26" s="5" t="s">
        <v>5247</v>
      </c>
      <c r="L26" s="6" t="s">
        <v>52</v>
      </c>
      <c r="M26" s="6" t="s">
        <v>1770</v>
      </c>
      <c r="N26" s="6" t="s">
        <v>199</v>
      </c>
      <c r="O26" s="17">
        <v>42949</v>
      </c>
      <c r="P26" s="5">
        <v>0</v>
      </c>
      <c r="Q26" s="17">
        <v>45506</v>
      </c>
      <c r="R26" s="6" t="s">
        <v>225</v>
      </c>
      <c r="S26" s="6" t="s">
        <v>174</v>
      </c>
      <c r="T26" s="6" t="s">
        <v>49</v>
      </c>
      <c r="U26" s="6" t="s">
        <v>53</v>
      </c>
    </row>
    <row r="27" spans="1:21" x14ac:dyDescent="0.2">
      <c r="A27" s="6" t="s">
        <v>165</v>
      </c>
      <c r="B27" s="6" t="s">
        <v>168</v>
      </c>
      <c r="C27" s="6" t="s">
        <v>57</v>
      </c>
      <c r="D27" s="6" t="s">
        <v>54</v>
      </c>
      <c r="E27" s="6" t="s">
        <v>170</v>
      </c>
      <c r="F27" s="6" t="s">
        <v>2634</v>
      </c>
      <c r="G27" s="6" t="s">
        <v>2635</v>
      </c>
      <c r="H27" s="6" t="s">
        <v>2636</v>
      </c>
      <c r="I27" s="6" t="s">
        <v>55</v>
      </c>
      <c r="J27" s="6" t="s">
        <v>56</v>
      </c>
      <c r="K27" s="5" t="s">
        <v>5248</v>
      </c>
      <c r="L27" s="6" t="s">
        <v>52</v>
      </c>
      <c r="M27" s="6" t="s">
        <v>1770</v>
      </c>
      <c r="N27" s="6" t="s">
        <v>169</v>
      </c>
      <c r="O27" s="17">
        <v>42976</v>
      </c>
      <c r="P27" s="5" t="s">
        <v>5249</v>
      </c>
      <c r="Q27" s="17">
        <v>47359</v>
      </c>
      <c r="R27" s="6" t="s">
        <v>225</v>
      </c>
      <c r="S27" s="6" t="s">
        <v>174</v>
      </c>
      <c r="T27" s="6" t="s">
        <v>115</v>
      </c>
      <c r="U27" s="6" t="s">
        <v>53</v>
      </c>
    </row>
    <row r="28" spans="1:21" x14ac:dyDescent="0.2">
      <c r="A28" s="6" t="s">
        <v>476</v>
      </c>
      <c r="B28" s="6" t="s">
        <v>479</v>
      </c>
      <c r="C28" s="6" t="s">
        <v>57</v>
      </c>
      <c r="D28" s="6" t="s">
        <v>54</v>
      </c>
      <c r="E28" s="6" t="s">
        <v>45</v>
      </c>
      <c r="F28" s="6" t="s">
        <v>1900</v>
      </c>
      <c r="G28" s="6" t="s">
        <v>1901</v>
      </c>
      <c r="H28" s="6" t="s">
        <v>1902</v>
      </c>
      <c r="I28" s="6" t="s">
        <v>55</v>
      </c>
      <c r="J28" s="6" t="s">
        <v>56</v>
      </c>
      <c r="K28" s="5" t="s">
        <v>5250</v>
      </c>
      <c r="L28" s="6" t="s">
        <v>458</v>
      </c>
      <c r="M28" s="6" t="s">
        <v>1770</v>
      </c>
      <c r="N28" s="6" t="s">
        <v>45</v>
      </c>
      <c r="O28" s="17">
        <v>42983</v>
      </c>
      <c r="P28" s="62">
        <v>125</v>
      </c>
      <c r="Q28" s="17">
        <v>45296</v>
      </c>
      <c r="R28" s="6">
        <v>203</v>
      </c>
      <c r="S28" s="6" t="s">
        <v>189</v>
      </c>
      <c r="T28" s="6" t="s">
        <v>49</v>
      </c>
      <c r="U28" s="6" t="s">
        <v>53</v>
      </c>
    </row>
    <row r="29" spans="1:21" x14ac:dyDescent="0.2">
      <c r="A29" s="6" t="s">
        <v>813</v>
      </c>
      <c r="B29" s="6" t="s">
        <v>816</v>
      </c>
      <c r="C29" s="6" t="s">
        <v>57</v>
      </c>
      <c r="D29" s="6" t="s">
        <v>54</v>
      </c>
      <c r="E29" s="6" t="s">
        <v>184</v>
      </c>
      <c r="F29" s="6" t="s">
        <v>3430</v>
      </c>
      <c r="G29" s="6" t="s">
        <v>3431</v>
      </c>
      <c r="H29" s="6" t="s">
        <v>3432</v>
      </c>
      <c r="I29" s="6" t="s">
        <v>133</v>
      </c>
      <c r="J29" s="6" t="s">
        <v>56</v>
      </c>
      <c r="K29" s="5" t="s">
        <v>5251</v>
      </c>
      <c r="L29" s="6" t="s">
        <v>52</v>
      </c>
      <c r="M29" s="6" t="s">
        <v>1770</v>
      </c>
      <c r="N29" s="6" t="s">
        <v>184</v>
      </c>
      <c r="O29" s="17">
        <v>42990</v>
      </c>
      <c r="P29" s="62">
        <v>375</v>
      </c>
      <c r="Q29" s="17">
        <v>44816</v>
      </c>
      <c r="R29" s="6" t="s">
        <v>225</v>
      </c>
      <c r="S29" s="6" t="s">
        <v>263</v>
      </c>
      <c r="T29" s="6" t="s">
        <v>115</v>
      </c>
      <c r="U29" s="6" t="s">
        <v>53</v>
      </c>
    </row>
    <row r="30" spans="1:21" x14ac:dyDescent="0.2">
      <c r="A30" s="6" t="s">
        <v>613</v>
      </c>
      <c r="B30" s="6" t="s">
        <v>616</v>
      </c>
      <c r="C30" s="6" t="s">
        <v>57</v>
      </c>
      <c r="D30" s="6" t="s">
        <v>54</v>
      </c>
      <c r="E30" s="6" t="s">
        <v>199</v>
      </c>
      <c r="F30" s="6" t="s">
        <v>2445</v>
      </c>
      <c r="G30" s="6" t="s">
        <v>2446</v>
      </c>
      <c r="H30" s="6" t="s">
        <v>2447</v>
      </c>
      <c r="I30" s="6" t="s">
        <v>117</v>
      </c>
      <c r="J30" s="6" t="s">
        <v>56</v>
      </c>
      <c r="K30" s="5" t="s">
        <v>5252</v>
      </c>
      <c r="L30" s="6" t="s">
        <v>52</v>
      </c>
      <c r="M30" s="6" t="s">
        <v>1770</v>
      </c>
      <c r="N30" s="6" t="s">
        <v>199</v>
      </c>
      <c r="O30" s="17">
        <v>42993</v>
      </c>
      <c r="P30" s="5">
        <v>1</v>
      </c>
      <c r="Q30" s="17">
        <v>45730</v>
      </c>
      <c r="R30" s="6" t="s">
        <v>225</v>
      </c>
      <c r="S30" s="6" t="s">
        <v>619</v>
      </c>
      <c r="T30" s="6" t="s">
        <v>49</v>
      </c>
      <c r="U30" s="6" t="s">
        <v>53</v>
      </c>
    </row>
    <row r="31" spans="1:21" x14ac:dyDescent="0.2">
      <c r="A31" s="6" t="s">
        <v>415</v>
      </c>
      <c r="B31" s="6" t="s">
        <v>418</v>
      </c>
      <c r="C31" s="6" t="s">
        <v>57</v>
      </c>
      <c r="D31" s="6" t="s">
        <v>54</v>
      </c>
      <c r="E31" s="6" t="s">
        <v>366</v>
      </c>
      <c r="F31" s="6" t="s">
        <v>2846</v>
      </c>
      <c r="G31" s="6" t="s">
        <v>2847</v>
      </c>
      <c r="H31" s="6" t="s">
        <v>2848</v>
      </c>
      <c r="I31" s="6" t="s">
        <v>420</v>
      </c>
      <c r="J31" s="6" t="s">
        <v>56</v>
      </c>
      <c r="K31" s="5" t="s">
        <v>5253</v>
      </c>
      <c r="L31" s="6" t="s">
        <v>52</v>
      </c>
      <c r="M31" s="6" t="s">
        <v>1775</v>
      </c>
      <c r="N31" s="6" t="s">
        <v>366</v>
      </c>
      <c r="O31" s="17">
        <v>42997</v>
      </c>
      <c r="P31" s="62">
        <v>875</v>
      </c>
      <c r="Q31" s="17">
        <v>45554</v>
      </c>
      <c r="R31" s="6" t="s">
        <v>173</v>
      </c>
      <c r="S31" s="6" t="s">
        <v>174</v>
      </c>
      <c r="T31" s="6" t="s">
        <v>115</v>
      </c>
      <c r="U31" s="6" t="s">
        <v>53</v>
      </c>
    </row>
    <row r="32" spans="1:21" x14ac:dyDescent="0.2">
      <c r="A32" s="6" t="s">
        <v>528</v>
      </c>
      <c r="B32" s="6" t="s">
        <v>531</v>
      </c>
      <c r="C32" s="6" t="s">
        <v>57</v>
      </c>
      <c r="D32" s="6" t="s">
        <v>54</v>
      </c>
      <c r="E32" s="6" t="s">
        <v>257</v>
      </c>
      <c r="F32" s="6" t="s">
        <v>3410</v>
      </c>
      <c r="G32" s="6" t="s">
        <v>3411</v>
      </c>
      <c r="H32" s="6" t="s">
        <v>3412</v>
      </c>
      <c r="I32" s="6" t="s">
        <v>55</v>
      </c>
      <c r="J32" s="6" t="s">
        <v>56</v>
      </c>
      <c r="K32" s="5" t="s">
        <v>5254</v>
      </c>
      <c r="L32" s="6" t="s">
        <v>118</v>
      </c>
      <c r="M32" s="6" t="s">
        <v>173</v>
      </c>
      <c r="N32" s="6" t="s">
        <v>257</v>
      </c>
      <c r="O32" s="17">
        <v>43019</v>
      </c>
      <c r="P32" s="5" t="s">
        <v>5255</v>
      </c>
      <c r="Q32" s="17">
        <v>44845</v>
      </c>
      <c r="R32" s="6" t="s">
        <v>173</v>
      </c>
      <c r="S32" s="6" t="s">
        <v>54</v>
      </c>
      <c r="T32" s="6" t="s">
        <v>49</v>
      </c>
      <c r="U32" s="6" t="s">
        <v>53</v>
      </c>
    </row>
    <row r="33" spans="1:21" x14ac:dyDescent="0.2">
      <c r="A33" s="6" t="s">
        <v>641</v>
      </c>
      <c r="B33" s="6" t="s">
        <v>644</v>
      </c>
      <c r="C33" s="6" t="s">
        <v>71</v>
      </c>
      <c r="D33" s="62">
        <v>3643</v>
      </c>
      <c r="E33" s="6" t="s">
        <v>199</v>
      </c>
      <c r="F33" s="6" t="s">
        <v>2417</v>
      </c>
      <c r="G33" s="6" t="s">
        <v>2418</v>
      </c>
      <c r="H33" s="6" t="s">
        <v>2419</v>
      </c>
      <c r="I33" s="6" t="s">
        <v>55</v>
      </c>
      <c r="J33" s="6" t="s">
        <v>56</v>
      </c>
      <c r="K33" s="5" t="s">
        <v>5234</v>
      </c>
      <c r="L33" s="6" t="s">
        <v>52</v>
      </c>
      <c r="M33" s="6" t="s">
        <v>1775</v>
      </c>
      <c r="N33" s="6" t="s">
        <v>366</v>
      </c>
      <c r="O33" s="17">
        <v>43014</v>
      </c>
      <c r="P33" s="5" t="s">
        <v>5256</v>
      </c>
      <c r="Q33" s="17">
        <v>46849</v>
      </c>
      <c r="R33" s="6" t="s">
        <v>261</v>
      </c>
      <c r="S33" s="6" t="s">
        <v>619</v>
      </c>
      <c r="T33" s="6" t="s">
        <v>49</v>
      </c>
      <c r="U33" s="6" t="s">
        <v>262</v>
      </c>
    </row>
    <row r="34" spans="1:21" x14ac:dyDescent="0.2">
      <c r="A34" s="6" t="s">
        <v>641</v>
      </c>
      <c r="B34" s="6" t="s">
        <v>644</v>
      </c>
      <c r="C34" s="6" t="s">
        <v>71</v>
      </c>
      <c r="D34" s="62">
        <v>3643</v>
      </c>
      <c r="E34" s="6" t="s">
        <v>199</v>
      </c>
      <c r="F34" s="6" t="s">
        <v>2421</v>
      </c>
      <c r="G34" s="6" t="s">
        <v>2422</v>
      </c>
      <c r="H34" s="6" t="s">
        <v>2423</v>
      </c>
      <c r="I34" s="6" t="s">
        <v>55</v>
      </c>
      <c r="J34" s="6" t="s">
        <v>56</v>
      </c>
      <c r="K34" s="5" t="s">
        <v>5234</v>
      </c>
      <c r="L34" s="6" t="s">
        <v>52</v>
      </c>
      <c r="M34" s="6" t="s">
        <v>1775</v>
      </c>
      <c r="N34" s="6" t="s">
        <v>366</v>
      </c>
      <c r="O34" s="17">
        <v>43014</v>
      </c>
      <c r="P34" s="5" t="s">
        <v>5256</v>
      </c>
      <c r="Q34" s="17">
        <v>46849</v>
      </c>
      <c r="R34" s="6" t="s">
        <v>270</v>
      </c>
      <c r="S34" s="6" t="s">
        <v>619</v>
      </c>
      <c r="T34" s="6" t="s">
        <v>49</v>
      </c>
      <c r="U34" s="6" t="s">
        <v>262</v>
      </c>
    </row>
    <row r="35" spans="1:21" x14ac:dyDescent="0.2">
      <c r="A35" s="6" t="s">
        <v>1579</v>
      </c>
      <c r="B35" s="6" t="s">
        <v>1582</v>
      </c>
      <c r="C35" s="6" t="s">
        <v>71</v>
      </c>
      <c r="D35" s="5" t="s">
        <v>5257</v>
      </c>
      <c r="E35" s="6" t="s">
        <v>258</v>
      </c>
      <c r="F35" s="6" t="s">
        <v>1812</v>
      </c>
      <c r="G35" s="6" t="s">
        <v>1813</v>
      </c>
      <c r="H35" s="6" t="s">
        <v>1814</v>
      </c>
      <c r="I35" s="6" t="s">
        <v>55</v>
      </c>
      <c r="J35" s="6" t="s">
        <v>56</v>
      </c>
      <c r="K35" s="63">
        <v>400000000</v>
      </c>
      <c r="L35" s="6" t="s">
        <v>52</v>
      </c>
      <c r="M35" s="6" t="s">
        <v>1815</v>
      </c>
      <c r="N35" s="6" t="s">
        <v>169</v>
      </c>
      <c r="O35" s="17">
        <v>43018</v>
      </c>
      <c r="P35" s="5" t="s">
        <v>5257</v>
      </c>
      <c r="Q35" s="17">
        <v>45575</v>
      </c>
      <c r="R35" s="6" t="s">
        <v>261</v>
      </c>
      <c r="S35" s="6" t="s">
        <v>884</v>
      </c>
      <c r="T35" s="6" t="s">
        <v>115</v>
      </c>
      <c r="U35" s="6" t="s">
        <v>262</v>
      </c>
    </row>
    <row r="36" spans="1:21" x14ac:dyDescent="0.2">
      <c r="A36" s="6" t="s">
        <v>1579</v>
      </c>
      <c r="B36" s="6" t="s">
        <v>1582</v>
      </c>
      <c r="C36" s="6" t="s">
        <v>71</v>
      </c>
      <c r="D36" s="5" t="s">
        <v>5257</v>
      </c>
      <c r="E36" s="6" t="s">
        <v>258</v>
      </c>
      <c r="F36" s="6" t="s">
        <v>1817</v>
      </c>
      <c r="G36" s="6" t="s">
        <v>1818</v>
      </c>
      <c r="H36" s="6" t="s">
        <v>1819</v>
      </c>
      <c r="I36" s="6" t="s">
        <v>55</v>
      </c>
      <c r="J36" s="6" t="s">
        <v>56</v>
      </c>
      <c r="K36" s="63">
        <v>400000000</v>
      </c>
      <c r="L36" s="6" t="s">
        <v>52</v>
      </c>
      <c r="M36" s="6" t="s">
        <v>1815</v>
      </c>
      <c r="N36" s="6" t="s">
        <v>169</v>
      </c>
      <c r="O36" s="17">
        <v>43018</v>
      </c>
      <c r="P36" s="5" t="s">
        <v>5257</v>
      </c>
      <c r="Q36" s="17">
        <v>45575</v>
      </c>
      <c r="R36" s="6" t="s">
        <v>270</v>
      </c>
      <c r="S36" s="6" t="s">
        <v>884</v>
      </c>
      <c r="T36" s="6" t="s">
        <v>115</v>
      </c>
      <c r="U36" s="6" t="s">
        <v>262</v>
      </c>
    </row>
    <row r="37" spans="1:21" x14ac:dyDescent="0.2">
      <c r="A37" s="6" t="s">
        <v>916</v>
      </c>
      <c r="B37" s="6" t="s">
        <v>919</v>
      </c>
      <c r="C37" s="6" t="s">
        <v>57</v>
      </c>
      <c r="D37" s="6" t="s">
        <v>54</v>
      </c>
      <c r="E37" s="6" t="s">
        <v>184</v>
      </c>
      <c r="F37" s="6" t="s">
        <v>2900</v>
      </c>
      <c r="G37" s="6" t="s">
        <v>2901</v>
      </c>
      <c r="H37" s="6" t="s">
        <v>2902</v>
      </c>
      <c r="I37" s="6" t="s">
        <v>420</v>
      </c>
      <c r="J37" s="6" t="s">
        <v>56</v>
      </c>
      <c r="K37" s="5" t="s">
        <v>5258</v>
      </c>
      <c r="L37" s="6" t="s">
        <v>52</v>
      </c>
      <c r="M37" s="6" t="s">
        <v>1770</v>
      </c>
      <c r="N37" s="6" t="s">
        <v>184</v>
      </c>
      <c r="O37" s="17">
        <v>43017</v>
      </c>
      <c r="P37" s="5" t="s">
        <v>5259</v>
      </c>
      <c r="Q37" s="17">
        <v>45208</v>
      </c>
      <c r="R37" s="6" t="s">
        <v>173</v>
      </c>
      <c r="S37" s="6" t="s">
        <v>189</v>
      </c>
      <c r="T37" s="6" t="s">
        <v>115</v>
      </c>
      <c r="U37" s="6" t="s">
        <v>53</v>
      </c>
    </row>
    <row r="38" spans="1:21" x14ac:dyDescent="0.2">
      <c r="A38" s="6" t="s">
        <v>1359</v>
      </c>
      <c r="B38" s="6" t="s">
        <v>1362</v>
      </c>
      <c r="C38" s="6" t="s">
        <v>57</v>
      </c>
      <c r="D38" s="6" t="s">
        <v>54</v>
      </c>
      <c r="E38" s="6" t="s">
        <v>199</v>
      </c>
      <c r="F38" s="6" t="s">
        <v>3216</v>
      </c>
      <c r="G38" s="6" t="s">
        <v>3217</v>
      </c>
      <c r="H38" s="6" t="s">
        <v>3218</v>
      </c>
      <c r="I38" s="6" t="s">
        <v>117</v>
      </c>
      <c r="J38" s="6" t="s">
        <v>56</v>
      </c>
      <c r="K38" s="5" t="s">
        <v>5260</v>
      </c>
      <c r="L38" s="6" t="s">
        <v>52</v>
      </c>
      <c r="M38" s="6" t="s">
        <v>1775</v>
      </c>
      <c r="N38" s="6" t="s">
        <v>199</v>
      </c>
      <c r="O38" s="17">
        <v>43033</v>
      </c>
      <c r="P38" s="62">
        <v>1375</v>
      </c>
      <c r="Q38" s="17">
        <v>46685</v>
      </c>
      <c r="R38" s="6" t="s">
        <v>225</v>
      </c>
      <c r="S38" s="6" t="s">
        <v>174</v>
      </c>
      <c r="T38" s="6" t="s">
        <v>115</v>
      </c>
      <c r="U38" s="6" t="s">
        <v>53</v>
      </c>
    </row>
    <row r="39" spans="1:21" x14ac:dyDescent="0.2">
      <c r="A39" s="6" t="s">
        <v>774</v>
      </c>
      <c r="B39" s="6" t="s">
        <v>777</v>
      </c>
      <c r="C39" s="6" t="s">
        <v>57</v>
      </c>
      <c r="D39" s="6" t="s">
        <v>54</v>
      </c>
      <c r="E39" s="6" t="s">
        <v>199</v>
      </c>
      <c r="F39" s="6" t="s">
        <v>1772</v>
      </c>
      <c r="G39" s="6" t="s">
        <v>1773</v>
      </c>
      <c r="H39" s="6" t="s">
        <v>1774</v>
      </c>
      <c r="I39" s="6" t="s">
        <v>55</v>
      </c>
      <c r="J39" s="6" t="s">
        <v>56</v>
      </c>
      <c r="K39" s="5" t="s">
        <v>5261</v>
      </c>
      <c r="L39" s="6" t="s">
        <v>52</v>
      </c>
      <c r="M39" s="6" t="s">
        <v>1775</v>
      </c>
      <c r="N39" s="6" t="s">
        <v>199</v>
      </c>
      <c r="O39" s="17">
        <v>43027</v>
      </c>
      <c r="P39" s="62">
        <v>1625</v>
      </c>
      <c r="Q39" s="17">
        <v>46679</v>
      </c>
      <c r="R39" s="6" t="s">
        <v>225</v>
      </c>
      <c r="S39" s="6" t="s">
        <v>174</v>
      </c>
      <c r="T39" s="6" t="s">
        <v>115</v>
      </c>
      <c r="U39" s="6" t="s">
        <v>53</v>
      </c>
    </row>
    <row r="40" spans="1:21" x14ac:dyDescent="0.2">
      <c r="A40" s="6" t="s">
        <v>1413</v>
      </c>
      <c r="B40" s="6" t="s">
        <v>1416</v>
      </c>
      <c r="C40" s="6" t="s">
        <v>57</v>
      </c>
      <c r="D40" s="64">
        <v>4.4459</v>
      </c>
      <c r="E40" s="6" t="s">
        <v>199</v>
      </c>
      <c r="F40" s="6" t="s">
        <v>3461</v>
      </c>
      <c r="G40" s="6" t="s">
        <v>3462</v>
      </c>
      <c r="H40" s="6" t="s">
        <v>3463</v>
      </c>
      <c r="I40" s="6" t="s">
        <v>55</v>
      </c>
      <c r="J40" s="6" t="s">
        <v>56</v>
      </c>
      <c r="K40" s="5" t="s">
        <v>5262</v>
      </c>
      <c r="L40" s="6" t="s">
        <v>52</v>
      </c>
      <c r="M40" s="6" t="s">
        <v>1839</v>
      </c>
      <c r="N40" s="6" t="s">
        <v>199</v>
      </c>
      <c r="O40" s="17">
        <v>43034</v>
      </c>
      <c r="P40" s="5" t="s">
        <v>5249</v>
      </c>
      <c r="Q40" s="17">
        <v>45591</v>
      </c>
      <c r="R40" s="6" t="s">
        <v>173</v>
      </c>
      <c r="S40" s="6" t="s">
        <v>189</v>
      </c>
      <c r="T40" s="6" t="s">
        <v>49</v>
      </c>
      <c r="U40" s="6" t="s">
        <v>53</v>
      </c>
    </row>
    <row r="41" spans="1:21" x14ac:dyDescent="0.2">
      <c r="A41" s="6" t="s">
        <v>344</v>
      </c>
      <c r="B41" s="6" t="s">
        <v>347</v>
      </c>
      <c r="C41" s="6" t="s">
        <v>71</v>
      </c>
      <c r="D41" s="62">
        <v>5875</v>
      </c>
      <c r="E41" s="6" t="s">
        <v>185</v>
      </c>
      <c r="F41" s="6" t="s">
        <v>2295</v>
      </c>
      <c r="G41" s="6" t="s">
        <v>2296</v>
      </c>
      <c r="H41" s="6" t="s">
        <v>2297</v>
      </c>
      <c r="I41" s="6" t="s">
        <v>55</v>
      </c>
      <c r="J41" s="6" t="s">
        <v>56</v>
      </c>
      <c r="K41" s="63">
        <v>500000000</v>
      </c>
      <c r="L41" s="6" t="s">
        <v>52</v>
      </c>
      <c r="M41" s="6" t="s">
        <v>1839</v>
      </c>
      <c r="N41" s="6" t="s">
        <v>184</v>
      </c>
      <c r="O41" s="17">
        <v>43048</v>
      </c>
      <c r="P41" s="62">
        <v>5875</v>
      </c>
      <c r="Q41" s="17">
        <v>46068</v>
      </c>
      <c r="R41" s="6" t="s">
        <v>261</v>
      </c>
      <c r="S41" s="6" t="s">
        <v>350</v>
      </c>
      <c r="T41" s="6" t="s">
        <v>115</v>
      </c>
      <c r="U41" s="6" t="s">
        <v>262</v>
      </c>
    </row>
    <row r="42" spans="1:21" x14ac:dyDescent="0.2">
      <c r="A42" s="6" t="s">
        <v>344</v>
      </c>
      <c r="B42" s="6" t="s">
        <v>347</v>
      </c>
      <c r="C42" s="6" t="s">
        <v>71</v>
      </c>
      <c r="D42" s="6" t="s">
        <v>54</v>
      </c>
      <c r="E42" s="6" t="s">
        <v>185</v>
      </c>
      <c r="F42" s="6" t="s">
        <v>2299</v>
      </c>
      <c r="G42" s="6" t="s">
        <v>2300</v>
      </c>
      <c r="H42" s="6" t="s">
        <v>2301</v>
      </c>
      <c r="I42" s="6" t="s">
        <v>55</v>
      </c>
      <c r="J42" s="6" t="s">
        <v>56</v>
      </c>
      <c r="K42" s="5" t="s">
        <v>5263</v>
      </c>
      <c r="L42" s="6" t="s">
        <v>52</v>
      </c>
      <c r="M42" s="6" t="s">
        <v>1839</v>
      </c>
      <c r="N42" s="6" t="s">
        <v>184</v>
      </c>
      <c r="O42" s="17">
        <v>43048</v>
      </c>
      <c r="P42" s="5" t="s">
        <v>5264</v>
      </c>
      <c r="Q42" s="17">
        <v>46068</v>
      </c>
      <c r="R42" s="6" t="s">
        <v>270</v>
      </c>
      <c r="S42" s="6" t="s">
        <v>350</v>
      </c>
      <c r="T42" s="6" t="s">
        <v>115</v>
      </c>
      <c r="U42" s="6" t="s">
        <v>53</v>
      </c>
    </row>
    <row r="43" spans="1:21" x14ac:dyDescent="0.2">
      <c r="A43" s="6" t="s">
        <v>344</v>
      </c>
      <c r="B43" s="6" t="s">
        <v>347</v>
      </c>
      <c r="C43" s="6" t="s">
        <v>71</v>
      </c>
      <c r="D43" s="6" t="s">
        <v>54</v>
      </c>
      <c r="E43" s="6" t="s">
        <v>185</v>
      </c>
      <c r="F43" s="6" t="s">
        <v>2303</v>
      </c>
      <c r="G43" s="6" t="s">
        <v>2304</v>
      </c>
      <c r="H43" s="6" t="s">
        <v>2305</v>
      </c>
      <c r="I43" s="6" t="s">
        <v>55</v>
      </c>
      <c r="J43" s="6" t="s">
        <v>56</v>
      </c>
      <c r="K43" s="5" t="s">
        <v>5263</v>
      </c>
      <c r="L43" s="6" t="s">
        <v>52</v>
      </c>
      <c r="M43" s="6" t="s">
        <v>1839</v>
      </c>
      <c r="N43" s="6" t="s">
        <v>184</v>
      </c>
      <c r="O43" s="17">
        <v>43048</v>
      </c>
      <c r="P43" s="5" t="s">
        <v>5264</v>
      </c>
      <c r="Q43" s="17">
        <v>46068</v>
      </c>
      <c r="R43" s="6" t="s">
        <v>261</v>
      </c>
      <c r="S43" s="6" t="s">
        <v>350</v>
      </c>
      <c r="T43" s="6" t="s">
        <v>115</v>
      </c>
      <c r="U43" s="6" t="s">
        <v>53</v>
      </c>
    </row>
    <row r="44" spans="1:21" x14ac:dyDescent="0.2">
      <c r="A44" s="6" t="s">
        <v>344</v>
      </c>
      <c r="B44" s="6" t="s">
        <v>347</v>
      </c>
      <c r="C44" s="6" t="s">
        <v>71</v>
      </c>
      <c r="D44" s="62">
        <v>5875</v>
      </c>
      <c r="E44" s="6" t="s">
        <v>185</v>
      </c>
      <c r="F44" s="6" t="s">
        <v>2307</v>
      </c>
      <c r="G44" s="6" t="s">
        <v>2308</v>
      </c>
      <c r="H44" s="6" t="s">
        <v>2309</v>
      </c>
      <c r="I44" s="6" t="s">
        <v>55</v>
      </c>
      <c r="J44" s="6" t="s">
        <v>56</v>
      </c>
      <c r="K44" s="63">
        <v>500000000</v>
      </c>
      <c r="L44" s="6" t="s">
        <v>52</v>
      </c>
      <c r="M44" s="6" t="s">
        <v>1839</v>
      </c>
      <c r="N44" s="6" t="s">
        <v>184</v>
      </c>
      <c r="O44" s="17">
        <v>43048</v>
      </c>
      <c r="P44" s="62">
        <v>5875</v>
      </c>
      <c r="Q44" s="17">
        <v>46068</v>
      </c>
      <c r="R44" s="6" t="s">
        <v>270</v>
      </c>
      <c r="S44" s="6" t="s">
        <v>350</v>
      </c>
      <c r="T44" s="6" t="s">
        <v>115</v>
      </c>
      <c r="U44" s="6" t="s">
        <v>262</v>
      </c>
    </row>
    <row r="45" spans="1:21" x14ac:dyDescent="0.2">
      <c r="A45" s="6" t="s">
        <v>1421</v>
      </c>
      <c r="B45" s="6" t="s">
        <v>1424</v>
      </c>
      <c r="C45" s="6" t="s">
        <v>57</v>
      </c>
      <c r="D45" s="6" t="s">
        <v>54</v>
      </c>
      <c r="E45" s="6" t="s">
        <v>199</v>
      </c>
      <c r="F45" s="6" t="s">
        <v>2582</v>
      </c>
      <c r="G45" s="6" t="s">
        <v>2583</v>
      </c>
      <c r="H45" s="6" t="s">
        <v>2584</v>
      </c>
      <c r="I45" s="6" t="s">
        <v>55</v>
      </c>
      <c r="J45" s="6" t="s">
        <v>56</v>
      </c>
      <c r="K45" s="5">
        <v>58619500</v>
      </c>
      <c r="L45" s="6" t="s">
        <v>52</v>
      </c>
      <c r="M45" s="6" t="s">
        <v>173</v>
      </c>
      <c r="N45" s="6" t="s">
        <v>199</v>
      </c>
      <c r="O45" s="17">
        <v>43014</v>
      </c>
      <c r="P45" s="62">
        <v>2747</v>
      </c>
      <c r="Q45" s="17">
        <v>45571</v>
      </c>
      <c r="R45" s="6" t="s">
        <v>173</v>
      </c>
      <c r="S45" s="6" t="s">
        <v>54</v>
      </c>
      <c r="T45" s="6" t="s">
        <v>49</v>
      </c>
      <c r="U45" s="6" t="s">
        <v>53</v>
      </c>
    </row>
    <row r="46" spans="1:21" x14ac:dyDescent="0.2">
      <c r="A46" s="6" t="s">
        <v>180</v>
      </c>
      <c r="B46" s="6" t="s">
        <v>183</v>
      </c>
      <c r="C46" s="6" t="s">
        <v>57</v>
      </c>
      <c r="D46" s="6" t="s">
        <v>54</v>
      </c>
      <c r="E46" s="6" t="s">
        <v>185</v>
      </c>
      <c r="F46" s="6" t="s">
        <v>3160</v>
      </c>
      <c r="G46" s="6" t="s">
        <v>3161</v>
      </c>
      <c r="H46" s="6" t="s">
        <v>3162</v>
      </c>
      <c r="I46" s="6" t="s">
        <v>133</v>
      </c>
      <c r="J46" s="6" t="s">
        <v>56</v>
      </c>
      <c r="K46" s="5" t="s">
        <v>5265</v>
      </c>
      <c r="L46" s="6" t="s">
        <v>52</v>
      </c>
      <c r="M46" s="6" t="s">
        <v>1770</v>
      </c>
      <c r="N46" s="6" t="s">
        <v>184</v>
      </c>
      <c r="O46" s="17">
        <v>43082</v>
      </c>
      <c r="P46" s="62">
        <v>875</v>
      </c>
      <c r="Q46" s="17">
        <v>46369</v>
      </c>
      <c r="R46" s="6" t="s">
        <v>225</v>
      </c>
      <c r="S46" s="6" t="s">
        <v>189</v>
      </c>
      <c r="T46" s="6" t="s">
        <v>115</v>
      </c>
      <c r="U46" s="6" t="s">
        <v>53</v>
      </c>
    </row>
    <row r="47" spans="1:21" x14ac:dyDescent="0.2">
      <c r="A47" s="6" t="s">
        <v>206</v>
      </c>
      <c r="B47" s="6" t="s">
        <v>209</v>
      </c>
      <c r="C47" s="6" t="s">
        <v>71</v>
      </c>
      <c r="D47" s="6" t="s">
        <v>54</v>
      </c>
      <c r="E47" s="6" t="s">
        <v>112</v>
      </c>
      <c r="F47" s="6" t="s">
        <v>3049</v>
      </c>
      <c r="G47" s="6" t="s">
        <v>3050</v>
      </c>
      <c r="H47" s="6" t="s">
        <v>3051</v>
      </c>
      <c r="I47" s="6" t="s">
        <v>174</v>
      </c>
      <c r="J47" s="6" t="s">
        <v>70</v>
      </c>
      <c r="K47" s="5">
        <v>56484000</v>
      </c>
      <c r="L47" s="6" t="s">
        <v>52</v>
      </c>
      <c r="M47" s="6" t="s">
        <v>173</v>
      </c>
      <c r="N47" s="6" t="s">
        <v>112</v>
      </c>
      <c r="O47" s="17">
        <v>43089</v>
      </c>
      <c r="P47" s="5" t="s">
        <v>5266</v>
      </c>
      <c r="Q47" s="17">
        <v>44903</v>
      </c>
      <c r="R47" s="6" t="s">
        <v>350</v>
      </c>
      <c r="S47" s="6" t="s">
        <v>54</v>
      </c>
      <c r="T47" s="6" t="s">
        <v>49</v>
      </c>
      <c r="U47" s="6" t="s">
        <v>119</v>
      </c>
    </row>
    <row r="48" spans="1:21" x14ac:dyDescent="0.2">
      <c r="A48" s="6" t="s">
        <v>1198</v>
      </c>
      <c r="B48" s="6" t="s">
        <v>1201</v>
      </c>
      <c r="C48" s="6" t="s">
        <v>71</v>
      </c>
      <c r="D48" s="6" t="s">
        <v>54</v>
      </c>
      <c r="E48" s="6" t="s">
        <v>1202</v>
      </c>
      <c r="F48" s="6" t="s">
        <v>2937</v>
      </c>
      <c r="G48" s="6" t="s">
        <v>2938</v>
      </c>
      <c r="H48" s="6" t="s">
        <v>2939</v>
      </c>
      <c r="I48" s="6" t="s">
        <v>55</v>
      </c>
      <c r="J48" s="6" t="s">
        <v>56</v>
      </c>
      <c r="K48" s="5">
        <v>73062800</v>
      </c>
      <c r="L48" s="6" t="s">
        <v>52</v>
      </c>
      <c r="M48" s="6" t="s">
        <v>173</v>
      </c>
      <c r="N48" s="6" t="s">
        <v>1202</v>
      </c>
      <c r="O48" s="17">
        <v>43104</v>
      </c>
      <c r="P48" s="5">
        <v>4</v>
      </c>
      <c r="Q48" s="17">
        <v>44930</v>
      </c>
      <c r="R48" s="6" t="s">
        <v>173</v>
      </c>
      <c r="S48" s="6" t="s">
        <v>54</v>
      </c>
      <c r="T48" s="6" t="s">
        <v>49</v>
      </c>
      <c r="U48" s="6" t="s">
        <v>53</v>
      </c>
    </row>
    <row r="49" spans="1:21" x14ac:dyDescent="0.2">
      <c r="A49" s="6" t="s">
        <v>1166</v>
      </c>
      <c r="B49" s="6" t="s">
        <v>1169</v>
      </c>
      <c r="C49" s="6" t="s">
        <v>57</v>
      </c>
      <c r="D49" s="6" t="s">
        <v>54</v>
      </c>
      <c r="E49" s="6" t="s">
        <v>199</v>
      </c>
      <c r="F49" s="6" t="s">
        <v>1826</v>
      </c>
      <c r="G49" s="6" t="s">
        <v>1827</v>
      </c>
      <c r="H49" s="6" t="s">
        <v>1828</v>
      </c>
      <c r="I49" s="6" t="s">
        <v>55</v>
      </c>
      <c r="J49" s="6" t="s">
        <v>56</v>
      </c>
      <c r="K49" s="5" t="s">
        <v>5267</v>
      </c>
      <c r="L49" s="6" t="s">
        <v>1829</v>
      </c>
      <c r="M49" s="6" t="s">
        <v>1830</v>
      </c>
      <c r="N49" s="6" t="s">
        <v>199</v>
      </c>
      <c r="O49" s="17">
        <v>43139</v>
      </c>
      <c r="P49" s="62">
        <v>1625</v>
      </c>
      <c r="Q49" s="17">
        <v>46791</v>
      </c>
      <c r="R49" s="6" t="s">
        <v>225</v>
      </c>
      <c r="S49" s="6" t="s">
        <v>496</v>
      </c>
      <c r="T49" s="6" t="s">
        <v>115</v>
      </c>
      <c r="U49" s="6" t="s">
        <v>53</v>
      </c>
    </row>
    <row r="50" spans="1:21" x14ac:dyDescent="0.2">
      <c r="A50" s="6" t="s">
        <v>1639</v>
      </c>
      <c r="B50" s="6" t="s">
        <v>1642</v>
      </c>
      <c r="C50" s="6" t="s">
        <v>57</v>
      </c>
      <c r="D50" s="6" t="s">
        <v>54</v>
      </c>
      <c r="E50" s="6" t="s">
        <v>170</v>
      </c>
      <c r="F50" s="6" t="s">
        <v>2972</v>
      </c>
      <c r="G50" s="6" t="s">
        <v>2973</v>
      </c>
      <c r="H50" s="6" t="s">
        <v>2974</v>
      </c>
      <c r="I50" s="6" t="s">
        <v>55</v>
      </c>
      <c r="J50" s="6" t="s">
        <v>56</v>
      </c>
      <c r="K50" s="5" t="s">
        <v>5268</v>
      </c>
      <c r="L50" s="6" t="s">
        <v>52</v>
      </c>
      <c r="M50" s="6" t="s">
        <v>1770</v>
      </c>
      <c r="N50" s="6" t="s">
        <v>169</v>
      </c>
      <c r="O50" s="17">
        <v>43145</v>
      </c>
      <c r="P50" s="5" t="s">
        <v>5259</v>
      </c>
      <c r="Q50" s="17">
        <v>45152</v>
      </c>
      <c r="R50" s="6" t="s">
        <v>173</v>
      </c>
      <c r="S50" s="6" t="s">
        <v>1645</v>
      </c>
      <c r="T50" s="6" t="s">
        <v>115</v>
      </c>
      <c r="U50" s="6" t="s">
        <v>53</v>
      </c>
    </row>
    <row r="51" spans="1:21" x14ac:dyDescent="0.2">
      <c r="A51" s="6" t="s">
        <v>1639</v>
      </c>
      <c r="B51" s="6" t="s">
        <v>1642</v>
      </c>
      <c r="C51" s="6" t="s">
        <v>57</v>
      </c>
      <c r="D51" s="6" t="s">
        <v>54</v>
      </c>
      <c r="E51" s="6" t="s">
        <v>170</v>
      </c>
      <c r="F51" s="6" t="s">
        <v>2976</v>
      </c>
      <c r="G51" s="6" t="s">
        <v>2977</v>
      </c>
      <c r="H51" s="6" t="s">
        <v>2978</v>
      </c>
      <c r="I51" s="6" t="s">
        <v>55</v>
      </c>
      <c r="J51" s="6" t="s">
        <v>56</v>
      </c>
      <c r="K51" s="5" t="s">
        <v>5268</v>
      </c>
      <c r="L51" s="6" t="s">
        <v>52</v>
      </c>
      <c r="M51" s="6" t="s">
        <v>1770</v>
      </c>
      <c r="N51" s="6" t="s">
        <v>169</v>
      </c>
      <c r="O51" s="17">
        <v>43145</v>
      </c>
      <c r="P51" s="62">
        <v>1375</v>
      </c>
      <c r="Q51" s="17">
        <v>47709</v>
      </c>
      <c r="R51" s="6" t="s">
        <v>173</v>
      </c>
      <c r="S51" s="6" t="s">
        <v>1645</v>
      </c>
      <c r="T51" s="6" t="s">
        <v>115</v>
      </c>
      <c r="U51" s="6" t="s">
        <v>53</v>
      </c>
    </row>
    <row r="52" spans="1:21" x14ac:dyDescent="0.2">
      <c r="A52" s="6" t="s">
        <v>1639</v>
      </c>
      <c r="B52" s="6" t="s">
        <v>1642</v>
      </c>
      <c r="C52" s="6" t="s">
        <v>57</v>
      </c>
      <c r="D52" s="6" t="s">
        <v>54</v>
      </c>
      <c r="E52" s="6" t="s">
        <v>170</v>
      </c>
      <c r="F52" s="6" t="s">
        <v>2980</v>
      </c>
      <c r="G52" s="6" t="s">
        <v>2981</v>
      </c>
      <c r="H52" s="6" t="s">
        <v>2982</v>
      </c>
      <c r="I52" s="6" t="s">
        <v>55</v>
      </c>
      <c r="J52" s="6" t="s">
        <v>56</v>
      </c>
      <c r="K52" s="5" t="s">
        <v>5268</v>
      </c>
      <c r="L52" s="6" t="s">
        <v>52</v>
      </c>
      <c r="M52" s="6" t="s">
        <v>1770</v>
      </c>
      <c r="N52" s="6" t="s">
        <v>169</v>
      </c>
      <c r="O52" s="17">
        <v>43145</v>
      </c>
      <c r="P52" s="5" t="s">
        <v>5269</v>
      </c>
      <c r="Q52" s="17">
        <v>50631</v>
      </c>
      <c r="R52" s="6" t="s">
        <v>173</v>
      </c>
      <c r="S52" s="6" t="s">
        <v>1645</v>
      </c>
      <c r="T52" s="6" t="s">
        <v>115</v>
      </c>
      <c r="U52" s="6" t="s">
        <v>53</v>
      </c>
    </row>
    <row r="53" spans="1:21" x14ac:dyDescent="0.2">
      <c r="A53" s="6" t="s">
        <v>476</v>
      </c>
      <c r="B53" s="6" t="s">
        <v>479</v>
      </c>
      <c r="C53" s="6" t="s">
        <v>391</v>
      </c>
      <c r="D53" s="6" t="s">
        <v>54</v>
      </c>
      <c r="E53" s="6" t="s">
        <v>45</v>
      </c>
      <c r="F53" s="6" t="s">
        <v>1904</v>
      </c>
      <c r="G53" s="6" t="s">
        <v>1905</v>
      </c>
      <c r="H53" s="6" t="s">
        <v>1906</v>
      </c>
      <c r="I53" s="6" t="s">
        <v>55</v>
      </c>
      <c r="J53" s="6" t="s">
        <v>70</v>
      </c>
      <c r="K53" s="5">
        <v>62358000</v>
      </c>
      <c r="L53" s="6" t="s">
        <v>458</v>
      </c>
      <c r="M53" s="6" t="s">
        <v>1770</v>
      </c>
      <c r="N53" s="6" t="s">
        <v>45</v>
      </c>
      <c r="O53" s="17">
        <v>43146</v>
      </c>
      <c r="P53" s="5">
        <v>0</v>
      </c>
      <c r="Q53" s="17">
        <v>44972</v>
      </c>
      <c r="R53" s="6" t="s">
        <v>225</v>
      </c>
      <c r="S53" s="6" t="s">
        <v>189</v>
      </c>
      <c r="T53" s="6" t="s">
        <v>49</v>
      </c>
      <c r="U53" s="6" t="s">
        <v>53</v>
      </c>
    </row>
    <row r="54" spans="1:21" x14ac:dyDescent="0.2">
      <c r="A54" s="6" t="s">
        <v>476</v>
      </c>
      <c r="B54" s="6" t="s">
        <v>479</v>
      </c>
      <c r="C54" s="6" t="s">
        <v>57</v>
      </c>
      <c r="D54" s="6" t="s">
        <v>54</v>
      </c>
      <c r="E54" s="6" t="s">
        <v>45</v>
      </c>
      <c r="F54" s="6" t="s">
        <v>1908</v>
      </c>
      <c r="G54" s="6" t="s">
        <v>1909</v>
      </c>
      <c r="H54" s="6" t="s">
        <v>1910</v>
      </c>
      <c r="I54" s="6" t="s">
        <v>55</v>
      </c>
      <c r="J54" s="6" t="s">
        <v>56</v>
      </c>
      <c r="K54" s="5" t="s">
        <v>5270</v>
      </c>
      <c r="L54" s="6" t="s">
        <v>458</v>
      </c>
      <c r="M54" s="6" t="s">
        <v>173</v>
      </c>
      <c r="N54" s="6" t="s">
        <v>45</v>
      </c>
      <c r="O54" s="17">
        <v>43157</v>
      </c>
      <c r="P54" s="5" t="s">
        <v>5246</v>
      </c>
      <c r="Q54" s="17">
        <v>46079</v>
      </c>
      <c r="R54" s="6">
        <v>207</v>
      </c>
      <c r="S54" s="6" t="s">
        <v>189</v>
      </c>
      <c r="T54" s="6" t="s">
        <v>49</v>
      </c>
      <c r="U54" s="6" t="s">
        <v>53</v>
      </c>
    </row>
    <row r="55" spans="1:21" x14ac:dyDescent="0.2">
      <c r="A55" s="6" t="s">
        <v>1075</v>
      </c>
      <c r="B55" s="6" t="s">
        <v>1078</v>
      </c>
      <c r="C55" s="6" t="s">
        <v>71</v>
      </c>
      <c r="D55" s="6" t="s">
        <v>54</v>
      </c>
      <c r="E55" s="6" t="s">
        <v>184</v>
      </c>
      <c r="F55" s="6" t="s">
        <v>2556</v>
      </c>
      <c r="G55" s="6" t="s">
        <v>2557</v>
      </c>
      <c r="H55" s="6" t="s">
        <v>2558</v>
      </c>
      <c r="I55" s="6" t="s">
        <v>884</v>
      </c>
      <c r="J55" s="6" t="s">
        <v>56</v>
      </c>
      <c r="K55" s="5" t="s">
        <v>5271</v>
      </c>
      <c r="L55" s="6" t="s">
        <v>52</v>
      </c>
      <c r="M55" s="6" t="s">
        <v>1839</v>
      </c>
      <c r="N55" s="6" t="s">
        <v>184</v>
      </c>
      <c r="O55" s="17">
        <v>43167</v>
      </c>
      <c r="P55" s="62">
        <v>2625</v>
      </c>
      <c r="Q55" s="17">
        <v>45823</v>
      </c>
      <c r="R55" s="6" t="s">
        <v>173</v>
      </c>
      <c r="S55" s="6" t="s">
        <v>884</v>
      </c>
      <c r="T55" s="6" t="s">
        <v>115</v>
      </c>
      <c r="U55" s="6" t="s">
        <v>53</v>
      </c>
    </row>
    <row r="56" spans="1:21" x14ac:dyDescent="0.2">
      <c r="A56" s="6" t="s">
        <v>916</v>
      </c>
      <c r="B56" s="6" t="s">
        <v>919</v>
      </c>
      <c r="C56" s="6" t="s">
        <v>57</v>
      </c>
      <c r="D56" s="62">
        <v>1082</v>
      </c>
      <c r="E56" s="6" t="s">
        <v>184</v>
      </c>
      <c r="F56" s="6" t="s">
        <v>2904</v>
      </c>
      <c r="G56" s="6" t="s">
        <v>2905</v>
      </c>
      <c r="H56" s="6" t="s">
        <v>2906</v>
      </c>
      <c r="I56" s="6" t="s">
        <v>420</v>
      </c>
      <c r="J56" s="6" t="s">
        <v>56</v>
      </c>
      <c r="K56" s="5" t="s">
        <v>5272</v>
      </c>
      <c r="L56" s="6" t="s">
        <v>52</v>
      </c>
      <c r="M56" s="6" t="s">
        <v>1770</v>
      </c>
      <c r="N56" s="6" t="s">
        <v>184</v>
      </c>
      <c r="O56" s="17">
        <v>43165</v>
      </c>
      <c r="P56" s="5">
        <v>1</v>
      </c>
      <c r="Q56" s="17">
        <v>46087</v>
      </c>
      <c r="R56" s="6" t="s">
        <v>173</v>
      </c>
      <c r="S56" s="6" t="s">
        <v>189</v>
      </c>
      <c r="T56" s="6" t="s">
        <v>115</v>
      </c>
      <c r="U56" s="6" t="s">
        <v>53</v>
      </c>
    </row>
    <row r="57" spans="1:21" x14ac:dyDescent="0.2">
      <c r="A57" s="6" t="s">
        <v>1058</v>
      </c>
      <c r="B57" s="6" t="s">
        <v>1045</v>
      </c>
      <c r="C57" s="6" t="s">
        <v>71</v>
      </c>
      <c r="D57" s="5">
        <v>6</v>
      </c>
      <c r="E57" s="6" t="s">
        <v>1046</v>
      </c>
      <c r="F57" s="6" t="s">
        <v>3362</v>
      </c>
      <c r="G57" s="6" t="s">
        <v>3363</v>
      </c>
      <c r="H57" s="6" t="s">
        <v>3364</v>
      </c>
      <c r="I57" s="6" t="s">
        <v>55</v>
      </c>
      <c r="J57" s="6" t="s">
        <v>56</v>
      </c>
      <c r="K57" s="5" t="s">
        <v>5234</v>
      </c>
      <c r="L57" s="6" t="s">
        <v>52</v>
      </c>
      <c r="M57" s="6" t="s">
        <v>1775</v>
      </c>
      <c r="N57" s="6" t="s">
        <v>366</v>
      </c>
      <c r="O57" s="17">
        <v>43173</v>
      </c>
      <c r="P57" s="5">
        <v>6</v>
      </c>
      <c r="Q57" s="17">
        <v>45397</v>
      </c>
      <c r="R57" s="6" t="s">
        <v>261</v>
      </c>
      <c r="S57" s="6" t="s">
        <v>296</v>
      </c>
      <c r="T57" s="6" t="s">
        <v>115</v>
      </c>
      <c r="U57" s="6" t="s">
        <v>262</v>
      </c>
    </row>
    <row r="58" spans="1:21" x14ac:dyDescent="0.2">
      <c r="A58" s="6" t="s">
        <v>1058</v>
      </c>
      <c r="B58" s="6" t="s">
        <v>1045</v>
      </c>
      <c r="C58" s="6" t="s">
        <v>71</v>
      </c>
      <c r="D58" s="5" t="s">
        <v>5273</v>
      </c>
      <c r="E58" s="6" t="s">
        <v>1046</v>
      </c>
      <c r="F58" s="6" t="s">
        <v>3366</v>
      </c>
      <c r="G58" s="6" t="s">
        <v>3367</v>
      </c>
      <c r="H58" s="6" t="s">
        <v>3368</v>
      </c>
      <c r="I58" s="6" t="s">
        <v>55</v>
      </c>
      <c r="J58" s="6" t="s">
        <v>56</v>
      </c>
      <c r="K58" s="5" t="s">
        <v>5234</v>
      </c>
      <c r="L58" s="6" t="s">
        <v>52</v>
      </c>
      <c r="M58" s="6" t="s">
        <v>1775</v>
      </c>
      <c r="N58" s="6" t="s">
        <v>366</v>
      </c>
      <c r="O58" s="17">
        <v>43173</v>
      </c>
      <c r="P58" s="5" t="s">
        <v>5273</v>
      </c>
      <c r="Q58" s="17">
        <v>46813</v>
      </c>
      <c r="R58" s="6" t="s">
        <v>261</v>
      </c>
      <c r="S58" s="6" t="s">
        <v>296</v>
      </c>
      <c r="T58" s="6" t="s">
        <v>115</v>
      </c>
      <c r="U58" s="6" t="s">
        <v>262</v>
      </c>
    </row>
    <row r="59" spans="1:21" x14ac:dyDescent="0.2">
      <c r="A59" s="6" t="s">
        <v>1058</v>
      </c>
      <c r="B59" s="6" t="s">
        <v>1045</v>
      </c>
      <c r="C59" s="6" t="s">
        <v>71</v>
      </c>
      <c r="D59" s="5">
        <v>6</v>
      </c>
      <c r="E59" s="6" t="s">
        <v>1046</v>
      </c>
      <c r="F59" s="6" t="s">
        <v>3370</v>
      </c>
      <c r="G59" s="6" t="s">
        <v>3371</v>
      </c>
      <c r="H59" s="6" t="s">
        <v>3372</v>
      </c>
      <c r="I59" s="6" t="s">
        <v>55</v>
      </c>
      <c r="J59" s="6" t="s">
        <v>56</v>
      </c>
      <c r="K59" s="5" t="s">
        <v>5234</v>
      </c>
      <c r="L59" s="6" t="s">
        <v>52</v>
      </c>
      <c r="M59" s="6" t="s">
        <v>1775</v>
      </c>
      <c r="N59" s="6" t="s">
        <v>366</v>
      </c>
      <c r="O59" s="17">
        <v>43173</v>
      </c>
      <c r="P59" s="5">
        <v>6</v>
      </c>
      <c r="Q59" s="17">
        <v>45397</v>
      </c>
      <c r="R59" s="6" t="s">
        <v>270</v>
      </c>
      <c r="S59" s="6" t="s">
        <v>296</v>
      </c>
      <c r="T59" s="6" t="s">
        <v>115</v>
      </c>
      <c r="U59" s="6" t="s">
        <v>262</v>
      </c>
    </row>
    <row r="60" spans="1:21" x14ac:dyDescent="0.2">
      <c r="A60" s="6" t="s">
        <v>1058</v>
      </c>
      <c r="B60" s="6" t="s">
        <v>1045</v>
      </c>
      <c r="C60" s="6" t="s">
        <v>71</v>
      </c>
      <c r="D60" s="5" t="s">
        <v>5273</v>
      </c>
      <c r="E60" s="6" t="s">
        <v>1046</v>
      </c>
      <c r="F60" s="6" t="s">
        <v>3374</v>
      </c>
      <c r="G60" s="6" t="s">
        <v>3375</v>
      </c>
      <c r="H60" s="6" t="s">
        <v>3376</v>
      </c>
      <c r="I60" s="6" t="s">
        <v>55</v>
      </c>
      <c r="J60" s="6" t="s">
        <v>56</v>
      </c>
      <c r="K60" s="5" t="s">
        <v>5234</v>
      </c>
      <c r="L60" s="6" t="s">
        <v>52</v>
      </c>
      <c r="M60" s="6" t="s">
        <v>1775</v>
      </c>
      <c r="N60" s="6" t="s">
        <v>366</v>
      </c>
      <c r="O60" s="17">
        <v>43173</v>
      </c>
      <c r="P60" s="5" t="s">
        <v>5273</v>
      </c>
      <c r="Q60" s="17">
        <v>46813</v>
      </c>
      <c r="R60" s="6" t="s">
        <v>270</v>
      </c>
      <c r="S60" s="6" t="s">
        <v>296</v>
      </c>
      <c r="T60" s="6" t="s">
        <v>115</v>
      </c>
      <c r="U60" s="6" t="s">
        <v>262</v>
      </c>
    </row>
    <row r="61" spans="1:21" x14ac:dyDescent="0.2">
      <c r="A61" s="6" t="s">
        <v>1042</v>
      </c>
      <c r="B61" s="6" t="s">
        <v>1045</v>
      </c>
      <c r="C61" s="6" t="s">
        <v>71</v>
      </c>
      <c r="D61" s="5" t="s">
        <v>5274</v>
      </c>
      <c r="E61" s="6" t="s">
        <v>1046</v>
      </c>
      <c r="F61" s="6" t="s">
        <v>3330</v>
      </c>
      <c r="G61" s="6" t="s">
        <v>3331</v>
      </c>
      <c r="H61" s="6" t="s">
        <v>3332</v>
      </c>
      <c r="I61" s="6" t="s">
        <v>55</v>
      </c>
      <c r="J61" s="6" t="s">
        <v>56</v>
      </c>
      <c r="K61" s="5" t="s">
        <v>5275</v>
      </c>
      <c r="L61" s="6" t="s">
        <v>52</v>
      </c>
      <c r="M61" s="6" t="s">
        <v>1775</v>
      </c>
      <c r="N61" s="6" t="s">
        <v>366</v>
      </c>
      <c r="O61" s="17">
        <v>43173</v>
      </c>
      <c r="P61" s="5" t="s">
        <v>5274</v>
      </c>
      <c r="Q61" s="17">
        <v>45717</v>
      </c>
      <c r="R61" s="6" t="s">
        <v>261</v>
      </c>
      <c r="S61" s="6" t="s">
        <v>296</v>
      </c>
      <c r="T61" s="6" t="s">
        <v>115</v>
      </c>
      <c r="U61" s="6" t="s">
        <v>53</v>
      </c>
    </row>
    <row r="62" spans="1:21" x14ac:dyDescent="0.2">
      <c r="A62" s="6" t="s">
        <v>1042</v>
      </c>
      <c r="B62" s="6" t="s">
        <v>1045</v>
      </c>
      <c r="C62" s="6" t="s">
        <v>71</v>
      </c>
      <c r="D62" s="5" t="s">
        <v>5274</v>
      </c>
      <c r="E62" s="6" t="s">
        <v>1046</v>
      </c>
      <c r="F62" s="6" t="s">
        <v>3334</v>
      </c>
      <c r="G62" s="6" t="s">
        <v>3335</v>
      </c>
      <c r="H62" s="6" t="s">
        <v>3336</v>
      </c>
      <c r="I62" s="6" t="s">
        <v>55</v>
      </c>
      <c r="J62" s="6" t="s">
        <v>56</v>
      </c>
      <c r="K62" s="5" t="s">
        <v>5275</v>
      </c>
      <c r="L62" s="6" t="s">
        <v>52</v>
      </c>
      <c r="M62" s="6" t="s">
        <v>1775</v>
      </c>
      <c r="N62" s="6" t="s">
        <v>366</v>
      </c>
      <c r="O62" s="17">
        <v>43173</v>
      </c>
      <c r="P62" s="5" t="s">
        <v>5274</v>
      </c>
      <c r="Q62" s="17">
        <v>45717</v>
      </c>
      <c r="R62" s="6" t="s">
        <v>270</v>
      </c>
      <c r="S62" s="6" t="s">
        <v>296</v>
      </c>
      <c r="T62" s="6" t="s">
        <v>115</v>
      </c>
      <c r="U62" s="6" t="s">
        <v>53</v>
      </c>
    </row>
    <row r="63" spans="1:21" x14ac:dyDescent="0.2">
      <c r="A63" s="6" t="s">
        <v>415</v>
      </c>
      <c r="B63" s="6" t="s">
        <v>418</v>
      </c>
      <c r="C63" s="6" t="s">
        <v>57</v>
      </c>
      <c r="D63" s="6" t="s">
        <v>54</v>
      </c>
      <c r="E63" s="6" t="s">
        <v>366</v>
      </c>
      <c r="F63" s="6" t="s">
        <v>2850</v>
      </c>
      <c r="G63" s="6" t="s">
        <v>2851</v>
      </c>
      <c r="H63" s="6" t="s">
        <v>2852</v>
      </c>
      <c r="I63" s="6" t="s">
        <v>420</v>
      </c>
      <c r="J63" s="6" t="s">
        <v>56</v>
      </c>
      <c r="K63" s="5" t="s">
        <v>5276</v>
      </c>
      <c r="L63" s="6" t="s">
        <v>52</v>
      </c>
      <c r="M63" s="6" t="s">
        <v>1775</v>
      </c>
      <c r="N63" s="6" t="s">
        <v>366</v>
      </c>
      <c r="O63" s="17">
        <v>43178</v>
      </c>
      <c r="P63" s="62">
        <v>1125</v>
      </c>
      <c r="Q63" s="17">
        <v>46100</v>
      </c>
      <c r="R63" s="6" t="s">
        <v>173</v>
      </c>
      <c r="S63" s="6" t="s">
        <v>174</v>
      </c>
      <c r="T63" s="6" t="s">
        <v>115</v>
      </c>
      <c r="U63" s="6" t="s">
        <v>53</v>
      </c>
    </row>
    <row r="64" spans="1:21" x14ac:dyDescent="0.2">
      <c r="A64" s="6" t="s">
        <v>1518</v>
      </c>
      <c r="B64" s="6" t="s">
        <v>1521</v>
      </c>
      <c r="C64" s="6" t="s">
        <v>57</v>
      </c>
      <c r="D64" s="5" t="s">
        <v>5277</v>
      </c>
      <c r="E64" s="6" t="s">
        <v>184</v>
      </c>
      <c r="F64" s="6" t="s">
        <v>3075</v>
      </c>
      <c r="G64" s="6" t="s">
        <v>3076</v>
      </c>
      <c r="H64" s="6" t="s">
        <v>3077</v>
      </c>
      <c r="I64" s="6" t="s">
        <v>117</v>
      </c>
      <c r="J64" s="6" t="s">
        <v>56</v>
      </c>
      <c r="K64" s="5" t="s">
        <v>5278</v>
      </c>
      <c r="L64" s="6" t="s">
        <v>52</v>
      </c>
      <c r="M64" s="6" t="s">
        <v>1775</v>
      </c>
      <c r="N64" s="6" t="s">
        <v>184</v>
      </c>
      <c r="O64" s="17">
        <v>43180</v>
      </c>
      <c r="P64" s="5" t="s">
        <v>5259</v>
      </c>
      <c r="Q64" s="17">
        <v>45006</v>
      </c>
      <c r="R64" s="6" t="s">
        <v>3078</v>
      </c>
      <c r="S64" s="6" t="s">
        <v>483</v>
      </c>
      <c r="T64" s="6" t="s">
        <v>115</v>
      </c>
      <c r="U64" s="6" t="s">
        <v>53</v>
      </c>
    </row>
    <row r="65" spans="1:21" x14ac:dyDescent="0.2">
      <c r="A65" s="6" t="s">
        <v>1518</v>
      </c>
      <c r="B65" s="6" t="s">
        <v>1521</v>
      </c>
      <c r="C65" s="6" t="s">
        <v>57</v>
      </c>
      <c r="D65" s="6" t="s">
        <v>54</v>
      </c>
      <c r="E65" s="6" t="s">
        <v>184</v>
      </c>
      <c r="F65" s="6" t="s">
        <v>3080</v>
      </c>
      <c r="G65" s="6" t="s">
        <v>3081</v>
      </c>
      <c r="H65" s="6" t="s">
        <v>3082</v>
      </c>
      <c r="I65" s="6" t="s">
        <v>117</v>
      </c>
      <c r="J65" s="6" t="s">
        <v>56</v>
      </c>
      <c r="K65" s="5" t="s">
        <v>5279</v>
      </c>
      <c r="L65" s="6" t="s">
        <v>52</v>
      </c>
      <c r="M65" s="6" t="s">
        <v>2894</v>
      </c>
      <c r="N65" s="6" t="s">
        <v>184</v>
      </c>
      <c r="O65" s="17">
        <v>43180</v>
      </c>
      <c r="P65" s="62">
        <v>1875</v>
      </c>
      <c r="Q65" s="17">
        <v>50485</v>
      </c>
      <c r="R65" s="6" t="s">
        <v>3083</v>
      </c>
      <c r="S65" s="6" t="s">
        <v>483</v>
      </c>
      <c r="T65" s="6" t="s">
        <v>115</v>
      </c>
      <c r="U65" s="6" t="s">
        <v>53</v>
      </c>
    </row>
    <row r="66" spans="1:21" x14ac:dyDescent="0.2">
      <c r="A66" s="6" t="s">
        <v>1518</v>
      </c>
      <c r="B66" s="6" t="s">
        <v>1521</v>
      </c>
      <c r="C66" s="6" t="s">
        <v>57</v>
      </c>
      <c r="D66" s="6" t="s">
        <v>54</v>
      </c>
      <c r="E66" s="6" t="s">
        <v>184</v>
      </c>
      <c r="F66" s="6" t="s">
        <v>3085</v>
      </c>
      <c r="G66" s="6" t="s">
        <v>3086</v>
      </c>
      <c r="H66" s="6" t="s">
        <v>3087</v>
      </c>
      <c r="I66" s="6" t="s">
        <v>117</v>
      </c>
      <c r="J66" s="6" t="s">
        <v>56</v>
      </c>
      <c r="K66" s="5" t="s">
        <v>5280</v>
      </c>
      <c r="L66" s="6" t="s">
        <v>52</v>
      </c>
      <c r="M66" s="6" t="s">
        <v>2894</v>
      </c>
      <c r="N66" s="6" t="s">
        <v>184</v>
      </c>
      <c r="O66" s="17">
        <v>43180</v>
      </c>
      <c r="P66" s="62">
        <v>1375</v>
      </c>
      <c r="Q66" s="17">
        <v>47563</v>
      </c>
      <c r="R66" s="6" t="s">
        <v>3088</v>
      </c>
      <c r="S66" s="6" t="s">
        <v>483</v>
      </c>
      <c r="T66" s="6" t="s">
        <v>115</v>
      </c>
      <c r="U66" s="6" t="s">
        <v>53</v>
      </c>
    </row>
    <row r="67" spans="1:21" x14ac:dyDescent="0.2">
      <c r="A67" s="6" t="s">
        <v>1518</v>
      </c>
      <c r="B67" s="6" t="s">
        <v>1521</v>
      </c>
      <c r="C67" s="6" t="s">
        <v>57</v>
      </c>
      <c r="D67" s="5" t="s">
        <v>5281</v>
      </c>
      <c r="E67" s="6" t="s">
        <v>184</v>
      </c>
      <c r="F67" s="6" t="s">
        <v>3090</v>
      </c>
      <c r="G67" s="6" t="s">
        <v>3091</v>
      </c>
      <c r="H67" s="6" t="s">
        <v>3092</v>
      </c>
      <c r="I67" s="6" t="s">
        <v>117</v>
      </c>
      <c r="J67" s="6" t="s">
        <v>56</v>
      </c>
      <c r="K67" s="5" t="s">
        <v>5282</v>
      </c>
      <c r="L67" s="6" t="s">
        <v>52</v>
      </c>
      <c r="M67" s="6" t="s">
        <v>1775</v>
      </c>
      <c r="N67" s="6" t="s">
        <v>184</v>
      </c>
      <c r="O67" s="17">
        <v>43180</v>
      </c>
      <c r="P67" s="5">
        <v>1</v>
      </c>
      <c r="Q67" s="17">
        <v>46102</v>
      </c>
      <c r="R67" s="6" t="s">
        <v>3093</v>
      </c>
      <c r="S67" s="6" t="s">
        <v>483</v>
      </c>
      <c r="T67" s="6" t="s">
        <v>115</v>
      </c>
      <c r="U67" s="6" t="s">
        <v>53</v>
      </c>
    </row>
    <row r="68" spans="1:21" x14ac:dyDescent="0.2">
      <c r="A68" s="6" t="s">
        <v>1486</v>
      </c>
      <c r="B68" s="6" t="s">
        <v>1489</v>
      </c>
      <c r="C68" s="6" t="s">
        <v>173</v>
      </c>
      <c r="D68" s="6" t="s">
        <v>54</v>
      </c>
      <c r="E68" s="6" t="s">
        <v>184</v>
      </c>
      <c r="F68" s="6" t="s">
        <v>2254</v>
      </c>
      <c r="G68" s="6" t="s">
        <v>2255</v>
      </c>
      <c r="H68" s="6" t="s">
        <v>2256</v>
      </c>
      <c r="I68" s="6" t="s">
        <v>117</v>
      </c>
      <c r="J68" s="6" t="s">
        <v>675</v>
      </c>
      <c r="K68" s="63">
        <v>500000000</v>
      </c>
      <c r="L68" s="6" t="s">
        <v>52</v>
      </c>
      <c r="M68" s="6" t="s">
        <v>2257</v>
      </c>
      <c r="N68" s="6" t="s">
        <v>184</v>
      </c>
      <c r="O68" s="17">
        <v>43186</v>
      </c>
      <c r="P68" s="5">
        <v>0</v>
      </c>
      <c r="Q68" s="17">
        <v>45378</v>
      </c>
      <c r="R68" s="6" t="s">
        <v>173</v>
      </c>
      <c r="S68" s="6" t="s">
        <v>54</v>
      </c>
      <c r="T68" s="6" t="s">
        <v>188</v>
      </c>
      <c r="U68" s="6" t="s">
        <v>262</v>
      </c>
    </row>
    <row r="69" spans="1:21" x14ac:dyDescent="0.2">
      <c r="A69" s="6" t="s">
        <v>1261</v>
      </c>
      <c r="B69" s="6" t="s">
        <v>1264</v>
      </c>
      <c r="C69" s="6" t="s">
        <v>71</v>
      </c>
      <c r="D69" s="6" t="s">
        <v>54</v>
      </c>
      <c r="E69" s="6" t="s">
        <v>407</v>
      </c>
      <c r="F69" s="6" t="s">
        <v>2589</v>
      </c>
      <c r="G69" s="6" t="s">
        <v>2590</v>
      </c>
      <c r="H69" s="6" t="s">
        <v>2591</v>
      </c>
      <c r="I69" s="6" t="s">
        <v>55</v>
      </c>
      <c r="J69" s="6" t="s">
        <v>56</v>
      </c>
      <c r="K69" s="5" t="s">
        <v>5283</v>
      </c>
      <c r="L69" s="6" t="s">
        <v>52</v>
      </c>
      <c r="M69" s="6" t="s">
        <v>173</v>
      </c>
      <c r="N69" s="6" t="s">
        <v>407</v>
      </c>
      <c r="O69" s="17">
        <v>43194</v>
      </c>
      <c r="P69" s="5" t="s">
        <v>5284</v>
      </c>
      <c r="Q69" s="17">
        <v>45751</v>
      </c>
      <c r="R69" s="6" t="s">
        <v>173</v>
      </c>
      <c r="S69" s="6" t="s">
        <v>54</v>
      </c>
      <c r="T69" s="6" t="s">
        <v>49</v>
      </c>
      <c r="U69" s="6" t="s">
        <v>53</v>
      </c>
    </row>
    <row r="70" spans="1:21" x14ac:dyDescent="0.2">
      <c r="A70" s="6" t="s">
        <v>1724</v>
      </c>
      <c r="B70" s="6" t="s">
        <v>1727</v>
      </c>
      <c r="C70" s="6" t="s">
        <v>71</v>
      </c>
      <c r="D70" s="62">
        <v>2265</v>
      </c>
      <c r="E70" s="6" t="s">
        <v>199</v>
      </c>
      <c r="F70" s="6" t="s">
        <v>2933</v>
      </c>
      <c r="G70" s="6" t="s">
        <v>2934</v>
      </c>
      <c r="H70" s="6" t="s">
        <v>2935</v>
      </c>
      <c r="I70" s="6" t="s">
        <v>55</v>
      </c>
      <c r="J70" s="6" t="s">
        <v>56</v>
      </c>
      <c r="K70" s="5" t="s">
        <v>5285</v>
      </c>
      <c r="L70" s="6" t="s">
        <v>52</v>
      </c>
      <c r="M70" s="6" t="s">
        <v>1839</v>
      </c>
      <c r="N70" s="6" t="s">
        <v>199</v>
      </c>
      <c r="O70" s="17">
        <v>43223</v>
      </c>
      <c r="P70" s="62">
        <v>2625</v>
      </c>
      <c r="Q70" s="17">
        <v>45412</v>
      </c>
      <c r="R70" s="6" t="s">
        <v>173</v>
      </c>
      <c r="S70" s="6" t="s">
        <v>54</v>
      </c>
      <c r="T70" s="6" t="s">
        <v>115</v>
      </c>
      <c r="U70" s="6" t="s">
        <v>53</v>
      </c>
    </row>
    <row r="71" spans="1:21" x14ac:dyDescent="0.2">
      <c r="A71" s="6" t="s">
        <v>1058</v>
      </c>
      <c r="B71" s="6" t="s">
        <v>1045</v>
      </c>
      <c r="C71" s="6" t="s">
        <v>71</v>
      </c>
      <c r="D71" s="6" t="s">
        <v>54</v>
      </c>
      <c r="E71" s="6" t="s">
        <v>1046</v>
      </c>
      <c r="F71" s="6" t="s">
        <v>3378</v>
      </c>
      <c r="G71" s="6" t="s">
        <v>3379</v>
      </c>
      <c r="H71" s="6" t="s">
        <v>3380</v>
      </c>
      <c r="I71" s="6" t="s">
        <v>55</v>
      </c>
      <c r="J71" s="6" t="s">
        <v>56</v>
      </c>
      <c r="K71" s="5" t="s">
        <v>5234</v>
      </c>
      <c r="L71" s="6" t="s">
        <v>52</v>
      </c>
      <c r="M71" s="6" t="s">
        <v>1775</v>
      </c>
      <c r="N71" s="6" t="s">
        <v>366</v>
      </c>
      <c r="O71" s="17">
        <v>43237</v>
      </c>
      <c r="P71" s="5">
        <v>6</v>
      </c>
      <c r="Q71" s="17">
        <v>45397</v>
      </c>
      <c r="R71" s="6" t="s">
        <v>173</v>
      </c>
      <c r="S71" s="6" t="s">
        <v>296</v>
      </c>
      <c r="T71" s="6" t="s">
        <v>115</v>
      </c>
      <c r="U71" s="6" t="s">
        <v>262</v>
      </c>
    </row>
    <row r="72" spans="1:21" x14ac:dyDescent="0.2">
      <c r="A72" s="6" t="s">
        <v>1058</v>
      </c>
      <c r="B72" s="6" t="s">
        <v>1045</v>
      </c>
      <c r="C72" s="6" t="s">
        <v>71</v>
      </c>
      <c r="D72" s="6" t="s">
        <v>54</v>
      </c>
      <c r="E72" s="6" t="s">
        <v>1046</v>
      </c>
      <c r="F72" s="6" t="s">
        <v>3382</v>
      </c>
      <c r="G72" s="6" t="s">
        <v>3383</v>
      </c>
      <c r="H72" s="6" t="s">
        <v>3384</v>
      </c>
      <c r="I72" s="6" t="s">
        <v>55</v>
      </c>
      <c r="J72" s="6" t="s">
        <v>56</v>
      </c>
      <c r="K72" s="5" t="s">
        <v>5234</v>
      </c>
      <c r="L72" s="6" t="s">
        <v>52</v>
      </c>
      <c r="M72" s="6" t="s">
        <v>1775</v>
      </c>
      <c r="N72" s="6" t="s">
        <v>366</v>
      </c>
      <c r="O72" s="17">
        <v>43237</v>
      </c>
      <c r="P72" s="5" t="s">
        <v>5273</v>
      </c>
      <c r="Q72" s="17">
        <v>46813</v>
      </c>
      <c r="R72" s="6" t="s">
        <v>173</v>
      </c>
      <c r="S72" s="6" t="s">
        <v>296</v>
      </c>
      <c r="T72" s="6" t="s">
        <v>115</v>
      </c>
      <c r="U72" s="6" t="s">
        <v>262</v>
      </c>
    </row>
    <row r="73" spans="1:21" x14ac:dyDescent="0.2">
      <c r="A73" s="6" t="s">
        <v>1042</v>
      </c>
      <c r="B73" s="6" t="s">
        <v>1045</v>
      </c>
      <c r="C73" s="6" t="s">
        <v>71</v>
      </c>
      <c r="D73" s="6" t="s">
        <v>54</v>
      </c>
      <c r="E73" s="6" t="s">
        <v>1046</v>
      </c>
      <c r="F73" s="6" t="s">
        <v>3338</v>
      </c>
      <c r="G73" s="6" t="s">
        <v>3339</v>
      </c>
      <c r="H73" s="6" t="s">
        <v>3340</v>
      </c>
      <c r="I73" s="6" t="s">
        <v>55</v>
      </c>
      <c r="J73" s="6" t="s">
        <v>56</v>
      </c>
      <c r="K73" s="5" t="s">
        <v>5286</v>
      </c>
      <c r="L73" s="6" t="s">
        <v>52</v>
      </c>
      <c r="M73" s="6" t="s">
        <v>1775</v>
      </c>
      <c r="N73" s="6" t="s">
        <v>366</v>
      </c>
      <c r="O73" s="17">
        <v>43237</v>
      </c>
      <c r="P73" s="5" t="s">
        <v>5274</v>
      </c>
      <c r="Q73" s="17">
        <v>45717</v>
      </c>
      <c r="R73" s="6" t="s">
        <v>173</v>
      </c>
      <c r="S73" s="6" t="s">
        <v>296</v>
      </c>
      <c r="T73" s="6" t="s">
        <v>115</v>
      </c>
      <c r="U73" s="6" t="s">
        <v>53</v>
      </c>
    </row>
    <row r="74" spans="1:21" x14ac:dyDescent="0.2">
      <c r="A74" s="6" t="s">
        <v>932</v>
      </c>
      <c r="B74" s="6" t="s">
        <v>935</v>
      </c>
      <c r="C74" s="6" t="s">
        <v>71</v>
      </c>
      <c r="D74" s="6" t="s">
        <v>54</v>
      </c>
      <c r="E74" s="6" t="s">
        <v>45</v>
      </c>
      <c r="F74" s="6" t="s">
        <v>2237</v>
      </c>
      <c r="G74" s="6" t="s">
        <v>173</v>
      </c>
      <c r="H74" s="6" t="s">
        <v>2238</v>
      </c>
      <c r="I74" s="6" t="s">
        <v>55</v>
      </c>
      <c r="J74" s="6" t="s">
        <v>70</v>
      </c>
      <c r="K74" s="5">
        <v>71857200</v>
      </c>
      <c r="L74" s="6" t="s">
        <v>52</v>
      </c>
      <c r="M74" s="6" t="s">
        <v>173</v>
      </c>
      <c r="N74" s="6" t="s">
        <v>45</v>
      </c>
      <c r="O74" s="17">
        <v>43234</v>
      </c>
      <c r="P74" s="5">
        <v>0</v>
      </c>
      <c r="Q74" s="17">
        <v>45060</v>
      </c>
      <c r="R74" s="6" t="s">
        <v>76</v>
      </c>
      <c r="S74" s="6" t="s">
        <v>54</v>
      </c>
      <c r="T74" s="6" t="s">
        <v>49</v>
      </c>
      <c r="U74" s="6" t="s">
        <v>53</v>
      </c>
    </row>
    <row r="75" spans="1:21" x14ac:dyDescent="0.2">
      <c r="A75" s="6" t="s">
        <v>932</v>
      </c>
      <c r="B75" s="6" t="s">
        <v>935</v>
      </c>
      <c r="C75" s="6" t="s">
        <v>71</v>
      </c>
      <c r="D75" s="6" t="s">
        <v>54</v>
      </c>
      <c r="E75" s="6" t="s">
        <v>45</v>
      </c>
      <c r="F75" s="6" t="s">
        <v>2240</v>
      </c>
      <c r="G75" s="6" t="s">
        <v>173</v>
      </c>
      <c r="H75" s="6" t="s">
        <v>2241</v>
      </c>
      <c r="I75" s="6" t="s">
        <v>55</v>
      </c>
      <c r="J75" s="6" t="s">
        <v>70</v>
      </c>
      <c r="K75" s="5">
        <v>71857200</v>
      </c>
      <c r="L75" s="6" t="s">
        <v>52</v>
      </c>
      <c r="M75" s="6" t="s">
        <v>173</v>
      </c>
      <c r="N75" s="6" t="s">
        <v>45</v>
      </c>
      <c r="O75" s="17">
        <v>43234</v>
      </c>
      <c r="P75" s="5">
        <v>0</v>
      </c>
      <c r="Q75" s="17">
        <v>45426</v>
      </c>
      <c r="R75" s="6" t="s">
        <v>157</v>
      </c>
      <c r="S75" s="6" t="s">
        <v>54</v>
      </c>
      <c r="T75" s="6" t="s">
        <v>49</v>
      </c>
      <c r="U75" s="6" t="s">
        <v>53</v>
      </c>
    </row>
    <row r="76" spans="1:21" x14ac:dyDescent="0.2">
      <c r="A76" s="6" t="s">
        <v>932</v>
      </c>
      <c r="B76" s="6" t="s">
        <v>935</v>
      </c>
      <c r="C76" s="6" t="s">
        <v>71</v>
      </c>
      <c r="D76" s="6" t="s">
        <v>54</v>
      </c>
      <c r="E76" s="6" t="s">
        <v>45</v>
      </c>
      <c r="F76" s="6" t="s">
        <v>2243</v>
      </c>
      <c r="G76" s="6" t="s">
        <v>173</v>
      </c>
      <c r="H76" s="6" t="s">
        <v>2244</v>
      </c>
      <c r="I76" s="6" t="s">
        <v>55</v>
      </c>
      <c r="J76" s="6" t="s">
        <v>70</v>
      </c>
      <c r="K76" s="5">
        <v>71857200</v>
      </c>
      <c r="L76" s="6" t="s">
        <v>52</v>
      </c>
      <c r="M76" s="6" t="s">
        <v>173</v>
      </c>
      <c r="N76" s="6" t="s">
        <v>45</v>
      </c>
      <c r="O76" s="17">
        <v>43234</v>
      </c>
      <c r="P76" s="5">
        <v>0</v>
      </c>
      <c r="Q76" s="17">
        <v>45791</v>
      </c>
      <c r="R76" s="6" t="s">
        <v>69</v>
      </c>
      <c r="S76" s="6" t="s">
        <v>54</v>
      </c>
      <c r="T76" s="6" t="s">
        <v>49</v>
      </c>
      <c r="U76" s="6" t="s">
        <v>53</v>
      </c>
    </row>
    <row r="77" spans="1:21" x14ac:dyDescent="0.2">
      <c r="A77" s="6" t="s">
        <v>1603</v>
      </c>
      <c r="B77" s="6" t="s">
        <v>1606</v>
      </c>
      <c r="C77" s="6" t="s">
        <v>71</v>
      </c>
      <c r="D77" s="6" t="s">
        <v>54</v>
      </c>
      <c r="E77" s="6" t="s">
        <v>45</v>
      </c>
      <c r="F77" s="6" t="s">
        <v>3151</v>
      </c>
      <c r="G77" s="6" t="s">
        <v>173</v>
      </c>
      <c r="H77" s="6" t="s">
        <v>3152</v>
      </c>
      <c r="I77" s="6" t="s">
        <v>55</v>
      </c>
      <c r="J77" s="6" t="s">
        <v>70</v>
      </c>
      <c r="K77" s="5" t="s">
        <v>5287</v>
      </c>
      <c r="L77" s="6" t="s">
        <v>52</v>
      </c>
      <c r="M77" s="6" t="s">
        <v>173</v>
      </c>
      <c r="N77" s="6" t="s">
        <v>45</v>
      </c>
      <c r="O77" s="17">
        <v>43112</v>
      </c>
      <c r="P77" s="5">
        <v>0</v>
      </c>
      <c r="Q77" s="17">
        <v>44938</v>
      </c>
      <c r="R77" s="6" t="s">
        <v>76</v>
      </c>
      <c r="S77" s="6" t="s">
        <v>54</v>
      </c>
      <c r="T77" s="6" t="s">
        <v>49</v>
      </c>
      <c r="U77" s="6" t="s">
        <v>53</v>
      </c>
    </row>
    <row r="78" spans="1:21" x14ac:dyDescent="0.2">
      <c r="A78" s="6" t="s">
        <v>1603</v>
      </c>
      <c r="B78" s="6" t="s">
        <v>1606</v>
      </c>
      <c r="C78" s="6" t="s">
        <v>71</v>
      </c>
      <c r="D78" s="6" t="s">
        <v>54</v>
      </c>
      <c r="E78" s="6" t="s">
        <v>45</v>
      </c>
      <c r="F78" s="6" t="s">
        <v>3154</v>
      </c>
      <c r="G78" s="6" t="s">
        <v>173</v>
      </c>
      <c r="H78" s="6" t="s">
        <v>3155</v>
      </c>
      <c r="I78" s="6" t="s">
        <v>55</v>
      </c>
      <c r="J78" s="6" t="s">
        <v>70</v>
      </c>
      <c r="K78" s="5" t="s">
        <v>5287</v>
      </c>
      <c r="L78" s="6" t="s">
        <v>52</v>
      </c>
      <c r="M78" s="6" t="s">
        <v>173</v>
      </c>
      <c r="N78" s="6" t="s">
        <v>45</v>
      </c>
      <c r="O78" s="17">
        <v>43112</v>
      </c>
      <c r="P78" s="5">
        <v>0</v>
      </c>
      <c r="Q78" s="17">
        <v>45669</v>
      </c>
      <c r="R78" s="6" t="s">
        <v>69</v>
      </c>
      <c r="S78" s="6" t="s">
        <v>54</v>
      </c>
      <c r="T78" s="6" t="s">
        <v>49</v>
      </c>
      <c r="U78" s="6" t="s">
        <v>53</v>
      </c>
    </row>
    <row r="79" spans="1:21" x14ac:dyDescent="0.2">
      <c r="A79" s="6" t="s">
        <v>1603</v>
      </c>
      <c r="B79" s="6" t="s">
        <v>1606</v>
      </c>
      <c r="C79" s="6" t="s">
        <v>71</v>
      </c>
      <c r="D79" s="6" t="s">
        <v>54</v>
      </c>
      <c r="E79" s="6" t="s">
        <v>45</v>
      </c>
      <c r="F79" s="6" t="s">
        <v>3157</v>
      </c>
      <c r="G79" s="6" t="s">
        <v>173</v>
      </c>
      <c r="H79" s="6" t="s">
        <v>3158</v>
      </c>
      <c r="I79" s="6" t="s">
        <v>55</v>
      </c>
      <c r="J79" s="6" t="s">
        <v>70</v>
      </c>
      <c r="K79" s="5" t="s">
        <v>5287</v>
      </c>
      <c r="L79" s="6" t="s">
        <v>52</v>
      </c>
      <c r="M79" s="6" t="s">
        <v>173</v>
      </c>
      <c r="N79" s="6" t="s">
        <v>45</v>
      </c>
      <c r="O79" s="17">
        <v>43112</v>
      </c>
      <c r="P79" s="5">
        <v>0</v>
      </c>
      <c r="Q79" s="17">
        <v>46764</v>
      </c>
      <c r="R79" s="6" t="s">
        <v>51</v>
      </c>
      <c r="S79" s="6" t="s">
        <v>54</v>
      </c>
      <c r="T79" s="6" t="s">
        <v>49</v>
      </c>
      <c r="U79" s="6" t="s">
        <v>53</v>
      </c>
    </row>
    <row r="80" spans="1:21" x14ac:dyDescent="0.2">
      <c r="A80" s="6" t="s">
        <v>1216</v>
      </c>
      <c r="B80" s="6" t="s">
        <v>1219</v>
      </c>
      <c r="C80" s="6" t="s">
        <v>57</v>
      </c>
      <c r="D80" s="6" t="s">
        <v>54</v>
      </c>
      <c r="E80" s="6" t="s">
        <v>45</v>
      </c>
      <c r="F80" s="6" t="s">
        <v>2879</v>
      </c>
      <c r="G80" s="6" t="s">
        <v>2880</v>
      </c>
      <c r="H80" s="6" t="s">
        <v>2881</v>
      </c>
      <c r="I80" s="6" t="s">
        <v>420</v>
      </c>
      <c r="J80" s="6" t="s">
        <v>56</v>
      </c>
      <c r="K80" s="5" t="s">
        <v>5288</v>
      </c>
      <c r="L80" s="6" t="s">
        <v>52</v>
      </c>
      <c r="M80" s="6" t="s">
        <v>1775</v>
      </c>
      <c r="N80" s="6" t="s">
        <v>45</v>
      </c>
      <c r="O80" s="17">
        <v>43236</v>
      </c>
      <c r="P80" s="62">
        <v>1125</v>
      </c>
      <c r="Q80" s="17">
        <v>45793</v>
      </c>
      <c r="R80" s="6" t="s">
        <v>225</v>
      </c>
      <c r="S80" s="6" t="s">
        <v>174</v>
      </c>
      <c r="T80" s="6" t="s">
        <v>115</v>
      </c>
      <c r="U80" s="6" t="s">
        <v>53</v>
      </c>
    </row>
    <row r="81" spans="1:21" x14ac:dyDescent="0.2">
      <c r="A81" s="6" t="s">
        <v>476</v>
      </c>
      <c r="B81" s="6" t="s">
        <v>479</v>
      </c>
      <c r="C81" s="6" t="s">
        <v>57</v>
      </c>
      <c r="D81" s="6" t="s">
        <v>54</v>
      </c>
      <c r="E81" s="6" t="s">
        <v>45</v>
      </c>
      <c r="F81" s="6" t="s">
        <v>1912</v>
      </c>
      <c r="G81" s="6" t="s">
        <v>1913</v>
      </c>
      <c r="H81" s="6" t="s">
        <v>1914</v>
      </c>
      <c r="I81" s="6" t="s">
        <v>55</v>
      </c>
      <c r="J81" s="6" t="s">
        <v>56</v>
      </c>
      <c r="K81" s="5" t="s">
        <v>5289</v>
      </c>
      <c r="L81" s="6" t="s">
        <v>458</v>
      </c>
      <c r="M81" s="6" t="s">
        <v>1770</v>
      </c>
      <c r="N81" s="6" t="s">
        <v>45</v>
      </c>
      <c r="O81" s="17">
        <v>43250</v>
      </c>
      <c r="P81" s="5" t="s">
        <v>5290</v>
      </c>
      <c r="Q81" s="17">
        <v>45076</v>
      </c>
      <c r="R81" s="6" t="s">
        <v>225</v>
      </c>
      <c r="S81" s="6" t="s">
        <v>189</v>
      </c>
      <c r="T81" s="6" t="s">
        <v>49</v>
      </c>
      <c r="U81" s="6" t="s">
        <v>53</v>
      </c>
    </row>
    <row r="82" spans="1:21" x14ac:dyDescent="0.2">
      <c r="A82" s="6" t="s">
        <v>206</v>
      </c>
      <c r="B82" s="6" t="s">
        <v>209</v>
      </c>
      <c r="C82" s="6" t="s">
        <v>71</v>
      </c>
      <c r="D82" s="6" t="s">
        <v>54</v>
      </c>
      <c r="E82" s="6" t="s">
        <v>112</v>
      </c>
      <c r="F82" s="6" t="s">
        <v>3053</v>
      </c>
      <c r="G82" s="6" t="s">
        <v>3054</v>
      </c>
      <c r="H82" s="6" t="s">
        <v>3055</v>
      </c>
      <c r="I82" s="6" t="s">
        <v>174</v>
      </c>
      <c r="J82" s="6" t="s">
        <v>70</v>
      </c>
      <c r="K82" s="5">
        <v>54746800</v>
      </c>
      <c r="L82" s="6" t="s">
        <v>52</v>
      </c>
      <c r="M82" s="6" t="s">
        <v>173</v>
      </c>
      <c r="N82" s="6" t="s">
        <v>112</v>
      </c>
      <c r="O82" s="17">
        <v>43256</v>
      </c>
      <c r="P82" s="5" t="s">
        <v>5291</v>
      </c>
      <c r="Q82" s="17">
        <v>44717</v>
      </c>
      <c r="R82" s="6" t="s">
        <v>212</v>
      </c>
      <c r="S82" s="6" t="s">
        <v>54</v>
      </c>
      <c r="T82" s="6" t="s">
        <v>49</v>
      </c>
      <c r="U82" s="6" t="s">
        <v>119</v>
      </c>
    </row>
    <row r="83" spans="1:21" x14ac:dyDescent="0.2">
      <c r="A83" s="6" t="s">
        <v>1486</v>
      </c>
      <c r="B83" s="6" t="s">
        <v>1489</v>
      </c>
      <c r="C83" s="6" t="s">
        <v>57</v>
      </c>
      <c r="D83" s="6" t="s">
        <v>54</v>
      </c>
      <c r="E83" s="6" t="s">
        <v>184</v>
      </c>
      <c r="F83" s="6" t="s">
        <v>2259</v>
      </c>
      <c r="G83" s="6" t="s">
        <v>2260</v>
      </c>
      <c r="H83" s="6" t="s">
        <v>2261</v>
      </c>
      <c r="I83" s="6" t="s">
        <v>117</v>
      </c>
      <c r="J83" s="6" t="s">
        <v>56</v>
      </c>
      <c r="K83" s="5" t="s">
        <v>5292</v>
      </c>
      <c r="L83" s="6" t="s">
        <v>52</v>
      </c>
      <c r="M83" s="6" t="s">
        <v>1770</v>
      </c>
      <c r="N83" s="6" t="s">
        <v>184</v>
      </c>
      <c r="O83" s="17">
        <v>43263</v>
      </c>
      <c r="P83" s="62">
        <v>875</v>
      </c>
      <c r="Q83" s="17">
        <v>45089</v>
      </c>
      <c r="R83" s="6" t="s">
        <v>225</v>
      </c>
      <c r="S83" s="6" t="s">
        <v>189</v>
      </c>
      <c r="T83" s="6" t="s">
        <v>115</v>
      </c>
      <c r="U83" s="6" t="s">
        <v>53</v>
      </c>
    </row>
    <row r="84" spans="1:21" x14ac:dyDescent="0.2">
      <c r="A84" s="6" t="s">
        <v>1291</v>
      </c>
      <c r="B84" s="6" t="s">
        <v>1294</v>
      </c>
      <c r="C84" s="6" t="s">
        <v>71</v>
      </c>
      <c r="D84" s="6" t="s">
        <v>54</v>
      </c>
      <c r="E84" s="6" t="s">
        <v>45</v>
      </c>
      <c r="F84" s="6" t="s">
        <v>1881</v>
      </c>
      <c r="G84" s="6" t="s">
        <v>173</v>
      </c>
      <c r="H84" s="6" t="s">
        <v>1882</v>
      </c>
      <c r="I84" s="6" t="s">
        <v>55</v>
      </c>
      <c r="J84" s="6" t="s">
        <v>70</v>
      </c>
      <c r="K84" s="5">
        <v>67322340</v>
      </c>
      <c r="L84" s="6" t="s">
        <v>52</v>
      </c>
      <c r="M84" s="6" t="s">
        <v>173</v>
      </c>
      <c r="N84" s="6" t="s">
        <v>45</v>
      </c>
      <c r="O84" s="17">
        <v>43300</v>
      </c>
      <c r="P84" s="5">
        <v>0</v>
      </c>
      <c r="Q84" s="17">
        <v>45126</v>
      </c>
      <c r="R84" s="6" t="s">
        <v>76</v>
      </c>
      <c r="S84" s="6" t="s">
        <v>54</v>
      </c>
      <c r="T84" s="6" t="s">
        <v>49</v>
      </c>
      <c r="U84" s="6" t="s">
        <v>53</v>
      </c>
    </row>
    <row r="85" spans="1:21" x14ac:dyDescent="0.2">
      <c r="A85" s="6" t="s">
        <v>1291</v>
      </c>
      <c r="B85" s="6" t="s">
        <v>1294</v>
      </c>
      <c r="C85" s="6" t="s">
        <v>71</v>
      </c>
      <c r="D85" s="6" t="s">
        <v>54</v>
      </c>
      <c r="E85" s="6" t="s">
        <v>45</v>
      </c>
      <c r="F85" s="6" t="s">
        <v>1884</v>
      </c>
      <c r="G85" s="6" t="s">
        <v>173</v>
      </c>
      <c r="H85" s="6" t="s">
        <v>1885</v>
      </c>
      <c r="I85" s="6" t="s">
        <v>55</v>
      </c>
      <c r="J85" s="6" t="s">
        <v>70</v>
      </c>
      <c r="K85" s="5">
        <v>67322340</v>
      </c>
      <c r="L85" s="6" t="s">
        <v>52</v>
      </c>
      <c r="M85" s="6" t="s">
        <v>173</v>
      </c>
      <c r="N85" s="6" t="s">
        <v>45</v>
      </c>
      <c r="O85" s="17">
        <v>43300</v>
      </c>
      <c r="P85" s="5">
        <v>0</v>
      </c>
      <c r="Q85" s="17">
        <v>45857</v>
      </c>
      <c r="R85" s="6" t="s">
        <v>69</v>
      </c>
      <c r="S85" s="6" t="s">
        <v>54</v>
      </c>
      <c r="T85" s="6" t="s">
        <v>49</v>
      </c>
      <c r="U85" s="6" t="s">
        <v>53</v>
      </c>
    </row>
    <row r="86" spans="1:21" x14ac:dyDescent="0.2">
      <c r="A86" s="6" t="s">
        <v>1559</v>
      </c>
      <c r="B86" s="6" t="s">
        <v>1562</v>
      </c>
      <c r="C86" s="6" t="s">
        <v>57</v>
      </c>
      <c r="D86" s="62">
        <v>1855</v>
      </c>
      <c r="E86" s="6" t="s">
        <v>257</v>
      </c>
      <c r="F86" s="6" t="s">
        <v>2730</v>
      </c>
      <c r="G86" s="6" t="s">
        <v>2731</v>
      </c>
      <c r="H86" s="6" t="s">
        <v>2732</v>
      </c>
      <c r="I86" s="6" t="s">
        <v>55</v>
      </c>
      <c r="J86" s="6" t="s">
        <v>56</v>
      </c>
      <c r="K86" s="5" t="s">
        <v>5293</v>
      </c>
      <c r="L86" s="6" t="s">
        <v>52</v>
      </c>
      <c r="M86" s="6" t="s">
        <v>1770</v>
      </c>
      <c r="N86" s="6" t="s">
        <v>366</v>
      </c>
      <c r="O86" s="17">
        <v>43276</v>
      </c>
      <c r="P86" s="5" t="s">
        <v>5249</v>
      </c>
      <c r="Q86" s="17">
        <v>46198</v>
      </c>
      <c r="R86" s="6" t="s">
        <v>173</v>
      </c>
      <c r="S86" s="6" t="s">
        <v>174</v>
      </c>
      <c r="T86" s="6" t="s">
        <v>49</v>
      </c>
      <c r="U86" s="6" t="s">
        <v>53</v>
      </c>
    </row>
    <row r="87" spans="1:21" x14ac:dyDescent="0.2">
      <c r="A87" s="6" t="s">
        <v>813</v>
      </c>
      <c r="B87" s="6" t="s">
        <v>816</v>
      </c>
      <c r="C87" s="6" t="s">
        <v>57</v>
      </c>
      <c r="D87" s="62">
        <v>1554</v>
      </c>
      <c r="E87" s="6" t="s">
        <v>184</v>
      </c>
      <c r="F87" s="6" t="s">
        <v>3434</v>
      </c>
      <c r="G87" s="6" t="s">
        <v>3435</v>
      </c>
      <c r="H87" s="6" t="s">
        <v>3436</v>
      </c>
      <c r="I87" s="6" t="s">
        <v>133</v>
      </c>
      <c r="J87" s="6" t="s">
        <v>56</v>
      </c>
      <c r="K87" s="5" t="s">
        <v>5294</v>
      </c>
      <c r="L87" s="6" t="s">
        <v>52</v>
      </c>
      <c r="M87" s="6" t="s">
        <v>1770</v>
      </c>
      <c r="N87" s="6" t="s">
        <v>184</v>
      </c>
      <c r="O87" s="17">
        <v>43269</v>
      </c>
      <c r="P87" s="5" t="s">
        <v>5225</v>
      </c>
      <c r="Q87" s="17">
        <v>45826</v>
      </c>
      <c r="R87" s="6" t="s">
        <v>2134</v>
      </c>
      <c r="S87" s="6" t="s">
        <v>263</v>
      </c>
      <c r="T87" s="6" t="s">
        <v>115</v>
      </c>
      <c r="U87" s="6" t="s">
        <v>53</v>
      </c>
    </row>
    <row r="88" spans="1:21" x14ac:dyDescent="0.2">
      <c r="A88" s="6" t="s">
        <v>1518</v>
      </c>
      <c r="B88" s="6" t="s">
        <v>1521</v>
      </c>
      <c r="C88" s="6" t="s">
        <v>71</v>
      </c>
      <c r="D88" s="62">
        <v>3413</v>
      </c>
      <c r="E88" s="6" t="s">
        <v>184</v>
      </c>
      <c r="F88" s="6" t="s">
        <v>3095</v>
      </c>
      <c r="G88" s="6" t="s">
        <v>3096</v>
      </c>
      <c r="H88" s="6" t="s">
        <v>3097</v>
      </c>
      <c r="I88" s="6" t="s">
        <v>117</v>
      </c>
      <c r="J88" s="6" t="s">
        <v>56</v>
      </c>
      <c r="K88" s="63">
        <v>1000000000</v>
      </c>
      <c r="L88" s="6" t="s">
        <v>52</v>
      </c>
      <c r="M88" s="6" t="s">
        <v>1770</v>
      </c>
      <c r="N88" s="6" t="s">
        <v>184</v>
      </c>
      <c r="O88" s="17">
        <v>43270</v>
      </c>
      <c r="P88" s="62">
        <v>3375</v>
      </c>
      <c r="Q88" s="17">
        <v>45096</v>
      </c>
      <c r="R88" s="6" t="s">
        <v>173</v>
      </c>
      <c r="S88" s="6" t="s">
        <v>483</v>
      </c>
      <c r="T88" s="6" t="s">
        <v>115</v>
      </c>
      <c r="U88" s="6" t="s">
        <v>262</v>
      </c>
    </row>
    <row r="89" spans="1:21" x14ac:dyDescent="0.2">
      <c r="A89" s="6" t="s">
        <v>1518</v>
      </c>
      <c r="B89" s="6" t="s">
        <v>1521</v>
      </c>
      <c r="C89" s="6" t="s">
        <v>71</v>
      </c>
      <c r="D89" s="62">
        <v>3713</v>
      </c>
      <c r="E89" s="6" t="s">
        <v>184</v>
      </c>
      <c r="F89" s="6" t="s">
        <v>3099</v>
      </c>
      <c r="G89" s="6" t="s">
        <v>3100</v>
      </c>
      <c r="H89" s="6" t="s">
        <v>3101</v>
      </c>
      <c r="I89" s="6" t="s">
        <v>117</v>
      </c>
      <c r="J89" s="6" t="s">
        <v>56</v>
      </c>
      <c r="K89" s="63">
        <v>1000000000</v>
      </c>
      <c r="L89" s="6" t="s">
        <v>52</v>
      </c>
      <c r="M89" s="6" t="s">
        <v>1770</v>
      </c>
      <c r="N89" s="6" t="s">
        <v>184</v>
      </c>
      <c r="O89" s="17">
        <v>43270</v>
      </c>
      <c r="P89" s="62">
        <v>3625</v>
      </c>
      <c r="Q89" s="17">
        <v>46923</v>
      </c>
      <c r="R89" s="6" t="s">
        <v>173</v>
      </c>
      <c r="S89" s="6" t="s">
        <v>483</v>
      </c>
      <c r="T89" s="6" t="s">
        <v>115</v>
      </c>
      <c r="U89" s="6" t="s">
        <v>262</v>
      </c>
    </row>
    <row r="90" spans="1:21" x14ac:dyDescent="0.2">
      <c r="A90" s="6" t="s">
        <v>180</v>
      </c>
      <c r="B90" s="6" t="s">
        <v>183</v>
      </c>
      <c r="C90" s="6" t="s">
        <v>57</v>
      </c>
      <c r="D90" s="6" t="s">
        <v>54</v>
      </c>
      <c r="E90" s="6" t="s">
        <v>185</v>
      </c>
      <c r="F90" s="6" t="s">
        <v>3164</v>
      </c>
      <c r="G90" s="6" t="s">
        <v>3165</v>
      </c>
      <c r="H90" s="6" t="s">
        <v>3166</v>
      </c>
      <c r="I90" s="6" t="s">
        <v>133</v>
      </c>
      <c r="J90" s="6" t="s">
        <v>56</v>
      </c>
      <c r="K90" s="5" t="s">
        <v>5295</v>
      </c>
      <c r="L90" s="6" t="s">
        <v>52</v>
      </c>
      <c r="M90" s="6" t="s">
        <v>1770</v>
      </c>
      <c r="N90" s="6" t="s">
        <v>184</v>
      </c>
      <c r="O90" s="17">
        <v>43272</v>
      </c>
      <c r="P90" s="62">
        <v>1375</v>
      </c>
      <c r="Q90" s="17">
        <v>46559</v>
      </c>
      <c r="R90" s="6" t="s">
        <v>225</v>
      </c>
      <c r="S90" s="6" t="s">
        <v>189</v>
      </c>
      <c r="T90" s="6" t="s">
        <v>115</v>
      </c>
      <c r="U90" s="6" t="s">
        <v>53</v>
      </c>
    </row>
    <row r="91" spans="1:21" x14ac:dyDescent="0.2">
      <c r="A91" s="6" t="s">
        <v>127</v>
      </c>
      <c r="B91" s="6" t="s">
        <v>130</v>
      </c>
      <c r="C91" s="6" t="s">
        <v>71</v>
      </c>
      <c r="D91" s="6" t="s">
        <v>54</v>
      </c>
      <c r="E91" s="6" t="s">
        <v>45</v>
      </c>
      <c r="F91" s="6" t="s">
        <v>3066</v>
      </c>
      <c r="G91" s="6" t="s">
        <v>173</v>
      </c>
      <c r="H91" s="6" t="s">
        <v>3067</v>
      </c>
      <c r="I91" s="6" t="s">
        <v>133</v>
      </c>
      <c r="J91" s="6" t="s">
        <v>70</v>
      </c>
      <c r="K91" s="5" t="s">
        <v>5296</v>
      </c>
      <c r="L91" s="6" t="s">
        <v>52</v>
      </c>
      <c r="M91" s="6" t="s">
        <v>173</v>
      </c>
      <c r="N91" s="6" t="s">
        <v>45</v>
      </c>
      <c r="O91" s="17">
        <v>43297</v>
      </c>
      <c r="P91" s="5">
        <v>0</v>
      </c>
      <c r="Q91" s="17">
        <v>45123</v>
      </c>
      <c r="R91" s="6" t="s">
        <v>76</v>
      </c>
      <c r="S91" s="6" t="s">
        <v>54</v>
      </c>
      <c r="T91" s="6" t="s">
        <v>49</v>
      </c>
      <c r="U91" s="6" t="s">
        <v>53</v>
      </c>
    </row>
    <row r="92" spans="1:21" x14ac:dyDescent="0.2">
      <c r="A92" s="6" t="s">
        <v>1559</v>
      </c>
      <c r="B92" s="6" t="s">
        <v>1562</v>
      </c>
      <c r="C92" s="6" t="s">
        <v>57</v>
      </c>
      <c r="D92" s="62">
        <v>2514</v>
      </c>
      <c r="E92" s="6" t="s">
        <v>257</v>
      </c>
      <c r="F92" s="6" t="s">
        <v>2734</v>
      </c>
      <c r="G92" s="6" t="s">
        <v>2735</v>
      </c>
      <c r="H92" s="6" t="s">
        <v>2736</v>
      </c>
      <c r="I92" s="6" t="s">
        <v>55</v>
      </c>
      <c r="J92" s="6" t="s">
        <v>56</v>
      </c>
      <c r="K92" s="5" t="s">
        <v>5293</v>
      </c>
      <c r="L92" s="6" t="s">
        <v>52</v>
      </c>
      <c r="M92" s="6" t="s">
        <v>1770</v>
      </c>
      <c r="N92" s="6" t="s">
        <v>366</v>
      </c>
      <c r="O92" s="17">
        <v>43276</v>
      </c>
      <c r="P92" s="5" t="s">
        <v>5230</v>
      </c>
      <c r="Q92" s="17">
        <v>47294</v>
      </c>
      <c r="R92" s="6" t="s">
        <v>2737</v>
      </c>
      <c r="S92" s="6" t="s">
        <v>174</v>
      </c>
      <c r="T92" s="6" t="s">
        <v>49</v>
      </c>
      <c r="U92" s="6" t="s">
        <v>53</v>
      </c>
    </row>
    <row r="93" spans="1:21" x14ac:dyDescent="0.2">
      <c r="A93" s="6" t="s">
        <v>206</v>
      </c>
      <c r="B93" s="6" t="s">
        <v>209</v>
      </c>
      <c r="C93" s="6" t="s">
        <v>71</v>
      </c>
      <c r="D93" s="6" t="s">
        <v>54</v>
      </c>
      <c r="E93" s="6" t="s">
        <v>112</v>
      </c>
      <c r="F93" s="6" t="s">
        <v>3057</v>
      </c>
      <c r="G93" s="6" t="s">
        <v>3058</v>
      </c>
      <c r="H93" s="6" t="s">
        <v>3059</v>
      </c>
      <c r="I93" s="6" t="s">
        <v>174</v>
      </c>
      <c r="J93" s="6" t="s">
        <v>70</v>
      </c>
      <c r="K93" s="5">
        <v>53614200</v>
      </c>
      <c r="L93" s="6" t="s">
        <v>52</v>
      </c>
      <c r="M93" s="6" t="s">
        <v>173</v>
      </c>
      <c r="N93" s="6" t="s">
        <v>112</v>
      </c>
      <c r="O93" s="17">
        <v>43270</v>
      </c>
      <c r="P93" s="5" t="s">
        <v>5297</v>
      </c>
      <c r="Q93" s="17">
        <v>44731</v>
      </c>
      <c r="R93" s="6" t="s">
        <v>430</v>
      </c>
      <c r="S93" s="6" t="s">
        <v>54</v>
      </c>
      <c r="T93" s="6" t="s">
        <v>49</v>
      </c>
      <c r="U93" s="6" t="s">
        <v>119</v>
      </c>
    </row>
    <row r="94" spans="1:21" x14ac:dyDescent="0.2">
      <c r="A94" s="6" t="s">
        <v>1625</v>
      </c>
      <c r="B94" s="6" t="s">
        <v>1628</v>
      </c>
      <c r="C94" s="6" t="s">
        <v>71</v>
      </c>
      <c r="D94" s="6" t="s">
        <v>54</v>
      </c>
      <c r="E94" s="6" t="s">
        <v>45</v>
      </c>
      <c r="F94" s="6" t="s">
        <v>2698</v>
      </c>
      <c r="G94" s="6" t="s">
        <v>173</v>
      </c>
      <c r="H94" s="6" t="s">
        <v>2699</v>
      </c>
      <c r="I94" s="6" t="s">
        <v>55</v>
      </c>
      <c r="J94" s="6" t="s">
        <v>70</v>
      </c>
      <c r="K94" s="5">
        <v>71193600</v>
      </c>
      <c r="L94" s="6" t="s">
        <v>52</v>
      </c>
      <c r="M94" s="6" t="s">
        <v>173</v>
      </c>
      <c r="N94" s="6" t="s">
        <v>45</v>
      </c>
      <c r="O94" s="17">
        <v>43235</v>
      </c>
      <c r="P94" s="5">
        <v>0</v>
      </c>
      <c r="Q94" s="17">
        <v>45061</v>
      </c>
      <c r="R94" s="6" t="s">
        <v>76</v>
      </c>
      <c r="S94" s="6" t="s">
        <v>54</v>
      </c>
      <c r="T94" s="6" t="s">
        <v>49</v>
      </c>
      <c r="U94" s="6" t="s">
        <v>53</v>
      </c>
    </row>
    <row r="95" spans="1:21" x14ac:dyDescent="0.2">
      <c r="A95" s="6" t="s">
        <v>1625</v>
      </c>
      <c r="B95" s="6" t="s">
        <v>1628</v>
      </c>
      <c r="C95" s="6" t="s">
        <v>71</v>
      </c>
      <c r="D95" s="6" t="s">
        <v>54</v>
      </c>
      <c r="E95" s="6" t="s">
        <v>45</v>
      </c>
      <c r="F95" s="6" t="s">
        <v>2701</v>
      </c>
      <c r="G95" s="6" t="s">
        <v>173</v>
      </c>
      <c r="H95" s="6" t="s">
        <v>2702</v>
      </c>
      <c r="I95" s="6" t="s">
        <v>55</v>
      </c>
      <c r="J95" s="6" t="s">
        <v>70</v>
      </c>
      <c r="K95" s="5">
        <v>71193600</v>
      </c>
      <c r="L95" s="6" t="s">
        <v>52</v>
      </c>
      <c r="M95" s="6" t="s">
        <v>173</v>
      </c>
      <c r="N95" s="6" t="s">
        <v>45</v>
      </c>
      <c r="O95" s="17">
        <v>43235</v>
      </c>
      <c r="P95" s="5">
        <v>0</v>
      </c>
      <c r="Q95" s="17">
        <v>45792</v>
      </c>
      <c r="R95" s="6" t="s">
        <v>69</v>
      </c>
      <c r="S95" s="6" t="s">
        <v>54</v>
      </c>
      <c r="T95" s="6" t="s">
        <v>49</v>
      </c>
      <c r="U95" s="6" t="s">
        <v>53</v>
      </c>
    </row>
    <row r="96" spans="1:21" x14ac:dyDescent="0.2">
      <c r="A96" s="6" t="s">
        <v>476</v>
      </c>
      <c r="B96" s="6" t="s">
        <v>479</v>
      </c>
      <c r="C96" s="6" t="s">
        <v>57</v>
      </c>
      <c r="D96" s="6" t="s">
        <v>54</v>
      </c>
      <c r="E96" s="6" t="s">
        <v>45</v>
      </c>
      <c r="F96" s="6" t="s">
        <v>1916</v>
      </c>
      <c r="G96" s="6" t="s">
        <v>1917</v>
      </c>
      <c r="H96" s="6" t="s">
        <v>1918</v>
      </c>
      <c r="I96" s="6" t="s">
        <v>55</v>
      </c>
      <c r="J96" s="6" t="s">
        <v>56</v>
      </c>
      <c r="K96" s="5" t="s">
        <v>5298</v>
      </c>
      <c r="L96" s="6" t="s">
        <v>458</v>
      </c>
      <c r="M96" s="6" t="s">
        <v>1770</v>
      </c>
      <c r="N96" s="6" t="s">
        <v>45</v>
      </c>
      <c r="O96" s="17">
        <v>43290</v>
      </c>
      <c r="P96" s="5">
        <v>0</v>
      </c>
      <c r="Q96" s="17">
        <v>44844</v>
      </c>
      <c r="R96" s="6" t="s">
        <v>225</v>
      </c>
      <c r="S96" s="6" t="s">
        <v>189</v>
      </c>
      <c r="T96" s="6" t="s">
        <v>49</v>
      </c>
      <c r="U96" s="6" t="s">
        <v>53</v>
      </c>
    </row>
    <row r="97" spans="1:21" x14ac:dyDescent="0.2">
      <c r="A97" s="6" t="s">
        <v>206</v>
      </c>
      <c r="B97" s="6" t="s">
        <v>209</v>
      </c>
      <c r="C97" s="6" t="s">
        <v>71</v>
      </c>
      <c r="D97" s="6" t="s">
        <v>54</v>
      </c>
      <c r="E97" s="6" t="s">
        <v>112</v>
      </c>
      <c r="F97" s="6" t="s">
        <v>3061</v>
      </c>
      <c r="G97" s="6" t="s">
        <v>3062</v>
      </c>
      <c r="H97" s="6" t="s">
        <v>3063</v>
      </c>
      <c r="I97" s="6" t="s">
        <v>174</v>
      </c>
      <c r="J97" s="6" t="s">
        <v>70</v>
      </c>
      <c r="K97" s="5">
        <v>54126400</v>
      </c>
      <c r="L97" s="6" t="s">
        <v>52</v>
      </c>
      <c r="M97" s="6" t="s">
        <v>173</v>
      </c>
      <c r="N97" s="6" t="s">
        <v>112</v>
      </c>
      <c r="O97" s="17">
        <v>43294</v>
      </c>
      <c r="P97" s="5" t="s">
        <v>5299</v>
      </c>
      <c r="Q97" s="17">
        <v>44755</v>
      </c>
      <c r="R97" s="6" t="s">
        <v>3064</v>
      </c>
      <c r="S97" s="6" t="s">
        <v>54</v>
      </c>
      <c r="T97" s="6" t="s">
        <v>49</v>
      </c>
      <c r="U97" s="6" t="s">
        <v>119</v>
      </c>
    </row>
    <row r="98" spans="1:21" x14ac:dyDescent="0.2">
      <c r="A98" s="6" t="s">
        <v>1010</v>
      </c>
      <c r="B98" s="6" t="s">
        <v>1013</v>
      </c>
      <c r="C98" s="6" t="s">
        <v>71</v>
      </c>
      <c r="D98" s="6" t="s">
        <v>54</v>
      </c>
      <c r="E98" s="6" t="s">
        <v>184</v>
      </c>
      <c r="F98" s="6" t="s">
        <v>3196</v>
      </c>
      <c r="G98" s="6" t="s">
        <v>3197</v>
      </c>
      <c r="H98" s="6" t="s">
        <v>3198</v>
      </c>
      <c r="I98" s="6" t="s">
        <v>55</v>
      </c>
      <c r="J98" s="6" t="s">
        <v>56</v>
      </c>
      <c r="K98" s="5" t="s">
        <v>5300</v>
      </c>
      <c r="L98" s="6" t="s">
        <v>52</v>
      </c>
      <c r="M98" s="6" t="s">
        <v>173</v>
      </c>
      <c r="N98" s="6" t="s">
        <v>184</v>
      </c>
      <c r="O98" s="17">
        <v>43299</v>
      </c>
      <c r="P98" s="5" t="s">
        <v>5255</v>
      </c>
      <c r="Q98" s="17">
        <v>45856</v>
      </c>
      <c r="R98" s="6" t="s">
        <v>173</v>
      </c>
      <c r="S98" s="6" t="s">
        <v>54</v>
      </c>
      <c r="T98" s="6" t="s">
        <v>115</v>
      </c>
      <c r="U98" s="6" t="s">
        <v>53</v>
      </c>
    </row>
    <row r="99" spans="1:21" x14ac:dyDescent="0.2">
      <c r="A99" s="6" t="s">
        <v>476</v>
      </c>
      <c r="B99" s="6" t="s">
        <v>479</v>
      </c>
      <c r="C99" s="6" t="s">
        <v>57</v>
      </c>
      <c r="D99" s="5" t="s">
        <v>5301</v>
      </c>
      <c r="E99" s="6" t="s">
        <v>45</v>
      </c>
      <c r="F99" s="6" t="s">
        <v>1920</v>
      </c>
      <c r="G99" s="6" t="s">
        <v>1921</v>
      </c>
      <c r="H99" s="6" t="s">
        <v>1922</v>
      </c>
      <c r="I99" s="6" t="s">
        <v>55</v>
      </c>
      <c r="J99" s="6" t="s">
        <v>56</v>
      </c>
      <c r="K99" s="5" t="s">
        <v>5262</v>
      </c>
      <c r="L99" s="6" t="s">
        <v>482</v>
      </c>
      <c r="M99" s="6" t="s">
        <v>173</v>
      </c>
      <c r="N99" s="6" t="s">
        <v>45</v>
      </c>
      <c r="O99" s="17">
        <v>43339</v>
      </c>
      <c r="P99" s="62">
        <v>375</v>
      </c>
      <c r="Q99" s="17">
        <v>45166</v>
      </c>
      <c r="R99" s="6" t="s">
        <v>225</v>
      </c>
      <c r="S99" s="6" t="s">
        <v>483</v>
      </c>
      <c r="T99" s="6" t="s">
        <v>49</v>
      </c>
      <c r="U99" s="6" t="s">
        <v>53</v>
      </c>
    </row>
    <row r="100" spans="1:21" x14ac:dyDescent="0.2">
      <c r="A100" s="6" t="s">
        <v>1010</v>
      </c>
      <c r="B100" s="6" t="s">
        <v>1013</v>
      </c>
      <c r="C100" s="6" t="s">
        <v>71</v>
      </c>
      <c r="D100" s="6" t="s">
        <v>54</v>
      </c>
      <c r="E100" s="6" t="s">
        <v>184</v>
      </c>
      <c r="F100" s="6" t="s">
        <v>3200</v>
      </c>
      <c r="G100" s="6" t="s">
        <v>3201</v>
      </c>
      <c r="H100" s="6" t="s">
        <v>3202</v>
      </c>
      <c r="I100" s="6" t="s">
        <v>55</v>
      </c>
      <c r="J100" s="6" t="s">
        <v>56</v>
      </c>
      <c r="K100" s="5">
        <v>2330560</v>
      </c>
      <c r="L100" s="6" t="s">
        <v>52</v>
      </c>
      <c r="M100" s="6" t="s">
        <v>173</v>
      </c>
      <c r="N100" s="6" t="s">
        <v>184</v>
      </c>
      <c r="O100" s="17">
        <v>43299</v>
      </c>
      <c r="P100" s="5">
        <v>3</v>
      </c>
      <c r="Q100" s="17">
        <v>45491</v>
      </c>
      <c r="R100" s="6" t="s">
        <v>173</v>
      </c>
      <c r="S100" s="6" t="s">
        <v>54</v>
      </c>
      <c r="T100" s="6" t="s">
        <v>115</v>
      </c>
      <c r="U100" s="6" t="s">
        <v>53</v>
      </c>
    </row>
    <row r="101" spans="1:21" x14ac:dyDescent="0.2">
      <c r="A101" s="6" t="s">
        <v>679</v>
      </c>
      <c r="B101" s="6" t="s">
        <v>682</v>
      </c>
      <c r="C101" s="6" t="s">
        <v>57</v>
      </c>
      <c r="D101" s="6" t="s">
        <v>54</v>
      </c>
      <c r="E101" s="6" t="s">
        <v>367</v>
      </c>
      <c r="F101" s="6" t="s">
        <v>3273</v>
      </c>
      <c r="G101" s="6" t="s">
        <v>3274</v>
      </c>
      <c r="H101" s="6" t="s">
        <v>3275</v>
      </c>
      <c r="I101" s="6" t="s">
        <v>55</v>
      </c>
      <c r="J101" s="6" t="s">
        <v>56</v>
      </c>
      <c r="K101" s="5" t="s">
        <v>5302</v>
      </c>
      <c r="L101" s="6" t="s">
        <v>52</v>
      </c>
      <c r="M101" s="6" t="s">
        <v>1770</v>
      </c>
      <c r="N101" s="6" t="s">
        <v>367</v>
      </c>
      <c r="O101" s="17">
        <v>43349</v>
      </c>
      <c r="P101" s="62">
        <v>2875</v>
      </c>
      <c r="Q101" s="17">
        <v>45175</v>
      </c>
      <c r="R101" s="6" t="s">
        <v>225</v>
      </c>
      <c r="S101" s="6" t="s">
        <v>54</v>
      </c>
      <c r="T101" s="6" t="s">
        <v>49</v>
      </c>
      <c r="U101" s="6" t="s">
        <v>53</v>
      </c>
    </row>
    <row r="102" spans="1:21" x14ac:dyDescent="0.2">
      <c r="A102" s="6" t="s">
        <v>613</v>
      </c>
      <c r="B102" s="6" t="s">
        <v>616</v>
      </c>
      <c r="C102" s="6" t="s">
        <v>71</v>
      </c>
      <c r="D102" s="5" t="s">
        <v>5303</v>
      </c>
      <c r="E102" s="6" t="s">
        <v>199</v>
      </c>
      <c r="F102" s="6" t="s">
        <v>2449</v>
      </c>
      <c r="G102" s="6" t="s">
        <v>2450</v>
      </c>
      <c r="H102" s="6" t="s">
        <v>2451</v>
      </c>
      <c r="I102" s="6" t="s">
        <v>117</v>
      </c>
      <c r="J102" s="6" t="s">
        <v>56</v>
      </c>
      <c r="K102" s="63">
        <v>1000000000</v>
      </c>
      <c r="L102" s="6" t="s">
        <v>52</v>
      </c>
      <c r="M102" s="6" t="s">
        <v>1775</v>
      </c>
      <c r="N102" s="6" t="s">
        <v>199</v>
      </c>
      <c r="O102" s="17">
        <v>43355</v>
      </c>
      <c r="P102" s="5">
        <v>4</v>
      </c>
      <c r="Q102" s="17">
        <v>45181</v>
      </c>
      <c r="R102" s="6" t="s">
        <v>2452</v>
      </c>
      <c r="S102" s="6" t="s">
        <v>619</v>
      </c>
      <c r="T102" s="6" t="s">
        <v>49</v>
      </c>
      <c r="U102" s="6" t="s">
        <v>262</v>
      </c>
    </row>
    <row r="103" spans="1:21" x14ac:dyDescent="0.2">
      <c r="A103" s="6" t="s">
        <v>613</v>
      </c>
      <c r="B103" s="6" t="s">
        <v>616</v>
      </c>
      <c r="C103" s="6" t="s">
        <v>71</v>
      </c>
      <c r="D103" s="5" t="s">
        <v>5303</v>
      </c>
      <c r="E103" s="6" t="s">
        <v>199</v>
      </c>
      <c r="F103" s="6" t="s">
        <v>2454</v>
      </c>
      <c r="G103" s="6" t="s">
        <v>2455</v>
      </c>
      <c r="H103" s="6" t="s">
        <v>2456</v>
      </c>
      <c r="I103" s="6" t="s">
        <v>117</v>
      </c>
      <c r="J103" s="6" t="s">
        <v>56</v>
      </c>
      <c r="K103" s="63">
        <v>1000000000</v>
      </c>
      <c r="L103" s="6" t="s">
        <v>52</v>
      </c>
      <c r="M103" s="6" t="s">
        <v>1775</v>
      </c>
      <c r="N103" s="6" t="s">
        <v>199</v>
      </c>
      <c r="O103" s="17">
        <v>43355</v>
      </c>
      <c r="P103" s="5">
        <v>4</v>
      </c>
      <c r="Q103" s="17">
        <v>45181</v>
      </c>
      <c r="R103" s="6" t="s">
        <v>270</v>
      </c>
      <c r="S103" s="6" t="s">
        <v>619</v>
      </c>
      <c r="T103" s="6" t="s">
        <v>49</v>
      </c>
      <c r="U103" s="6" t="s">
        <v>262</v>
      </c>
    </row>
    <row r="104" spans="1:21" x14ac:dyDescent="0.2">
      <c r="A104" s="6" t="s">
        <v>613</v>
      </c>
      <c r="B104" s="6" t="s">
        <v>616</v>
      </c>
      <c r="C104" s="6" t="s">
        <v>71</v>
      </c>
      <c r="D104" s="62">
        <v>4852</v>
      </c>
      <c r="E104" s="6" t="s">
        <v>199</v>
      </c>
      <c r="F104" s="6" t="s">
        <v>2458</v>
      </c>
      <c r="G104" s="6" t="s">
        <v>2459</v>
      </c>
      <c r="H104" s="6" t="s">
        <v>2460</v>
      </c>
      <c r="I104" s="6" t="s">
        <v>117</v>
      </c>
      <c r="J104" s="6" t="s">
        <v>56</v>
      </c>
      <c r="K104" s="63">
        <v>1000000000</v>
      </c>
      <c r="L104" s="6" t="s">
        <v>52</v>
      </c>
      <c r="M104" s="6" t="s">
        <v>1775</v>
      </c>
      <c r="N104" s="6" t="s">
        <v>199</v>
      </c>
      <c r="O104" s="17">
        <v>43355</v>
      </c>
      <c r="P104" s="5" t="s">
        <v>5240</v>
      </c>
      <c r="Q104" s="17">
        <v>47008</v>
      </c>
      <c r="R104" s="6" t="s">
        <v>2452</v>
      </c>
      <c r="S104" s="6" t="s">
        <v>619</v>
      </c>
      <c r="T104" s="6" t="s">
        <v>49</v>
      </c>
      <c r="U104" s="6" t="s">
        <v>262</v>
      </c>
    </row>
    <row r="105" spans="1:21" x14ac:dyDescent="0.2">
      <c r="A105" s="6" t="s">
        <v>613</v>
      </c>
      <c r="B105" s="6" t="s">
        <v>616</v>
      </c>
      <c r="C105" s="6" t="s">
        <v>71</v>
      </c>
      <c r="D105" s="62">
        <v>4852</v>
      </c>
      <c r="E105" s="6" t="s">
        <v>199</v>
      </c>
      <c r="F105" s="6" t="s">
        <v>2462</v>
      </c>
      <c r="G105" s="6" t="s">
        <v>2463</v>
      </c>
      <c r="H105" s="6" t="s">
        <v>2464</v>
      </c>
      <c r="I105" s="6" t="s">
        <v>117</v>
      </c>
      <c r="J105" s="6" t="s">
        <v>56</v>
      </c>
      <c r="K105" s="63">
        <v>1000000000</v>
      </c>
      <c r="L105" s="6" t="s">
        <v>52</v>
      </c>
      <c r="M105" s="6" t="s">
        <v>1775</v>
      </c>
      <c r="N105" s="6" t="s">
        <v>199</v>
      </c>
      <c r="O105" s="17">
        <v>43355</v>
      </c>
      <c r="P105" s="5" t="s">
        <v>5240</v>
      </c>
      <c r="Q105" s="17">
        <v>47008</v>
      </c>
      <c r="R105" s="6" t="s">
        <v>270</v>
      </c>
      <c r="S105" s="6" t="s">
        <v>619</v>
      </c>
      <c r="T105" s="6" t="s">
        <v>49</v>
      </c>
      <c r="U105" s="6" t="s">
        <v>262</v>
      </c>
    </row>
    <row r="106" spans="1:21" x14ac:dyDescent="0.2">
      <c r="A106" s="6" t="s">
        <v>613</v>
      </c>
      <c r="B106" s="6" t="s">
        <v>616</v>
      </c>
      <c r="C106" s="6" t="s">
        <v>71</v>
      </c>
      <c r="D106" s="62">
        <v>4852</v>
      </c>
      <c r="E106" s="6" t="s">
        <v>199</v>
      </c>
      <c r="F106" s="6" t="s">
        <v>2466</v>
      </c>
      <c r="G106" s="6" t="s">
        <v>2467</v>
      </c>
      <c r="H106" s="6" t="s">
        <v>2468</v>
      </c>
      <c r="I106" s="6" t="s">
        <v>117</v>
      </c>
      <c r="J106" s="6" t="s">
        <v>56</v>
      </c>
      <c r="K106" s="63">
        <v>1000000000</v>
      </c>
      <c r="L106" s="6" t="s">
        <v>52</v>
      </c>
      <c r="M106" s="6" t="s">
        <v>1775</v>
      </c>
      <c r="N106" s="6" t="s">
        <v>199</v>
      </c>
      <c r="O106" s="17">
        <v>43355</v>
      </c>
      <c r="P106" s="5" t="s">
        <v>5240</v>
      </c>
      <c r="Q106" s="17">
        <v>47008</v>
      </c>
      <c r="R106" s="6" t="s">
        <v>2469</v>
      </c>
      <c r="S106" s="6" t="s">
        <v>619</v>
      </c>
      <c r="T106" s="6" t="s">
        <v>49</v>
      </c>
      <c r="U106" s="6" t="s">
        <v>262</v>
      </c>
    </row>
    <row r="107" spans="1:21" x14ac:dyDescent="0.2">
      <c r="A107" s="6" t="s">
        <v>613</v>
      </c>
      <c r="B107" s="6" t="s">
        <v>616</v>
      </c>
      <c r="C107" s="6" t="s">
        <v>71</v>
      </c>
      <c r="D107" s="62">
        <v>4852</v>
      </c>
      <c r="E107" s="6" t="s">
        <v>199</v>
      </c>
      <c r="F107" s="6" t="s">
        <v>2471</v>
      </c>
      <c r="G107" s="6" t="s">
        <v>2472</v>
      </c>
      <c r="H107" s="6" t="s">
        <v>2473</v>
      </c>
      <c r="I107" s="6" t="s">
        <v>117</v>
      </c>
      <c r="J107" s="6" t="s">
        <v>56</v>
      </c>
      <c r="K107" s="63">
        <v>1000000000</v>
      </c>
      <c r="L107" s="6" t="s">
        <v>52</v>
      </c>
      <c r="M107" s="6" t="s">
        <v>1775</v>
      </c>
      <c r="N107" s="6" t="s">
        <v>199</v>
      </c>
      <c r="O107" s="17">
        <v>43355</v>
      </c>
      <c r="P107" s="5" t="s">
        <v>5240</v>
      </c>
      <c r="Q107" s="17">
        <v>47008</v>
      </c>
      <c r="R107" s="6" t="s">
        <v>2474</v>
      </c>
      <c r="S107" s="6" t="s">
        <v>619</v>
      </c>
      <c r="T107" s="6" t="s">
        <v>49</v>
      </c>
      <c r="U107" s="6" t="s">
        <v>262</v>
      </c>
    </row>
    <row r="108" spans="1:21" x14ac:dyDescent="0.2">
      <c r="A108" s="6" t="s">
        <v>613</v>
      </c>
      <c r="B108" s="6" t="s">
        <v>616</v>
      </c>
      <c r="C108" s="6" t="s">
        <v>71</v>
      </c>
      <c r="D108" s="5" t="s">
        <v>5303</v>
      </c>
      <c r="E108" s="6" t="s">
        <v>199</v>
      </c>
      <c r="F108" s="6" t="s">
        <v>2476</v>
      </c>
      <c r="G108" s="6" t="s">
        <v>2477</v>
      </c>
      <c r="H108" s="6" t="s">
        <v>2478</v>
      </c>
      <c r="I108" s="6" t="s">
        <v>117</v>
      </c>
      <c r="J108" s="6" t="s">
        <v>56</v>
      </c>
      <c r="K108" s="63">
        <v>1000000000</v>
      </c>
      <c r="L108" s="6" t="s">
        <v>52</v>
      </c>
      <c r="M108" s="6" t="s">
        <v>1775</v>
      </c>
      <c r="N108" s="6" t="s">
        <v>199</v>
      </c>
      <c r="O108" s="17">
        <v>43355</v>
      </c>
      <c r="P108" s="5">
        <v>4</v>
      </c>
      <c r="Q108" s="17">
        <v>45181</v>
      </c>
      <c r="R108" s="6" t="s">
        <v>2469</v>
      </c>
      <c r="S108" s="6" t="s">
        <v>619</v>
      </c>
      <c r="T108" s="6" t="s">
        <v>49</v>
      </c>
      <c r="U108" s="6" t="s">
        <v>262</v>
      </c>
    </row>
    <row r="109" spans="1:21" x14ac:dyDescent="0.2">
      <c r="A109" s="6" t="s">
        <v>613</v>
      </c>
      <c r="B109" s="6" t="s">
        <v>616</v>
      </c>
      <c r="C109" s="6" t="s">
        <v>71</v>
      </c>
      <c r="D109" s="5" t="s">
        <v>5303</v>
      </c>
      <c r="E109" s="6" t="s">
        <v>199</v>
      </c>
      <c r="F109" s="6" t="s">
        <v>2480</v>
      </c>
      <c r="G109" s="6" t="s">
        <v>2481</v>
      </c>
      <c r="H109" s="6" t="s">
        <v>2482</v>
      </c>
      <c r="I109" s="6" t="s">
        <v>117</v>
      </c>
      <c r="J109" s="6" t="s">
        <v>56</v>
      </c>
      <c r="K109" s="63">
        <v>1000000000</v>
      </c>
      <c r="L109" s="6" t="s">
        <v>52</v>
      </c>
      <c r="M109" s="6" t="s">
        <v>1775</v>
      </c>
      <c r="N109" s="6" t="s">
        <v>199</v>
      </c>
      <c r="O109" s="17">
        <v>43355</v>
      </c>
      <c r="P109" s="5">
        <v>4</v>
      </c>
      <c r="Q109" s="17">
        <v>45181</v>
      </c>
      <c r="R109" s="6" t="s">
        <v>2474</v>
      </c>
      <c r="S109" s="6" t="s">
        <v>619</v>
      </c>
      <c r="T109" s="6" t="s">
        <v>49</v>
      </c>
      <c r="U109" s="6" t="s">
        <v>262</v>
      </c>
    </row>
    <row r="110" spans="1:21" x14ac:dyDescent="0.2">
      <c r="A110" s="6" t="s">
        <v>613</v>
      </c>
      <c r="B110" s="6" t="s">
        <v>616</v>
      </c>
      <c r="C110" s="6" t="s">
        <v>71</v>
      </c>
      <c r="D110" s="62">
        <v>4852</v>
      </c>
      <c r="E110" s="6" t="s">
        <v>199</v>
      </c>
      <c r="F110" s="6" t="s">
        <v>2484</v>
      </c>
      <c r="G110" s="6" t="s">
        <v>2485</v>
      </c>
      <c r="H110" s="6" t="s">
        <v>2486</v>
      </c>
      <c r="I110" s="6" t="s">
        <v>117</v>
      </c>
      <c r="J110" s="6" t="s">
        <v>56</v>
      </c>
      <c r="K110" s="63">
        <v>1000000000</v>
      </c>
      <c r="L110" s="6" t="s">
        <v>52</v>
      </c>
      <c r="M110" s="6" t="s">
        <v>1775</v>
      </c>
      <c r="N110" s="6" t="s">
        <v>199</v>
      </c>
      <c r="O110" s="17">
        <v>43355</v>
      </c>
      <c r="P110" s="5" t="s">
        <v>5240</v>
      </c>
      <c r="Q110" s="17">
        <v>47008</v>
      </c>
      <c r="R110" s="6" t="s">
        <v>50</v>
      </c>
      <c r="S110" s="6" t="s">
        <v>189</v>
      </c>
      <c r="T110" s="6" t="s">
        <v>49</v>
      </c>
      <c r="U110" s="6" t="s">
        <v>262</v>
      </c>
    </row>
    <row r="111" spans="1:21" x14ac:dyDescent="0.2">
      <c r="A111" s="6" t="s">
        <v>613</v>
      </c>
      <c r="B111" s="6" t="s">
        <v>616</v>
      </c>
      <c r="C111" s="6" t="s">
        <v>71</v>
      </c>
      <c r="D111" s="5" t="s">
        <v>5303</v>
      </c>
      <c r="E111" s="6" t="s">
        <v>199</v>
      </c>
      <c r="F111" s="6" t="s">
        <v>2488</v>
      </c>
      <c r="G111" s="6" t="s">
        <v>2489</v>
      </c>
      <c r="H111" s="6" t="s">
        <v>2490</v>
      </c>
      <c r="I111" s="6" t="s">
        <v>117</v>
      </c>
      <c r="J111" s="6" t="s">
        <v>56</v>
      </c>
      <c r="K111" s="63">
        <v>1000000000</v>
      </c>
      <c r="L111" s="6" t="s">
        <v>52</v>
      </c>
      <c r="M111" s="6" t="s">
        <v>1775</v>
      </c>
      <c r="N111" s="6" t="s">
        <v>199</v>
      </c>
      <c r="O111" s="17">
        <v>43355</v>
      </c>
      <c r="P111" s="5">
        <v>4</v>
      </c>
      <c r="Q111" s="17">
        <v>45181</v>
      </c>
      <c r="R111" s="6" t="s">
        <v>50</v>
      </c>
      <c r="S111" s="6" t="s">
        <v>189</v>
      </c>
      <c r="T111" s="6" t="s">
        <v>49</v>
      </c>
      <c r="U111" s="6" t="s">
        <v>262</v>
      </c>
    </row>
    <row r="112" spans="1:21" x14ac:dyDescent="0.2">
      <c r="A112" s="6" t="s">
        <v>1291</v>
      </c>
      <c r="B112" s="6" t="s">
        <v>1294</v>
      </c>
      <c r="C112" s="6" t="s">
        <v>71</v>
      </c>
      <c r="D112" s="6" t="s">
        <v>54</v>
      </c>
      <c r="E112" s="6" t="s">
        <v>45</v>
      </c>
      <c r="F112" s="6" t="s">
        <v>1887</v>
      </c>
      <c r="G112" s="6" t="s">
        <v>173</v>
      </c>
      <c r="H112" s="6" t="s">
        <v>1888</v>
      </c>
      <c r="I112" s="6" t="s">
        <v>55</v>
      </c>
      <c r="J112" s="6" t="s">
        <v>70</v>
      </c>
      <c r="K112" s="5">
        <v>79604700</v>
      </c>
      <c r="L112" s="6" t="s">
        <v>52</v>
      </c>
      <c r="M112" s="6" t="s">
        <v>1839</v>
      </c>
      <c r="N112" s="6" t="s">
        <v>45</v>
      </c>
      <c r="O112" s="17">
        <v>43398</v>
      </c>
      <c r="P112" s="5">
        <v>0</v>
      </c>
      <c r="Q112" s="17">
        <v>45224</v>
      </c>
      <c r="R112" s="6" t="s">
        <v>76</v>
      </c>
      <c r="S112" s="6" t="s">
        <v>54</v>
      </c>
      <c r="T112" s="6" t="s">
        <v>49</v>
      </c>
      <c r="U112" s="6" t="s">
        <v>53</v>
      </c>
    </row>
    <row r="113" spans="1:21" x14ac:dyDescent="0.2">
      <c r="A113" s="6" t="s">
        <v>1291</v>
      </c>
      <c r="B113" s="6" t="s">
        <v>1294</v>
      </c>
      <c r="C113" s="6" t="s">
        <v>71</v>
      </c>
      <c r="D113" s="6" t="s">
        <v>54</v>
      </c>
      <c r="E113" s="6" t="s">
        <v>45</v>
      </c>
      <c r="F113" s="6" t="s">
        <v>1890</v>
      </c>
      <c r="G113" s="6" t="s">
        <v>173</v>
      </c>
      <c r="H113" s="6" t="s">
        <v>1891</v>
      </c>
      <c r="I113" s="6" t="s">
        <v>55</v>
      </c>
      <c r="J113" s="6" t="s">
        <v>70</v>
      </c>
      <c r="K113" s="5">
        <v>79604700</v>
      </c>
      <c r="L113" s="6" t="s">
        <v>52</v>
      </c>
      <c r="M113" s="6" t="s">
        <v>1839</v>
      </c>
      <c r="N113" s="6" t="s">
        <v>45</v>
      </c>
      <c r="O113" s="17">
        <v>43398</v>
      </c>
      <c r="P113" s="5">
        <v>0</v>
      </c>
      <c r="Q113" s="17">
        <v>45955</v>
      </c>
      <c r="R113" s="6" t="s">
        <v>69</v>
      </c>
      <c r="S113" s="6" t="s">
        <v>54</v>
      </c>
      <c r="T113" s="6" t="s">
        <v>49</v>
      </c>
      <c r="U113" s="6" t="s">
        <v>53</v>
      </c>
    </row>
    <row r="114" spans="1:21" x14ac:dyDescent="0.2">
      <c r="A114" s="6" t="s">
        <v>1291</v>
      </c>
      <c r="B114" s="6" t="s">
        <v>1294</v>
      </c>
      <c r="C114" s="6" t="s">
        <v>71</v>
      </c>
      <c r="D114" s="6" t="s">
        <v>54</v>
      </c>
      <c r="E114" s="6" t="s">
        <v>45</v>
      </c>
      <c r="F114" s="6" t="s">
        <v>1893</v>
      </c>
      <c r="G114" s="6" t="s">
        <v>173</v>
      </c>
      <c r="H114" s="6" t="s">
        <v>1894</v>
      </c>
      <c r="I114" s="6" t="s">
        <v>55</v>
      </c>
      <c r="J114" s="6" t="s">
        <v>70</v>
      </c>
      <c r="K114" s="5">
        <v>79604700</v>
      </c>
      <c r="L114" s="6" t="s">
        <v>52</v>
      </c>
      <c r="M114" s="6" t="s">
        <v>1839</v>
      </c>
      <c r="N114" s="6" t="s">
        <v>45</v>
      </c>
      <c r="O114" s="17">
        <v>43398</v>
      </c>
      <c r="P114" s="5">
        <v>0</v>
      </c>
      <c r="Q114" s="17">
        <v>47051</v>
      </c>
      <c r="R114" s="6" t="s">
        <v>51</v>
      </c>
      <c r="S114" s="6" t="s">
        <v>54</v>
      </c>
      <c r="T114" s="6" t="s">
        <v>49</v>
      </c>
      <c r="U114" s="6" t="s">
        <v>53</v>
      </c>
    </row>
    <row r="115" spans="1:21" x14ac:dyDescent="0.2">
      <c r="A115" s="6" t="s">
        <v>1359</v>
      </c>
      <c r="B115" s="6" t="s">
        <v>1362</v>
      </c>
      <c r="C115" s="6" t="s">
        <v>57</v>
      </c>
      <c r="D115" s="6" t="s">
        <v>54</v>
      </c>
      <c r="E115" s="6" t="s">
        <v>199</v>
      </c>
      <c r="F115" s="6" t="s">
        <v>3220</v>
      </c>
      <c r="G115" s="6" t="s">
        <v>3221</v>
      </c>
      <c r="H115" s="6" t="s">
        <v>3222</v>
      </c>
      <c r="I115" s="6" t="s">
        <v>117</v>
      </c>
      <c r="J115" s="6" t="s">
        <v>56</v>
      </c>
      <c r="K115" s="5" t="s">
        <v>5304</v>
      </c>
      <c r="L115" s="6" t="s">
        <v>52</v>
      </c>
      <c r="M115" s="6" t="s">
        <v>1770</v>
      </c>
      <c r="N115" s="6" t="s">
        <v>199</v>
      </c>
      <c r="O115" s="17">
        <v>43361</v>
      </c>
      <c r="P115" s="5">
        <v>1</v>
      </c>
      <c r="Q115" s="17">
        <v>45187</v>
      </c>
      <c r="R115" s="6" t="s">
        <v>225</v>
      </c>
      <c r="S115" s="6" t="s">
        <v>174</v>
      </c>
      <c r="T115" s="6" t="s">
        <v>115</v>
      </c>
      <c r="U115" s="6" t="s">
        <v>53</v>
      </c>
    </row>
    <row r="116" spans="1:21" x14ac:dyDescent="0.2">
      <c r="A116" s="6" t="s">
        <v>641</v>
      </c>
      <c r="B116" s="6" t="s">
        <v>644</v>
      </c>
      <c r="C116" s="6" t="s">
        <v>71</v>
      </c>
      <c r="D116" s="62">
        <v>4974</v>
      </c>
      <c r="E116" s="6" t="s">
        <v>199</v>
      </c>
      <c r="F116" s="6" t="s">
        <v>2425</v>
      </c>
      <c r="G116" s="6" t="s">
        <v>2426</v>
      </c>
      <c r="H116" s="6" t="s">
        <v>2427</v>
      </c>
      <c r="I116" s="6" t="s">
        <v>55</v>
      </c>
      <c r="J116" s="6" t="s">
        <v>56</v>
      </c>
      <c r="K116" s="5" t="s">
        <v>5234</v>
      </c>
      <c r="L116" s="6" t="s">
        <v>52</v>
      </c>
      <c r="M116" s="6" t="s">
        <v>1775</v>
      </c>
      <c r="N116" s="6" t="s">
        <v>366</v>
      </c>
      <c r="O116" s="17">
        <v>43357</v>
      </c>
      <c r="P116" s="62">
        <v>4875</v>
      </c>
      <c r="Q116" s="17">
        <v>47283</v>
      </c>
      <c r="R116" s="6" t="s">
        <v>261</v>
      </c>
      <c r="S116" s="6" t="s">
        <v>619</v>
      </c>
      <c r="T116" s="6" t="s">
        <v>49</v>
      </c>
      <c r="U116" s="6" t="s">
        <v>262</v>
      </c>
    </row>
    <row r="117" spans="1:21" x14ac:dyDescent="0.2">
      <c r="A117" s="6" t="s">
        <v>641</v>
      </c>
      <c r="B117" s="6" t="s">
        <v>644</v>
      </c>
      <c r="C117" s="6" t="s">
        <v>71</v>
      </c>
      <c r="D117" s="62">
        <v>4974</v>
      </c>
      <c r="E117" s="6" t="s">
        <v>199</v>
      </c>
      <c r="F117" s="6" t="s">
        <v>2429</v>
      </c>
      <c r="G117" s="6" t="s">
        <v>2430</v>
      </c>
      <c r="H117" s="6" t="s">
        <v>2431</v>
      </c>
      <c r="I117" s="6" t="s">
        <v>55</v>
      </c>
      <c r="J117" s="6" t="s">
        <v>56</v>
      </c>
      <c r="K117" s="5" t="s">
        <v>5234</v>
      </c>
      <c r="L117" s="6" t="s">
        <v>52</v>
      </c>
      <c r="M117" s="6" t="s">
        <v>1775</v>
      </c>
      <c r="N117" s="6" t="s">
        <v>366</v>
      </c>
      <c r="O117" s="17">
        <v>43357</v>
      </c>
      <c r="P117" s="62">
        <v>4875</v>
      </c>
      <c r="Q117" s="17">
        <v>47283</v>
      </c>
      <c r="R117" s="6" t="s">
        <v>270</v>
      </c>
      <c r="S117" s="6" t="s">
        <v>619</v>
      </c>
      <c r="T117" s="6" t="s">
        <v>49</v>
      </c>
      <c r="U117" s="6" t="s">
        <v>262</v>
      </c>
    </row>
    <row r="118" spans="1:21" x14ac:dyDescent="0.2">
      <c r="A118" s="6" t="s">
        <v>893</v>
      </c>
      <c r="B118" s="6" t="s">
        <v>896</v>
      </c>
      <c r="C118" s="6" t="s">
        <v>391</v>
      </c>
      <c r="D118" s="6" t="s">
        <v>54</v>
      </c>
      <c r="E118" s="6" t="s">
        <v>367</v>
      </c>
      <c r="F118" s="6" t="s">
        <v>2597</v>
      </c>
      <c r="G118" s="6" t="s">
        <v>2598</v>
      </c>
      <c r="H118" s="6" t="s">
        <v>2599</v>
      </c>
      <c r="I118" s="6" t="s">
        <v>55</v>
      </c>
      <c r="J118" s="6" t="s">
        <v>70</v>
      </c>
      <c r="K118" s="5">
        <v>34148100</v>
      </c>
      <c r="L118" s="6" t="s">
        <v>52</v>
      </c>
      <c r="M118" s="6" t="s">
        <v>173</v>
      </c>
      <c r="N118" s="6" t="s">
        <v>367</v>
      </c>
      <c r="O118" s="17">
        <v>43363</v>
      </c>
      <c r="P118" s="62">
        <v>1661</v>
      </c>
      <c r="Q118" s="17">
        <v>45189</v>
      </c>
      <c r="R118" s="6" t="s">
        <v>685</v>
      </c>
      <c r="S118" s="6" t="s">
        <v>54</v>
      </c>
      <c r="T118" s="6" t="s">
        <v>49</v>
      </c>
      <c r="U118" s="6" t="s">
        <v>686</v>
      </c>
    </row>
    <row r="119" spans="1:21" x14ac:dyDescent="0.2">
      <c r="A119" s="6" t="s">
        <v>754</v>
      </c>
      <c r="B119" s="6" t="s">
        <v>757</v>
      </c>
      <c r="C119" s="6" t="s">
        <v>71</v>
      </c>
      <c r="D119" s="62">
        <v>6125</v>
      </c>
      <c r="E119" s="6" t="s">
        <v>258</v>
      </c>
      <c r="F119" s="6" t="s">
        <v>3302</v>
      </c>
      <c r="G119" s="6" t="s">
        <v>3303</v>
      </c>
      <c r="H119" s="6" t="s">
        <v>3304</v>
      </c>
      <c r="I119" s="6" t="s">
        <v>55</v>
      </c>
      <c r="J119" s="6" t="s">
        <v>56</v>
      </c>
      <c r="K119" s="5" t="s">
        <v>5305</v>
      </c>
      <c r="L119" s="6" t="s">
        <v>52</v>
      </c>
      <c r="M119" s="6" t="s">
        <v>1775</v>
      </c>
      <c r="N119" s="6" t="s">
        <v>257</v>
      </c>
      <c r="O119" s="17">
        <v>43363</v>
      </c>
      <c r="P119" s="5">
        <v>6</v>
      </c>
      <c r="Q119" s="17">
        <v>47133</v>
      </c>
      <c r="R119" s="6" t="s">
        <v>261</v>
      </c>
      <c r="S119" s="6" t="s">
        <v>496</v>
      </c>
      <c r="T119" s="6" t="s">
        <v>115</v>
      </c>
      <c r="U119" s="6" t="s">
        <v>262</v>
      </c>
    </row>
    <row r="120" spans="1:21" x14ac:dyDescent="0.2">
      <c r="A120" s="6" t="s">
        <v>754</v>
      </c>
      <c r="B120" s="6" t="s">
        <v>757</v>
      </c>
      <c r="C120" s="6" t="s">
        <v>71</v>
      </c>
      <c r="D120" s="62">
        <v>6125</v>
      </c>
      <c r="E120" s="6" t="s">
        <v>258</v>
      </c>
      <c r="F120" s="6" t="s">
        <v>3306</v>
      </c>
      <c r="G120" s="6" t="s">
        <v>3307</v>
      </c>
      <c r="H120" s="6" t="s">
        <v>3308</v>
      </c>
      <c r="I120" s="6" t="s">
        <v>55</v>
      </c>
      <c r="J120" s="6" t="s">
        <v>56</v>
      </c>
      <c r="K120" s="5" t="s">
        <v>5305</v>
      </c>
      <c r="L120" s="6" t="s">
        <v>52</v>
      </c>
      <c r="M120" s="6" t="s">
        <v>1775</v>
      </c>
      <c r="N120" s="6" t="s">
        <v>257</v>
      </c>
      <c r="O120" s="17">
        <v>43363</v>
      </c>
      <c r="P120" s="5">
        <v>6</v>
      </c>
      <c r="Q120" s="17">
        <v>47133</v>
      </c>
      <c r="R120" s="6" t="s">
        <v>270</v>
      </c>
      <c r="S120" s="6" t="s">
        <v>496</v>
      </c>
      <c r="T120" s="6" t="s">
        <v>115</v>
      </c>
      <c r="U120" s="6" t="s">
        <v>262</v>
      </c>
    </row>
    <row r="121" spans="1:21" x14ac:dyDescent="0.2">
      <c r="A121" s="6" t="s">
        <v>946</v>
      </c>
      <c r="B121" s="6" t="s">
        <v>949</v>
      </c>
      <c r="C121" s="6" t="s">
        <v>57</v>
      </c>
      <c r="D121" s="6" t="s">
        <v>54</v>
      </c>
      <c r="E121" s="6" t="s">
        <v>366</v>
      </c>
      <c r="F121" s="6" t="s">
        <v>2956</v>
      </c>
      <c r="G121" s="6" t="s">
        <v>2957</v>
      </c>
      <c r="H121" s="6" t="s">
        <v>2958</v>
      </c>
      <c r="I121" s="6" t="s">
        <v>55</v>
      </c>
      <c r="J121" s="6" t="s">
        <v>56</v>
      </c>
      <c r="K121" s="5" t="s">
        <v>5306</v>
      </c>
      <c r="L121" s="6" t="s">
        <v>52</v>
      </c>
      <c r="M121" s="6" t="s">
        <v>1770</v>
      </c>
      <c r="N121" s="6" t="s">
        <v>366</v>
      </c>
      <c r="O121" s="17">
        <v>43389</v>
      </c>
      <c r="P121" s="62">
        <v>1375</v>
      </c>
      <c r="Q121" s="17">
        <v>47042</v>
      </c>
      <c r="R121" s="6" t="s">
        <v>225</v>
      </c>
      <c r="S121" s="6" t="s">
        <v>1645</v>
      </c>
      <c r="T121" s="6" t="s">
        <v>115</v>
      </c>
      <c r="U121" s="6" t="s">
        <v>53</v>
      </c>
    </row>
    <row r="122" spans="1:21" x14ac:dyDescent="0.2">
      <c r="A122" s="6" t="s">
        <v>1335</v>
      </c>
      <c r="B122" s="6" t="s">
        <v>1338</v>
      </c>
      <c r="C122" s="6" t="s">
        <v>57</v>
      </c>
      <c r="D122" s="6" t="s">
        <v>54</v>
      </c>
      <c r="E122" s="6" t="s">
        <v>1339</v>
      </c>
      <c r="F122" s="6" t="s">
        <v>2319</v>
      </c>
      <c r="G122" s="6" t="s">
        <v>2320</v>
      </c>
      <c r="H122" s="6" t="s">
        <v>2321</v>
      </c>
      <c r="I122" s="6" t="s">
        <v>55</v>
      </c>
      <c r="J122" s="6" t="s">
        <v>56</v>
      </c>
      <c r="K122" s="5" t="s">
        <v>5307</v>
      </c>
      <c r="L122" s="6" t="s">
        <v>52</v>
      </c>
      <c r="M122" s="6" t="s">
        <v>173</v>
      </c>
      <c r="N122" s="6" t="s">
        <v>169</v>
      </c>
      <c r="O122" s="17">
        <v>43398</v>
      </c>
      <c r="P122" s="5" t="s">
        <v>5308</v>
      </c>
      <c r="Q122" s="17">
        <v>45224</v>
      </c>
      <c r="R122" s="6" t="s">
        <v>225</v>
      </c>
      <c r="S122" s="6" t="s">
        <v>174</v>
      </c>
      <c r="T122" s="6" t="s">
        <v>115</v>
      </c>
      <c r="U122" s="6" t="s">
        <v>1806</v>
      </c>
    </row>
    <row r="123" spans="1:21" x14ac:dyDescent="0.2">
      <c r="A123" s="6" t="s">
        <v>528</v>
      </c>
      <c r="B123" s="6" t="s">
        <v>531</v>
      </c>
      <c r="C123" s="6" t="s">
        <v>57</v>
      </c>
      <c r="D123" s="6" t="s">
        <v>54</v>
      </c>
      <c r="E123" s="6" t="s">
        <v>257</v>
      </c>
      <c r="F123" s="6" t="s">
        <v>3414</v>
      </c>
      <c r="G123" s="6" t="s">
        <v>3415</v>
      </c>
      <c r="H123" s="6" t="s">
        <v>3416</v>
      </c>
      <c r="I123" s="6" t="s">
        <v>55</v>
      </c>
      <c r="J123" s="6" t="s">
        <v>56</v>
      </c>
      <c r="K123" s="5" t="s">
        <v>5309</v>
      </c>
      <c r="L123" s="6" t="s">
        <v>52</v>
      </c>
      <c r="M123" s="6" t="s">
        <v>1839</v>
      </c>
      <c r="N123" s="6" t="s">
        <v>257</v>
      </c>
      <c r="O123" s="17">
        <v>43420</v>
      </c>
      <c r="P123" s="62">
        <v>3125</v>
      </c>
      <c r="Q123" s="17">
        <v>45246</v>
      </c>
      <c r="R123" s="6" t="s">
        <v>173</v>
      </c>
      <c r="S123" s="6" t="s">
        <v>54</v>
      </c>
      <c r="T123" s="6" t="s">
        <v>49</v>
      </c>
      <c r="U123" s="6" t="s">
        <v>53</v>
      </c>
    </row>
    <row r="124" spans="1:21" x14ac:dyDescent="0.2">
      <c r="A124" s="6" t="s">
        <v>1066</v>
      </c>
      <c r="B124" s="6" t="s">
        <v>1069</v>
      </c>
      <c r="C124" s="6" t="s">
        <v>57</v>
      </c>
      <c r="D124" s="6" t="s">
        <v>54</v>
      </c>
      <c r="E124" s="6" t="s">
        <v>184</v>
      </c>
      <c r="F124" s="6" t="s">
        <v>1836</v>
      </c>
      <c r="G124" s="6" t="s">
        <v>1837</v>
      </c>
      <c r="H124" s="6" t="s">
        <v>1838</v>
      </c>
      <c r="I124" s="6" t="s">
        <v>55</v>
      </c>
      <c r="J124" s="6" t="s">
        <v>56</v>
      </c>
      <c r="K124" s="5" t="s">
        <v>5310</v>
      </c>
      <c r="L124" s="6" t="s">
        <v>52</v>
      </c>
      <c r="M124" s="6" t="s">
        <v>1839</v>
      </c>
      <c r="N124" s="6" t="s">
        <v>184</v>
      </c>
      <c r="O124" s="17">
        <v>43411</v>
      </c>
      <c r="P124" s="5" t="s">
        <v>5249</v>
      </c>
      <c r="Q124" s="17">
        <v>45784</v>
      </c>
      <c r="R124" s="6" t="s">
        <v>173</v>
      </c>
      <c r="S124" s="6" t="s">
        <v>189</v>
      </c>
      <c r="T124" s="6" t="s">
        <v>115</v>
      </c>
      <c r="U124" s="6" t="s">
        <v>53</v>
      </c>
    </row>
    <row r="125" spans="1:21" x14ac:dyDescent="0.2">
      <c r="A125" s="6" t="s">
        <v>1431</v>
      </c>
      <c r="B125" s="6" t="s">
        <v>1434</v>
      </c>
      <c r="C125" s="6" t="s">
        <v>57</v>
      </c>
      <c r="D125" s="6" t="s">
        <v>54</v>
      </c>
      <c r="E125" s="6" t="s">
        <v>367</v>
      </c>
      <c r="F125" s="6" t="s">
        <v>1861</v>
      </c>
      <c r="G125" s="6" t="s">
        <v>1862</v>
      </c>
      <c r="H125" s="6" t="s">
        <v>1863</v>
      </c>
      <c r="I125" s="6" t="s">
        <v>55</v>
      </c>
      <c r="J125" s="6" t="s">
        <v>56</v>
      </c>
      <c r="K125" s="5">
        <v>59726500</v>
      </c>
      <c r="L125" s="6" t="s">
        <v>52</v>
      </c>
      <c r="M125" s="6" t="s">
        <v>173</v>
      </c>
      <c r="N125" s="6" t="s">
        <v>367</v>
      </c>
      <c r="O125" s="17">
        <v>43410</v>
      </c>
      <c r="P125" s="62">
        <v>3845</v>
      </c>
      <c r="Q125" s="17">
        <v>47063</v>
      </c>
      <c r="R125" s="6" t="s">
        <v>173</v>
      </c>
      <c r="S125" s="6" t="s">
        <v>54</v>
      </c>
      <c r="T125" s="6" t="s">
        <v>49</v>
      </c>
      <c r="U125" s="6" t="s">
        <v>609</v>
      </c>
    </row>
    <row r="126" spans="1:21" x14ac:dyDescent="0.2">
      <c r="A126" s="6" t="s">
        <v>1066</v>
      </c>
      <c r="B126" s="6" t="s">
        <v>1069</v>
      </c>
      <c r="C126" s="6" t="s">
        <v>57</v>
      </c>
      <c r="D126" s="6" t="s">
        <v>54</v>
      </c>
      <c r="E126" s="6" t="s">
        <v>184</v>
      </c>
      <c r="F126" s="6" t="s">
        <v>1841</v>
      </c>
      <c r="G126" s="6" t="s">
        <v>1842</v>
      </c>
      <c r="H126" s="6" t="s">
        <v>1843</v>
      </c>
      <c r="I126" s="6" t="s">
        <v>55</v>
      </c>
      <c r="J126" s="6" t="s">
        <v>56</v>
      </c>
      <c r="K126" s="5" t="s">
        <v>5226</v>
      </c>
      <c r="L126" s="6" t="s">
        <v>52</v>
      </c>
      <c r="M126" s="6" t="s">
        <v>1839</v>
      </c>
      <c r="N126" s="6" t="s">
        <v>184</v>
      </c>
      <c r="O126" s="17">
        <v>43411</v>
      </c>
      <c r="P126" s="5" t="s">
        <v>5246</v>
      </c>
      <c r="Q126" s="17">
        <v>44688</v>
      </c>
      <c r="R126" s="6" t="s">
        <v>173</v>
      </c>
      <c r="S126" s="6" t="s">
        <v>189</v>
      </c>
      <c r="T126" s="6" t="s">
        <v>115</v>
      </c>
      <c r="U126" s="6" t="s">
        <v>53</v>
      </c>
    </row>
    <row r="127" spans="1:21" x14ac:dyDescent="0.2">
      <c r="A127" s="6" t="s">
        <v>1066</v>
      </c>
      <c r="B127" s="6" t="s">
        <v>1069</v>
      </c>
      <c r="C127" s="6" t="s">
        <v>57</v>
      </c>
      <c r="D127" s="6" t="s">
        <v>54</v>
      </c>
      <c r="E127" s="6" t="s">
        <v>184</v>
      </c>
      <c r="F127" s="6" t="s">
        <v>1845</v>
      </c>
      <c r="G127" s="6" t="s">
        <v>1846</v>
      </c>
      <c r="H127" s="6" t="s">
        <v>1847</v>
      </c>
      <c r="I127" s="6" t="s">
        <v>55</v>
      </c>
      <c r="J127" s="6" t="s">
        <v>56</v>
      </c>
      <c r="K127" s="5" t="s">
        <v>5311</v>
      </c>
      <c r="L127" s="6" t="s">
        <v>52</v>
      </c>
      <c r="M127" s="6" t="s">
        <v>1775</v>
      </c>
      <c r="N127" s="6" t="s">
        <v>184</v>
      </c>
      <c r="O127" s="17">
        <v>43411</v>
      </c>
      <c r="P127" s="5" t="s">
        <v>5230</v>
      </c>
      <c r="Q127" s="17">
        <v>47064</v>
      </c>
      <c r="R127" s="6" t="s">
        <v>173</v>
      </c>
      <c r="S127" s="6" t="s">
        <v>189</v>
      </c>
      <c r="T127" s="6" t="s">
        <v>115</v>
      </c>
      <c r="U127" s="6" t="s">
        <v>53</v>
      </c>
    </row>
    <row r="128" spans="1:21" x14ac:dyDescent="0.2">
      <c r="A128" s="6" t="s">
        <v>1198</v>
      </c>
      <c r="B128" s="6" t="s">
        <v>1201</v>
      </c>
      <c r="C128" s="6" t="s">
        <v>71</v>
      </c>
      <c r="D128" s="6" t="s">
        <v>54</v>
      </c>
      <c r="E128" s="6" t="s">
        <v>1202</v>
      </c>
      <c r="F128" s="6" t="s">
        <v>2942</v>
      </c>
      <c r="G128" s="6" t="s">
        <v>2943</v>
      </c>
      <c r="H128" s="6" t="s">
        <v>2944</v>
      </c>
      <c r="I128" s="6" t="s">
        <v>55</v>
      </c>
      <c r="J128" s="6" t="s">
        <v>56</v>
      </c>
      <c r="K128" s="5" t="s">
        <v>5312</v>
      </c>
      <c r="L128" s="6" t="s">
        <v>52</v>
      </c>
      <c r="M128" s="6" t="s">
        <v>173</v>
      </c>
      <c r="N128" s="6" t="s">
        <v>1202</v>
      </c>
      <c r="O128" s="17">
        <v>43432</v>
      </c>
      <c r="P128" s="5" t="s">
        <v>5274</v>
      </c>
      <c r="Q128" s="17">
        <v>44893</v>
      </c>
      <c r="R128" s="6" t="s">
        <v>173</v>
      </c>
      <c r="S128" s="6" t="s">
        <v>54</v>
      </c>
      <c r="T128" s="6" t="s">
        <v>49</v>
      </c>
      <c r="U128" s="6" t="s">
        <v>53</v>
      </c>
    </row>
    <row r="129" spans="1:21" x14ac:dyDescent="0.2">
      <c r="A129" s="6" t="s">
        <v>1075</v>
      </c>
      <c r="B129" s="6" t="s">
        <v>1078</v>
      </c>
      <c r="C129" s="6" t="s">
        <v>71</v>
      </c>
      <c r="D129" s="6" t="s">
        <v>54</v>
      </c>
      <c r="E129" s="6" t="s">
        <v>184</v>
      </c>
      <c r="F129" s="6" t="s">
        <v>2560</v>
      </c>
      <c r="G129" s="6" t="s">
        <v>173</v>
      </c>
      <c r="H129" s="6" t="s">
        <v>2561</v>
      </c>
      <c r="I129" s="6" t="s">
        <v>884</v>
      </c>
      <c r="J129" s="6" t="s">
        <v>70</v>
      </c>
      <c r="K129" s="5" t="s">
        <v>5313</v>
      </c>
      <c r="L129" s="6" t="s">
        <v>52</v>
      </c>
      <c r="M129" s="6" t="s">
        <v>2562</v>
      </c>
      <c r="N129" s="6" t="s">
        <v>184</v>
      </c>
      <c r="O129" s="17">
        <v>43454</v>
      </c>
      <c r="P129" s="5">
        <v>0</v>
      </c>
      <c r="Q129" s="17">
        <v>44915</v>
      </c>
      <c r="R129" s="6" t="s">
        <v>161</v>
      </c>
      <c r="S129" s="6" t="s">
        <v>54</v>
      </c>
      <c r="T129" s="6" t="s">
        <v>49</v>
      </c>
      <c r="U129" s="6" t="s">
        <v>53</v>
      </c>
    </row>
    <row r="130" spans="1:21" x14ac:dyDescent="0.2">
      <c r="A130" s="6" t="s">
        <v>1075</v>
      </c>
      <c r="B130" s="6" t="s">
        <v>1078</v>
      </c>
      <c r="C130" s="6" t="s">
        <v>71</v>
      </c>
      <c r="D130" s="6" t="s">
        <v>54</v>
      </c>
      <c r="E130" s="6" t="s">
        <v>184</v>
      </c>
      <c r="F130" s="6" t="s">
        <v>2564</v>
      </c>
      <c r="G130" s="6" t="s">
        <v>173</v>
      </c>
      <c r="H130" s="6" t="s">
        <v>2565</v>
      </c>
      <c r="I130" s="6" t="s">
        <v>884</v>
      </c>
      <c r="J130" s="6" t="s">
        <v>70</v>
      </c>
      <c r="K130" s="5" t="s">
        <v>5314</v>
      </c>
      <c r="L130" s="6" t="s">
        <v>52</v>
      </c>
      <c r="M130" s="6" t="s">
        <v>2562</v>
      </c>
      <c r="N130" s="6" t="s">
        <v>184</v>
      </c>
      <c r="O130" s="17">
        <v>43454</v>
      </c>
      <c r="P130" s="5">
        <v>0</v>
      </c>
      <c r="Q130" s="17">
        <v>45646</v>
      </c>
      <c r="R130" s="6" t="s">
        <v>157</v>
      </c>
      <c r="S130" s="6" t="s">
        <v>54</v>
      </c>
      <c r="T130" s="6" t="s">
        <v>49</v>
      </c>
      <c r="U130" s="6" t="s">
        <v>53</v>
      </c>
    </row>
    <row r="131" spans="1:21" x14ac:dyDescent="0.2">
      <c r="A131" s="6" t="s">
        <v>1075</v>
      </c>
      <c r="B131" s="6" t="s">
        <v>1078</v>
      </c>
      <c r="C131" s="6" t="s">
        <v>391</v>
      </c>
      <c r="D131" s="6" t="s">
        <v>54</v>
      </c>
      <c r="E131" s="6" t="s">
        <v>184</v>
      </c>
      <c r="F131" s="6" t="s">
        <v>2567</v>
      </c>
      <c r="G131" s="6" t="s">
        <v>173</v>
      </c>
      <c r="H131" s="6" t="s">
        <v>2568</v>
      </c>
      <c r="I131" s="6" t="s">
        <v>884</v>
      </c>
      <c r="J131" s="6" t="s">
        <v>70</v>
      </c>
      <c r="K131" s="5" t="s">
        <v>5315</v>
      </c>
      <c r="L131" s="6" t="s">
        <v>52</v>
      </c>
      <c r="M131" s="6" t="s">
        <v>2562</v>
      </c>
      <c r="N131" s="6" t="s">
        <v>184</v>
      </c>
      <c r="O131" s="17">
        <v>43454</v>
      </c>
      <c r="P131" s="5">
        <v>0</v>
      </c>
      <c r="Q131" s="17">
        <v>45280</v>
      </c>
      <c r="R131" s="6" t="s">
        <v>76</v>
      </c>
      <c r="S131" s="6" t="s">
        <v>54</v>
      </c>
      <c r="T131" s="6" t="s">
        <v>49</v>
      </c>
      <c r="U131" s="6" t="s">
        <v>262</v>
      </c>
    </row>
    <row r="132" spans="1:21" x14ac:dyDescent="0.2">
      <c r="A132" s="6" t="s">
        <v>1486</v>
      </c>
      <c r="B132" s="6" t="s">
        <v>1489</v>
      </c>
      <c r="C132" s="6" t="s">
        <v>57</v>
      </c>
      <c r="D132" s="6" t="s">
        <v>54</v>
      </c>
      <c r="E132" s="6" t="s">
        <v>184</v>
      </c>
      <c r="F132" s="6" t="s">
        <v>2263</v>
      </c>
      <c r="G132" s="6" t="s">
        <v>2264</v>
      </c>
      <c r="H132" s="6" t="s">
        <v>2265</v>
      </c>
      <c r="I132" s="6" t="s">
        <v>117</v>
      </c>
      <c r="J132" s="6" t="s">
        <v>56</v>
      </c>
      <c r="K132" s="5" t="s">
        <v>5244</v>
      </c>
      <c r="L132" s="6" t="s">
        <v>52</v>
      </c>
      <c r="M132" s="6" t="s">
        <v>1770</v>
      </c>
      <c r="N132" s="6" t="s">
        <v>184</v>
      </c>
      <c r="O132" s="17">
        <v>43438</v>
      </c>
      <c r="P132" s="5" t="s">
        <v>5249</v>
      </c>
      <c r="Q132" s="17">
        <v>46146</v>
      </c>
      <c r="R132" s="6" t="s">
        <v>225</v>
      </c>
      <c r="S132" s="6" t="s">
        <v>189</v>
      </c>
      <c r="T132" s="6" t="s">
        <v>115</v>
      </c>
      <c r="U132" s="6" t="s">
        <v>53</v>
      </c>
    </row>
    <row r="133" spans="1:21" x14ac:dyDescent="0.2">
      <c r="A133" s="6" t="s">
        <v>670</v>
      </c>
      <c r="B133" s="6" t="s">
        <v>673</v>
      </c>
      <c r="C133" s="6" t="s">
        <v>57</v>
      </c>
      <c r="D133" s="6" t="s">
        <v>54</v>
      </c>
      <c r="E133" s="6" t="s">
        <v>184</v>
      </c>
      <c r="F133" s="6" t="s">
        <v>2370</v>
      </c>
      <c r="G133" s="6" t="s">
        <v>2371</v>
      </c>
      <c r="H133" s="6" t="s">
        <v>2372</v>
      </c>
      <c r="I133" s="6" t="s">
        <v>420</v>
      </c>
      <c r="J133" s="6" t="s">
        <v>56</v>
      </c>
      <c r="K133" s="5" t="s">
        <v>5316</v>
      </c>
      <c r="L133" s="6" t="s">
        <v>52</v>
      </c>
      <c r="M133" s="6" t="s">
        <v>1770</v>
      </c>
      <c r="N133" s="6" t="s">
        <v>184</v>
      </c>
      <c r="O133" s="17">
        <v>43440</v>
      </c>
      <c r="P133" s="62">
        <v>1875</v>
      </c>
      <c r="Q133" s="17">
        <v>46087</v>
      </c>
      <c r="R133" s="6" t="s">
        <v>173</v>
      </c>
      <c r="S133" s="6" t="s">
        <v>189</v>
      </c>
      <c r="T133" s="6" t="s">
        <v>115</v>
      </c>
      <c r="U133" s="6" t="s">
        <v>53</v>
      </c>
    </row>
    <row r="134" spans="1:21" x14ac:dyDescent="0.2">
      <c r="A134" s="6" t="s">
        <v>1335</v>
      </c>
      <c r="B134" s="6" t="s">
        <v>1338</v>
      </c>
      <c r="C134" s="6" t="s">
        <v>71</v>
      </c>
      <c r="D134" s="62">
        <v>1995</v>
      </c>
      <c r="E134" s="6" t="s">
        <v>1339</v>
      </c>
      <c r="F134" s="6" t="s">
        <v>2323</v>
      </c>
      <c r="G134" s="6" t="s">
        <v>2324</v>
      </c>
      <c r="H134" s="6" t="s">
        <v>2325</v>
      </c>
      <c r="I134" s="6" t="s">
        <v>55</v>
      </c>
      <c r="J134" s="6" t="s">
        <v>56</v>
      </c>
      <c r="K134" s="5">
        <v>26519910</v>
      </c>
      <c r="L134" s="6" t="s">
        <v>52</v>
      </c>
      <c r="M134" s="6" t="s">
        <v>1775</v>
      </c>
      <c r="N134" s="6" t="s">
        <v>169</v>
      </c>
      <c r="O134" s="17">
        <v>43444</v>
      </c>
      <c r="P134" s="62">
        <v>1995</v>
      </c>
      <c r="Q134" s="17">
        <v>47095</v>
      </c>
      <c r="R134" s="6" t="s">
        <v>225</v>
      </c>
      <c r="S134" s="6" t="s">
        <v>174</v>
      </c>
      <c r="T134" s="6" t="s">
        <v>49</v>
      </c>
      <c r="U134" s="6" t="s">
        <v>975</v>
      </c>
    </row>
    <row r="135" spans="1:21" x14ac:dyDescent="0.2">
      <c r="A135" s="6" t="s">
        <v>476</v>
      </c>
      <c r="B135" s="6" t="s">
        <v>479</v>
      </c>
      <c r="C135" s="6" t="s">
        <v>57</v>
      </c>
      <c r="D135" s="6" t="s">
        <v>54</v>
      </c>
      <c r="E135" s="6" t="s">
        <v>45</v>
      </c>
      <c r="F135" s="6" t="s">
        <v>1924</v>
      </c>
      <c r="G135" s="6" t="s">
        <v>1925</v>
      </c>
      <c r="H135" s="6" t="s">
        <v>1926</v>
      </c>
      <c r="I135" s="6" t="s">
        <v>55</v>
      </c>
      <c r="J135" s="6" t="s">
        <v>56</v>
      </c>
      <c r="K135" s="5">
        <v>11376700</v>
      </c>
      <c r="L135" s="6" t="s">
        <v>458</v>
      </c>
      <c r="M135" s="6" t="s">
        <v>173</v>
      </c>
      <c r="N135" s="6" t="s">
        <v>45</v>
      </c>
      <c r="O135" s="17">
        <v>43446</v>
      </c>
      <c r="P135" s="5" t="s">
        <v>5317</v>
      </c>
      <c r="Q135" s="17">
        <v>47099</v>
      </c>
      <c r="R135" s="6">
        <v>212</v>
      </c>
      <c r="S135" s="6" t="s">
        <v>189</v>
      </c>
      <c r="T135" s="6" t="s">
        <v>49</v>
      </c>
      <c r="U135" s="6" t="s">
        <v>53</v>
      </c>
    </row>
    <row r="136" spans="1:21" x14ac:dyDescent="0.2">
      <c r="A136" s="6" t="s">
        <v>180</v>
      </c>
      <c r="B136" s="6" t="s">
        <v>183</v>
      </c>
      <c r="C136" s="6" t="s">
        <v>57</v>
      </c>
      <c r="D136" s="6" t="s">
        <v>54</v>
      </c>
      <c r="E136" s="6" t="s">
        <v>185</v>
      </c>
      <c r="F136" s="6" t="s">
        <v>3168</v>
      </c>
      <c r="G136" s="6" t="s">
        <v>3169</v>
      </c>
      <c r="H136" s="6" t="s">
        <v>3170</v>
      </c>
      <c r="I136" s="6" t="s">
        <v>133</v>
      </c>
      <c r="J136" s="6" t="s">
        <v>56</v>
      </c>
      <c r="K136" s="5" t="s">
        <v>5318</v>
      </c>
      <c r="L136" s="6" t="s">
        <v>52</v>
      </c>
      <c r="M136" s="6" t="s">
        <v>1770</v>
      </c>
      <c r="N136" s="6" t="s">
        <v>184</v>
      </c>
      <c r="O136" s="17">
        <v>43480</v>
      </c>
      <c r="P136" s="5" t="s">
        <v>5225</v>
      </c>
      <c r="Q136" s="17">
        <v>46767</v>
      </c>
      <c r="R136" s="6" t="s">
        <v>225</v>
      </c>
      <c r="S136" s="6" t="s">
        <v>189</v>
      </c>
      <c r="T136" s="6" t="s">
        <v>115</v>
      </c>
      <c r="U136" s="6" t="s">
        <v>53</v>
      </c>
    </row>
    <row r="137" spans="1:21" x14ac:dyDescent="0.2">
      <c r="A137" s="6" t="s">
        <v>1157</v>
      </c>
      <c r="B137" s="6" t="s">
        <v>1160</v>
      </c>
      <c r="C137" s="6" t="s">
        <v>57</v>
      </c>
      <c r="D137" s="6" t="s">
        <v>54</v>
      </c>
      <c r="E137" s="6" t="s">
        <v>184</v>
      </c>
      <c r="F137" s="6" t="s">
        <v>1794</v>
      </c>
      <c r="G137" s="6" t="s">
        <v>1795</v>
      </c>
      <c r="H137" s="6" t="s">
        <v>1796</v>
      </c>
      <c r="I137" s="6" t="s">
        <v>117</v>
      </c>
      <c r="J137" s="6" t="s">
        <v>56</v>
      </c>
      <c r="K137" s="5" t="s">
        <v>5319</v>
      </c>
      <c r="L137" s="6" t="s">
        <v>52</v>
      </c>
      <c r="M137" s="6" t="s">
        <v>1775</v>
      </c>
      <c r="N137" s="6" t="s">
        <v>184</v>
      </c>
      <c r="O137" s="17">
        <v>43500</v>
      </c>
      <c r="P137" s="5">
        <v>3</v>
      </c>
      <c r="Q137" s="17">
        <v>46057</v>
      </c>
      <c r="R137" s="6" t="s">
        <v>173</v>
      </c>
      <c r="S137" s="6" t="s">
        <v>263</v>
      </c>
      <c r="T137" s="6" t="s">
        <v>115</v>
      </c>
      <c r="U137" s="6" t="s">
        <v>53</v>
      </c>
    </row>
    <row r="138" spans="1:21" x14ac:dyDescent="0.2">
      <c r="A138" s="6" t="s">
        <v>476</v>
      </c>
      <c r="B138" s="6" t="s">
        <v>479</v>
      </c>
      <c r="C138" s="6" t="s">
        <v>57</v>
      </c>
      <c r="D138" s="6" t="s">
        <v>54</v>
      </c>
      <c r="E138" s="6" t="s">
        <v>45</v>
      </c>
      <c r="F138" s="6" t="s">
        <v>1928</v>
      </c>
      <c r="G138" s="6" t="s">
        <v>1929</v>
      </c>
      <c r="H138" s="6" t="s">
        <v>1930</v>
      </c>
      <c r="I138" s="6" t="s">
        <v>55</v>
      </c>
      <c r="J138" s="6" t="s">
        <v>56</v>
      </c>
      <c r="K138" s="5" t="s">
        <v>5313</v>
      </c>
      <c r="L138" s="6" t="s">
        <v>482</v>
      </c>
      <c r="M138" s="6" t="s">
        <v>173</v>
      </c>
      <c r="N138" s="6" t="s">
        <v>45</v>
      </c>
      <c r="O138" s="17">
        <v>43501</v>
      </c>
      <c r="P138" s="5">
        <v>1</v>
      </c>
      <c r="Q138" s="17">
        <v>46058</v>
      </c>
      <c r="R138" s="6" t="s">
        <v>225</v>
      </c>
      <c r="S138" s="6" t="s">
        <v>483</v>
      </c>
      <c r="T138" s="6" t="s">
        <v>49</v>
      </c>
      <c r="U138" s="6" t="s">
        <v>53</v>
      </c>
    </row>
    <row r="139" spans="1:21" x14ac:dyDescent="0.2">
      <c r="A139" s="6" t="s">
        <v>1359</v>
      </c>
      <c r="B139" s="6" t="s">
        <v>1362</v>
      </c>
      <c r="C139" s="6" t="s">
        <v>57</v>
      </c>
      <c r="D139" s="6" t="s">
        <v>54</v>
      </c>
      <c r="E139" s="6" t="s">
        <v>199</v>
      </c>
      <c r="F139" s="6" t="s">
        <v>3224</v>
      </c>
      <c r="G139" s="6" t="s">
        <v>3225</v>
      </c>
      <c r="H139" s="6" t="s">
        <v>3226</v>
      </c>
      <c r="I139" s="6" t="s">
        <v>117</v>
      </c>
      <c r="J139" s="6" t="s">
        <v>56</v>
      </c>
      <c r="K139" s="5" t="s">
        <v>5316</v>
      </c>
      <c r="L139" s="6" t="s">
        <v>52</v>
      </c>
      <c r="M139" s="6" t="s">
        <v>173</v>
      </c>
      <c r="N139" s="6" t="s">
        <v>199</v>
      </c>
      <c r="O139" s="17">
        <v>43524</v>
      </c>
      <c r="P139" s="5" t="s">
        <v>5228</v>
      </c>
      <c r="Q139" s="17">
        <v>45897</v>
      </c>
      <c r="R139" s="6" t="s">
        <v>225</v>
      </c>
      <c r="S139" s="6" t="s">
        <v>174</v>
      </c>
      <c r="T139" s="6" t="s">
        <v>115</v>
      </c>
      <c r="U139" s="6" t="s">
        <v>53</v>
      </c>
    </row>
    <row r="140" spans="1:21" x14ac:dyDescent="0.2">
      <c r="A140" s="6" t="s">
        <v>1335</v>
      </c>
      <c r="B140" s="6" t="s">
        <v>1338</v>
      </c>
      <c r="C140" s="6" t="s">
        <v>57</v>
      </c>
      <c r="D140" s="5" t="s">
        <v>5320</v>
      </c>
      <c r="E140" s="6" t="s">
        <v>1339</v>
      </c>
      <c r="F140" s="6" t="s">
        <v>2327</v>
      </c>
      <c r="G140" s="6" t="s">
        <v>2328</v>
      </c>
      <c r="H140" s="6" t="s">
        <v>2329</v>
      </c>
      <c r="I140" s="6" t="s">
        <v>55</v>
      </c>
      <c r="J140" s="6" t="s">
        <v>56</v>
      </c>
      <c r="K140" s="5">
        <v>57335400</v>
      </c>
      <c r="L140" s="6" t="s">
        <v>52</v>
      </c>
      <c r="M140" s="6" t="s">
        <v>173</v>
      </c>
      <c r="N140" s="6" t="s">
        <v>169</v>
      </c>
      <c r="O140" s="17">
        <v>43508</v>
      </c>
      <c r="P140" s="5" t="s">
        <v>5320</v>
      </c>
      <c r="Q140" s="17">
        <v>45334</v>
      </c>
      <c r="R140" s="6" t="s">
        <v>225</v>
      </c>
      <c r="S140" s="6" t="s">
        <v>174</v>
      </c>
      <c r="T140" s="6" t="s">
        <v>49</v>
      </c>
      <c r="U140" s="6" t="s">
        <v>2330</v>
      </c>
    </row>
    <row r="141" spans="1:21" x14ac:dyDescent="0.2">
      <c r="A141" s="6" t="s">
        <v>1335</v>
      </c>
      <c r="B141" s="6" t="s">
        <v>1338</v>
      </c>
      <c r="C141" s="6" t="s">
        <v>57</v>
      </c>
      <c r="D141" s="6" t="s">
        <v>54</v>
      </c>
      <c r="E141" s="6" t="s">
        <v>1339</v>
      </c>
      <c r="F141" s="6" t="s">
        <v>2332</v>
      </c>
      <c r="G141" s="6" t="s">
        <v>173</v>
      </c>
      <c r="H141" s="6" t="s">
        <v>2333</v>
      </c>
      <c r="I141" s="6" t="s">
        <v>55</v>
      </c>
      <c r="J141" s="6" t="s">
        <v>56</v>
      </c>
      <c r="K141" s="5" t="s">
        <v>5321</v>
      </c>
      <c r="L141" s="6" t="s">
        <v>52</v>
      </c>
      <c r="M141" s="6" t="s">
        <v>1775</v>
      </c>
      <c r="N141" s="6" t="s">
        <v>169</v>
      </c>
      <c r="O141" s="17">
        <v>43545</v>
      </c>
      <c r="P141" s="62">
        <v>2696</v>
      </c>
      <c r="Q141" s="17">
        <v>46467</v>
      </c>
      <c r="R141" s="6" t="s">
        <v>1035</v>
      </c>
      <c r="S141" s="6" t="s">
        <v>54</v>
      </c>
      <c r="T141" s="6" t="s">
        <v>49</v>
      </c>
      <c r="U141" s="6" t="s">
        <v>53</v>
      </c>
    </row>
    <row r="142" spans="1:21" x14ac:dyDescent="0.2">
      <c r="A142" s="6" t="s">
        <v>1431</v>
      </c>
      <c r="B142" s="6" t="s">
        <v>1434</v>
      </c>
      <c r="C142" s="6" t="s">
        <v>57</v>
      </c>
      <c r="D142" s="6" t="s">
        <v>54</v>
      </c>
      <c r="E142" s="6" t="s">
        <v>367</v>
      </c>
      <c r="F142" s="6" t="s">
        <v>1865</v>
      </c>
      <c r="G142" s="6" t="s">
        <v>1866</v>
      </c>
      <c r="H142" s="6" t="s">
        <v>1867</v>
      </c>
      <c r="I142" s="6" t="s">
        <v>55</v>
      </c>
      <c r="J142" s="6" t="s">
        <v>56</v>
      </c>
      <c r="K142" s="5">
        <v>58293500</v>
      </c>
      <c r="L142" s="6" t="s">
        <v>52</v>
      </c>
      <c r="M142" s="6" t="s">
        <v>1770</v>
      </c>
      <c r="N142" s="6" t="s">
        <v>367</v>
      </c>
      <c r="O142" s="17">
        <v>43522</v>
      </c>
      <c r="P142" s="62">
        <v>3225</v>
      </c>
      <c r="Q142" s="17">
        <v>45348</v>
      </c>
      <c r="R142" s="6" t="s">
        <v>685</v>
      </c>
      <c r="S142" s="6" t="s">
        <v>54</v>
      </c>
      <c r="T142" s="6" t="s">
        <v>49</v>
      </c>
      <c r="U142" s="6" t="s">
        <v>609</v>
      </c>
    </row>
    <row r="143" spans="1:21" x14ac:dyDescent="0.2">
      <c r="A143" s="6" t="s">
        <v>813</v>
      </c>
      <c r="B143" s="6" t="s">
        <v>816</v>
      </c>
      <c r="C143" s="6" t="s">
        <v>71</v>
      </c>
      <c r="D143" s="6" t="s">
        <v>54</v>
      </c>
      <c r="E143" s="6" t="s">
        <v>184</v>
      </c>
      <c r="F143" s="6" t="s">
        <v>3438</v>
      </c>
      <c r="G143" s="6" t="s">
        <v>173</v>
      </c>
      <c r="H143" s="6" t="s">
        <v>3439</v>
      </c>
      <c r="I143" s="6" t="s">
        <v>133</v>
      </c>
      <c r="J143" s="6" t="s">
        <v>70</v>
      </c>
      <c r="K143" s="5" t="s">
        <v>5322</v>
      </c>
      <c r="L143" s="6" t="s">
        <v>52</v>
      </c>
      <c r="M143" s="6" t="s">
        <v>173</v>
      </c>
      <c r="N143" s="6" t="s">
        <v>184</v>
      </c>
      <c r="O143" s="17">
        <v>43564</v>
      </c>
      <c r="P143" s="62">
        <v>795</v>
      </c>
      <c r="Q143" s="17">
        <v>45756</v>
      </c>
      <c r="R143" s="6" t="s">
        <v>1096</v>
      </c>
      <c r="S143" s="6" t="s">
        <v>54</v>
      </c>
      <c r="T143" s="6" t="s">
        <v>49</v>
      </c>
      <c r="U143" s="6" t="s">
        <v>53</v>
      </c>
    </row>
    <row r="144" spans="1:21" x14ac:dyDescent="0.2">
      <c r="A144" s="6" t="s">
        <v>813</v>
      </c>
      <c r="B144" s="6" t="s">
        <v>816</v>
      </c>
      <c r="C144" s="6" t="s">
        <v>71</v>
      </c>
      <c r="D144" s="6" t="s">
        <v>54</v>
      </c>
      <c r="E144" s="6" t="s">
        <v>184</v>
      </c>
      <c r="F144" s="6" t="s">
        <v>3441</v>
      </c>
      <c r="G144" s="6" t="s">
        <v>173</v>
      </c>
      <c r="H144" s="6" t="s">
        <v>3442</v>
      </c>
      <c r="I144" s="6" t="s">
        <v>133</v>
      </c>
      <c r="J144" s="6" t="s">
        <v>70</v>
      </c>
      <c r="K144" s="5" t="s">
        <v>5322</v>
      </c>
      <c r="L144" s="6" t="s">
        <v>52</v>
      </c>
      <c r="M144" s="6" t="s">
        <v>173</v>
      </c>
      <c r="N144" s="6" t="s">
        <v>184</v>
      </c>
      <c r="O144" s="17">
        <v>43564</v>
      </c>
      <c r="P144" s="62">
        <v>595</v>
      </c>
      <c r="Q144" s="17">
        <v>45025</v>
      </c>
      <c r="R144" s="6" t="s">
        <v>1087</v>
      </c>
      <c r="S144" s="6" t="s">
        <v>54</v>
      </c>
      <c r="T144" s="6" t="s">
        <v>49</v>
      </c>
      <c r="U144" s="6" t="s">
        <v>53</v>
      </c>
    </row>
    <row r="145" spans="1:21" x14ac:dyDescent="0.2">
      <c r="A145" s="6" t="s">
        <v>1518</v>
      </c>
      <c r="B145" s="6" t="s">
        <v>1521</v>
      </c>
      <c r="C145" s="6" t="s">
        <v>57</v>
      </c>
      <c r="D145" s="6" t="s">
        <v>54</v>
      </c>
      <c r="E145" s="6" t="s">
        <v>184</v>
      </c>
      <c r="F145" s="6" t="s">
        <v>3103</v>
      </c>
      <c r="G145" s="6" t="s">
        <v>3104</v>
      </c>
      <c r="H145" s="6" t="s">
        <v>3105</v>
      </c>
      <c r="I145" s="6" t="s">
        <v>117</v>
      </c>
      <c r="J145" s="6" t="s">
        <v>56</v>
      </c>
      <c r="K145" s="5" t="s">
        <v>5323</v>
      </c>
      <c r="L145" s="6" t="s">
        <v>52</v>
      </c>
      <c r="M145" s="6" t="s">
        <v>1770</v>
      </c>
      <c r="N145" s="6" t="s">
        <v>184</v>
      </c>
      <c r="O145" s="17">
        <v>43545</v>
      </c>
      <c r="P145" s="62">
        <v>875</v>
      </c>
      <c r="Q145" s="17">
        <v>47198</v>
      </c>
      <c r="R145" s="6" t="s">
        <v>225</v>
      </c>
      <c r="S145" s="6" t="s">
        <v>483</v>
      </c>
      <c r="T145" s="6" t="s">
        <v>115</v>
      </c>
      <c r="U145" s="6" t="s">
        <v>53</v>
      </c>
    </row>
    <row r="146" spans="1:21" x14ac:dyDescent="0.2">
      <c r="A146" s="6" t="s">
        <v>1518</v>
      </c>
      <c r="B146" s="6" t="s">
        <v>1521</v>
      </c>
      <c r="C146" s="6" t="s">
        <v>57</v>
      </c>
      <c r="D146" s="6" t="s">
        <v>54</v>
      </c>
      <c r="E146" s="6" t="s">
        <v>184</v>
      </c>
      <c r="F146" s="6" t="s">
        <v>3107</v>
      </c>
      <c r="G146" s="6" t="s">
        <v>3108</v>
      </c>
      <c r="H146" s="6" t="s">
        <v>3109</v>
      </c>
      <c r="I146" s="6" t="s">
        <v>117</v>
      </c>
      <c r="J146" s="6" t="s">
        <v>56</v>
      </c>
      <c r="K146" s="5" t="s">
        <v>5324</v>
      </c>
      <c r="L146" s="6" t="s">
        <v>52</v>
      </c>
      <c r="M146" s="6" t="s">
        <v>1770</v>
      </c>
      <c r="N146" s="6" t="s">
        <v>184</v>
      </c>
      <c r="O146" s="17">
        <v>43545</v>
      </c>
      <c r="P146" s="5" t="s">
        <v>5228</v>
      </c>
      <c r="Q146" s="17">
        <v>49024</v>
      </c>
      <c r="R146" s="6" t="s">
        <v>225</v>
      </c>
      <c r="S146" s="6" t="s">
        <v>483</v>
      </c>
      <c r="T146" s="6" t="s">
        <v>115</v>
      </c>
      <c r="U146" s="6" t="s">
        <v>53</v>
      </c>
    </row>
    <row r="147" spans="1:21" x14ac:dyDescent="0.2">
      <c r="A147" s="6" t="s">
        <v>1075</v>
      </c>
      <c r="B147" s="6" t="s">
        <v>1078</v>
      </c>
      <c r="C147" s="6" t="s">
        <v>71</v>
      </c>
      <c r="D147" s="64">
        <v>4.2664999999999997</v>
      </c>
      <c r="E147" s="6" t="s">
        <v>184</v>
      </c>
      <c r="F147" s="6" t="s">
        <v>2570</v>
      </c>
      <c r="G147" s="6" t="s">
        <v>2571</v>
      </c>
      <c r="H147" s="6" t="s">
        <v>2572</v>
      </c>
      <c r="I147" s="6" t="s">
        <v>884</v>
      </c>
      <c r="J147" s="6" t="s">
        <v>56</v>
      </c>
      <c r="K147" s="5" t="s">
        <v>5325</v>
      </c>
      <c r="L147" s="6" t="s">
        <v>52</v>
      </c>
      <c r="M147" s="6" t="s">
        <v>1839</v>
      </c>
      <c r="N147" s="6" t="s">
        <v>184</v>
      </c>
      <c r="O147" s="17">
        <v>43551</v>
      </c>
      <c r="P147" s="62">
        <v>3125</v>
      </c>
      <c r="Q147" s="17">
        <v>46188</v>
      </c>
      <c r="R147" s="6" t="s">
        <v>173</v>
      </c>
      <c r="S147" s="6" t="s">
        <v>884</v>
      </c>
      <c r="T147" s="6" t="s">
        <v>115</v>
      </c>
      <c r="U147" s="6" t="s">
        <v>53</v>
      </c>
    </row>
    <row r="148" spans="1:21" x14ac:dyDescent="0.2">
      <c r="A148" s="6" t="s">
        <v>253</v>
      </c>
      <c r="B148" s="6" t="s">
        <v>256</v>
      </c>
      <c r="C148" s="6" t="s">
        <v>71</v>
      </c>
      <c r="D148" s="5" t="s">
        <v>5326</v>
      </c>
      <c r="E148" s="6" t="s">
        <v>258</v>
      </c>
      <c r="F148" s="6" t="s">
        <v>2830</v>
      </c>
      <c r="G148" s="6" t="s">
        <v>2831</v>
      </c>
      <c r="H148" s="6" t="s">
        <v>2832</v>
      </c>
      <c r="I148" s="6" t="s">
        <v>55</v>
      </c>
      <c r="J148" s="6" t="s">
        <v>56</v>
      </c>
      <c r="K148" s="5" t="s">
        <v>5327</v>
      </c>
      <c r="L148" s="6" t="s">
        <v>52</v>
      </c>
      <c r="M148" s="6" t="s">
        <v>1839</v>
      </c>
      <c r="N148" s="6" t="s">
        <v>257</v>
      </c>
      <c r="O148" s="17">
        <v>43558</v>
      </c>
      <c r="P148" s="5" t="s">
        <v>5257</v>
      </c>
      <c r="Q148" s="17">
        <v>47211</v>
      </c>
      <c r="R148" s="6" t="s">
        <v>261</v>
      </c>
      <c r="S148" s="6" t="s">
        <v>263</v>
      </c>
      <c r="T148" s="6" t="s">
        <v>115</v>
      </c>
      <c r="U148" s="6" t="s">
        <v>262</v>
      </c>
    </row>
    <row r="149" spans="1:21" x14ac:dyDescent="0.2">
      <c r="A149" s="6" t="s">
        <v>253</v>
      </c>
      <c r="B149" s="6" t="s">
        <v>256</v>
      </c>
      <c r="C149" s="6" t="s">
        <v>71</v>
      </c>
      <c r="D149" s="5" t="s">
        <v>5326</v>
      </c>
      <c r="E149" s="6" t="s">
        <v>258</v>
      </c>
      <c r="F149" s="6" t="s">
        <v>2834</v>
      </c>
      <c r="G149" s="6" t="s">
        <v>2835</v>
      </c>
      <c r="H149" s="6" t="s">
        <v>2836</v>
      </c>
      <c r="I149" s="6" t="s">
        <v>55</v>
      </c>
      <c r="J149" s="6" t="s">
        <v>56</v>
      </c>
      <c r="K149" s="5" t="s">
        <v>5327</v>
      </c>
      <c r="L149" s="6" t="s">
        <v>52</v>
      </c>
      <c r="M149" s="6" t="s">
        <v>1839</v>
      </c>
      <c r="N149" s="6" t="s">
        <v>257</v>
      </c>
      <c r="O149" s="17">
        <v>43558</v>
      </c>
      <c r="P149" s="5" t="s">
        <v>5257</v>
      </c>
      <c r="Q149" s="17">
        <v>47211</v>
      </c>
      <c r="R149" s="6" t="s">
        <v>270</v>
      </c>
      <c r="S149" s="6" t="s">
        <v>263</v>
      </c>
      <c r="T149" s="6" t="s">
        <v>115</v>
      </c>
      <c r="U149" s="6" t="s">
        <v>262</v>
      </c>
    </row>
    <row r="150" spans="1:21" x14ac:dyDescent="0.2">
      <c r="A150" s="6" t="s">
        <v>916</v>
      </c>
      <c r="B150" s="6" t="s">
        <v>919</v>
      </c>
      <c r="C150" s="6" t="s">
        <v>57</v>
      </c>
      <c r="D150" s="6" t="s">
        <v>54</v>
      </c>
      <c r="E150" s="6" t="s">
        <v>184</v>
      </c>
      <c r="F150" s="6" t="s">
        <v>2908</v>
      </c>
      <c r="G150" s="6" t="s">
        <v>2909</v>
      </c>
      <c r="H150" s="6" t="s">
        <v>2910</v>
      </c>
      <c r="I150" s="6" t="s">
        <v>420</v>
      </c>
      <c r="J150" s="6" t="s">
        <v>56</v>
      </c>
      <c r="K150" s="5" t="s">
        <v>5328</v>
      </c>
      <c r="L150" s="6" t="s">
        <v>52</v>
      </c>
      <c r="M150" s="6" t="s">
        <v>1770</v>
      </c>
      <c r="N150" s="6" t="s">
        <v>184</v>
      </c>
      <c r="O150" s="17">
        <v>43640</v>
      </c>
      <c r="P150" s="62">
        <v>625</v>
      </c>
      <c r="Q150" s="17">
        <v>46928</v>
      </c>
      <c r="R150" s="6" t="s">
        <v>173</v>
      </c>
      <c r="S150" s="6" t="s">
        <v>189</v>
      </c>
      <c r="T150" s="6" t="s">
        <v>115</v>
      </c>
      <c r="U150" s="6" t="s">
        <v>53</v>
      </c>
    </row>
    <row r="151" spans="1:21" x14ac:dyDescent="0.2">
      <c r="A151" s="6" t="s">
        <v>679</v>
      </c>
      <c r="B151" s="6" t="s">
        <v>682</v>
      </c>
      <c r="C151" s="6" t="s">
        <v>57</v>
      </c>
      <c r="D151" s="6" t="s">
        <v>54</v>
      </c>
      <c r="E151" s="6" t="s">
        <v>367</v>
      </c>
      <c r="F151" s="6" t="s">
        <v>3277</v>
      </c>
      <c r="G151" s="6" t="s">
        <v>3278</v>
      </c>
      <c r="H151" s="6" t="s">
        <v>3279</v>
      </c>
      <c r="I151" s="6" t="s">
        <v>55</v>
      </c>
      <c r="J151" s="6" t="s">
        <v>56</v>
      </c>
      <c r="K151" s="5">
        <v>64815000</v>
      </c>
      <c r="L151" s="6" t="s">
        <v>52</v>
      </c>
      <c r="M151" s="6" t="s">
        <v>173</v>
      </c>
      <c r="N151" s="6" t="s">
        <v>367</v>
      </c>
      <c r="O151" s="17">
        <v>43642</v>
      </c>
      <c r="P151" s="5" t="s">
        <v>5329</v>
      </c>
      <c r="Q151" s="17">
        <v>45469</v>
      </c>
      <c r="R151" s="6" t="s">
        <v>225</v>
      </c>
      <c r="S151" s="6" t="s">
        <v>54</v>
      </c>
      <c r="T151" s="6" t="s">
        <v>49</v>
      </c>
      <c r="U151" s="6" t="s">
        <v>686</v>
      </c>
    </row>
    <row r="152" spans="1:21" x14ac:dyDescent="0.2">
      <c r="A152" s="6" t="s">
        <v>679</v>
      </c>
      <c r="B152" s="6" t="s">
        <v>682</v>
      </c>
      <c r="C152" s="6" t="s">
        <v>391</v>
      </c>
      <c r="D152" s="6" t="s">
        <v>54</v>
      </c>
      <c r="E152" s="6" t="s">
        <v>367</v>
      </c>
      <c r="F152" s="6" t="s">
        <v>3281</v>
      </c>
      <c r="G152" s="6" t="s">
        <v>3282</v>
      </c>
      <c r="H152" s="6" t="s">
        <v>3283</v>
      </c>
      <c r="I152" s="6" t="s">
        <v>55</v>
      </c>
      <c r="J152" s="6" t="s">
        <v>70</v>
      </c>
      <c r="K152" s="5" t="s">
        <v>5330</v>
      </c>
      <c r="L152" s="6" t="s">
        <v>52</v>
      </c>
      <c r="M152" s="6" t="s">
        <v>173</v>
      </c>
      <c r="N152" s="6" t="s">
        <v>367</v>
      </c>
      <c r="O152" s="17">
        <v>43642</v>
      </c>
      <c r="P152" s="62">
        <v>2763</v>
      </c>
      <c r="Q152" s="17">
        <v>45469</v>
      </c>
      <c r="R152" s="6" t="s">
        <v>225</v>
      </c>
      <c r="S152" s="6" t="s">
        <v>54</v>
      </c>
      <c r="T152" s="6" t="s">
        <v>49</v>
      </c>
      <c r="U152" s="6" t="s">
        <v>686</v>
      </c>
    </row>
    <row r="153" spans="1:21" x14ac:dyDescent="0.2">
      <c r="A153" s="6" t="s">
        <v>1249</v>
      </c>
      <c r="B153" s="6" t="s">
        <v>1252</v>
      </c>
      <c r="C153" s="6" t="s">
        <v>71</v>
      </c>
      <c r="D153" s="6" t="s">
        <v>54</v>
      </c>
      <c r="E153" s="6" t="s">
        <v>367</v>
      </c>
      <c r="F153" s="6" t="s">
        <v>2386</v>
      </c>
      <c r="G153" s="6" t="s">
        <v>173</v>
      </c>
      <c r="H153" s="6" t="s">
        <v>2387</v>
      </c>
      <c r="I153" s="6" t="s">
        <v>55</v>
      </c>
      <c r="J153" s="6" t="s">
        <v>56</v>
      </c>
      <c r="K153" s="6"/>
      <c r="L153" s="6" t="s">
        <v>118</v>
      </c>
      <c r="M153" s="6" t="s">
        <v>173</v>
      </c>
      <c r="N153" s="6" t="s">
        <v>367</v>
      </c>
      <c r="O153" s="17">
        <v>43589</v>
      </c>
      <c r="P153" s="5" t="s">
        <v>5331</v>
      </c>
      <c r="Q153" s="17">
        <v>45050</v>
      </c>
      <c r="R153" s="6" t="s">
        <v>173</v>
      </c>
      <c r="S153" s="6" t="s">
        <v>54</v>
      </c>
      <c r="T153" s="6" t="s">
        <v>49</v>
      </c>
      <c r="U153" s="6" t="s">
        <v>262</v>
      </c>
    </row>
    <row r="154" spans="1:21" x14ac:dyDescent="0.2">
      <c r="A154" s="6" t="s">
        <v>624</v>
      </c>
      <c r="B154" s="6" t="s">
        <v>627</v>
      </c>
      <c r="C154" s="6" t="s">
        <v>71</v>
      </c>
      <c r="D154" s="6" t="s">
        <v>54</v>
      </c>
      <c r="E154" s="6" t="s">
        <v>45</v>
      </c>
      <c r="F154" s="6" t="s">
        <v>2586</v>
      </c>
      <c r="G154" s="6" t="s">
        <v>173</v>
      </c>
      <c r="H154" s="6" t="s">
        <v>2587</v>
      </c>
      <c r="I154" s="6" t="s">
        <v>55</v>
      </c>
      <c r="J154" s="6" t="s">
        <v>56</v>
      </c>
      <c r="K154" s="6"/>
      <c r="L154" s="6" t="s">
        <v>118</v>
      </c>
      <c r="M154" s="6" t="s">
        <v>173</v>
      </c>
      <c r="N154" s="6" t="s">
        <v>45</v>
      </c>
      <c r="O154" s="17">
        <v>43557</v>
      </c>
      <c r="P154" s="5">
        <v>5</v>
      </c>
      <c r="Q154" s="17">
        <v>45384</v>
      </c>
      <c r="R154" s="6" t="s">
        <v>173</v>
      </c>
      <c r="S154" s="6" t="s">
        <v>54</v>
      </c>
      <c r="T154" s="6" t="s">
        <v>49</v>
      </c>
      <c r="U154" s="6" t="s">
        <v>262</v>
      </c>
    </row>
    <row r="155" spans="1:21" x14ac:dyDescent="0.2">
      <c r="A155" s="6" t="s">
        <v>1224</v>
      </c>
      <c r="B155" s="6" t="s">
        <v>1227</v>
      </c>
      <c r="C155" s="6" t="s">
        <v>71</v>
      </c>
      <c r="D155" s="6" t="s">
        <v>54</v>
      </c>
      <c r="E155" s="6" t="s">
        <v>594</v>
      </c>
      <c r="F155" s="6" t="s">
        <v>2811</v>
      </c>
      <c r="G155" s="6" t="s">
        <v>173</v>
      </c>
      <c r="H155" s="6" t="s">
        <v>2812</v>
      </c>
      <c r="I155" s="6" t="s">
        <v>55</v>
      </c>
      <c r="J155" s="6" t="s">
        <v>56</v>
      </c>
      <c r="K155" s="6"/>
      <c r="L155" s="6" t="s">
        <v>118</v>
      </c>
      <c r="M155" s="6" t="s">
        <v>173</v>
      </c>
      <c r="N155" s="6" t="s">
        <v>594</v>
      </c>
      <c r="O155" s="17">
        <v>43485</v>
      </c>
      <c r="P155" s="5" t="s">
        <v>5332</v>
      </c>
      <c r="Q155" s="17">
        <v>45677</v>
      </c>
      <c r="R155" s="6" t="s">
        <v>173</v>
      </c>
      <c r="S155" s="6" t="s">
        <v>54</v>
      </c>
      <c r="T155" s="6" t="s">
        <v>49</v>
      </c>
      <c r="U155" s="6" t="s">
        <v>262</v>
      </c>
    </row>
    <row r="156" spans="1:21" x14ac:dyDescent="0.2">
      <c r="A156" s="6" t="s">
        <v>754</v>
      </c>
      <c r="B156" s="6" t="s">
        <v>757</v>
      </c>
      <c r="C156" s="6" t="s">
        <v>71</v>
      </c>
      <c r="D156" s="6" t="s">
        <v>54</v>
      </c>
      <c r="E156" s="6" t="s">
        <v>258</v>
      </c>
      <c r="F156" s="6" t="s">
        <v>3310</v>
      </c>
      <c r="G156" s="6" t="s">
        <v>3311</v>
      </c>
      <c r="H156" s="6" t="s">
        <v>3312</v>
      </c>
      <c r="I156" s="6" t="s">
        <v>55</v>
      </c>
      <c r="J156" s="6" t="s">
        <v>56</v>
      </c>
      <c r="K156" s="5" t="s">
        <v>5305</v>
      </c>
      <c r="L156" s="6" t="s">
        <v>52</v>
      </c>
      <c r="M156" s="6" t="s">
        <v>1775</v>
      </c>
      <c r="N156" s="6" t="s">
        <v>257</v>
      </c>
      <c r="O156" s="17">
        <v>43691</v>
      </c>
      <c r="P156" s="5">
        <v>6</v>
      </c>
      <c r="Q156" s="17">
        <v>47133</v>
      </c>
      <c r="R156" s="6" t="s">
        <v>173</v>
      </c>
      <c r="S156" s="6" t="s">
        <v>496</v>
      </c>
      <c r="T156" s="6" t="s">
        <v>115</v>
      </c>
      <c r="U156" s="6" t="s">
        <v>262</v>
      </c>
    </row>
    <row r="157" spans="1:21" x14ac:dyDescent="0.2">
      <c r="A157" s="6" t="s">
        <v>754</v>
      </c>
      <c r="B157" s="6" t="s">
        <v>757</v>
      </c>
      <c r="C157" s="6" t="s">
        <v>71</v>
      </c>
      <c r="D157" s="6" t="s">
        <v>54</v>
      </c>
      <c r="E157" s="6" t="s">
        <v>258</v>
      </c>
      <c r="F157" s="6" t="s">
        <v>3314</v>
      </c>
      <c r="G157" s="6" t="s">
        <v>3315</v>
      </c>
      <c r="H157" s="6" t="s">
        <v>3316</v>
      </c>
      <c r="I157" s="6" t="s">
        <v>55</v>
      </c>
      <c r="J157" s="6" t="s">
        <v>56</v>
      </c>
      <c r="K157" s="63">
        <v>1000000000</v>
      </c>
      <c r="L157" s="6" t="s">
        <v>52</v>
      </c>
      <c r="M157" s="6" t="s">
        <v>173</v>
      </c>
      <c r="N157" s="6" t="s">
        <v>257</v>
      </c>
      <c r="O157" s="17">
        <v>43691</v>
      </c>
      <c r="P157" s="5">
        <v>5</v>
      </c>
      <c r="Q157" s="17">
        <v>47498</v>
      </c>
      <c r="R157" s="6" t="s">
        <v>173</v>
      </c>
      <c r="S157" s="6" t="s">
        <v>496</v>
      </c>
      <c r="T157" s="6" t="s">
        <v>115</v>
      </c>
      <c r="U157" s="6" t="s">
        <v>262</v>
      </c>
    </row>
    <row r="158" spans="1:21" x14ac:dyDescent="0.2">
      <c r="A158" s="6" t="s">
        <v>476</v>
      </c>
      <c r="B158" s="6" t="s">
        <v>479</v>
      </c>
      <c r="C158" s="6" t="s">
        <v>57</v>
      </c>
      <c r="D158" s="6" t="s">
        <v>54</v>
      </c>
      <c r="E158" s="6" t="s">
        <v>45</v>
      </c>
      <c r="F158" s="6" t="s">
        <v>1932</v>
      </c>
      <c r="G158" s="6" t="s">
        <v>1933</v>
      </c>
      <c r="H158" s="6" t="s">
        <v>1934</v>
      </c>
      <c r="I158" s="6" t="s">
        <v>55</v>
      </c>
      <c r="J158" s="6" t="s">
        <v>56</v>
      </c>
      <c r="K158" s="5" t="s">
        <v>5333</v>
      </c>
      <c r="L158" s="6" t="s">
        <v>482</v>
      </c>
      <c r="M158" s="6" t="s">
        <v>173</v>
      </c>
      <c r="N158" s="6" t="s">
        <v>45</v>
      </c>
      <c r="O158" s="17">
        <v>43686</v>
      </c>
      <c r="P158" s="5" t="s">
        <v>5334</v>
      </c>
      <c r="Q158" s="17">
        <v>44782</v>
      </c>
      <c r="R158" s="6" t="s">
        <v>225</v>
      </c>
      <c r="S158" s="6" t="s">
        <v>483</v>
      </c>
      <c r="T158" s="6" t="s">
        <v>49</v>
      </c>
      <c r="U158" s="6" t="s">
        <v>53</v>
      </c>
    </row>
    <row r="159" spans="1:21" x14ac:dyDescent="0.2">
      <c r="A159" s="6" t="s">
        <v>1145</v>
      </c>
      <c r="B159" s="6" t="s">
        <v>1148</v>
      </c>
      <c r="C159" s="6" t="s">
        <v>391</v>
      </c>
      <c r="D159" s="6" t="s">
        <v>54</v>
      </c>
      <c r="E159" s="6" t="s">
        <v>367</v>
      </c>
      <c r="F159" s="6" t="s">
        <v>2822</v>
      </c>
      <c r="G159" s="6" t="s">
        <v>2823</v>
      </c>
      <c r="H159" s="6" t="s">
        <v>2824</v>
      </c>
      <c r="I159" s="6" t="s">
        <v>420</v>
      </c>
      <c r="J159" s="6" t="s">
        <v>70</v>
      </c>
      <c r="K159" s="5" t="s">
        <v>5335</v>
      </c>
      <c r="L159" s="6" t="s">
        <v>52</v>
      </c>
      <c r="M159" s="6" t="s">
        <v>1775</v>
      </c>
      <c r="N159" s="6" t="s">
        <v>367</v>
      </c>
      <c r="O159" s="17">
        <v>43880</v>
      </c>
      <c r="P159" s="62">
        <v>756</v>
      </c>
      <c r="Q159" s="17">
        <v>45707</v>
      </c>
      <c r="R159" s="6" t="s">
        <v>685</v>
      </c>
      <c r="S159" s="6" t="s">
        <v>54</v>
      </c>
      <c r="T159" s="6" t="s">
        <v>49</v>
      </c>
      <c r="U159" s="6" t="s">
        <v>686</v>
      </c>
    </row>
    <row r="160" spans="1:21" x14ac:dyDescent="0.2">
      <c r="A160" s="6" t="s">
        <v>1145</v>
      </c>
      <c r="B160" s="6" t="s">
        <v>1148</v>
      </c>
      <c r="C160" s="6" t="s">
        <v>57</v>
      </c>
      <c r="D160" s="6" t="s">
        <v>54</v>
      </c>
      <c r="E160" s="6" t="s">
        <v>367</v>
      </c>
      <c r="F160" s="6" t="s">
        <v>2826</v>
      </c>
      <c r="G160" s="6" t="s">
        <v>2827</v>
      </c>
      <c r="H160" s="6" t="s">
        <v>2828</v>
      </c>
      <c r="I160" s="6" t="s">
        <v>420</v>
      </c>
      <c r="J160" s="6" t="s">
        <v>56</v>
      </c>
      <c r="K160" s="5">
        <v>25490500</v>
      </c>
      <c r="L160" s="6" t="s">
        <v>52</v>
      </c>
      <c r="M160" s="6" t="s">
        <v>1775</v>
      </c>
      <c r="N160" s="6" t="s">
        <v>367</v>
      </c>
      <c r="O160" s="17">
        <v>43880</v>
      </c>
      <c r="P160" s="62">
        <v>1058</v>
      </c>
      <c r="Q160" s="17">
        <v>45707</v>
      </c>
      <c r="R160" s="6" t="s">
        <v>685</v>
      </c>
      <c r="S160" s="6" t="s">
        <v>54</v>
      </c>
      <c r="T160" s="6" t="s">
        <v>49</v>
      </c>
      <c r="U160" s="6" t="s">
        <v>686</v>
      </c>
    </row>
    <row r="161" spans="1:21" x14ac:dyDescent="0.2">
      <c r="A161" s="6" t="s">
        <v>1431</v>
      </c>
      <c r="B161" s="6" t="s">
        <v>1434</v>
      </c>
      <c r="C161" s="6" t="s">
        <v>391</v>
      </c>
      <c r="D161" s="6" t="s">
        <v>54</v>
      </c>
      <c r="E161" s="6" t="s">
        <v>367</v>
      </c>
      <c r="F161" s="6" t="s">
        <v>1869</v>
      </c>
      <c r="G161" s="6" t="s">
        <v>1870</v>
      </c>
      <c r="H161" s="6" t="s">
        <v>1871</v>
      </c>
      <c r="I161" s="6" t="s">
        <v>55</v>
      </c>
      <c r="J161" s="6" t="s">
        <v>70</v>
      </c>
      <c r="K161" s="5">
        <v>53677000</v>
      </c>
      <c r="L161" s="6" t="s">
        <v>52</v>
      </c>
      <c r="M161" s="6" t="s">
        <v>173</v>
      </c>
      <c r="N161" s="6" t="s">
        <v>367</v>
      </c>
      <c r="O161" s="17">
        <v>43879</v>
      </c>
      <c r="P161" s="5" t="s">
        <v>5336</v>
      </c>
      <c r="Q161" s="17">
        <v>46071</v>
      </c>
      <c r="R161" s="6" t="s">
        <v>173</v>
      </c>
      <c r="S161" s="6" t="s">
        <v>54</v>
      </c>
      <c r="T161" s="6" t="s">
        <v>49</v>
      </c>
      <c r="U161" s="6" t="s">
        <v>609</v>
      </c>
    </row>
    <row r="162" spans="1:21" x14ac:dyDescent="0.2">
      <c r="A162" s="6" t="s">
        <v>476</v>
      </c>
      <c r="B162" s="6" t="s">
        <v>479</v>
      </c>
      <c r="C162" s="6" t="s">
        <v>57</v>
      </c>
      <c r="D162" s="6" t="s">
        <v>54</v>
      </c>
      <c r="E162" s="6" t="s">
        <v>45</v>
      </c>
      <c r="F162" s="6" t="s">
        <v>1936</v>
      </c>
      <c r="G162" s="6" t="s">
        <v>1937</v>
      </c>
      <c r="H162" s="6" t="s">
        <v>1938</v>
      </c>
      <c r="I162" s="6" t="s">
        <v>55</v>
      </c>
      <c r="J162" s="6" t="s">
        <v>56</v>
      </c>
      <c r="K162" s="5">
        <v>16685550</v>
      </c>
      <c r="L162" s="6" t="s">
        <v>458</v>
      </c>
      <c r="M162" s="6" t="s">
        <v>173</v>
      </c>
      <c r="N162" s="6" t="s">
        <v>45</v>
      </c>
      <c r="O162" s="17">
        <v>43894</v>
      </c>
      <c r="P162" s="5" t="s">
        <v>5246</v>
      </c>
      <c r="Q162" s="17">
        <v>54851</v>
      </c>
      <c r="R162" s="6" t="s">
        <v>225</v>
      </c>
      <c r="S162" s="6" t="s">
        <v>189</v>
      </c>
      <c r="T162" s="6" t="s">
        <v>115</v>
      </c>
      <c r="U162" s="6" t="s">
        <v>53</v>
      </c>
    </row>
    <row r="163" spans="1:21" x14ac:dyDescent="0.2">
      <c r="A163" s="6" t="s">
        <v>180</v>
      </c>
      <c r="B163" s="6" t="s">
        <v>183</v>
      </c>
      <c r="C163" s="6" t="s">
        <v>57</v>
      </c>
      <c r="D163" s="6" t="s">
        <v>54</v>
      </c>
      <c r="E163" s="6" t="s">
        <v>185</v>
      </c>
      <c r="F163" s="6" t="s">
        <v>3172</v>
      </c>
      <c r="G163" s="6" t="s">
        <v>3173</v>
      </c>
      <c r="H163" s="6" t="s">
        <v>3174</v>
      </c>
      <c r="I163" s="6" t="s">
        <v>133</v>
      </c>
      <c r="J163" s="6" t="s">
        <v>56</v>
      </c>
      <c r="K163" s="5" t="s">
        <v>5337</v>
      </c>
      <c r="L163" s="6" t="s">
        <v>52</v>
      </c>
      <c r="M163" s="6" t="s">
        <v>1770</v>
      </c>
      <c r="N163" s="6" t="s">
        <v>184</v>
      </c>
      <c r="O163" s="17">
        <v>43901</v>
      </c>
      <c r="P163" s="5" t="s">
        <v>5290</v>
      </c>
      <c r="Q163" s="17">
        <v>47188</v>
      </c>
      <c r="R163" s="6" t="s">
        <v>225</v>
      </c>
      <c r="S163" s="6" t="s">
        <v>189</v>
      </c>
      <c r="T163" s="6" t="s">
        <v>115</v>
      </c>
      <c r="U163" s="6" t="s">
        <v>53</v>
      </c>
    </row>
    <row r="164" spans="1:21" x14ac:dyDescent="0.2">
      <c r="A164" s="6" t="s">
        <v>1249</v>
      </c>
      <c r="B164" s="6" t="s">
        <v>1252</v>
      </c>
      <c r="C164" s="6" t="s">
        <v>391</v>
      </c>
      <c r="D164" s="6" t="s">
        <v>54</v>
      </c>
      <c r="E164" s="6" t="s">
        <v>367</v>
      </c>
      <c r="F164" s="6" t="s">
        <v>2389</v>
      </c>
      <c r="G164" s="6" t="s">
        <v>2390</v>
      </c>
      <c r="H164" s="6" t="s">
        <v>2391</v>
      </c>
      <c r="I164" s="6" t="s">
        <v>55</v>
      </c>
      <c r="J164" s="6" t="s">
        <v>70</v>
      </c>
      <c r="K164" s="5">
        <v>51302500</v>
      </c>
      <c r="L164" s="6" t="s">
        <v>52</v>
      </c>
      <c r="M164" s="6" t="s">
        <v>173</v>
      </c>
      <c r="N164" s="6" t="s">
        <v>367</v>
      </c>
      <c r="O164" s="17">
        <v>43903</v>
      </c>
      <c r="P164" s="62">
        <v>921</v>
      </c>
      <c r="Q164" s="17">
        <v>44998</v>
      </c>
      <c r="R164" s="6" t="s">
        <v>685</v>
      </c>
      <c r="S164" s="6" t="s">
        <v>189</v>
      </c>
      <c r="T164" s="6" t="s">
        <v>49</v>
      </c>
      <c r="U164" s="6" t="s">
        <v>686</v>
      </c>
    </row>
    <row r="165" spans="1:21" x14ac:dyDescent="0.2">
      <c r="A165" s="6" t="s">
        <v>1249</v>
      </c>
      <c r="B165" s="6" t="s">
        <v>1252</v>
      </c>
      <c r="C165" s="6" t="s">
        <v>391</v>
      </c>
      <c r="D165" s="6" t="s">
        <v>54</v>
      </c>
      <c r="E165" s="6" t="s">
        <v>367</v>
      </c>
      <c r="F165" s="6" t="s">
        <v>2393</v>
      </c>
      <c r="G165" s="6" t="s">
        <v>2394</v>
      </c>
      <c r="H165" s="6" t="s">
        <v>2395</v>
      </c>
      <c r="I165" s="6" t="s">
        <v>55</v>
      </c>
      <c r="J165" s="6" t="s">
        <v>70</v>
      </c>
      <c r="K165" s="5" t="s">
        <v>5338</v>
      </c>
      <c r="L165" s="6" t="s">
        <v>52</v>
      </c>
      <c r="M165" s="6" t="s">
        <v>173</v>
      </c>
      <c r="N165" s="6" t="s">
        <v>367</v>
      </c>
      <c r="O165" s="17">
        <v>43903</v>
      </c>
      <c r="P165" s="62">
        <v>1371</v>
      </c>
      <c r="Q165" s="17">
        <v>45729</v>
      </c>
      <c r="R165" s="6" t="s">
        <v>685</v>
      </c>
      <c r="S165" s="6" t="s">
        <v>189</v>
      </c>
      <c r="T165" s="6" t="s">
        <v>49</v>
      </c>
      <c r="U165" s="6" t="s">
        <v>686</v>
      </c>
    </row>
    <row r="166" spans="1:21" x14ac:dyDescent="0.2">
      <c r="A166" s="6" t="s">
        <v>1518</v>
      </c>
      <c r="B166" s="6" t="s">
        <v>1521</v>
      </c>
      <c r="C166" s="6" t="s">
        <v>57</v>
      </c>
      <c r="D166" s="6" t="s">
        <v>54</v>
      </c>
      <c r="E166" s="6" t="s">
        <v>184</v>
      </c>
      <c r="F166" s="6" t="s">
        <v>3111</v>
      </c>
      <c r="G166" s="6" t="s">
        <v>3112</v>
      </c>
      <c r="H166" s="6" t="s">
        <v>3113</v>
      </c>
      <c r="I166" s="6" t="s">
        <v>117</v>
      </c>
      <c r="J166" s="6" t="s">
        <v>56</v>
      </c>
      <c r="K166" s="5" t="s">
        <v>5339</v>
      </c>
      <c r="L166" s="6" t="s">
        <v>52</v>
      </c>
      <c r="M166" s="6" t="s">
        <v>1770</v>
      </c>
      <c r="N166" s="6" t="s">
        <v>184</v>
      </c>
      <c r="O166" s="17">
        <v>43920</v>
      </c>
      <c r="P166" s="5">
        <v>1</v>
      </c>
      <c r="Q166" s="17">
        <v>45748</v>
      </c>
      <c r="R166" s="6" t="s">
        <v>225</v>
      </c>
      <c r="S166" s="6" t="s">
        <v>483</v>
      </c>
      <c r="T166" s="6" t="s">
        <v>115</v>
      </c>
      <c r="U166" s="6" t="s">
        <v>53</v>
      </c>
    </row>
    <row r="167" spans="1:21" x14ac:dyDescent="0.2">
      <c r="A167" s="6" t="s">
        <v>1518</v>
      </c>
      <c r="B167" s="6" t="s">
        <v>1521</v>
      </c>
      <c r="C167" s="6" t="s">
        <v>57</v>
      </c>
      <c r="D167" s="6" t="s">
        <v>54</v>
      </c>
      <c r="E167" s="6" t="s">
        <v>184</v>
      </c>
      <c r="F167" s="6" t="s">
        <v>3115</v>
      </c>
      <c r="G167" s="6" t="s">
        <v>3116</v>
      </c>
      <c r="H167" s="6" t="s">
        <v>3117</v>
      </c>
      <c r="I167" s="6" t="s">
        <v>117</v>
      </c>
      <c r="J167" s="6" t="s">
        <v>56</v>
      </c>
      <c r="K167" s="5" t="s">
        <v>5339</v>
      </c>
      <c r="L167" s="6" t="s">
        <v>52</v>
      </c>
      <c r="M167" s="6" t="s">
        <v>1770</v>
      </c>
      <c r="N167" s="6" t="s">
        <v>184</v>
      </c>
      <c r="O167" s="17">
        <v>43920</v>
      </c>
      <c r="P167" s="5" t="s">
        <v>5225</v>
      </c>
      <c r="Q167" s="17">
        <v>47574</v>
      </c>
      <c r="R167" s="6" t="s">
        <v>225</v>
      </c>
      <c r="S167" s="6" t="s">
        <v>483</v>
      </c>
      <c r="T167" s="6" t="s">
        <v>115</v>
      </c>
      <c r="U167" s="6" t="s">
        <v>53</v>
      </c>
    </row>
    <row r="168" spans="1:21" x14ac:dyDescent="0.2">
      <c r="A168" s="6" t="s">
        <v>1486</v>
      </c>
      <c r="B168" s="6" t="s">
        <v>1489</v>
      </c>
      <c r="C168" s="6" t="s">
        <v>57</v>
      </c>
      <c r="D168" s="6" t="s">
        <v>54</v>
      </c>
      <c r="E168" s="6" t="s">
        <v>184</v>
      </c>
      <c r="F168" s="6" t="s">
        <v>2267</v>
      </c>
      <c r="G168" s="6" t="s">
        <v>2268</v>
      </c>
      <c r="H168" s="6" t="s">
        <v>2269</v>
      </c>
      <c r="I168" s="6" t="s">
        <v>117</v>
      </c>
      <c r="J168" s="6" t="s">
        <v>56</v>
      </c>
      <c r="K168" s="5" t="s">
        <v>5340</v>
      </c>
      <c r="L168" s="6" t="s">
        <v>52</v>
      </c>
      <c r="M168" s="6" t="s">
        <v>1770</v>
      </c>
      <c r="N168" s="6" t="s">
        <v>184</v>
      </c>
      <c r="O168" s="17">
        <v>43922</v>
      </c>
      <c r="P168" s="62">
        <v>2625</v>
      </c>
      <c r="Q168" s="17">
        <v>46736</v>
      </c>
      <c r="R168" s="6" t="s">
        <v>2134</v>
      </c>
      <c r="S168" s="6" t="s">
        <v>189</v>
      </c>
      <c r="T168" s="6" t="s">
        <v>115</v>
      </c>
      <c r="U168" s="6" t="s">
        <v>53</v>
      </c>
    </row>
    <row r="169" spans="1:21" x14ac:dyDescent="0.2">
      <c r="A169" s="6" t="s">
        <v>415</v>
      </c>
      <c r="B169" s="6" t="s">
        <v>418</v>
      </c>
      <c r="C169" s="6" t="s">
        <v>57</v>
      </c>
      <c r="D169" s="6" t="s">
        <v>54</v>
      </c>
      <c r="E169" s="6" t="s">
        <v>366</v>
      </c>
      <c r="F169" s="6" t="s">
        <v>2854</v>
      </c>
      <c r="G169" s="6" t="s">
        <v>2855</v>
      </c>
      <c r="H169" s="6" t="s">
        <v>2856</v>
      </c>
      <c r="I169" s="6" t="s">
        <v>420</v>
      </c>
      <c r="J169" s="6" t="s">
        <v>56</v>
      </c>
      <c r="K169" s="5" t="s">
        <v>5341</v>
      </c>
      <c r="L169" s="6" t="s">
        <v>52</v>
      </c>
      <c r="M169" s="6" t="s">
        <v>1775</v>
      </c>
      <c r="N169" s="6" t="s">
        <v>366</v>
      </c>
      <c r="O169" s="17">
        <v>43923</v>
      </c>
      <c r="P169" s="5" t="s">
        <v>5249</v>
      </c>
      <c r="Q169" s="17">
        <v>46479</v>
      </c>
      <c r="R169" s="6" t="s">
        <v>173</v>
      </c>
      <c r="S169" s="6" t="s">
        <v>174</v>
      </c>
      <c r="T169" s="6" t="s">
        <v>115</v>
      </c>
      <c r="U169" s="6" t="s">
        <v>53</v>
      </c>
    </row>
    <row r="170" spans="1:21" x14ac:dyDescent="0.2">
      <c r="A170" s="6" t="s">
        <v>1525</v>
      </c>
      <c r="B170" s="6" t="s">
        <v>1528</v>
      </c>
      <c r="C170" s="6" t="s">
        <v>57</v>
      </c>
      <c r="D170" s="6" t="s">
        <v>54</v>
      </c>
      <c r="E170" s="6" t="s">
        <v>184</v>
      </c>
      <c r="F170" s="6" t="s">
        <v>2996</v>
      </c>
      <c r="G170" s="6" t="s">
        <v>2997</v>
      </c>
      <c r="H170" s="6" t="s">
        <v>2998</v>
      </c>
      <c r="I170" s="6" t="s">
        <v>420</v>
      </c>
      <c r="J170" s="6" t="s">
        <v>56</v>
      </c>
      <c r="K170" s="5" t="s">
        <v>5342</v>
      </c>
      <c r="L170" s="6" t="s">
        <v>52</v>
      </c>
      <c r="M170" s="6" t="s">
        <v>1770</v>
      </c>
      <c r="N170" s="6" t="s">
        <v>184</v>
      </c>
      <c r="O170" s="17">
        <v>43927</v>
      </c>
      <c r="P170" s="62">
        <v>1125</v>
      </c>
      <c r="Q170" s="17">
        <v>45754</v>
      </c>
      <c r="R170" s="6" t="s">
        <v>173</v>
      </c>
      <c r="S170" s="6" t="s">
        <v>619</v>
      </c>
      <c r="T170" s="6" t="s">
        <v>115</v>
      </c>
      <c r="U170" s="6" t="s">
        <v>53</v>
      </c>
    </row>
    <row r="171" spans="1:21" x14ac:dyDescent="0.2">
      <c r="A171" s="6" t="s">
        <v>1525</v>
      </c>
      <c r="B171" s="6" t="s">
        <v>1528</v>
      </c>
      <c r="C171" s="6" t="s">
        <v>57</v>
      </c>
      <c r="D171" s="6" t="s">
        <v>54</v>
      </c>
      <c r="E171" s="6" t="s">
        <v>184</v>
      </c>
      <c r="F171" s="6" t="s">
        <v>3000</v>
      </c>
      <c r="G171" s="6" t="s">
        <v>3001</v>
      </c>
      <c r="H171" s="6" t="s">
        <v>3002</v>
      </c>
      <c r="I171" s="6" t="s">
        <v>420</v>
      </c>
      <c r="J171" s="6" t="s">
        <v>56</v>
      </c>
      <c r="K171" s="5" t="s">
        <v>5342</v>
      </c>
      <c r="L171" s="6" t="s">
        <v>52</v>
      </c>
      <c r="M171" s="6" t="s">
        <v>1770</v>
      </c>
      <c r="N171" s="6" t="s">
        <v>184</v>
      </c>
      <c r="O171" s="17">
        <v>43927</v>
      </c>
      <c r="P171" s="5" t="s">
        <v>5249</v>
      </c>
      <c r="Q171" s="17">
        <v>47581</v>
      </c>
      <c r="R171" s="6" t="s">
        <v>173</v>
      </c>
      <c r="S171" s="6" t="s">
        <v>619</v>
      </c>
      <c r="T171" s="6" t="s">
        <v>115</v>
      </c>
      <c r="U171" s="6" t="s">
        <v>53</v>
      </c>
    </row>
    <row r="172" spans="1:21" x14ac:dyDescent="0.2">
      <c r="A172" s="6" t="s">
        <v>180</v>
      </c>
      <c r="B172" s="6" t="s">
        <v>183</v>
      </c>
      <c r="C172" s="6" t="s">
        <v>57</v>
      </c>
      <c r="D172" s="6" t="s">
        <v>54</v>
      </c>
      <c r="E172" s="6" t="s">
        <v>185</v>
      </c>
      <c r="F172" s="6" t="s">
        <v>3176</v>
      </c>
      <c r="G172" s="6" t="s">
        <v>3177</v>
      </c>
      <c r="H172" s="6" t="s">
        <v>3178</v>
      </c>
      <c r="I172" s="6" t="s">
        <v>133</v>
      </c>
      <c r="J172" s="6" t="s">
        <v>56</v>
      </c>
      <c r="K172" s="5" t="s">
        <v>5343</v>
      </c>
      <c r="L172" s="6" t="s">
        <v>52</v>
      </c>
      <c r="M172" s="6" t="s">
        <v>1770</v>
      </c>
      <c r="N172" s="6" t="s">
        <v>184</v>
      </c>
      <c r="O172" s="17">
        <v>43930</v>
      </c>
      <c r="P172" s="5">
        <v>1</v>
      </c>
      <c r="Q172" s="17">
        <v>46486</v>
      </c>
      <c r="R172" s="6" t="s">
        <v>225</v>
      </c>
      <c r="S172" s="6" t="s">
        <v>189</v>
      </c>
      <c r="T172" s="6" t="s">
        <v>115</v>
      </c>
      <c r="U172" s="6" t="s">
        <v>53</v>
      </c>
    </row>
    <row r="173" spans="1:21" x14ac:dyDescent="0.2">
      <c r="A173" s="6" t="s">
        <v>165</v>
      </c>
      <c r="B173" s="6" t="s">
        <v>168</v>
      </c>
      <c r="C173" s="6" t="s">
        <v>57</v>
      </c>
      <c r="D173" s="6" t="s">
        <v>54</v>
      </c>
      <c r="E173" s="6" t="s">
        <v>170</v>
      </c>
      <c r="F173" s="6" t="s">
        <v>2638</v>
      </c>
      <c r="G173" s="6" t="s">
        <v>2639</v>
      </c>
      <c r="H173" s="6" t="s">
        <v>2640</v>
      </c>
      <c r="I173" s="6" t="s">
        <v>55</v>
      </c>
      <c r="J173" s="6" t="s">
        <v>56</v>
      </c>
      <c r="K173" s="5" t="s">
        <v>5343</v>
      </c>
      <c r="L173" s="6" t="s">
        <v>52</v>
      </c>
      <c r="M173" s="6" t="s">
        <v>1770</v>
      </c>
      <c r="N173" s="6" t="s">
        <v>169</v>
      </c>
      <c r="O173" s="17">
        <v>43930</v>
      </c>
      <c r="P173" s="62">
        <v>2375</v>
      </c>
      <c r="Q173" s="17">
        <v>45756</v>
      </c>
      <c r="R173" s="6" t="s">
        <v>225</v>
      </c>
      <c r="S173" s="6" t="s">
        <v>174</v>
      </c>
      <c r="T173" s="6" t="s">
        <v>115</v>
      </c>
      <c r="U173" s="6" t="s">
        <v>53</v>
      </c>
    </row>
    <row r="174" spans="1:21" x14ac:dyDescent="0.2">
      <c r="A174" s="6" t="s">
        <v>1559</v>
      </c>
      <c r="B174" s="6" t="s">
        <v>1562</v>
      </c>
      <c r="C174" s="6" t="s">
        <v>57</v>
      </c>
      <c r="D174" s="6" t="s">
        <v>54</v>
      </c>
      <c r="E174" s="6" t="s">
        <v>257</v>
      </c>
      <c r="F174" s="6" t="s">
        <v>2739</v>
      </c>
      <c r="G174" s="6" t="s">
        <v>2740</v>
      </c>
      <c r="H174" s="6" t="s">
        <v>2741</v>
      </c>
      <c r="I174" s="6" t="s">
        <v>55</v>
      </c>
      <c r="J174" s="6" t="s">
        <v>56</v>
      </c>
      <c r="K174" s="5" t="s">
        <v>5344</v>
      </c>
      <c r="L174" s="6" t="s">
        <v>52</v>
      </c>
      <c r="M174" s="6" t="s">
        <v>1770</v>
      </c>
      <c r="N174" s="6" t="s">
        <v>366</v>
      </c>
      <c r="O174" s="17">
        <v>43938</v>
      </c>
      <c r="P174" s="5" t="s">
        <v>5230</v>
      </c>
      <c r="Q174" s="17">
        <v>46494</v>
      </c>
      <c r="R174" s="6" t="s">
        <v>173</v>
      </c>
      <c r="S174" s="6" t="s">
        <v>174</v>
      </c>
      <c r="T174" s="6" t="s">
        <v>49</v>
      </c>
      <c r="U174" s="6" t="s">
        <v>53</v>
      </c>
    </row>
    <row r="175" spans="1:21" x14ac:dyDescent="0.2">
      <c r="A175" s="6" t="s">
        <v>1559</v>
      </c>
      <c r="B175" s="6" t="s">
        <v>1562</v>
      </c>
      <c r="C175" s="6" t="s">
        <v>57</v>
      </c>
      <c r="D175" s="6" t="s">
        <v>54</v>
      </c>
      <c r="E175" s="6" t="s">
        <v>257</v>
      </c>
      <c r="F175" s="6" t="s">
        <v>2743</v>
      </c>
      <c r="G175" s="6" t="s">
        <v>2744</v>
      </c>
      <c r="H175" s="6" t="s">
        <v>2745</v>
      </c>
      <c r="I175" s="6" t="s">
        <v>55</v>
      </c>
      <c r="J175" s="6" t="s">
        <v>56</v>
      </c>
      <c r="K175" s="5" t="s">
        <v>5344</v>
      </c>
      <c r="L175" s="6" t="s">
        <v>52</v>
      </c>
      <c r="M175" s="6" t="s">
        <v>1770</v>
      </c>
      <c r="N175" s="6" t="s">
        <v>366</v>
      </c>
      <c r="O175" s="17">
        <v>43938</v>
      </c>
      <c r="P175" s="62">
        <v>3375</v>
      </c>
      <c r="Q175" s="17">
        <v>49416</v>
      </c>
      <c r="R175" s="6" t="s">
        <v>173</v>
      </c>
      <c r="S175" s="6" t="s">
        <v>174</v>
      </c>
      <c r="T175" s="6" t="s">
        <v>49</v>
      </c>
      <c r="U175" s="6" t="s">
        <v>53</v>
      </c>
    </row>
    <row r="176" spans="1:21" x14ac:dyDescent="0.2">
      <c r="A176" s="6" t="s">
        <v>1132</v>
      </c>
      <c r="B176" s="6" t="s">
        <v>1135</v>
      </c>
      <c r="C176" s="6" t="s">
        <v>57</v>
      </c>
      <c r="D176" s="6" t="s">
        <v>54</v>
      </c>
      <c r="E176" s="6" t="s">
        <v>45</v>
      </c>
      <c r="F176" s="6" t="s">
        <v>2601</v>
      </c>
      <c r="G176" s="6" t="s">
        <v>2602</v>
      </c>
      <c r="H176" s="6" t="s">
        <v>2603</v>
      </c>
      <c r="I176" s="6" t="s">
        <v>420</v>
      </c>
      <c r="J176" s="6" t="s">
        <v>56</v>
      </c>
      <c r="K176" s="5" t="s">
        <v>5345</v>
      </c>
      <c r="L176" s="6" t="s">
        <v>52</v>
      </c>
      <c r="M176" s="6" t="s">
        <v>173</v>
      </c>
      <c r="N176" s="6" t="s">
        <v>45</v>
      </c>
      <c r="O176" s="17">
        <v>43949</v>
      </c>
      <c r="P176" s="62">
        <v>2725</v>
      </c>
      <c r="Q176" s="17">
        <v>45044</v>
      </c>
      <c r="R176" s="6" t="s">
        <v>225</v>
      </c>
      <c r="S176" s="6" t="s">
        <v>117</v>
      </c>
      <c r="T176" s="6" t="s">
        <v>49</v>
      </c>
      <c r="U176" s="6" t="s">
        <v>1806</v>
      </c>
    </row>
    <row r="177" spans="1:21" x14ac:dyDescent="0.2">
      <c r="A177" s="6" t="s">
        <v>476</v>
      </c>
      <c r="B177" s="6" t="s">
        <v>479</v>
      </c>
      <c r="C177" s="6" t="s">
        <v>57</v>
      </c>
      <c r="D177" s="6" t="s">
        <v>54</v>
      </c>
      <c r="E177" s="6" t="s">
        <v>45</v>
      </c>
      <c r="F177" s="6" t="s">
        <v>1940</v>
      </c>
      <c r="G177" s="6" t="s">
        <v>1941</v>
      </c>
      <c r="H177" s="6" t="s">
        <v>1942</v>
      </c>
      <c r="I177" s="6" t="s">
        <v>55</v>
      </c>
      <c r="J177" s="6" t="s">
        <v>56</v>
      </c>
      <c r="K177" s="5">
        <v>81117750</v>
      </c>
      <c r="L177" s="6" t="s">
        <v>482</v>
      </c>
      <c r="M177" s="6" t="s">
        <v>173</v>
      </c>
      <c r="N177" s="6" t="s">
        <v>45</v>
      </c>
      <c r="O177" s="17">
        <v>43943</v>
      </c>
      <c r="P177" s="5" t="s">
        <v>5346</v>
      </c>
      <c r="Q177" s="17">
        <v>45404</v>
      </c>
      <c r="R177" s="6" t="s">
        <v>225</v>
      </c>
      <c r="S177" s="6" t="s">
        <v>483</v>
      </c>
      <c r="T177" s="6" t="s">
        <v>49</v>
      </c>
      <c r="U177" s="6" t="s">
        <v>53</v>
      </c>
    </row>
    <row r="178" spans="1:21" x14ac:dyDescent="0.2">
      <c r="A178" s="6" t="s">
        <v>476</v>
      </c>
      <c r="B178" s="6" t="s">
        <v>479</v>
      </c>
      <c r="C178" s="6" t="s">
        <v>57</v>
      </c>
      <c r="D178" s="6" t="s">
        <v>54</v>
      </c>
      <c r="E178" s="6" t="s">
        <v>45</v>
      </c>
      <c r="F178" s="6" t="s">
        <v>1944</v>
      </c>
      <c r="G178" s="6" t="s">
        <v>1945</v>
      </c>
      <c r="H178" s="6" t="s">
        <v>1946</v>
      </c>
      <c r="I178" s="6" t="s">
        <v>55</v>
      </c>
      <c r="J178" s="6" t="s">
        <v>56</v>
      </c>
      <c r="K178" s="5">
        <v>54501500</v>
      </c>
      <c r="L178" s="6" t="s">
        <v>482</v>
      </c>
      <c r="M178" s="6" t="s">
        <v>173</v>
      </c>
      <c r="N178" s="6" t="s">
        <v>45</v>
      </c>
      <c r="O178" s="17">
        <v>43955</v>
      </c>
      <c r="P178" s="5" t="s">
        <v>5347</v>
      </c>
      <c r="Q178" s="17">
        <v>45105</v>
      </c>
      <c r="R178" s="6" t="s">
        <v>225</v>
      </c>
      <c r="S178" s="6" t="s">
        <v>483</v>
      </c>
      <c r="T178" s="6" t="s">
        <v>49</v>
      </c>
      <c r="U178" s="6" t="s">
        <v>53</v>
      </c>
    </row>
    <row r="179" spans="1:21" x14ac:dyDescent="0.2">
      <c r="A179" s="6" t="s">
        <v>476</v>
      </c>
      <c r="B179" s="6" t="s">
        <v>479</v>
      </c>
      <c r="C179" s="6" t="s">
        <v>57</v>
      </c>
      <c r="D179" s="6" t="s">
        <v>54</v>
      </c>
      <c r="E179" s="6" t="s">
        <v>45</v>
      </c>
      <c r="F179" s="6" t="s">
        <v>1948</v>
      </c>
      <c r="G179" s="6" t="s">
        <v>1949</v>
      </c>
      <c r="H179" s="6" t="s">
        <v>1950</v>
      </c>
      <c r="I179" s="6" t="s">
        <v>55</v>
      </c>
      <c r="J179" s="6" t="s">
        <v>56</v>
      </c>
      <c r="K179" s="5">
        <v>27343250</v>
      </c>
      <c r="L179" s="6" t="s">
        <v>482</v>
      </c>
      <c r="M179" s="6" t="s">
        <v>173</v>
      </c>
      <c r="N179" s="6" t="s">
        <v>45</v>
      </c>
      <c r="O179" s="17">
        <v>43951</v>
      </c>
      <c r="P179" s="5" t="s">
        <v>5346</v>
      </c>
      <c r="Q179" s="17">
        <v>45105</v>
      </c>
      <c r="R179" s="6" t="s">
        <v>225</v>
      </c>
      <c r="S179" s="6" t="s">
        <v>483</v>
      </c>
      <c r="T179" s="6" t="s">
        <v>49</v>
      </c>
      <c r="U179" s="6" t="s">
        <v>53</v>
      </c>
    </row>
    <row r="180" spans="1:21" x14ac:dyDescent="0.2">
      <c r="A180" s="6" t="s">
        <v>476</v>
      </c>
      <c r="B180" s="6" t="s">
        <v>479</v>
      </c>
      <c r="C180" s="6" t="s">
        <v>57</v>
      </c>
      <c r="D180" s="6" t="s">
        <v>54</v>
      </c>
      <c r="E180" s="6" t="s">
        <v>45</v>
      </c>
      <c r="F180" s="6" t="s">
        <v>1952</v>
      </c>
      <c r="G180" s="6" t="s">
        <v>1953</v>
      </c>
      <c r="H180" s="6" t="s">
        <v>1954</v>
      </c>
      <c r="I180" s="6" t="s">
        <v>55</v>
      </c>
      <c r="J180" s="6" t="s">
        <v>56</v>
      </c>
      <c r="K180" s="5">
        <v>10937300</v>
      </c>
      <c r="L180" s="6" t="s">
        <v>482</v>
      </c>
      <c r="M180" s="6" t="s">
        <v>173</v>
      </c>
      <c r="N180" s="6" t="s">
        <v>45</v>
      </c>
      <c r="O180" s="17">
        <v>43951</v>
      </c>
      <c r="P180" s="5" t="s">
        <v>5348</v>
      </c>
      <c r="Q180" s="17">
        <v>45412</v>
      </c>
      <c r="R180" s="6" t="s">
        <v>225</v>
      </c>
      <c r="S180" s="6" t="s">
        <v>483</v>
      </c>
      <c r="T180" s="6" t="s">
        <v>49</v>
      </c>
      <c r="U180" s="6" t="s">
        <v>53</v>
      </c>
    </row>
    <row r="181" spans="1:21" x14ac:dyDescent="0.2">
      <c r="A181" s="6" t="s">
        <v>613</v>
      </c>
      <c r="B181" s="6" t="s">
        <v>616</v>
      </c>
      <c r="C181" s="6" t="s">
        <v>57</v>
      </c>
      <c r="D181" s="6" t="s">
        <v>54</v>
      </c>
      <c r="E181" s="6" t="s">
        <v>199</v>
      </c>
      <c r="F181" s="6" t="s">
        <v>2492</v>
      </c>
      <c r="G181" s="6" t="s">
        <v>2493</v>
      </c>
      <c r="H181" s="6" t="s">
        <v>2494</v>
      </c>
      <c r="I181" s="6" t="s">
        <v>117</v>
      </c>
      <c r="J181" s="6" t="s">
        <v>56</v>
      </c>
      <c r="K181" s="5" t="s">
        <v>5340</v>
      </c>
      <c r="L181" s="6" t="s">
        <v>52</v>
      </c>
      <c r="M181" s="6" t="s">
        <v>1770</v>
      </c>
      <c r="N181" s="6" t="s">
        <v>199</v>
      </c>
      <c r="O181" s="17">
        <v>43969</v>
      </c>
      <c r="P181" s="5" t="s">
        <v>5228</v>
      </c>
      <c r="Q181" s="17">
        <v>46160</v>
      </c>
      <c r="R181" s="6" t="s">
        <v>225</v>
      </c>
      <c r="S181" s="6" t="s">
        <v>619</v>
      </c>
      <c r="T181" s="6" t="s">
        <v>49</v>
      </c>
      <c r="U181" s="6" t="s">
        <v>53</v>
      </c>
    </row>
    <row r="182" spans="1:21" x14ac:dyDescent="0.2">
      <c r="A182" s="6" t="s">
        <v>613</v>
      </c>
      <c r="B182" s="6" t="s">
        <v>616</v>
      </c>
      <c r="C182" s="6" t="s">
        <v>57</v>
      </c>
      <c r="D182" s="6" t="s">
        <v>54</v>
      </c>
      <c r="E182" s="6" t="s">
        <v>199</v>
      </c>
      <c r="F182" s="6" t="s">
        <v>2496</v>
      </c>
      <c r="G182" s="6" t="s">
        <v>2497</v>
      </c>
      <c r="H182" s="6" t="s">
        <v>2498</v>
      </c>
      <c r="I182" s="6" t="s">
        <v>117</v>
      </c>
      <c r="J182" s="6" t="s">
        <v>56</v>
      </c>
      <c r="K182" s="5" t="s">
        <v>5340</v>
      </c>
      <c r="L182" s="6" t="s">
        <v>52</v>
      </c>
      <c r="M182" s="6" t="s">
        <v>1770</v>
      </c>
      <c r="N182" s="6" t="s">
        <v>199</v>
      </c>
      <c r="O182" s="17">
        <v>43969</v>
      </c>
      <c r="P182" s="5">
        <v>2</v>
      </c>
      <c r="Q182" s="17">
        <v>47986</v>
      </c>
      <c r="R182" s="6" t="s">
        <v>225</v>
      </c>
      <c r="S182" s="6" t="s">
        <v>619</v>
      </c>
      <c r="T182" s="6" t="s">
        <v>49</v>
      </c>
      <c r="U182" s="6" t="s">
        <v>53</v>
      </c>
    </row>
    <row r="183" spans="1:21" x14ac:dyDescent="0.2">
      <c r="A183" s="6" t="s">
        <v>476</v>
      </c>
      <c r="B183" s="6" t="s">
        <v>479</v>
      </c>
      <c r="C183" s="6" t="s">
        <v>391</v>
      </c>
      <c r="D183" s="6" t="s">
        <v>54</v>
      </c>
      <c r="E183" s="6" t="s">
        <v>45</v>
      </c>
      <c r="F183" s="6" t="s">
        <v>1956</v>
      </c>
      <c r="G183" s="6" t="s">
        <v>1957</v>
      </c>
      <c r="H183" s="6" t="s">
        <v>1958</v>
      </c>
      <c r="I183" s="6" t="s">
        <v>55</v>
      </c>
      <c r="J183" s="6" t="s">
        <v>70</v>
      </c>
      <c r="K183" s="5" t="s">
        <v>5349</v>
      </c>
      <c r="L183" s="6" t="s">
        <v>458</v>
      </c>
      <c r="M183" s="6" t="s">
        <v>1770</v>
      </c>
      <c r="N183" s="6" t="s">
        <v>45</v>
      </c>
      <c r="O183" s="17">
        <v>43969</v>
      </c>
      <c r="P183" s="5">
        <v>0</v>
      </c>
      <c r="Q183" s="17">
        <v>45793</v>
      </c>
      <c r="R183" s="6" t="s">
        <v>225</v>
      </c>
      <c r="S183" s="6" t="s">
        <v>189</v>
      </c>
      <c r="T183" s="6" t="s">
        <v>49</v>
      </c>
      <c r="U183" s="6" t="s">
        <v>53</v>
      </c>
    </row>
    <row r="184" spans="1:21" x14ac:dyDescent="0.2">
      <c r="A184" s="6" t="s">
        <v>916</v>
      </c>
      <c r="B184" s="6" t="s">
        <v>919</v>
      </c>
      <c r="C184" s="6" t="s">
        <v>57</v>
      </c>
      <c r="D184" s="6" t="s">
        <v>54</v>
      </c>
      <c r="E184" s="6" t="s">
        <v>184</v>
      </c>
      <c r="F184" s="6" t="s">
        <v>2912</v>
      </c>
      <c r="G184" s="6" t="s">
        <v>2913</v>
      </c>
      <c r="H184" s="6" t="s">
        <v>2914</v>
      </c>
      <c r="I184" s="6" t="s">
        <v>420</v>
      </c>
      <c r="J184" s="6" t="s">
        <v>56</v>
      </c>
      <c r="K184" s="5" t="s">
        <v>5350</v>
      </c>
      <c r="L184" s="6" t="s">
        <v>52</v>
      </c>
      <c r="M184" s="6" t="s">
        <v>1770</v>
      </c>
      <c r="N184" s="6" t="s">
        <v>184</v>
      </c>
      <c r="O184" s="17">
        <v>43971</v>
      </c>
      <c r="P184" s="5" t="s">
        <v>5246</v>
      </c>
      <c r="Q184" s="17">
        <v>47623</v>
      </c>
      <c r="R184" s="6" t="s">
        <v>173</v>
      </c>
      <c r="S184" s="6" t="s">
        <v>189</v>
      </c>
      <c r="T184" s="6" t="s">
        <v>115</v>
      </c>
      <c r="U184" s="6" t="s">
        <v>53</v>
      </c>
    </row>
    <row r="185" spans="1:21" x14ac:dyDescent="0.2">
      <c r="A185" s="6" t="s">
        <v>476</v>
      </c>
      <c r="B185" s="6" t="s">
        <v>479</v>
      </c>
      <c r="C185" s="6" t="s">
        <v>57</v>
      </c>
      <c r="D185" s="62">
        <v>-286</v>
      </c>
      <c r="E185" s="6" t="s">
        <v>45</v>
      </c>
      <c r="F185" s="6" t="s">
        <v>1960</v>
      </c>
      <c r="G185" s="6" t="s">
        <v>1961</v>
      </c>
      <c r="H185" s="6" t="s">
        <v>1962</v>
      </c>
      <c r="I185" s="6" t="s">
        <v>55</v>
      </c>
      <c r="J185" s="6" t="s">
        <v>56</v>
      </c>
      <c r="K185" s="5">
        <v>16935750</v>
      </c>
      <c r="L185" s="6" t="s">
        <v>458</v>
      </c>
      <c r="M185" s="6" t="s">
        <v>173</v>
      </c>
      <c r="N185" s="6" t="s">
        <v>45</v>
      </c>
      <c r="O185" s="17">
        <v>43987</v>
      </c>
      <c r="P185" s="5" t="s">
        <v>5334</v>
      </c>
      <c r="Q185" s="17">
        <v>45082</v>
      </c>
      <c r="R185" s="6" t="s">
        <v>225</v>
      </c>
      <c r="S185" s="6" t="s">
        <v>189</v>
      </c>
      <c r="T185" s="6" t="s">
        <v>49</v>
      </c>
      <c r="U185" s="6" t="s">
        <v>53</v>
      </c>
    </row>
    <row r="186" spans="1:21" x14ac:dyDescent="0.2">
      <c r="A186" s="6" t="s">
        <v>180</v>
      </c>
      <c r="B186" s="6" t="s">
        <v>183</v>
      </c>
      <c r="C186" s="6" t="s">
        <v>57</v>
      </c>
      <c r="D186" s="5" t="s">
        <v>5351</v>
      </c>
      <c r="E186" s="6" t="s">
        <v>185</v>
      </c>
      <c r="F186" s="6" t="s">
        <v>3180</v>
      </c>
      <c r="G186" s="6" t="s">
        <v>3181</v>
      </c>
      <c r="H186" s="6" t="s">
        <v>3182</v>
      </c>
      <c r="I186" s="6" t="s">
        <v>133</v>
      </c>
      <c r="J186" s="6" t="s">
        <v>56</v>
      </c>
      <c r="K186" s="5" t="s">
        <v>5352</v>
      </c>
      <c r="L186" s="6" t="s">
        <v>52</v>
      </c>
      <c r="M186" s="6" t="s">
        <v>1770</v>
      </c>
      <c r="N186" s="6" t="s">
        <v>184</v>
      </c>
      <c r="O186" s="17">
        <v>43994</v>
      </c>
      <c r="P186" s="5">
        <v>0</v>
      </c>
      <c r="Q186" s="17">
        <v>45089</v>
      </c>
      <c r="R186" s="6" t="s">
        <v>225</v>
      </c>
      <c r="S186" s="6" t="s">
        <v>189</v>
      </c>
      <c r="T186" s="6" t="s">
        <v>115</v>
      </c>
      <c r="U186" s="6" t="s">
        <v>53</v>
      </c>
    </row>
    <row r="187" spans="1:21" x14ac:dyDescent="0.2">
      <c r="A187" s="6" t="s">
        <v>476</v>
      </c>
      <c r="B187" s="6" t="s">
        <v>479</v>
      </c>
      <c r="C187" s="6" t="s">
        <v>391</v>
      </c>
      <c r="D187" s="6" t="s">
        <v>54</v>
      </c>
      <c r="E187" s="6" t="s">
        <v>45</v>
      </c>
      <c r="F187" s="6" t="s">
        <v>1964</v>
      </c>
      <c r="G187" s="6" t="s">
        <v>1965</v>
      </c>
      <c r="H187" s="6" t="s">
        <v>1966</v>
      </c>
      <c r="I187" s="6" t="s">
        <v>55</v>
      </c>
      <c r="J187" s="6" t="s">
        <v>70</v>
      </c>
      <c r="K187" s="5" t="s">
        <v>5353</v>
      </c>
      <c r="L187" s="6" t="s">
        <v>458</v>
      </c>
      <c r="M187" s="6" t="s">
        <v>173</v>
      </c>
      <c r="N187" s="6" t="s">
        <v>45</v>
      </c>
      <c r="O187" s="17">
        <v>43997</v>
      </c>
      <c r="P187" s="5">
        <v>0</v>
      </c>
      <c r="Q187" s="17">
        <v>45821</v>
      </c>
      <c r="R187" s="6" t="s">
        <v>225</v>
      </c>
      <c r="S187" s="6" t="s">
        <v>189</v>
      </c>
      <c r="T187" s="6" t="s">
        <v>49</v>
      </c>
      <c r="U187" s="6" t="s">
        <v>53</v>
      </c>
    </row>
    <row r="188" spans="1:21" x14ac:dyDescent="0.2">
      <c r="A188" s="6" t="s">
        <v>1359</v>
      </c>
      <c r="B188" s="6" t="s">
        <v>1362</v>
      </c>
      <c r="C188" s="6" t="s">
        <v>57</v>
      </c>
      <c r="D188" s="62">
        <v>765</v>
      </c>
      <c r="E188" s="6" t="s">
        <v>199</v>
      </c>
      <c r="F188" s="6" t="s">
        <v>3228</v>
      </c>
      <c r="G188" s="6" t="s">
        <v>3229</v>
      </c>
      <c r="H188" s="6" t="s">
        <v>3230</v>
      </c>
      <c r="I188" s="6" t="s">
        <v>117</v>
      </c>
      <c r="J188" s="6" t="s">
        <v>56</v>
      </c>
      <c r="K188" s="5" t="s">
        <v>5354</v>
      </c>
      <c r="L188" s="6" t="s">
        <v>52</v>
      </c>
      <c r="M188" s="6" t="s">
        <v>3231</v>
      </c>
      <c r="N188" s="6" t="s">
        <v>199</v>
      </c>
      <c r="O188" s="17">
        <v>43999</v>
      </c>
      <c r="P188" s="5" t="s">
        <v>5246</v>
      </c>
      <c r="Q188" s="17">
        <v>47651</v>
      </c>
      <c r="R188" s="6" t="s">
        <v>225</v>
      </c>
      <c r="S188" s="6" t="s">
        <v>174</v>
      </c>
      <c r="T188" s="6" t="s">
        <v>115</v>
      </c>
      <c r="U188" s="6" t="s">
        <v>53</v>
      </c>
    </row>
    <row r="189" spans="1:21" x14ac:dyDescent="0.2">
      <c r="A189" s="6" t="s">
        <v>670</v>
      </c>
      <c r="B189" s="6" t="s">
        <v>673</v>
      </c>
      <c r="C189" s="6" t="s">
        <v>57</v>
      </c>
      <c r="D189" s="5" t="s">
        <v>5355</v>
      </c>
      <c r="E189" s="6" t="s">
        <v>184</v>
      </c>
      <c r="F189" s="6" t="s">
        <v>2374</v>
      </c>
      <c r="G189" s="6" t="s">
        <v>2375</v>
      </c>
      <c r="H189" s="6" t="s">
        <v>2376</v>
      </c>
      <c r="I189" s="6" t="s">
        <v>420</v>
      </c>
      <c r="J189" s="6" t="s">
        <v>56</v>
      </c>
      <c r="K189" s="5" t="s">
        <v>5356</v>
      </c>
      <c r="L189" s="6" t="s">
        <v>52</v>
      </c>
      <c r="M189" s="6" t="s">
        <v>1770</v>
      </c>
      <c r="N189" s="6" t="s">
        <v>184</v>
      </c>
      <c r="O189" s="17">
        <v>44000</v>
      </c>
      <c r="P189" s="62">
        <v>1375</v>
      </c>
      <c r="Q189" s="17">
        <v>47287</v>
      </c>
      <c r="R189" s="6" t="s">
        <v>173</v>
      </c>
      <c r="S189" s="6" t="s">
        <v>189</v>
      </c>
      <c r="T189" s="6" t="s">
        <v>115</v>
      </c>
      <c r="U189" s="6" t="s">
        <v>53</v>
      </c>
    </row>
    <row r="190" spans="1:21" x14ac:dyDescent="0.2">
      <c r="A190" s="6" t="s">
        <v>344</v>
      </c>
      <c r="B190" s="6" t="s">
        <v>347</v>
      </c>
      <c r="C190" s="6" t="s">
        <v>71</v>
      </c>
      <c r="D190" s="62">
        <v>5625</v>
      </c>
      <c r="E190" s="6" t="s">
        <v>185</v>
      </c>
      <c r="F190" s="6" t="s">
        <v>2311</v>
      </c>
      <c r="G190" s="6" t="s">
        <v>2312</v>
      </c>
      <c r="H190" s="6" t="s">
        <v>2313</v>
      </c>
      <c r="I190" s="6" t="s">
        <v>55</v>
      </c>
      <c r="J190" s="6" t="s">
        <v>56</v>
      </c>
      <c r="K190" s="5" t="s">
        <v>5357</v>
      </c>
      <c r="L190" s="6" t="s">
        <v>52</v>
      </c>
      <c r="M190" s="6" t="s">
        <v>1775</v>
      </c>
      <c r="N190" s="6" t="s">
        <v>184</v>
      </c>
      <c r="O190" s="17">
        <v>44012</v>
      </c>
      <c r="P190" s="62">
        <v>5625</v>
      </c>
      <c r="Q190" s="17">
        <v>46919</v>
      </c>
      <c r="R190" s="6" t="s">
        <v>261</v>
      </c>
      <c r="S190" s="6" t="s">
        <v>350</v>
      </c>
      <c r="T190" s="6" t="s">
        <v>115</v>
      </c>
      <c r="U190" s="6" t="s">
        <v>262</v>
      </c>
    </row>
    <row r="191" spans="1:21" x14ac:dyDescent="0.2">
      <c r="A191" s="6" t="s">
        <v>344</v>
      </c>
      <c r="B191" s="6" t="s">
        <v>347</v>
      </c>
      <c r="C191" s="6" t="s">
        <v>71</v>
      </c>
      <c r="D191" s="62">
        <v>5625</v>
      </c>
      <c r="E191" s="6" t="s">
        <v>185</v>
      </c>
      <c r="F191" s="6" t="s">
        <v>2315</v>
      </c>
      <c r="G191" s="6" t="s">
        <v>2316</v>
      </c>
      <c r="H191" s="6" t="s">
        <v>2317</v>
      </c>
      <c r="I191" s="6" t="s">
        <v>55</v>
      </c>
      <c r="J191" s="6" t="s">
        <v>56</v>
      </c>
      <c r="K191" s="5" t="s">
        <v>5357</v>
      </c>
      <c r="L191" s="6" t="s">
        <v>52</v>
      </c>
      <c r="M191" s="6" t="s">
        <v>1775</v>
      </c>
      <c r="N191" s="6" t="s">
        <v>184</v>
      </c>
      <c r="O191" s="17">
        <v>44012</v>
      </c>
      <c r="P191" s="62">
        <v>5625</v>
      </c>
      <c r="Q191" s="17">
        <v>46919</v>
      </c>
      <c r="R191" s="6" t="s">
        <v>270</v>
      </c>
      <c r="S191" s="6" t="s">
        <v>350</v>
      </c>
      <c r="T191" s="6" t="s">
        <v>115</v>
      </c>
      <c r="U191" s="6" t="s">
        <v>262</v>
      </c>
    </row>
    <row r="192" spans="1:21" x14ac:dyDescent="0.2">
      <c r="A192" s="6" t="s">
        <v>1261</v>
      </c>
      <c r="B192" s="6" t="s">
        <v>1264</v>
      </c>
      <c r="C192" s="6" t="s">
        <v>71</v>
      </c>
      <c r="D192" s="6" t="s">
        <v>54</v>
      </c>
      <c r="E192" s="6" t="s">
        <v>407</v>
      </c>
      <c r="F192" s="6" t="s">
        <v>2593</v>
      </c>
      <c r="G192" s="6" t="s">
        <v>2594</v>
      </c>
      <c r="H192" s="6" t="s">
        <v>2595</v>
      </c>
      <c r="I192" s="6" t="s">
        <v>55</v>
      </c>
      <c r="J192" s="6" t="s">
        <v>56</v>
      </c>
      <c r="K192" s="5" t="s">
        <v>5352</v>
      </c>
      <c r="L192" s="6" t="s">
        <v>118</v>
      </c>
      <c r="M192" s="6" t="s">
        <v>173</v>
      </c>
      <c r="N192" s="6" t="s">
        <v>407</v>
      </c>
      <c r="O192" s="17">
        <v>44015</v>
      </c>
      <c r="P192" s="5" t="s">
        <v>5329</v>
      </c>
      <c r="Q192" s="17">
        <v>46571</v>
      </c>
      <c r="R192" s="6" t="s">
        <v>173</v>
      </c>
      <c r="S192" s="6" t="s">
        <v>54</v>
      </c>
      <c r="T192" s="6" t="s">
        <v>49</v>
      </c>
      <c r="U192" s="6" t="s">
        <v>53</v>
      </c>
    </row>
    <row r="193" spans="1:21" x14ac:dyDescent="0.2">
      <c r="A193" s="6" t="s">
        <v>476</v>
      </c>
      <c r="B193" s="6" t="s">
        <v>479</v>
      </c>
      <c r="C193" s="6" t="s">
        <v>57</v>
      </c>
      <c r="D193" s="6" t="s">
        <v>54</v>
      </c>
      <c r="E193" s="6" t="s">
        <v>45</v>
      </c>
      <c r="F193" s="6" t="s">
        <v>1968</v>
      </c>
      <c r="G193" s="6" t="s">
        <v>1969</v>
      </c>
      <c r="H193" s="6" t="s">
        <v>1970</v>
      </c>
      <c r="I193" s="6" t="s">
        <v>55</v>
      </c>
      <c r="J193" s="6" t="s">
        <v>56</v>
      </c>
      <c r="K193" s="5">
        <v>11438600</v>
      </c>
      <c r="L193" s="6" t="s">
        <v>458</v>
      </c>
      <c r="M193" s="6" t="s">
        <v>1770</v>
      </c>
      <c r="N193" s="6" t="s">
        <v>45</v>
      </c>
      <c r="O193" s="17">
        <v>44032</v>
      </c>
      <c r="P193" s="62">
        <v>895</v>
      </c>
      <c r="Q193" s="17">
        <v>54989</v>
      </c>
      <c r="R193" s="6" t="s">
        <v>225</v>
      </c>
      <c r="S193" s="6" t="s">
        <v>189</v>
      </c>
      <c r="T193" s="6" t="s">
        <v>115</v>
      </c>
      <c r="U193" s="6" t="s">
        <v>53</v>
      </c>
    </row>
    <row r="194" spans="1:21" x14ac:dyDescent="0.2">
      <c r="A194" s="6" t="s">
        <v>1075</v>
      </c>
      <c r="B194" s="6" t="s">
        <v>1078</v>
      </c>
      <c r="C194" s="6" t="s">
        <v>71</v>
      </c>
      <c r="D194" s="5" t="s">
        <v>5358</v>
      </c>
      <c r="E194" s="6" t="s">
        <v>184</v>
      </c>
      <c r="F194" s="6" t="s">
        <v>2574</v>
      </c>
      <c r="G194" s="6" t="s">
        <v>2575</v>
      </c>
      <c r="H194" s="6" t="s">
        <v>2576</v>
      </c>
      <c r="I194" s="6" t="s">
        <v>884</v>
      </c>
      <c r="J194" s="6" t="s">
        <v>56</v>
      </c>
      <c r="K194" s="5" t="s">
        <v>5359</v>
      </c>
      <c r="L194" s="6" t="s">
        <v>52</v>
      </c>
      <c r="M194" s="6" t="s">
        <v>1775</v>
      </c>
      <c r="N194" s="6" t="s">
        <v>184</v>
      </c>
      <c r="O194" s="17">
        <v>44043</v>
      </c>
      <c r="P194" s="5" t="s">
        <v>5358</v>
      </c>
      <c r="Q194" s="17">
        <v>46919</v>
      </c>
      <c r="R194" s="6" t="s">
        <v>173</v>
      </c>
      <c r="S194" s="6" t="s">
        <v>884</v>
      </c>
      <c r="T194" s="6" t="s">
        <v>115</v>
      </c>
      <c r="U194" s="6" t="s">
        <v>53</v>
      </c>
    </row>
    <row r="195" spans="1:21" x14ac:dyDescent="0.2">
      <c r="A195" s="6" t="s">
        <v>774</v>
      </c>
      <c r="B195" s="6" t="s">
        <v>777</v>
      </c>
      <c r="C195" s="6" t="s">
        <v>57</v>
      </c>
      <c r="D195" s="6" t="s">
        <v>54</v>
      </c>
      <c r="E195" s="6" t="s">
        <v>199</v>
      </c>
      <c r="F195" s="6" t="s">
        <v>1777</v>
      </c>
      <c r="G195" s="6" t="s">
        <v>1778</v>
      </c>
      <c r="H195" s="6" t="s">
        <v>1779</v>
      </c>
      <c r="I195" s="6" t="s">
        <v>55</v>
      </c>
      <c r="J195" s="6" t="s">
        <v>56</v>
      </c>
      <c r="K195" s="5" t="s">
        <v>5360</v>
      </c>
      <c r="L195" s="6" t="s">
        <v>52</v>
      </c>
      <c r="M195" s="6" t="s">
        <v>1775</v>
      </c>
      <c r="N195" s="6" t="s">
        <v>199</v>
      </c>
      <c r="O195" s="17">
        <v>44132</v>
      </c>
      <c r="P195" s="62">
        <v>625</v>
      </c>
      <c r="Q195" s="17">
        <v>48515</v>
      </c>
      <c r="R195" s="6" t="s">
        <v>225</v>
      </c>
      <c r="S195" s="6" t="s">
        <v>174</v>
      </c>
      <c r="T195" s="6" t="s">
        <v>115</v>
      </c>
      <c r="U195" s="6" t="s">
        <v>53</v>
      </c>
    </row>
    <row r="196" spans="1:21" x14ac:dyDescent="0.2">
      <c r="A196" s="6" t="s">
        <v>476</v>
      </c>
      <c r="B196" s="6" t="s">
        <v>479</v>
      </c>
      <c r="C196" s="6" t="s">
        <v>57</v>
      </c>
      <c r="D196" s="6" t="s">
        <v>54</v>
      </c>
      <c r="E196" s="6" t="s">
        <v>45</v>
      </c>
      <c r="F196" s="6" t="s">
        <v>1972</v>
      </c>
      <c r="G196" s="6" t="s">
        <v>1973</v>
      </c>
      <c r="H196" s="6" t="s">
        <v>1974</v>
      </c>
      <c r="I196" s="6" t="s">
        <v>55</v>
      </c>
      <c r="J196" s="6" t="s">
        <v>56</v>
      </c>
      <c r="K196" s="5">
        <v>7577635</v>
      </c>
      <c r="L196" s="6" t="s">
        <v>482</v>
      </c>
      <c r="M196" s="6" t="s">
        <v>173</v>
      </c>
      <c r="N196" s="6" t="s">
        <v>45</v>
      </c>
      <c r="O196" s="17">
        <v>44133</v>
      </c>
      <c r="P196" s="5" t="s">
        <v>5361</v>
      </c>
      <c r="Q196" s="17">
        <v>49611</v>
      </c>
      <c r="R196" s="6" t="s">
        <v>225</v>
      </c>
      <c r="S196" s="6" t="s">
        <v>483</v>
      </c>
      <c r="T196" s="6" t="s">
        <v>115</v>
      </c>
      <c r="U196" s="6" t="s">
        <v>53</v>
      </c>
    </row>
    <row r="197" spans="1:21" x14ac:dyDescent="0.2">
      <c r="A197" s="6" t="s">
        <v>1559</v>
      </c>
      <c r="B197" s="6" t="s">
        <v>1562</v>
      </c>
      <c r="C197" s="6" t="s">
        <v>71</v>
      </c>
      <c r="D197" s="62">
        <v>2235</v>
      </c>
      <c r="E197" s="6" t="s">
        <v>257</v>
      </c>
      <c r="F197" s="6" t="s">
        <v>2747</v>
      </c>
      <c r="G197" s="6" t="s">
        <v>2748</v>
      </c>
      <c r="H197" s="6" t="s">
        <v>2749</v>
      </c>
      <c r="I197" s="6" t="s">
        <v>55</v>
      </c>
      <c r="J197" s="6" t="s">
        <v>56</v>
      </c>
      <c r="K197" s="63">
        <v>500000000</v>
      </c>
      <c r="L197" s="6" t="s">
        <v>52</v>
      </c>
      <c r="M197" s="6" t="s">
        <v>1775</v>
      </c>
      <c r="N197" s="6" t="s">
        <v>366</v>
      </c>
      <c r="O197" s="17">
        <v>44158</v>
      </c>
      <c r="P197" s="5" t="s">
        <v>5362</v>
      </c>
      <c r="Q197" s="17">
        <v>47810</v>
      </c>
      <c r="R197" s="6" t="s">
        <v>261</v>
      </c>
      <c r="S197" s="6" t="s">
        <v>174</v>
      </c>
      <c r="T197" s="6" t="s">
        <v>115</v>
      </c>
      <c r="U197" s="6" t="s">
        <v>262</v>
      </c>
    </row>
    <row r="198" spans="1:21" x14ac:dyDescent="0.2">
      <c r="A198" s="6" t="s">
        <v>1559</v>
      </c>
      <c r="B198" s="6" t="s">
        <v>1562</v>
      </c>
      <c r="C198" s="6" t="s">
        <v>71</v>
      </c>
      <c r="D198" s="62">
        <v>2235</v>
      </c>
      <c r="E198" s="6" t="s">
        <v>257</v>
      </c>
      <c r="F198" s="6" t="s">
        <v>2751</v>
      </c>
      <c r="G198" s="6" t="s">
        <v>2752</v>
      </c>
      <c r="H198" s="6" t="s">
        <v>2753</v>
      </c>
      <c r="I198" s="6" t="s">
        <v>55</v>
      </c>
      <c r="J198" s="6" t="s">
        <v>56</v>
      </c>
      <c r="K198" s="63">
        <v>500000000</v>
      </c>
      <c r="L198" s="6" t="s">
        <v>52</v>
      </c>
      <c r="M198" s="6" t="s">
        <v>1775</v>
      </c>
      <c r="N198" s="6" t="s">
        <v>366</v>
      </c>
      <c r="O198" s="17">
        <v>44158</v>
      </c>
      <c r="P198" s="5" t="s">
        <v>5362</v>
      </c>
      <c r="Q198" s="17">
        <v>47810</v>
      </c>
      <c r="R198" s="6" t="s">
        <v>270</v>
      </c>
      <c r="S198" s="6" t="s">
        <v>174</v>
      </c>
      <c r="T198" s="6" t="s">
        <v>115</v>
      </c>
      <c r="U198" s="6" t="s">
        <v>262</v>
      </c>
    </row>
    <row r="199" spans="1:21" x14ac:dyDescent="0.2">
      <c r="A199" s="6" t="s">
        <v>979</v>
      </c>
      <c r="B199" s="6" t="s">
        <v>982</v>
      </c>
      <c r="C199" s="6" t="s">
        <v>57</v>
      </c>
      <c r="D199" s="6" t="s">
        <v>54</v>
      </c>
      <c r="E199" s="6" t="s">
        <v>199</v>
      </c>
      <c r="F199" s="6" t="s">
        <v>2618</v>
      </c>
      <c r="G199" s="6" t="s">
        <v>2619</v>
      </c>
      <c r="H199" s="6" t="s">
        <v>2620</v>
      </c>
      <c r="I199" s="6" t="s">
        <v>55</v>
      </c>
      <c r="J199" s="6" t="s">
        <v>56</v>
      </c>
      <c r="K199" s="5" t="s">
        <v>5363</v>
      </c>
      <c r="L199" s="6" t="s">
        <v>52</v>
      </c>
      <c r="M199" s="6" t="s">
        <v>1770</v>
      </c>
      <c r="N199" s="6" t="s">
        <v>199</v>
      </c>
      <c r="O199" s="17">
        <v>44168</v>
      </c>
      <c r="P199" s="5" t="s">
        <v>5290</v>
      </c>
      <c r="Q199" s="17">
        <v>47820</v>
      </c>
      <c r="R199" s="6" t="s">
        <v>225</v>
      </c>
      <c r="S199" s="6" t="s">
        <v>174</v>
      </c>
      <c r="T199" s="6" t="s">
        <v>115</v>
      </c>
      <c r="U199" s="6" t="s">
        <v>53</v>
      </c>
    </row>
    <row r="200" spans="1:21" x14ac:dyDescent="0.2">
      <c r="A200" s="6" t="s">
        <v>1157</v>
      </c>
      <c r="B200" s="6" t="s">
        <v>1160</v>
      </c>
      <c r="C200" s="6" t="s">
        <v>57</v>
      </c>
      <c r="D200" s="6" t="s">
        <v>54</v>
      </c>
      <c r="E200" s="6" t="s">
        <v>184</v>
      </c>
      <c r="F200" s="6" t="s">
        <v>1798</v>
      </c>
      <c r="G200" s="6" t="s">
        <v>1799</v>
      </c>
      <c r="H200" s="6" t="s">
        <v>1800</v>
      </c>
      <c r="I200" s="6" t="s">
        <v>117</v>
      </c>
      <c r="J200" s="6" t="s">
        <v>56</v>
      </c>
      <c r="K200" s="5" t="s">
        <v>5363</v>
      </c>
      <c r="L200" s="6" t="s">
        <v>52</v>
      </c>
      <c r="M200" s="6" t="s">
        <v>1770</v>
      </c>
      <c r="N200" s="6" t="s">
        <v>184</v>
      </c>
      <c r="O200" s="17">
        <v>44172</v>
      </c>
      <c r="P200" s="5" t="s">
        <v>5364</v>
      </c>
      <c r="Q200" s="17">
        <v>46728</v>
      </c>
      <c r="R200" s="6" t="s">
        <v>173</v>
      </c>
      <c r="S200" s="6" t="s">
        <v>54</v>
      </c>
      <c r="T200" s="6" t="s">
        <v>188</v>
      </c>
      <c r="U200" s="6" t="s">
        <v>53</v>
      </c>
    </row>
    <row r="201" spans="1:21" x14ac:dyDescent="0.2">
      <c r="A201" s="6" t="s">
        <v>1359</v>
      </c>
      <c r="B201" s="6" t="s">
        <v>1362</v>
      </c>
      <c r="C201" s="6" t="s">
        <v>57</v>
      </c>
      <c r="D201" s="6" t="s">
        <v>54</v>
      </c>
      <c r="E201" s="6" t="s">
        <v>199</v>
      </c>
      <c r="F201" s="6" t="s">
        <v>3233</v>
      </c>
      <c r="G201" s="6" t="s">
        <v>3234</v>
      </c>
      <c r="H201" s="6" t="s">
        <v>3235</v>
      </c>
      <c r="I201" s="6" t="s">
        <v>117</v>
      </c>
      <c r="J201" s="6" t="s">
        <v>56</v>
      </c>
      <c r="K201" s="5" t="s">
        <v>5365</v>
      </c>
      <c r="L201" s="6" t="s">
        <v>52</v>
      </c>
      <c r="M201" s="6" t="s">
        <v>1775</v>
      </c>
      <c r="N201" s="6" t="s">
        <v>199</v>
      </c>
      <c r="O201" s="17">
        <v>44172</v>
      </c>
      <c r="P201" s="5">
        <v>0</v>
      </c>
      <c r="Q201" s="17">
        <v>47094</v>
      </c>
      <c r="R201" s="6" t="s">
        <v>225</v>
      </c>
      <c r="S201" s="6" t="s">
        <v>174</v>
      </c>
      <c r="T201" s="6" t="s">
        <v>115</v>
      </c>
      <c r="U201" s="6" t="s">
        <v>53</v>
      </c>
    </row>
    <row r="202" spans="1:21" x14ac:dyDescent="0.2">
      <c r="A202" s="6" t="s">
        <v>1550</v>
      </c>
      <c r="B202" s="6" t="s">
        <v>1553</v>
      </c>
      <c r="C202" s="6" t="s">
        <v>57</v>
      </c>
      <c r="D202" s="6" t="s">
        <v>54</v>
      </c>
      <c r="E202" s="6" t="s">
        <v>1554</v>
      </c>
      <c r="F202" s="6" t="s">
        <v>2246</v>
      </c>
      <c r="G202" s="6" t="s">
        <v>2247</v>
      </c>
      <c r="H202" s="6" t="s">
        <v>2248</v>
      </c>
      <c r="I202" s="6" t="s">
        <v>55</v>
      </c>
      <c r="J202" s="6" t="s">
        <v>56</v>
      </c>
      <c r="K202" s="5">
        <v>60362000</v>
      </c>
      <c r="L202" s="6" t="s">
        <v>52</v>
      </c>
      <c r="M202" s="6" t="s">
        <v>1775</v>
      </c>
      <c r="N202" s="6" t="s">
        <v>1554</v>
      </c>
      <c r="O202" s="17">
        <v>44174</v>
      </c>
      <c r="P202" s="5">
        <v>4</v>
      </c>
      <c r="Q202" s="17">
        <v>46000</v>
      </c>
      <c r="R202" s="6" t="s">
        <v>173</v>
      </c>
      <c r="S202" s="6" t="s">
        <v>54</v>
      </c>
      <c r="T202" s="6" t="s">
        <v>115</v>
      </c>
      <c r="U202" s="6" t="s">
        <v>53</v>
      </c>
    </row>
    <row r="203" spans="1:21" x14ac:dyDescent="0.2">
      <c r="A203" s="6" t="s">
        <v>1413</v>
      </c>
      <c r="B203" s="6" t="s">
        <v>1416</v>
      </c>
      <c r="C203" s="6" t="s">
        <v>57</v>
      </c>
      <c r="D203" s="10">
        <v>5.4809999999999999</v>
      </c>
      <c r="E203" s="6" t="s">
        <v>199</v>
      </c>
      <c r="F203" s="6" t="s">
        <v>3465</v>
      </c>
      <c r="G203" s="6" t="s">
        <v>3466</v>
      </c>
      <c r="H203" s="6" t="s">
        <v>3467</v>
      </c>
      <c r="I203" s="6" t="s">
        <v>55</v>
      </c>
      <c r="J203" s="6" t="s">
        <v>56</v>
      </c>
      <c r="K203" s="5" t="s">
        <v>5366</v>
      </c>
      <c r="L203" s="6" t="s">
        <v>52</v>
      </c>
      <c r="M203" s="6" t="s">
        <v>1775</v>
      </c>
      <c r="N203" s="6" t="s">
        <v>199</v>
      </c>
      <c r="O203" s="17">
        <v>44180</v>
      </c>
      <c r="P203" s="62">
        <v>5875</v>
      </c>
      <c r="Q203" s="17">
        <v>46006</v>
      </c>
      <c r="R203" s="6" t="s">
        <v>173</v>
      </c>
      <c r="S203" s="6" t="s">
        <v>296</v>
      </c>
      <c r="T203" s="6" t="s">
        <v>115</v>
      </c>
      <c r="U203" s="6" t="s">
        <v>53</v>
      </c>
    </row>
    <row r="204" spans="1:21" x14ac:dyDescent="0.2">
      <c r="A204" s="6" t="s">
        <v>528</v>
      </c>
      <c r="B204" s="6" t="s">
        <v>531</v>
      </c>
      <c r="C204" s="6" t="s">
        <v>57</v>
      </c>
      <c r="D204" s="6" t="s">
        <v>54</v>
      </c>
      <c r="E204" s="6" t="s">
        <v>257</v>
      </c>
      <c r="F204" s="6" t="s">
        <v>3418</v>
      </c>
      <c r="G204" s="6" t="s">
        <v>3419</v>
      </c>
      <c r="H204" s="6" t="s">
        <v>3420</v>
      </c>
      <c r="I204" s="6" t="s">
        <v>55</v>
      </c>
      <c r="J204" s="6" t="s">
        <v>56</v>
      </c>
      <c r="K204" s="5">
        <v>26972660</v>
      </c>
      <c r="L204" s="6" t="s">
        <v>52</v>
      </c>
      <c r="M204" s="6" t="s">
        <v>1770</v>
      </c>
      <c r="N204" s="6" t="s">
        <v>257</v>
      </c>
      <c r="O204" s="17">
        <v>44182</v>
      </c>
      <c r="P204" s="5">
        <v>3</v>
      </c>
      <c r="Q204" s="17">
        <v>46008</v>
      </c>
      <c r="R204" s="6" t="s">
        <v>173</v>
      </c>
      <c r="S204" s="6" t="s">
        <v>54</v>
      </c>
      <c r="T204" s="6" t="s">
        <v>49</v>
      </c>
      <c r="U204" s="6" t="s">
        <v>53</v>
      </c>
    </row>
    <row r="205" spans="1:21" x14ac:dyDescent="0.2">
      <c r="A205" s="6" t="s">
        <v>476</v>
      </c>
      <c r="B205" s="6" t="s">
        <v>479</v>
      </c>
      <c r="C205" s="6" t="s">
        <v>391</v>
      </c>
      <c r="D205" s="6" t="s">
        <v>54</v>
      </c>
      <c r="E205" s="6" t="s">
        <v>45</v>
      </c>
      <c r="F205" s="6" t="s">
        <v>1976</v>
      </c>
      <c r="G205" s="6" t="s">
        <v>1977</v>
      </c>
      <c r="H205" s="6" t="s">
        <v>1978</v>
      </c>
      <c r="I205" s="6" t="s">
        <v>55</v>
      </c>
      <c r="J205" s="6" t="s">
        <v>70</v>
      </c>
      <c r="K205" s="63">
        <v>700000000</v>
      </c>
      <c r="L205" s="6" t="s">
        <v>458</v>
      </c>
      <c r="M205" s="6" t="s">
        <v>1770</v>
      </c>
      <c r="N205" s="6" t="s">
        <v>45</v>
      </c>
      <c r="O205" s="17">
        <v>44214</v>
      </c>
      <c r="P205" s="62">
        <v>-409</v>
      </c>
      <c r="Q205" s="17">
        <v>46038</v>
      </c>
      <c r="R205" s="6" t="s">
        <v>225</v>
      </c>
      <c r="S205" s="6" t="s">
        <v>189</v>
      </c>
      <c r="T205" s="6" t="s">
        <v>49</v>
      </c>
      <c r="U205" s="6" t="s">
        <v>53</v>
      </c>
    </row>
    <row r="206" spans="1:21" x14ac:dyDescent="0.2">
      <c r="A206" s="6" t="s">
        <v>165</v>
      </c>
      <c r="B206" s="6" t="s">
        <v>168</v>
      </c>
      <c r="C206" s="6" t="s">
        <v>57</v>
      </c>
      <c r="D206" s="6" t="s">
        <v>54</v>
      </c>
      <c r="E206" s="6" t="s">
        <v>170</v>
      </c>
      <c r="F206" s="6" t="s">
        <v>2642</v>
      </c>
      <c r="G206" s="6" t="s">
        <v>2643</v>
      </c>
      <c r="H206" s="6" t="s">
        <v>2644</v>
      </c>
      <c r="I206" s="6" t="s">
        <v>55</v>
      </c>
      <c r="J206" s="6" t="s">
        <v>56</v>
      </c>
      <c r="K206" s="5" t="s">
        <v>5367</v>
      </c>
      <c r="L206" s="6" t="s">
        <v>52</v>
      </c>
      <c r="M206" s="6" t="s">
        <v>1770</v>
      </c>
      <c r="N206" s="6" t="s">
        <v>169</v>
      </c>
      <c r="O206" s="17">
        <v>44215</v>
      </c>
      <c r="P206" s="62">
        <v>125</v>
      </c>
      <c r="Q206" s="17">
        <v>46587</v>
      </c>
      <c r="R206" s="6" t="s">
        <v>225</v>
      </c>
      <c r="S206" s="6" t="s">
        <v>174</v>
      </c>
      <c r="T206" s="6" t="s">
        <v>115</v>
      </c>
      <c r="U206" s="6" t="s">
        <v>53</v>
      </c>
    </row>
    <row r="207" spans="1:21" x14ac:dyDescent="0.2">
      <c r="A207" s="6" t="s">
        <v>165</v>
      </c>
      <c r="B207" s="6" t="s">
        <v>168</v>
      </c>
      <c r="C207" s="6" t="s">
        <v>57</v>
      </c>
      <c r="D207" s="6" t="s">
        <v>54</v>
      </c>
      <c r="E207" s="6" t="s">
        <v>170</v>
      </c>
      <c r="F207" s="6" t="s">
        <v>2646</v>
      </c>
      <c r="G207" s="6" t="s">
        <v>2647</v>
      </c>
      <c r="H207" s="6" t="s">
        <v>2648</v>
      </c>
      <c r="I207" s="6" t="s">
        <v>55</v>
      </c>
      <c r="J207" s="6" t="s">
        <v>56</v>
      </c>
      <c r="K207" s="5" t="s">
        <v>5368</v>
      </c>
      <c r="L207" s="6" t="s">
        <v>52</v>
      </c>
      <c r="M207" s="6" t="s">
        <v>1770</v>
      </c>
      <c r="N207" s="6" t="s">
        <v>169</v>
      </c>
      <c r="O207" s="17">
        <v>44215</v>
      </c>
      <c r="P207" s="62">
        <v>625</v>
      </c>
      <c r="Q207" s="17">
        <v>48598</v>
      </c>
      <c r="R207" s="6" t="s">
        <v>225</v>
      </c>
      <c r="S207" s="6" t="s">
        <v>174</v>
      </c>
      <c r="T207" s="6" t="s">
        <v>115</v>
      </c>
      <c r="U207" s="6" t="s">
        <v>53</v>
      </c>
    </row>
    <row r="208" spans="1:21" x14ac:dyDescent="0.2">
      <c r="A208" s="6" t="s">
        <v>476</v>
      </c>
      <c r="B208" s="6" t="s">
        <v>479</v>
      </c>
      <c r="C208" s="6" t="s">
        <v>57</v>
      </c>
      <c r="D208" s="6" t="s">
        <v>54</v>
      </c>
      <c r="E208" s="6" t="s">
        <v>45</v>
      </c>
      <c r="F208" s="6" t="s">
        <v>1980</v>
      </c>
      <c r="G208" s="6" t="s">
        <v>1981</v>
      </c>
      <c r="H208" s="6" t="s">
        <v>1982</v>
      </c>
      <c r="I208" s="6" t="s">
        <v>55</v>
      </c>
      <c r="J208" s="6" t="s">
        <v>56</v>
      </c>
      <c r="K208" s="5">
        <v>36320400</v>
      </c>
      <c r="L208" s="6" t="s">
        <v>482</v>
      </c>
      <c r="M208" s="6" t="s">
        <v>1770</v>
      </c>
      <c r="N208" s="6" t="s">
        <v>45</v>
      </c>
      <c r="O208" s="17">
        <v>44216</v>
      </c>
      <c r="P208" s="5" t="s">
        <v>5369</v>
      </c>
      <c r="Q208" s="17">
        <v>47868</v>
      </c>
      <c r="R208" s="6" t="s">
        <v>225</v>
      </c>
      <c r="S208" s="6" t="s">
        <v>483</v>
      </c>
      <c r="T208" s="6" t="s">
        <v>49</v>
      </c>
      <c r="U208" s="6" t="s">
        <v>53</v>
      </c>
    </row>
    <row r="209" spans="1:21" x14ac:dyDescent="0.2">
      <c r="A209" s="6" t="s">
        <v>476</v>
      </c>
      <c r="B209" s="6" t="s">
        <v>479</v>
      </c>
      <c r="C209" s="6" t="s">
        <v>57</v>
      </c>
      <c r="D209" s="6" t="s">
        <v>54</v>
      </c>
      <c r="E209" s="6" t="s">
        <v>45</v>
      </c>
      <c r="F209" s="6" t="s">
        <v>1984</v>
      </c>
      <c r="G209" s="6" t="s">
        <v>1985</v>
      </c>
      <c r="H209" s="6" t="s">
        <v>1986</v>
      </c>
      <c r="I209" s="6" t="s">
        <v>55</v>
      </c>
      <c r="J209" s="6" t="s">
        <v>56</v>
      </c>
      <c r="K209" s="5">
        <v>36446100</v>
      </c>
      <c r="L209" s="6" t="s">
        <v>482</v>
      </c>
      <c r="M209" s="6" t="s">
        <v>1770</v>
      </c>
      <c r="N209" s="6" t="s">
        <v>45</v>
      </c>
      <c r="O209" s="17">
        <v>44217</v>
      </c>
      <c r="P209" s="5" t="s">
        <v>5370</v>
      </c>
      <c r="Q209" s="17">
        <v>47504</v>
      </c>
      <c r="R209" s="6" t="s">
        <v>225</v>
      </c>
      <c r="S209" s="6" t="s">
        <v>483</v>
      </c>
      <c r="T209" s="6" t="s">
        <v>49</v>
      </c>
      <c r="U209" s="6" t="s">
        <v>53</v>
      </c>
    </row>
    <row r="210" spans="1:21" x14ac:dyDescent="0.2">
      <c r="A210" s="6" t="s">
        <v>476</v>
      </c>
      <c r="B210" s="6" t="s">
        <v>479</v>
      </c>
      <c r="C210" s="6" t="s">
        <v>57</v>
      </c>
      <c r="D210" s="6" t="s">
        <v>54</v>
      </c>
      <c r="E210" s="6" t="s">
        <v>45</v>
      </c>
      <c r="F210" s="6" t="s">
        <v>1988</v>
      </c>
      <c r="G210" s="6" t="s">
        <v>1989</v>
      </c>
      <c r="H210" s="6" t="s">
        <v>1990</v>
      </c>
      <c r="I210" s="6" t="s">
        <v>55</v>
      </c>
      <c r="J210" s="6" t="s">
        <v>56</v>
      </c>
      <c r="K210" s="5" t="s">
        <v>5367</v>
      </c>
      <c r="L210" s="6" t="s">
        <v>458</v>
      </c>
      <c r="M210" s="6" t="s">
        <v>1770</v>
      </c>
      <c r="N210" s="6" t="s">
        <v>45</v>
      </c>
      <c r="O210" s="17">
        <v>44223</v>
      </c>
      <c r="P210" s="5" t="s">
        <v>5334</v>
      </c>
      <c r="Q210" s="17">
        <v>47875</v>
      </c>
      <c r="R210" s="6" t="s">
        <v>225</v>
      </c>
      <c r="S210" s="6" t="s">
        <v>189</v>
      </c>
      <c r="T210" s="6" t="s">
        <v>49</v>
      </c>
      <c r="U210" s="6" t="s">
        <v>53</v>
      </c>
    </row>
    <row r="211" spans="1:21" x14ac:dyDescent="0.2">
      <c r="A211" s="6" t="s">
        <v>1335</v>
      </c>
      <c r="B211" s="6" t="s">
        <v>1338</v>
      </c>
      <c r="C211" s="6" t="s">
        <v>57</v>
      </c>
      <c r="D211" s="6" t="s">
        <v>54</v>
      </c>
      <c r="E211" s="6" t="s">
        <v>1339</v>
      </c>
      <c r="F211" s="6" t="s">
        <v>2335</v>
      </c>
      <c r="G211" s="6" t="s">
        <v>2336</v>
      </c>
      <c r="H211" s="6" t="s">
        <v>2337</v>
      </c>
      <c r="I211" s="6" t="s">
        <v>55</v>
      </c>
      <c r="J211" s="6" t="s">
        <v>56</v>
      </c>
      <c r="K211" s="5" t="s">
        <v>5371</v>
      </c>
      <c r="L211" s="6" t="s">
        <v>52</v>
      </c>
      <c r="M211" s="6" t="s">
        <v>1770</v>
      </c>
      <c r="N211" s="6" t="s">
        <v>169</v>
      </c>
      <c r="O211" s="17">
        <v>44223</v>
      </c>
      <c r="P211" s="5" t="s">
        <v>5225</v>
      </c>
      <c r="Q211" s="17">
        <v>47875</v>
      </c>
      <c r="R211" s="6" t="s">
        <v>225</v>
      </c>
      <c r="S211" s="6" t="s">
        <v>174</v>
      </c>
      <c r="T211" s="6" t="s">
        <v>115</v>
      </c>
      <c r="U211" s="6" t="s">
        <v>53</v>
      </c>
    </row>
    <row r="212" spans="1:21" x14ac:dyDescent="0.2">
      <c r="A212" s="6" t="s">
        <v>476</v>
      </c>
      <c r="B212" s="6" t="s">
        <v>479</v>
      </c>
      <c r="C212" s="6" t="s">
        <v>57</v>
      </c>
      <c r="D212" s="6" t="s">
        <v>54</v>
      </c>
      <c r="E212" s="6" t="s">
        <v>45</v>
      </c>
      <c r="F212" s="6" t="s">
        <v>1992</v>
      </c>
      <c r="G212" s="6" t="s">
        <v>1993</v>
      </c>
      <c r="H212" s="6" t="s">
        <v>1994</v>
      </c>
      <c r="I212" s="6" t="s">
        <v>55</v>
      </c>
      <c r="J212" s="6" t="s">
        <v>56</v>
      </c>
      <c r="K212" s="5">
        <v>78813150</v>
      </c>
      <c r="L212" s="6" t="s">
        <v>482</v>
      </c>
      <c r="M212" s="6" t="s">
        <v>1770</v>
      </c>
      <c r="N212" s="6" t="s">
        <v>45</v>
      </c>
      <c r="O212" s="17">
        <v>44224</v>
      </c>
      <c r="P212" s="5" t="s">
        <v>5334</v>
      </c>
      <c r="Q212" s="17">
        <v>45317</v>
      </c>
      <c r="R212" s="6" t="s">
        <v>225</v>
      </c>
      <c r="S212" s="6" t="s">
        <v>483</v>
      </c>
      <c r="T212" s="6" t="s">
        <v>49</v>
      </c>
      <c r="U212" s="6" t="s">
        <v>53</v>
      </c>
    </row>
    <row r="213" spans="1:21" x14ac:dyDescent="0.2">
      <c r="A213" s="6" t="s">
        <v>476</v>
      </c>
      <c r="B213" s="6" t="s">
        <v>479</v>
      </c>
      <c r="C213" s="6" t="s">
        <v>57</v>
      </c>
      <c r="D213" s="6" t="s">
        <v>54</v>
      </c>
      <c r="E213" s="6" t="s">
        <v>45</v>
      </c>
      <c r="F213" s="6" t="s">
        <v>1996</v>
      </c>
      <c r="G213" s="6" t="s">
        <v>1997</v>
      </c>
      <c r="H213" s="6" t="s">
        <v>1998</v>
      </c>
      <c r="I213" s="6" t="s">
        <v>55</v>
      </c>
      <c r="J213" s="6" t="s">
        <v>56</v>
      </c>
      <c r="K213" s="5">
        <v>60691500</v>
      </c>
      <c r="L213" s="6" t="s">
        <v>482</v>
      </c>
      <c r="M213" s="6" t="s">
        <v>173</v>
      </c>
      <c r="N213" s="6" t="s">
        <v>45</v>
      </c>
      <c r="O213" s="17">
        <v>44237</v>
      </c>
      <c r="P213" s="5" t="s">
        <v>5334</v>
      </c>
      <c r="Q213" s="17">
        <v>45334</v>
      </c>
      <c r="R213" s="6" t="s">
        <v>225</v>
      </c>
      <c r="S213" s="6" t="s">
        <v>483</v>
      </c>
      <c r="T213" s="6" t="s">
        <v>49</v>
      </c>
      <c r="U213" s="6" t="s">
        <v>53</v>
      </c>
    </row>
    <row r="214" spans="1:21" x14ac:dyDescent="0.2">
      <c r="A214" s="6" t="s">
        <v>1359</v>
      </c>
      <c r="B214" s="6" t="s">
        <v>1362</v>
      </c>
      <c r="C214" s="6" t="s">
        <v>57</v>
      </c>
      <c r="D214" s="6" t="s">
        <v>54</v>
      </c>
      <c r="E214" s="6" t="s">
        <v>199</v>
      </c>
      <c r="F214" s="6" t="s">
        <v>3237</v>
      </c>
      <c r="G214" s="6" t="s">
        <v>3238</v>
      </c>
      <c r="H214" s="6" t="s">
        <v>3239</v>
      </c>
      <c r="I214" s="6" t="s">
        <v>117</v>
      </c>
      <c r="J214" s="6" t="s">
        <v>56</v>
      </c>
      <c r="K214" s="5" t="s">
        <v>5363</v>
      </c>
      <c r="L214" s="6" t="s">
        <v>52</v>
      </c>
      <c r="M214" s="6" t="s">
        <v>1839</v>
      </c>
      <c r="N214" s="6" t="s">
        <v>199</v>
      </c>
      <c r="O214" s="17">
        <v>44242</v>
      </c>
      <c r="P214" s="5">
        <v>0</v>
      </c>
      <c r="Q214" s="17">
        <v>45884</v>
      </c>
      <c r="R214" s="6" t="s">
        <v>225</v>
      </c>
      <c r="S214" s="6" t="s">
        <v>174</v>
      </c>
      <c r="T214" s="6" t="s">
        <v>115</v>
      </c>
      <c r="U214" s="6" t="s">
        <v>53</v>
      </c>
    </row>
    <row r="215" spans="1:21" x14ac:dyDescent="0.2">
      <c r="A215" s="6" t="s">
        <v>1335</v>
      </c>
      <c r="B215" s="6" t="s">
        <v>1338</v>
      </c>
      <c r="C215" s="6" t="s">
        <v>71</v>
      </c>
      <c r="D215" s="5" t="s">
        <v>5372</v>
      </c>
      <c r="E215" s="6" t="s">
        <v>1339</v>
      </c>
      <c r="F215" s="6" t="s">
        <v>2339</v>
      </c>
      <c r="G215" s="6" t="s">
        <v>2340</v>
      </c>
      <c r="H215" s="6" t="s">
        <v>2341</v>
      </c>
      <c r="I215" s="6" t="s">
        <v>55</v>
      </c>
      <c r="J215" s="6" t="s">
        <v>56</v>
      </c>
      <c r="K215" s="5">
        <v>28215780</v>
      </c>
      <c r="L215" s="6" t="s">
        <v>52</v>
      </c>
      <c r="M215" s="6" t="s">
        <v>1770</v>
      </c>
      <c r="N215" s="6" t="s">
        <v>169</v>
      </c>
      <c r="O215" s="17">
        <v>44252</v>
      </c>
      <c r="P215" s="5" t="s">
        <v>5372</v>
      </c>
      <c r="Q215" s="17">
        <v>45713</v>
      </c>
      <c r="R215" s="6" t="s">
        <v>225</v>
      </c>
      <c r="S215" s="6" t="s">
        <v>54</v>
      </c>
      <c r="T215" s="6" t="s">
        <v>49</v>
      </c>
      <c r="U215" s="6" t="s">
        <v>975</v>
      </c>
    </row>
    <row r="216" spans="1:21" x14ac:dyDescent="0.2">
      <c r="A216" s="6" t="s">
        <v>476</v>
      </c>
      <c r="B216" s="6" t="s">
        <v>479</v>
      </c>
      <c r="C216" s="6" t="s">
        <v>57</v>
      </c>
      <c r="D216" s="6" t="s">
        <v>54</v>
      </c>
      <c r="E216" s="6" t="s">
        <v>45</v>
      </c>
      <c r="F216" s="6" t="s">
        <v>2000</v>
      </c>
      <c r="G216" s="6" t="s">
        <v>2001</v>
      </c>
      <c r="H216" s="6" t="s">
        <v>2002</v>
      </c>
      <c r="I216" s="6" t="s">
        <v>55</v>
      </c>
      <c r="J216" s="6" t="s">
        <v>56</v>
      </c>
      <c r="K216" s="5" t="s">
        <v>5373</v>
      </c>
      <c r="L216" s="6" t="s">
        <v>458</v>
      </c>
      <c r="M216" s="6" t="s">
        <v>1770</v>
      </c>
      <c r="N216" s="6" t="s">
        <v>45</v>
      </c>
      <c r="O216" s="17">
        <v>44252</v>
      </c>
      <c r="P216" s="5" t="s">
        <v>5334</v>
      </c>
      <c r="Q216" s="17">
        <v>48180</v>
      </c>
      <c r="R216" s="6" t="s">
        <v>225</v>
      </c>
      <c r="S216" s="6" t="s">
        <v>189</v>
      </c>
      <c r="T216" s="6" t="s">
        <v>49</v>
      </c>
      <c r="U216" s="6" t="s">
        <v>53</v>
      </c>
    </row>
    <row r="217" spans="1:21" x14ac:dyDescent="0.2">
      <c r="A217" s="6" t="s">
        <v>476</v>
      </c>
      <c r="B217" s="6" t="s">
        <v>479</v>
      </c>
      <c r="C217" s="6" t="s">
        <v>57</v>
      </c>
      <c r="D217" s="5" t="s">
        <v>5374</v>
      </c>
      <c r="E217" s="6" t="s">
        <v>45</v>
      </c>
      <c r="F217" s="6" t="s">
        <v>2004</v>
      </c>
      <c r="G217" s="6" t="s">
        <v>2005</v>
      </c>
      <c r="H217" s="6" t="s">
        <v>2006</v>
      </c>
      <c r="I217" s="6" t="s">
        <v>55</v>
      </c>
      <c r="J217" s="6" t="s">
        <v>56</v>
      </c>
      <c r="K217" s="5">
        <v>12070300</v>
      </c>
      <c r="L217" s="6" t="s">
        <v>482</v>
      </c>
      <c r="M217" s="6" t="s">
        <v>173</v>
      </c>
      <c r="N217" s="6" t="s">
        <v>45</v>
      </c>
      <c r="O217" s="17">
        <v>44258</v>
      </c>
      <c r="P217" s="5" t="s">
        <v>5334</v>
      </c>
      <c r="Q217" s="17">
        <v>45379</v>
      </c>
      <c r="R217" s="6" t="s">
        <v>225</v>
      </c>
      <c r="S217" s="6" t="s">
        <v>483</v>
      </c>
      <c r="T217" s="6" t="s">
        <v>49</v>
      </c>
      <c r="U217" s="6" t="s">
        <v>53</v>
      </c>
    </row>
    <row r="218" spans="1:21" x14ac:dyDescent="0.2">
      <c r="A218" s="6" t="s">
        <v>476</v>
      </c>
      <c r="B218" s="6" t="s">
        <v>479</v>
      </c>
      <c r="C218" s="6" t="s">
        <v>57</v>
      </c>
      <c r="D218" s="62">
        <v>158</v>
      </c>
      <c r="E218" s="6" t="s">
        <v>45</v>
      </c>
      <c r="F218" s="6" t="s">
        <v>2008</v>
      </c>
      <c r="G218" s="6" t="s">
        <v>2009</v>
      </c>
      <c r="H218" s="6" t="s">
        <v>2010</v>
      </c>
      <c r="I218" s="6" t="s">
        <v>55</v>
      </c>
      <c r="J218" s="6" t="s">
        <v>56</v>
      </c>
      <c r="K218" s="5">
        <v>89955000</v>
      </c>
      <c r="L218" s="6" t="s">
        <v>2011</v>
      </c>
      <c r="M218" s="6" t="s">
        <v>2012</v>
      </c>
      <c r="N218" s="6" t="s">
        <v>45</v>
      </c>
      <c r="O218" s="17">
        <v>44259</v>
      </c>
      <c r="P218" s="5" t="s">
        <v>5259</v>
      </c>
      <c r="Q218" s="17">
        <v>47546</v>
      </c>
      <c r="R218" s="6" t="s">
        <v>225</v>
      </c>
      <c r="S218" s="6" t="s">
        <v>483</v>
      </c>
      <c r="T218" s="6" t="s">
        <v>49</v>
      </c>
      <c r="U218" s="6" t="s">
        <v>53</v>
      </c>
    </row>
    <row r="219" spans="1:21" x14ac:dyDescent="0.2">
      <c r="A219" s="6" t="s">
        <v>476</v>
      </c>
      <c r="B219" s="6" t="s">
        <v>479</v>
      </c>
      <c r="C219" s="6" t="s">
        <v>57</v>
      </c>
      <c r="D219" s="6" t="s">
        <v>54</v>
      </c>
      <c r="E219" s="6" t="s">
        <v>45</v>
      </c>
      <c r="F219" s="6" t="s">
        <v>2014</v>
      </c>
      <c r="G219" s="6" t="s">
        <v>2015</v>
      </c>
      <c r="H219" s="6" t="s">
        <v>2016</v>
      </c>
      <c r="I219" s="6" t="s">
        <v>55</v>
      </c>
      <c r="J219" s="6" t="s">
        <v>56</v>
      </c>
      <c r="K219" s="5">
        <v>11948000</v>
      </c>
      <c r="L219" s="6" t="s">
        <v>482</v>
      </c>
      <c r="M219" s="6" t="s">
        <v>1770</v>
      </c>
      <c r="N219" s="6" t="s">
        <v>45</v>
      </c>
      <c r="O219" s="17">
        <v>44267</v>
      </c>
      <c r="P219" s="5" t="s">
        <v>5334</v>
      </c>
      <c r="Q219" s="17">
        <v>47189</v>
      </c>
      <c r="R219" s="6" t="s">
        <v>225</v>
      </c>
      <c r="S219" s="6" t="s">
        <v>483</v>
      </c>
      <c r="T219" s="6" t="s">
        <v>49</v>
      </c>
      <c r="U219" s="6" t="s">
        <v>53</v>
      </c>
    </row>
    <row r="220" spans="1:21" x14ac:dyDescent="0.2">
      <c r="A220" s="6" t="s">
        <v>476</v>
      </c>
      <c r="B220" s="6" t="s">
        <v>479</v>
      </c>
      <c r="C220" s="6" t="s">
        <v>57</v>
      </c>
      <c r="D220" s="6" t="s">
        <v>54</v>
      </c>
      <c r="E220" s="6" t="s">
        <v>45</v>
      </c>
      <c r="F220" s="6" t="s">
        <v>2018</v>
      </c>
      <c r="G220" s="6" t="s">
        <v>2019</v>
      </c>
      <c r="H220" s="6" t="s">
        <v>2020</v>
      </c>
      <c r="I220" s="6" t="s">
        <v>55</v>
      </c>
      <c r="J220" s="6" t="s">
        <v>56</v>
      </c>
      <c r="K220" s="5">
        <v>11929300</v>
      </c>
      <c r="L220" s="6" t="s">
        <v>482</v>
      </c>
      <c r="M220" s="6" t="s">
        <v>1770</v>
      </c>
      <c r="N220" s="6" t="s">
        <v>45</v>
      </c>
      <c r="O220" s="17">
        <v>44273</v>
      </c>
      <c r="P220" s="62">
        <v>118</v>
      </c>
      <c r="Q220" s="17">
        <v>47560</v>
      </c>
      <c r="R220" s="6" t="s">
        <v>225</v>
      </c>
      <c r="S220" s="6" t="s">
        <v>483</v>
      </c>
      <c r="T220" s="6" t="s">
        <v>49</v>
      </c>
      <c r="U220" s="6" t="s">
        <v>53</v>
      </c>
    </row>
    <row r="221" spans="1:21" x14ac:dyDescent="0.2">
      <c r="A221" s="6" t="s">
        <v>1431</v>
      </c>
      <c r="B221" s="6" t="s">
        <v>1434</v>
      </c>
      <c r="C221" s="6" t="s">
        <v>391</v>
      </c>
      <c r="D221" s="6" t="s">
        <v>54</v>
      </c>
      <c r="E221" s="6" t="s">
        <v>367</v>
      </c>
      <c r="F221" s="6" t="s">
        <v>1873</v>
      </c>
      <c r="G221" s="6" t="s">
        <v>1874</v>
      </c>
      <c r="H221" s="6" t="s">
        <v>1875</v>
      </c>
      <c r="I221" s="6" t="s">
        <v>55</v>
      </c>
      <c r="J221" s="6" t="s">
        <v>70</v>
      </c>
      <c r="K221" s="5">
        <v>23007400</v>
      </c>
      <c r="L221" s="6" t="s">
        <v>52</v>
      </c>
      <c r="M221" s="6" t="s">
        <v>1770</v>
      </c>
      <c r="N221" s="6" t="s">
        <v>367</v>
      </c>
      <c r="O221" s="17">
        <v>44284</v>
      </c>
      <c r="P221" s="62">
        <v>646</v>
      </c>
      <c r="Q221" s="17">
        <v>45014</v>
      </c>
      <c r="R221" s="6" t="s">
        <v>685</v>
      </c>
      <c r="S221" s="6" t="s">
        <v>54</v>
      </c>
      <c r="T221" s="6" t="s">
        <v>49</v>
      </c>
      <c r="U221" s="6" t="s">
        <v>686</v>
      </c>
    </row>
    <row r="222" spans="1:21" x14ac:dyDescent="0.2">
      <c r="A222" s="6" t="s">
        <v>689</v>
      </c>
      <c r="B222" s="6" t="s">
        <v>692</v>
      </c>
      <c r="C222" s="6" t="s">
        <v>57</v>
      </c>
      <c r="D222" s="6" t="s">
        <v>54</v>
      </c>
      <c r="E222" s="6" t="s">
        <v>257</v>
      </c>
      <c r="F222" s="6" t="s">
        <v>2291</v>
      </c>
      <c r="G222" s="6" t="s">
        <v>173</v>
      </c>
      <c r="H222" s="6" t="s">
        <v>2292</v>
      </c>
      <c r="I222" s="6" t="s">
        <v>55</v>
      </c>
      <c r="J222" s="6" t="s">
        <v>56</v>
      </c>
      <c r="K222" s="5" t="s">
        <v>5375</v>
      </c>
      <c r="L222" s="6" t="s">
        <v>52</v>
      </c>
      <c r="M222" s="6" t="s">
        <v>173</v>
      </c>
      <c r="N222" s="6" t="s">
        <v>257</v>
      </c>
      <c r="O222" s="17">
        <v>44286</v>
      </c>
      <c r="P222" s="5">
        <v>0</v>
      </c>
      <c r="Q222" s="17">
        <v>45016</v>
      </c>
      <c r="R222" s="6" t="s">
        <v>2293</v>
      </c>
      <c r="S222" s="6" t="s">
        <v>54</v>
      </c>
      <c r="T222" s="6" t="s">
        <v>49</v>
      </c>
      <c r="U222" s="6" t="s">
        <v>53</v>
      </c>
    </row>
    <row r="223" spans="1:21" x14ac:dyDescent="0.2">
      <c r="A223" s="6" t="s">
        <v>165</v>
      </c>
      <c r="B223" s="6" t="s">
        <v>168</v>
      </c>
      <c r="C223" s="6" t="s">
        <v>57</v>
      </c>
      <c r="D223" s="6" t="s">
        <v>54</v>
      </c>
      <c r="E223" s="6" t="s">
        <v>170</v>
      </c>
      <c r="F223" s="6" t="s">
        <v>2650</v>
      </c>
      <c r="G223" s="6" t="s">
        <v>2651</v>
      </c>
      <c r="H223" s="6" t="s">
        <v>2652</v>
      </c>
      <c r="I223" s="6" t="s">
        <v>55</v>
      </c>
      <c r="J223" s="6" t="s">
        <v>56</v>
      </c>
      <c r="K223" s="5" t="s">
        <v>5376</v>
      </c>
      <c r="L223" s="6" t="s">
        <v>52</v>
      </c>
      <c r="M223" s="6" t="s">
        <v>1770</v>
      </c>
      <c r="N223" s="6" t="s">
        <v>169</v>
      </c>
      <c r="O223" s="17">
        <v>44292</v>
      </c>
      <c r="P223" s="62">
        <v>625</v>
      </c>
      <c r="Q223" s="17">
        <v>47579</v>
      </c>
      <c r="R223" s="6" t="s">
        <v>225</v>
      </c>
      <c r="S223" s="6" t="s">
        <v>174</v>
      </c>
      <c r="T223" s="6" t="s">
        <v>115</v>
      </c>
      <c r="U223" s="6" t="s">
        <v>53</v>
      </c>
    </row>
    <row r="224" spans="1:21" x14ac:dyDescent="0.2">
      <c r="A224" s="6" t="s">
        <v>476</v>
      </c>
      <c r="B224" s="6" t="s">
        <v>479</v>
      </c>
      <c r="C224" s="6" t="s">
        <v>391</v>
      </c>
      <c r="D224" s="6" t="s">
        <v>54</v>
      </c>
      <c r="E224" s="6" t="s">
        <v>45</v>
      </c>
      <c r="F224" s="6" t="s">
        <v>2022</v>
      </c>
      <c r="G224" s="6" t="s">
        <v>2023</v>
      </c>
      <c r="H224" s="6" t="s">
        <v>2024</v>
      </c>
      <c r="I224" s="6" t="s">
        <v>55</v>
      </c>
      <c r="J224" s="6" t="s">
        <v>70</v>
      </c>
      <c r="K224" s="5" t="s">
        <v>5319</v>
      </c>
      <c r="L224" s="6" t="s">
        <v>458</v>
      </c>
      <c r="M224" s="6" t="s">
        <v>1770</v>
      </c>
      <c r="N224" s="6" t="s">
        <v>45</v>
      </c>
      <c r="O224" s="17">
        <v>44305</v>
      </c>
      <c r="P224" s="5">
        <v>0</v>
      </c>
      <c r="Q224" s="17">
        <v>46129</v>
      </c>
      <c r="R224" s="6" t="s">
        <v>225</v>
      </c>
      <c r="S224" s="6" t="s">
        <v>189</v>
      </c>
      <c r="T224" s="6" t="s">
        <v>49</v>
      </c>
      <c r="U224" s="6" t="s">
        <v>53</v>
      </c>
    </row>
    <row r="225" spans="1:21" x14ac:dyDescent="0.2">
      <c r="A225" s="6" t="s">
        <v>476</v>
      </c>
      <c r="B225" s="6" t="s">
        <v>479</v>
      </c>
      <c r="C225" s="6" t="s">
        <v>57</v>
      </c>
      <c r="D225" s="6" t="s">
        <v>54</v>
      </c>
      <c r="E225" s="6" t="s">
        <v>45</v>
      </c>
      <c r="F225" s="6" t="s">
        <v>2026</v>
      </c>
      <c r="G225" s="6" t="s">
        <v>2027</v>
      </c>
      <c r="H225" s="6" t="s">
        <v>2028</v>
      </c>
      <c r="I225" s="6" t="s">
        <v>55</v>
      </c>
      <c r="J225" s="6" t="s">
        <v>56</v>
      </c>
      <c r="K225" s="5" t="s">
        <v>5377</v>
      </c>
      <c r="L225" s="6" t="s">
        <v>458</v>
      </c>
      <c r="M225" s="6" t="s">
        <v>1770</v>
      </c>
      <c r="N225" s="6" t="s">
        <v>45</v>
      </c>
      <c r="O225" s="17">
        <v>44335</v>
      </c>
      <c r="P225" s="5" t="s">
        <v>5290</v>
      </c>
      <c r="Q225" s="17">
        <v>48718</v>
      </c>
      <c r="R225" s="6" t="s">
        <v>225</v>
      </c>
      <c r="S225" s="6" t="s">
        <v>189</v>
      </c>
      <c r="T225" s="6" t="s">
        <v>49</v>
      </c>
      <c r="U225" s="6" t="s">
        <v>53</v>
      </c>
    </row>
    <row r="226" spans="1:21" x14ac:dyDescent="0.2">
      <c r="A226" s="6" t="s">
        <v>916</v>
      </c>
      <c r="B226" s="6" t="s">
        <v>919</v>
      </c>
      <c r="C226" s="6" t="s">
        <v>57</v>
      </c>
      <c r="D226" s="6" t="s">
        <v>54</v>
      </c>
      <c r="E226" s="6" t="s">
        <v>184</v>
      </c>
      <c r="F226" s="6" t="s">
        <v>2916</v>
      </c>
      <c r="G226" s="6" t="s">
        <v>2917</v>
      </c>
      <c r="H226" s="6" t="s">
        <v>2918</v>
      </c>
      <c r="I226" s="6" t="s">
        <v>420</v>
      </c>
      <c r="J226" s="6" t="s">
        <v>56</v>
      </c>
      <c r="K226" s="5">
        <v>32820930</v>
      </c>
      <c r="L226" s="6" t="s">
        <v>118</v>
      </c>
      <c r="M226" s="6" t="s">
        <v>173</v>
      </c>
      <c r="N226" s="6" t="s">
        <v>184</v>
      </c>
      <c r="O226" s="17">
        <v>44333</v>
      </c>
      <c r="P226" s="5">
        <v>0</v>
      </c>
      <c r="Q226" s="17">
        <v>45063</v>
      </c>
      <c r="R226" s="6" t="s">
        <v>225</v>
      </c>
      <c r="S226" s="6" t="s">
        <v>54</v>
      </c>
      <c r="T226" s="6" t="s">
        <v>49</v>
      </c>
      <c r="U226" s="6" t="s">
        <v>53</v>
      </c>
    </row>
    <row r="227" spans="1:21" x14ac:dyDescent="0.2">
      <c r="A227" s="6" t="s">
        <v>1559</v>
      </c>
      <c r="B227" s="6" t="s">
        <v>1562</v>
      </c>
      <c r="C227" s="6" t="s">
        <v>71</v>
      </c>
      <c r="D227" s="62">
        <v>3781</v>
      </c>
      <c r="E227" s="6" t="s">
        <v>257</v>
      </c>
      <c r="F227" s="6" t="s">
        <v>2755</v>
      </c>
      <c r="G227" s="6" t="s">
        <v>2756</v>
      </c>
      <c r="H227" s="6" t="s">
        <v>2757</v>
      </c>
      <c r="I227" s="6" t="s">
        <v>55</v>
      </c>
      <c r="J227" s="6" t="s">
        <v>56</v>
      </c>
      <c r="K227" s="63">
        <v>500000000</v>
      </c>
      <c r="L227" s="6" t="s">
        <v>52</v>
      </c>
      <c r="M227" s="6" t="s">
        <v>1775</v>
      </c>
      <c r="N227" s="6" t="s">
        <v>366</v>
      </c>
      <c r="O227" s="17">
        <v>44344</v>
      </c>
      <c r="P227" s="5" t="s">
        <v>5358</v>
      </c>
      <c r="Q227" s="17">
        <v>55301</v>
      </c>
      <c r="R227" s="6" t="s">
        <v>261</v>
      </c>
      <c r="S227" s="6" t="s">
        <v>174</v>
      </c>
      <c r="T227" s="6" t="s">
        <v>115</v>
      </c>
      <c r="U227" s="6" t="s">
        <v>262</v>
      </c>
    </row>
    <row r="228" spans="1:21" x14ac:dyDescent="0.2">
      <c r="A228" s="6" t="s">
        <v>1559</v>
      </c>
      <c r="B228" s="6" t="s">
        <v>1562</v>
      </c>
      <c r="C228" s="6" t="s">
        <v>71</v>
      </c>
      <c r="D228" s="62">
        <v>3781</v>
      </c>
      <c r="E228" s="6" t="s">
        <v>257</v>
      </c>
      <c r="F228" s="6" t="s">
        <v>2759</v>
      </c>
      <c r="G228" s="6" t="s">
        <v>2760</v>
      </c>
      <c r="H228" s="6" t="s">
        <v>2761</v>
      </c>
      <c r="I228" s="6" t="s">
        <v>55</v>
      </c>
      <c r="J228" s="6" t="s">
        <v>56</v>
      </c>
      <c r="K228" s="63">
        <v>500000000</v>
      </c>
      <c r="L228" s="6" t="s">
        <v>52</v>
      </c>
      <c r="M228" s="6" t="s">
        <v>1775</v>
      </c>
      <c r="N228" s="6" t="s">
        <v>366</v>
      </c>
      <c r="O228" s="17">
        <v>44344</v>
      </c>
      <c r="P228" s="5" t="s">
        <v>5358</v>
      </c>
      <c r="Q228" s="17">
        <v>55301</v>
      </c>
      <c r="R228" s="6" t="s">
        <v>270</v>
      </c>
      <c r="S228" s="6" t="s">
        <v>174</v>
      </c>
      <c r="T228" s="6" t="s">
        <v>115</v>
      </c>
      <c r="U228" s="6" t="s">
        <v>262</v>
      </c>
    </row>
    <row r="229" spans="1:21" x14ac:dyDescent="0.2">
      <c r="A229" s="6" t="s">
        <v>476</v>
      </c>
      <c r="B229" s="6" t="s">
        <v>479</v>
      </c>
      <c r="C229" s="6" t="s">
        <v>57</v>
      </c>
      <c r="D229" s="6" t="s">
        <v>54</v>
      </c>
      <c r="E229" s="6" t="s">
        <v>45</v>
      </c>
      <c r="F229" s="6" t="s">
        <v>2030</v>
      </c>
      <c r="G229" s="6" t="s">
        <v>2031</v>
      </c>
      <c r="H229" s="6" t="s">
        <v>2032</v>
      </c>
      <c r="I229" s="6" t="s">
        <v>55</v>
      </c>
      <c r="J229" s="6" t="s">
        <v>56</v>
      </c>
      <c r="K229" s="5" t="s">
        <v>5378</v>
      </c>
      <c r="L229" s="6" t="s">
        <v>2011</v>
      </c>
      <c r="M229" s="6" t="s">
        <v>2012</v>
      </c>
      <c r="N229" s="6" t="s">
        <v>45</v>
      </c>
      <c r="O229" s="17">
        <v>44376</v>
      </c>
      <c r="P229" s="62">
        <v>625</v>
      </c>
      <c r="Q229" s="17">
        <v>48029</v>
      </c>
      <c r="R229" s="6" t="s">
        <v>225</v>
      </c>
      <c r="S229" s="6" t="s">
        <v>117</v>
      </c>
      <c r="T229" s="6" t="s">
        <v>49</v>
      </c>
      <c r="U229" s="6" t="s">
        <v>53</v>
      </c>
    </row>
    <row r="230" spans="1:21" x14ac:dyDescent="0.2">
      <c r="A230" s="6" t="s">
        <v>1359</v>
      </c>
      <c r="B230" s="6" t="s">
        <v>1362</v>
      </c>
      <c r="C230" s="6" t="s">
        <v>57</v>
      </c>
      <c r="D230" s="6" t="s">
        <v>54</v>
      </c>
      <c r="E230" s="6" t="s">
        <v>199</v>
      </c>
      <c r="F230" s="6" t="s">
        <v>3241</v>
      </c>
      <c r="G230" s="6" t="s">
        <v>3242</v>
      </c>
      <c r="H230" s="6" t="s">
        <v>3243</v>
      </c>
      <c r="I230" s="6" t="s">
        <v>117</v>
      </c>
      <c r="J230" s="6" t="s">
        <v>56</v>
      </c>
      <c r="K230" s="5" t="s">
        <v>5379</v>
      </c>
      <c r="L230" s="6" t="s">
        <v>52</v>
      </c>
      <c r="M230" s="6" t="s">
        <v>1839</v>
      </c>
      <c r="N230" s="6" t="s">
        <v>199</v>
      </c>
      <c r="O230" s="17">
        <v>44377</v>
      </c>
      <c r="P230" s="62">
        <v>625</v>
      </c>
      <c r="Q230" s="17">
        <v>48029</v>
      </c>
      <c r="R230" s="6" t="s">
        <v>225</v>
      </c>
      <c r="S230" s="6" t="s">
        <v>174</v>
      </c>
      <c r="T230" s="6" t="s">
        <v>115</v>
      </c>
      <c r="U230" s="6" t="s">
        <v>53</v>
      </c>
    </row>
    <row r="231" spans="1:21" x14ac:dyDescent="0.2">
      <c r="A231" s="6" t="s">
        <v>1625</v>
      </c>
      <c r="B231" s="6" t="s">
        <v>1628</v>
      </c>
      <c r="C231" s="6" t="s">
        <v>57</v>
      </c>
      <c r="D231" s="6" t="s">
        <v>54</v>
      </c>
      <c r="E231" s="6" t="s">
        <v>45</v>
      </c>
      <c r="F231" s="6" t="s">
        <v>2704</v>
      </c>
      <c r="G231" s="6" t="s">
        <v>173</v>
      </c>
      <c r="H231" s="6" t="s">
        <v>2705</v>
      </c>
      <c r="I231" s="6" t="s">
        <v>55</v>
      </c>
      <c r="J231" s="6" t="s">
        <v>56</v>
      </c>
      <c r="K231" s="5">
        <v>23437000</v>
      </c>
      <c r="L231" s="6" t="s">
        <v>52</v>
      </c>
      <c r="M231" s="6" t="s">
        <v>173</v>
      </c>
      <c r="N231" s="6" t="s">
        <v>45</v>
      </c>
      <c r="O231" s="17">
        <v>44285</v>
      </c>
      <c r="P231" s="5">
        <v>0</v>
      </c>
      <c r="Q231" s="17">
        <v>46842</v>
      </c>
      <c r="R231" s="6" t="s">
        <v>69</v>
      </c>
      <c r="S231" s="6" t="s">
        <v>54</v>
      </c>
      <c r="T231" s="6" t="s">
        <v>49</v>
      </c>
      <c r="U231" s="6" t="s">
        <v>53</v>
      </c>
    </row>
    <row r="232" spans="1:21" x14ac:dyDescent="0.2">
      <c r="A232" s="6" t="s">
        <v>1559</v>
      </c>
      <c r="B232" s="6" t="s">
        <v>1562</v>
      </c>
      <c r="C232" s="6" t="s">
        <v>57</v>
      </c>
      <c r="D232" s="62">
        <v>1032</v>
      </c>
      <c r="E232" s="6" t="s">
        <v>257</v>
      </c>
      <c r="F232" s="6" t="s">
        <v>2763</v>
      </c>
      <c r="G232" s="6" t="s">
        <v>2764</v>
      </c>
      <c r="H232" s="6" t="s">
        <v>2765</v>
      </c>
      <c r="I232" s="6" t="s">
        <v>55</v>
      </c>
      <c r="J232" s="6" t="s">
        <v>56</v>
      </c>
      <c r="K232" s="5" t="s">
        <v>5379</v>
      </c>
      <c r="L232" s="6" t="s">
        <v>52</v>
      </c>
      <c r="M232" s="6" t="s">
        <v>1775</v>
      </c>
      <c r="N232" s="6" t="s">
        <v>366</v>
      </c>
      <c r="O232" s="17">
        <v>44391</v>
      </c>
      <c r="P232" s="5">
        <v>1</v>
      </c>
      <c r="Q232" s="17">
        <v>48043</v>
      </c>
      <c r="R232" s="6" t="s">
        <v>173</v>
      </c>
      <c r="S232" s="6" t="s">
        <v>174</v>
      </c>
      <c r="T232" s="6" t="s">
        <v>49</v>
      </c>
      <c r="U232" s="6" t="s">
        <v>53</v>
      </c>
    </row>
    <row r="233" spans="1:21" x14ac:dyDescent="0.2">
      <c r="A233" s="6" t="s">
        <v>476</v>
      </c>
      <c r="B233" s="6" t="s">
        <v>479</v>
      </c>
      <c r="C233" s="6" t="s">
        <v>57</v>
      </c>
      <c r="D233" s="6" t="s">
        <v>54</v>
      </c>
      <c r="E233" s="6" t="s">
        <v>45</v>
      </c>
      <c r="F233" s="6" t="s">
        <v>2034</v>
      </c>
      <c r="G233" s="6" t="s">
        <v>2035</v>
      </c>
      <c r="H233" s="6" t="s">
        <v>2036</v>
      </c>
      <c r="I233" s="6" t="s">
        <v>55</v>
      </c>
      <c r="J233" s="6" t="s">
        <v>56</v>
      </c>
      <c r="K233" s="5">
        <v>11762800</v>
      </c>
      <c r="L233" s="6" t="s">
        <v>482</v>
      </c>
      <c r="M233" s="6" t="s">
        <v>173</v>
      </c>
      <c r="N233" s="6" t="s">
        <v>45</v>
      </c>
      <c r="O233" s="17">
        <v>44399</v>
      </c>
      <c r="P233" s="5" t="s">
        <v>5380</v>
      </c>
      <c r="Q233" s="17">
        <v>47686</v>
      </c>
      <c r="R233" s="6" t="s">
        <v>225</v>
      </c>
      <c r="S233" s="6" t="s">
        <v>483</v>
      </c>
      <c r="T233" s="6" t="s">
        <v>49</v>
      </c>
      <c r="U233" s="6" t="s">
        <v>53</v>
      </c>
    </row>
    <row r="234" spans="1:21" x14ac:dyDescent="0.2">
      <c r="A234" s="6" t="s">
        <v>476</v>
      </c>
      <c r="B234" s="6" t="s">
        <v>479</v>
      </c>
      <c r="C234" s="6" t="s">
        <v>57</v>
      </c>
      <c r="D234" s="5" t="s">
        <v>5381</v>
      </c>
      <c r="E234" s="6" t="s">
        <v>45</v>
      </c>
      <c r="F234" s="6" t="s">
        <v>2038</v>
      </c>
      <c r="G234" s="6" t="s">
        <v>2039</v>
      </c>
      <c r="H234" s="6" t="s">
        <v>2040</v>
      </c>
      <c r="I234" s="6" t="s">
        <v>55</v>
      </c>
      <c r="J234" s="6" t="s">
        <v>56</v>
      </c>
      <c r="K234" s="5" t="s">
        <v>5298</v>
      </c>
      <c r="L234" s="6" t="s">
        <v>458</v>
      </c>
      <c r="M234" s="6" t="s">
        <v>1770</v>
      </c>
      <c r="N234" s="6" t="s">
        <v>45</v>
      </c>
      <c r="O234" s="17">
        <v>44432</v>
      </c>
      <c r="P234" s="5" t="s">
        <v>5334</v>
      </c>
      <c r="Q234" s="17">
        <v>46258</v>
      </c>
      <c r="R234" s="6" t="s">
        <v>225</v>
      </c>
      <c r="S234" s="6" t="s">
        <v>189</v>
      </c>
      <c r="T234" s="6" t="s">
        <v>49</v>
      </c>
      <c r="U234" s="6" t="s">
        <v>53</v>
      </c>
    </row>
    <row r="235" spans="1:21" x14ac:dyDescent="0.2">
      <c r="A235" s="6" t="s">
        <v>165</v>
      </c>
      <c r="B235" s="6" t="s">
        <v>168</v>
      </c>
      <c r="C235" s="6" t="s">
        <v>57</v>
      </c>
      <c r="D235" s="62">
        <v>604</v>
      </c>
      <c r="E235" s="6" t="s">
        <v>170</v>
      </c>
      <c r="F235" s="6" t="s">
        <v>2654</v>
      </c>
      <c r="G235" s="6" t="s">
        <v>2655</v>
      </c>
      <c r="H235" s="6" t="s">
        <v>2656</v>
      </c>
      <c r="I235" s="6" t="s">
        <v>55</v>
      </c>
      <c r="J235" s="6" t="s">
        <v>56</v>
      </c>
      <c r="K235" s="5" t="s">
        <v>5382</v>
      </c>
      <c r="L235" s="6" t="s">
        <v>52</v>
      </c>
      <c r="M235" s="6" t="s">
        <v>1770</v>
      </c>
      <c r="N235" s="6" t="s">
        <v>169</v>
      </c>
      <c r="O235" s="17">
        <v>44442</v>
      </c>
      <c r="P235" s="5" t="s">
        <v>5259</v>
      </c>
      <c r="Q235" s="17">
        <v>47729</v>
      </c>
      <c r="R235" s="6" t="s">
        <v>225</v>
      </c>
      <c r="S235" s="6" t="s">
        <v>174</v>
      </c>
      <c r="T235" s="6" t="s">
        <v>115</v>
      </c>
      <c r="U235" s="6" t="s">
        <v>53</v>
      </c>
    </row>
    <row r="236" spans="1:21" x14ac:dyDescent="0.2">
      <c r="A236" s="6" t="s">
        <v>1216</v>
      </c>
      <c r="B236" s="6" t="s">
        <v>1219</v>
      </c>
      <c r="C236" s="6" t="s">
        <v>57</v>
      </c>
      <c r="D236" s="6" t="s">
        <v>54</v>
      </c>
      <c r="E236" s="6" t="s">
        <v>45</v>
      </c>
      <c r="F236" s="6" t="s">
        <v>2883</v>
      </c>
      <c r="G236" s="6" t="s">
        <v>2884</v>
      </c>
      <c r="H236" s="6" t="s">
        <v>2885</v>
      </c>
      <c r="I236" s="6" t="s">
        <v>420</v>
      </c>
      <c r="J236" s="6" t="s">
        <v>56</v>
      </c>
      <c r="K236" s="5" t="s">
        <v>5288</v>
      </c>
      <c r="L236" s="6" t="s">
        <v>52</v>
      </c>
      <c r="M236" s="6" t="s">
        <v>1770</v>
      </c>
      <c r="N236" s="6" t="s">
        <v>45</v>
      </c>
      <c r="O236" s="17">
        <v>44447</v>
      </c>
      <c r="P236" s="5">
        <v>0</v>
      </c>
      <c r="Q236" s="17">
        <v>46638</v>
      </c>
      <c r="R236" s="6" t="s">
        <v>225</v>
      </c>
      <c r="S236" s="6" t="s">
        <v>174</v>
      </c>
      <c r="T236" s="6" t="s">
        <v>115</v>
      </c>
      <c r="U236" s="6" t="s">
        <v>53</v>
      </c>
    </row>
    <row r="237" spans="1:21" x14ac:dyDescent="0.2">
      <c r="A237" s="6" t="s">
        <v>476</v>
      </c>
      <c r="B237" s="6" t="s">
        <v>479</v>
      </c>
      <c r="C237" s="6" t="s">
        <v>57</v>
      </c>
      <c r="D237" s="6" t="s">
        <v>54</v>
      </c>
      <c r="E237" s="6" t="s">
        <v>45</v>
      </c>
      <c r="F237" s="6" t="s">
        <v>2042</v>
      </c>
      <c r="G237" s="6" t="s">
        <v>2043</v>
      </c>
      <c r="H237" s="6" t="s">
        <v>2044</v>
      </c>
      <c r="I237" s="6" t="s">
        <v>55</v>
      </c>
      <c r="J237" s="6" t="s">
        <v>56</v>
      </c>
      <c r="K237" s="5">
        <v>11601400</v>
      </c>
      <c r="L237" s="6" t="s">
        <v>52</v>
      </c>
      <c r="M237" s="6" t="s">
        <v>1770</v>
      </c>
      <c r="N237" s="6" t="s">
        <v>45</v>
      </c>
      <c r="O237" s="17">
        <v>44468</v>
      </c>
      <c r="P237" s="62">
        <v>375</v>
      </c>
      <c r="Q237" s="17">
        <v>48120</v>
      </c>
      <c r="R237" s="6" t="s">
        <v>225</v>
      </c>
      <c r="S237" s="6" t="s">
        <v>483</v>
      </c>
      <c r="T237" s="6" t="s">
        <v>115</v>
      </c>
      <c r="U237" s="6" t="s">
        <v>53</v>
      </c>
    </row>
    <row r="238" spans="1:21" x14ac:dyDescent="0.2">
      <c r="A238" s="6" t="s">
        <v>1525</v>
      </c>
      <c r="B238" s="6" t="s">
        <v>1528</v>
      </c>
      <c r="C238" s="6" t="s">
        <v>57</v>
      </c>
      <c r="D238" s="6" t="s">
        <v>54</v>
      </c>
      <c r="E238" s="6" t="s">
        <v>184</v>
      </c>
      <c r="F238" s="6" t="s">
        <v>3004</v>
      </c>
      <c r="G238" s="6" t="s">
        <v>3005</v>
      </c>
      <c r="H238" s="6" t="s">
        <v>3006</v>
      </c>
      <c r="I238" s="6" t="s">
        <v>420</v>
      </c>
      <c r="J238" s="6" t="s">
        <v>56</v>
      </c>
      <c r="K238" s="5" t="s">
        <v>5383</v>
      </c>
      <c r="L238" s="6" t="s">
        <v>52</v>
      </c>
      <c r="M238" s="6" t="s">
        <v>1775</v>
      </c>
      <c r="N238" s="6" t="s">
        <v>184</v>
      </c>
      <c r="O238" s="17">
        <v>44473</v>
      </c>
      <c r="P238" s="62">
        <v>125</v>
      </c>
      <c r="Q238" s="17">
        <v>47395</v>
      </c>
      <c r="R238" s="6" t="s">
        <v>3007</v>
      </c>
      <c r="S238" s="6" t="s">
        <v>619</v>
      </c>
      <c r="T238" s="6" t="s">
        <v>115</v>
      </c>
      <c r="U238" s="6" t="s">
        <v>53</v>
      </c>
    </row>
    <row r="239" spans="1:21" x14ac:dyDescent="0.2">
      <c r="A239" s="6" t="s">
        <v>1335</v>
      </c>
      <c r="B239" s="6" t="s">
        <v>1338</v>
      </c>
      <c r="C239" s="6" t="s">
        <v>71</v>
      </c>
      <c r="D239" s="6" t="s">
        <v>54</v>
      </c>
      <c r="E239" s="6" t="s">
        <v>1339</v>
      </c>
      <c r="F239" s="6" t="s">
        <v>2343</v>
      </c>
      <c r="G239" s="6" t="s">
        <v>2344</v>
      </c>
      <c r="H239" s="6" t="s">
        <v>2345</v>
      </c>
      <c r="I239" s="6" t="s">
        <v>55</v>
      </c>
      <c r="J239" s="6" t="s">
        <v>56</v>
      </c>
      <c r="K239" s="5">
        <v>23292282</v>
      </c>
      <c r="L239" s="6" t="s">
        <v>52</v>
      </c>
      <c r="M239" s="6" t="s">
        <v>1770</v>
      </c>
      <c r="N239" s="6" t="s">
        <v>169</v>
      </c>
      <c r="O239" s="17">
        <v>44476</v>
      </c>
      <c r="P239" s="5" t="s">
        <v>5384</v>
      </c>
      <c r="Q239" s="17">
        <v>45754</v>
      </c>
      <c r="R239" s="6" t="s">
        <v>225</v>
      </c>
      <c r="S239" s="6" t="s">
        <v>54</v>
      </c>
      <c r="T239" s="6" t="s">
        <v>49</v>
      </c>
      <c r="U239" s="6" t="s">
        <v>975</v>
      </c>
    </row>
    <row r="240" spans="1:21" x14ac:dyDescent="0.2">
      <c r="A240" s="6" t="s">
        <v>476</v>
      </c>
      <c r="B240" s="6" t="s">
        <v>479</v>
      </c>
      <c r="C240" s="6" t="s">
        <v>57</v>
      </c>
      <c r="D240" s="6" t="s">
        <v>54</v>
      </c>
      <c r="E240" s="6" t="s">
        <v>45</v>
      </c>
      <c r="F240" s="6" t="s">
        <v>2046</v>
      </c>
      <c r="G240" s="6" t="s">
        <v>2047</v>
      </c>
      <c r="H240" s="6" t="s">
        <v>2048</v>
      </c>
      <c r="I240" s="6" t="s">
        <v>55</v>
      </c>
      <c r="J240" s="6" t="s">
        <v>56</v>
      </c>
      <c r="K240" s="5">
        <v>9244480</v>
      </c>
      <c r="L240" s="6" t="s">
        <v>482</v>
      </c>
      <c r="M240" s="6" t="s">
        <v>173</v>
      </c>
      <c r="N240" s="6" t="s">
        <v>45</v>
      </c>
      <c r="O240" s="17">
        <v>44476</v>
      </c>
      <c r="P240" s="5" t="s">
        <v>5385</v>
      </c>
      <c r="Q240" s="17">
        <v>48128</v>
      </c>
      <c r="R240" s="6" t="s">
        <v>225</v>
      </c>
      <c r="S240" s="6" t="s">
        <v>483</v>
      </c>
      <c r="T240" s="6" t="s">
        <v>115</v>
      </c>
      <c r="U240" s="6" t="s">
        <v>53</v>
      </c>
    </row>
    <row r="241" spans="1:21" x14ac:dyDescent="0.2">
      <c r="A241" s="6" t="s">
        <v>476</v>
      </c>
      <c r="B241" s="6" t="s">
        <v>479</v>
      </c>
      <c r="C241" s="6" t="s">
        <v>57</v>
      </c>
      <c r="D241" s="6" t="s">
        <v>54</v>
      </c>
      <c r="E241" s="6" t="s">
        <v>45</v>
      </c>
      <c r="F241" s="6" t="s">
        <v>2050</v>
      </c>
      <c r="G241" s="6" t="s">
        <v>2051</v>
      </c>
      <c r="H241" s="6" t="s">
        <v>2052</v>
      </c>
      <c r="I241" s="6" t="s">
        <v>55</v>
      </c>
      <c r="J241" s="6" t="s">
        <v>56</v>
      </c>
      <c r="K241" s="5">
        <v>23111200</v>
      </c>
      <c r="L241" s="6" t="s">
        <v>482</v>
      </c>
      <c r="M241" s="6" t="s">
        <v>173</v>
      </c>
      <c r="N241" s="6" t="s">
        <v>45</v>
      </c>
      <c r="O241" s="17">
        <v>44476</v>
      </c>
      <c r="P241" s="5" t="s">
        <v>5347</v>
      </c>
      <c r="Q241" s="17">
        <v>48128</v>
      </c>
      <c r="R241" s="6" t="s">
        <v>225</v>
      </c>
      <c r="S241" s="6" t="s">
        <v>483</v>
      </c>
      <c r="T241" s="6" t="s">
        <v>115</v>
      </c>
      <c r="U241" s="6" t="s">
        <v>53</v>
      </c>
    </row>
    <row r="242" spans="1:21" x14ac:dyDescent="0.2">
      <c r="A242" s="6" t="s">
        <v>165</v>
      </c>
      <c r="B242" s="6" t="s">
        <v>168</v>
      </c>
      <c r="C242" s="6" t="s">
        <v>57</v>
      </c>
      <c r="D242" s="6" t="s">
        <v>54</v>
      </c>
      <c r="E242" s="6" t="s">
        <v>170</v>
      </c>
      <c r="F242" s="6" t="s">
        <v>2658</v>
      </c>
      <c r="G242" s="6" t="s">
        <v>2659</v>
      </c>
      <c r="H242" s="6" t="s">
        <v>2660</v>
      </c>
      <c r="I242" s="6" t="s">
        <v>55</v>
      </c>
      <c r="J242" s="6" t="s">
        <v>56</v>
      </c>
      <c r="K242" s="5" t="s">
        <v>5386</v>
      </c>
      <c r="L242" s="6" t="s">
        <v>52</v>
      </c>
      <c r="M242" s="6" t="s">
        <v>1770</v>
      </c>
      <c r="N242" s="6" t="s">
        <v>169</v>
      </c>
      <c r="O242" s="17">
        <v>44477</v>
      </c>
      <c r="P242" s="62">
        <v>1375</v>
      </c>
      <c r="Q242" s="17">
        <v>49956</v>
      </c>
      <c r="R242" s="6" t="s">
        <v>225</v>
      </c>
      <c r="S242" s="6" t="s">
        <v>174</v>
      </c>
      <c r="T242" s="6" t="s">
        <v>49</v>
      </c>
      <c r="U242" s="6" t="s">
        <v>53</v>
      </c>
    </row>
    <row r="243" spans="1:21" x14ac:dyDescent="0.2">
      <c r="A243" s="6" t="s">
        <v>476</v>
      </c>
      <c r="B243" s="6" t="s">
        <v>479</v>
      </c>
      <c r="C243" s="6" t="s">
        <v>57</v>
      </c>
      <c r="D243" s="6" t="s">
        <v>54</v>
      </c>
      <c r="E243" s="6" t="s">
        <v>45</v>
      </c>
      <c r="F243" s="6" t="s">
        <v>2054</v>
      </c>
      <c r="G243" s="6" t="s">
        <v>2055</v>
      </c>
      <c r="H243" s="6" t="s">
        <v>2056</v>
      </c>
      <c r="I243" s="6" t="s">
        <v>55</v>
      </c>
      <c r="J243" s="6" t="s">
        <v>56</v>
      </c>
      <c r="K243" s="5" t="s">
        <v>5387</v>
      </c>
      <c r="L243" s="6" t="s">
        <v>458</v>
      </c>
      <c r="M243" s="6" t="s">
        <v>1770</v>
      </c>
      <c r="N243" s="6" t="s">
        <v>45</v>
      </c>
      <c r="O243" s="17">
        <v>44487</v>
      </c>
      <c r="P243" s="62">
        <v>125</v>
      </c>
      <c r="Q243" s="17">
        <v>47501</v>
      </c>
      <c r="R243" s="6" t="s">
        <v>225</v>
      </c>
      <c r="S243" s="6" t="s">
        <v>189</v>
      </c>
      <c r="T243" s="6" t="s">
        <v>49</v>
      </c>
      <c r="U243" s="6" t="s">
        <v>53</v>
      </c>
    </row>
    <row r="244" spans="1:21" x14ac:dyDescent="0.2">
      <c r="A244" s="6" t="s">
        <v>476</v>
      </c>
      <c r="B244" s="6" t="s">
        <v>479</v>
      </c>
      <c r="C244" s="6" t="s">
        <v>57</v>
      </c>
      <c r="D244" s="6" t="s">
        <v>54</v>
      </c>
      <c r="E244" s="6" t="s">
        <v>45</v>
      </c>
      <c r="F244" s="6" t="s">
        <v>2058</v>
      </c>
      <c r="G244" s="6" t="s">
        <v>2059</v>
      </c>
      <c r="H244" s="6" t="s">
        <v>2060</v>
      </c>
      <c r="I244" s="6" t="s">
        <v>55</v>
      </c>
      <c r="J244" s="6" t="s">
        <v>56</v>
      </c>
      <c r="K244" s="5">
        <v>17454150</v>
      </c>
      <c r="L244" s="6" t="s">
        <v>482</v>
      </c>
      <c r="M244" s="6" t="s">
        <v>173</v>
      </c>
      <c r="N244" s="6" t="s">
        <v>45</v>
      </c>
      <c r="O244" s="17">
        <v>44488</v>
      </c>
      <c r="P244" s="5" t="s">
        <v>5334</v>
      </c>
      <c r="Q244" s="17">
        <v>46314</v>
      </c>
      <c r="R244" s="6" t="s">
        <v>225</v>
      </c>
      <c r="S244" s="6" t="s">
        <v>483</v>
      </c>
      <c r="T244" s="6" t="s">
        <v>49</v>
      </c>
      <c r="U244" s="6" t="s">
        <v>53</v>
      </c>
    </row>
    <row r="245" spans="1:21" x14ac:dyDescent="0.2">
      <c r="A245" s="6" t="s">
        <v>476</v>
      </c>
      <c r="B245" s="6" t="s">
        <v>479</v>
      </c>
      <c r="C245" s="6" t="s">
        <v>57</v>
      </c>
      <c r="D245" s="6" t="s">
        <v>54</v>
      </c>
      <c r="E245" s="6" t="s">
        <v>45</v>
      </c>
      <c r="F245" s="6" t="s">
        <v>2062</v>
      </c>
      <c r="G245" s="6" t="s">
        <v>2063</v>
      </c>
      <c r="H245" s="6" t="s">
        <v>2064</v>
      </c>
      <c r="I245" s="6" t="s">
        <v>55</v>
      </c>
      <c r="J245" s="6" t="s">
        <v>56</v>
      </c>
      <c r="K245" s="5">
        <v>23024600</v>
      </c>
      <c r="L245" s="6" t="s">
        <v>482</v>
      </c>
      <c r="M245" s="6" t="s">
        <v>1839</v>
      </c>
      <c r="N245" s="6" t="s">
        <v>45</v>
      </c>
      <c r="O245" s="17">
        <v>44510</v>
      </c>
      <c r="P245" s="5" t="s">
        <v>5388</v>
      </c>
      <c r="Q245" s="17">
        <v>46336</v>
      </c>
      <c r="R245" s="6" t="s">
        <v>225</v>
      </c>
      <c r="S245" s="6" t="s">
        <v>483</v>
      </c>
      <c r="T245" s="6" t="s">
        <v>49</v>
      </c>
      <c r="U245" s="6" t="s">
        <v>53</v>
      </c>
    </row>
    <row r="246" spans="1:21" x14ac:dyDescent="0.2">
      <c r="A246" s="6" t="s">
        <v>476</v>
      </c>
      <c r="B246" s="6" t="s">
        <v>479</v>
      </c>
      <c r="C246" s="6" t="s">
        <v>57</v>
      </c>
      <c r="D246" s="6" t="s">
        <v>54</v>
      </c>
      <c r="E246" s="6" t="s">
        <v>45</v>
      </c>
      <c r="F246" s="6" t="s">
        <v>2066</v>
      </c>
      <c r="G246" s="6" t="s">
        <v>2067</v>
      </c>
      <c r="H246" s="6" t="s">
        <v>2068</v>
      </c>
      <c r="I246" s="6" t="s">
        <v>55</v>
      </c>
      <c r="J246" s="6" t="s">
        <v>56</v>
      </c>
      <c r="K246" s="5">
        <v>11369800</v>
      </c>
      <c r="L246" s="6" t="s">
        <v>482</v>
      </c>
      <c r="M246" s="6" t="s">
        <v>173</v>
      </c>
      <c r="N246" s="6" t="s">
        <v>45</v>
      </c>
      <c r="O246" s="17">
        <v>44518</v>
      </c>
      <c r="P246" s="62">
        <v>15</v>
      </c>
      <c r="Q246" s="17">
        <v>45979</v>
      </c>
      <c r="R246" s="6" t="s">
        <v>225</v>
      </c>
      <c r="S246" s="6" t="s">
        <v>483</v>
      </c>
      <c r="T246" s="6" t="s">
        <v>49</v>
      </c>
      <c r="U246" s="6" t="s">
        <v>53</v>
      </c>
    </row>
    <row r="247" spans="1:21" x14ac:dyDescent="0.2">
      <c r="A247" s="6" t="s">
        <v>657</v>
      </c>
      <c r="B247" s="6" t="s">
        <v>660</v>
      </c>
      <c r="C247" s="6" t="s">
        <v>71</v>
      </c>
      <c r="D247" s="5" t="s">
        <v>5389</v>
      </c>
      <c r="E247" s="6" t="s">
        <v>185</v>
      </c>
      <c r="F247" s="6" t="s">
        <v>2791</v>
      </c>
      <c r="G247" s="6" t="s">
        <v>2792</v>
      </c>
      <c r="H247" s="6" t="s">
        <v>2793</v>
      </c>
      <c r="I247" s="6" t="s">
        <v>55</v>
      </c>
      <c r="J247" s="6" t="s">
        <v>56</v>
      </c>
      <c r="K247" s="63">
        <v>1000000000</v>
      </c>
      <c r="L247" s="6" t="s">
        <v>52</v>
      </c>
      <c r="M247" s="6" t="s">
        <v>1775</v>
      </c>
      <c r="N247" s="6" t="s">
        <v>169</v>
      </c>
      <c r="O247" s="17">
        <v>44523</v>
      </c>
      <c r="P247" s="5" t="s">
        <v>5230</v>
      </c>
      <c r="Q247" s="17">
        <v>46402</v>
      </c>
      <c r="R247" s="6" t="s">
        <v>261</v>
      </c>
      <c r="S247" s="6" t="s">
        <v>263</v>
      </c>
      <c r="T247" s="6" t="s">
        <v>115</v>
      </c>
      <c r="U247" s="6" t="s">
        <v>262</v>
      </c>
    </row>
    <row r="248" spans="1:21" x14ac:dyDescent="0.2">
      <c r="A248" s="6" t="s">
        <v>657</v>
      </c>
      <c r="B248" s="6" t="s">
        <v>660</v>
      </c>
      <c r="C248" s="6" t="s">
        <v>71</v>
      </c>
      <c r="D248" s="5" t="s">
        <v>5389</v>
      </c>
      <c r="E248" s="6" t="s">
        <v>185</v>
      </c>
      <c r="F248" s="6" t="s">
        <v>2795</v>
      </c>
      <c r="G248" s="6" t="s">
        <v>2796</v>
      </c>
      <c r="H248" s="6" t="s">
        <v>2797</v>
      </c>
      <c r="I248" s="6" t="s">
        <v>55</v>
      </c>
      <c r="J248" s="6" t="s">
        <v>56</v>
      </c>
      <c r="K248" s="63">
        <v>1000000000</v>
      </c>
      <c r="L248" s="6" t="s">
        <v>52</v>
      </c>
      <c r="M248" s="6" t="s">
        <v>1775</v>
      </c>
      <c r="N248" s="6" t="s">
        <v>169</v>
      </c>
      <c r="O248" s="17">
        <v>44523</v>
      </c>
      <c r="P248" s="5" t="s">
        <v>5230</v>
      </c>
      <c r="Q248" s="17">
        <v>46402</v>
      </c>
      <c r="R248" s="6" t="s">
        <v>270</v>
      </c>
      <c r="S248" s="6" t="s">
        <v>263</v>
      </c>
      <c r="T248" s="6" t="s">
        <v>115</v>
      </c>
      <c r="U248" s="6" t="s">
        <v>262</v>
      </c>
    </row>
    <row r="249" spans="1:21" x14ac:dyDescent="0.2">
      <c r="A249" s="6" t="s">
        <v>476</v>
      </c>
      <c r="B249" s="6" t="s">
        <v>479</v>
      </c>
      <c r="C249" s="6" t="s">
        <v>57</v>
      </c>
      <c r="D249" s="6" t="s">
        <v>54</v>
      </c>
      <c r="E249" s="6" t="s">
        <v>45</v>
      </c>
      <c r="F249" s="6" t="s">
        <v>2070</v>
      </c>
      <c r="G249" s="6" t="s">
        <v>2071</v>
      </c>
      <c r="H249" s="6" t="s">
        <v>2072</v>
      </c>
      <c r="I249" s="6" t="s">
        <v>55</v>
      </c>
      <c r="J249" s="6" t="s">
        <v>56</v>
      </c>
      <c r="K249" s="5">
        <v>20939965</v>
      </c>
      <c r="L249" s="6" t="s">
        <v>482</v>
      </c>
      <c r="M249" s="6" t="s">
        <v>1770</v>
      </c>
      <c r="N249" s="6" t="s">
        <v>45</v>
      </c>
      <c r="O249" s="17">
        <v>44540</v>
      </c>
      <c r="P249" s="62">
        <v>349</v>
      </c>
      <c r="Q249" s="17">
        <v>48192</v>
      </c>
      <c r="R249" s="6" t="s">
        <v>225</v>
      </c>
      <c r="S249" s="6" t="s">
        <v>483</v>
      </c>
      <c r="T249" s="6" t="s">
        <v>49</v>
      </c>
      <c r="U249" s="6" t="s">
        <v>53</v>
      </c>
    </row>
    <row r="250" spans="1:21" x14ac:dyDescent="0.2">
      <c r="A250" s="6" t="s">
        <v>335</v>
      </c>
      <c r="B250" s="6" t="s">
        <v>338</v>
      </c>
      <c r="C250" s="6" t="s">
        <v>57</v>
      </c>
      <c r="D250" s="6" t="s">
        <v>54</v>
      </c>
      <c r="E250" s="6" t="s">
        <v>45</v>
      </c>
      <c r="F250" s="6" t="s">
        <v>3458</v>
      </c>
      <c r="G250" s="6" t="s">
        <v>173</v>
      </c>
      <c r="H250" s="6" t="s">
        <v>3459</v>
      </c>
      <c r="I250" s="6" t="s">
        <v>55</v>
      </c>
      <c r="J250" s="6" t="s">
        <v>56</v>
      </c>
      <c r="K250" s="5">
        <v>28276500</v>
      </c>
      <c r="L250" s="6" t="s">
        <v>52</v>
      </c>
      <c r="M250" s="6" t="s">
        <v>173</v>
      </c>
      <c r="N250" s="6" t="s">
        <v>45</v>
      </c>
      <c r="O250" s="17">
        <v>44558</v>
      </c>
      <c r="P250" s="5" t="s">
        <v>5317</v>
      </c>
      <c r="Q250" s="17">
        <v>47115</v>
      </c>
      <c r="R250" s="6" t="s">
        <v>69</v>
      </c>
      <c r="S250" s="6" t="s">
        <v>54</v>
      </c>
      <c r="T250" s="6" t="s">
        <v>49</v>
      </c>
      <c r="U250" s="6" t="s">
        <v>53</v>
      </c>
    </row>
    <row r="251" spans="1:21" x14ac:dyDescent="0.2">
      <c r="A251" s="6" t="s">
        <v>476</v>
      </c>
      <c r="B251" s="6" t="s">
        <v>479</v>
      </c>
      <c r="C251" s="6" t="s">
        <v>57</v>
      </c>
      <c r="D251" s="62">
        <v>292</v>
      </c>
      <c r="E251" s="6" t="s">
        <v>45</v>
      </c>
      <c r="F251" s="6" t="s">
        <v>2074</v>
      </c>
      <c r="G251" s="6" t="s">
        <v>2075</v>
      </c>
      <c r="H251" s="6" t="s">
        <v>2076</v>
      </c>
      <c r="I251" s="6" t="s">
        <v>55</v>
      </c>
      <c r="J251" s="6" t="s">
        <v>56</v>
      </c>
      <c r="K251" s="5">
        <v>11461300</v>
      </c>
      <c r="L251" s="6" t="s">
        <v>482</v>
      </c>
      <c r="M251" s="6" t="s">
        <v>1770</v>
      </c>
      <c r="N251" s="6" t="s">
        <v>45</v>
      </c>
      <c r="O251" s="17">
        <v>44574</v>
      </c>
      <c r="P251" s="62">
        <v>292</v>
      </c>
      <c r="Q251" s="17">
        <v>46765</v>
      </c>
      <c r="R251" s="6" t="s">
        <v>225</v>
      </c>
      <c r="S251" s="6" t="s">
        <v>483</v>
      </c>
      <c r="T251" s="6" t="s">
        <v>49</v>
      </c>
      <c r="U251" s="6" t="s">
        <v>53</v>
      </c>
    </row>
    <row r="252" spans="1:21" x14ac:dyDescent="0.2">
      <c r="A252" s="6" t="s">
        <v>476</v>
      </c>
      <c r="B252" s="6" t="s">
        <v>479</v>
      </c>
      <c r="C252" s="6" t="s">
        <v>57</v>
      </c>
      <c r="D252" s="6" t="s">
        <v>54</v>
      </c>
      <c r="E252" s="6" t="s">
        <v>45</v>
      </c>
      <c r="F252" s="6" t="s">
        <v>2078</v>
      </c>
      <c r="G252" s="6" t="s">
        <v>2079</v>
      </c>
      <c r="H252" s="6" t="s">
        <v>2080</v>
      </c>
      <c r="I252" s="6" t="s">
        <v>55</v>
      </c>
      <c r="J252" s="6" t="s">
        <v>56</v>
      </c>
      <c r="K252" s="5">
        <v>17016150</v>
      </c>
      <c r="L252" s="6" t="s">
        <v>482</v>
      </c>
      <c r="M252" s="6" t="s">
        <v>173</v>
      </c>
      <c r="N252" s="6" t="s">
        <v>45</v>
      </c>
      <c r="O252" s="17">
        <v>44580</v>
      </c>
      <c r="P252" s="5" t="s">
        <v>5390</v>
      </c>
      <c r="Q252" s="17">
        <v>46041</v>
      </c>
      <c r="R252" s="6" t="s">
        <v>225</v>
      </c>
      <c r="S252" s="6" t="s">
        <v>483</v>
      </c>
      <c r="T252" s="6" t="s">
        <v>49</v>
      </c>
      <c r="U252" s="6" t="s">
        <v>53</v>
      </c>
    </row>
    <row r="253" spans="1:21" x14ac:dyDescent="0.2">
      <c r="A253" s="6" t="s">
        <v>476</v>
      </c>
      <c r="B253" s="6" t="s">
        <v>479</v>
      </c>
      <c r="C253" s="6" t="s">
        <v>57</v>
      </c>
      <c r="D253" s="6" t="s">
        <v>54</v>
      </c>
      <c r="E253" s="6" t="s">
        <v>45</v>
      </c>
      <c r="F253" s="6" t="s">
        <v>2082</v>
      </c>
      <c r="G253" s="6" t="s">
        <v>2083</v>
      </c>
      <c r="H253" s="6" t="s">
        <v>2084</v>
      </c>
      <c r="I253" s="6" t="s">
        <v>55</v>
      </c>
      <c r="J253" s="6" t="s">
        <v>56</v>
      </c>
      <c r="K253" s="5">
        <v>22645400</v>
      </c>
      <c r="L253" s="6" t="s">
        <v>482</v>
      </c>
      <c r="M253" s="6" t="s">
        <v>173</v>
      </c>
      <c r="N253" s="6" t="s">
        <v>45</v>
      </c>
      <c r="O253" s="17">
        <v>44579</v>
      </c>
      <c r="P253" s="62">
        <v>448</v>
      </c>
      <c r="Q253" s="17">
        <v>47501</v>
      </c>
      <c r="R253" s="6" t="s">
        <v>225</v>
      </c>
      <c r="S253" s="6" t="s">
        <v>483</v>
      </c>
      <c r="T253" s="6" t="s">
        <v>49</v>
      </c>
      <c r="U253" s="6" t="s">
        <v>53</v>
      </c>
    </row>
    <row r="254" spans="1:21" x14ac:dyDescent="0.2">
      <c r="A254" s="6" t="s">
        <v>916</v>
      </c>
      <c r="B254" s="6" t="s">
        <v>919</v>
      </c>
      <c r="C254" s="6" t="s">
        <v>391</v>
      </c>
      <c r="D254" s="6" t="s">
        <v>54</v>
      </c>
      <c r="E254" s="6" t="s">
        <v>184</v>
      </c>
      <c r="F254" s="6" t="s">
        <v>2920</v>
      </c>
      <c r="G254" s="6" t="s">
        <v>2921</v>
      </c>
      <c r="H254" s="6" t="s">
        <v>2922</v>
      </c>
      <c r="I254" s="6" t="s">
        <v>420</v>
      </c>
      <c r="J254" s="6" t="s">
        <v>56</v>
      </c>
      <c r="K254" s="5">
        <v>56771000</v>
      </c>
      <c r="L254" s="6" t="s">
        <v>458</v>
      </c>
      <c r="M254" s="6" t="s">
        <v>173</v>
      </c>
      <c r="N254" s="6" t="s">
        <v>184</v>
      </c>
      <c r="O254" s="17">
        <v>44572</v>
      </c>
      <c r="P254" s="5" t="s">
        <v>5391</v>
      </c>
      <c r="Q254" s="17">
        <v>45302</v>
      </c>
      <c r="R254" s="6" t="s">
        <v>2923</v>
      </c>
      <c r="S254" s="6" t="s">
        <v>54</v>
      </c>
      <c r="T254" s="6" t="s">
        <v>49</v>
      </c>
      <c r="U254" s="6" t="s">
        <v>53</v>
      </c>
    </row>
    <row r="255" spans="1:21" x14ac:dyDescent="0.2">
      <c r="A255" s="6" t="s">
        <v>476</v>
      </c>
      <c r="B255" s="6" t="s">
        <v>479</v>
      </c>
      <c r="C255" s="6" t="s">
        <v>57</v>
      </c>
      <c r="D255" s="6" t="s">
        <v>54</v>
      </c>
      <c r="E255" s="6" t="s">
        <v>45</v>
      </c>
      <c r="F255" s="6" t="s">
        <v>2086</v>
      </c>
      <c r="G255" s="6" t="s">
        <v>2087</v>
      </c>
      <c r="H255" s="6" t="s">
        <v>2088</v>
      </c>
      <c r="I255" s="6" t="s">
        <v>55</v>
      </c>
      <c r="J255" s="6" t="s">
        <v>56</v>
      </c>
      <c r="K255" s="5">
        <v>22688200</v>
      </c>
      <c r="L255" s="6" t="s">
        <v>458</v>
      </c>
      <c r="M255" s="6" t="s">
        <v>173</v>
      </c>
      <c r="N255" s="6" t="s">
        <v>45</v>
      </c>
      <c r="O255" s="17">
        <v>44580</v>
      </c>
      <c r="P255" s="62">
        <v>335</v>
      </c>
      <c r="Q255" s="17">
        <v>48232</v>
      </c>
      <c r="R255" s="6" t="s">
        <v>225</v>
      </c>
      <c r="S255" s="6" t="s">
        <v>189</v>
      </c>
      <c r="T255" s="6" t="s">
        <v>49</v>
      </c>
      <c r="U255" s="6" t="s">
        <v>53</v>
      </c>
    </row>
    <row r="256" spans="1:21" x14ac:dyDescent="0.2">
      <c r="A256" s="6" t="s">
        <v>476</v>
      </c>
      <c r="B256" s="6" t="s">
        <v>479</v>
      </c>
      <c r="C256" s="6" t="s">
        <v>57</v>
      </c>
      <c r="D256" s="64">
        <v>0.86909999999999998</v>
      </c>
      <c r="E256" s="6" t="s">
        <v>45</v>
      </c>
      <c r="F256" s="6" t="s">
        <v>2090</v>
      </c>
      <c r="G256" s="6" t="s">
        <v>2091</v>
      </c>
      <c r="H256" s="6" t="s">
        <v>2092</v>
      </c>
      <c r="I256" s="6" t="s">
        <v>55</v>
      </c>
      <c r="J256" s="6" t="s">
        <v>56</v>
      </c>
      <c r="K256" s="5">
        <v>28398250</v>
      </c>
      <c r="L256" s="6" t="s">
        <v>458</v>
      </c>
      <c r="M256" s="6" t="s">
        <v>173</v>
      </c>
      <c r="N256" s="6" t="s">
        <v>45</v>
      </c>
      <c r="O256" s="17">
        <v>44609</v>
      </c>
      <c r="P256" s="5" t="s">
        <v>5242</v>
      </c>
      <c r="Q256" s="17">
        <v>45705</v>
      </c>
      <c r="R256" s="6" t="s">
        <v>225</v>
      </c>
      <c r="S256" s="6" t="s">
        <v>189</v>
      </c>
      <c r="T256" s="6" t="s">
        <v>49</v>
      </c>
      <c r="U256" s="6" t="s">
        <v>53</v>
      </c>
    </row>
    <row r="257" spans="1:21" x14ac:dyDescent="0.2">
      <c r="A257" s="6" t="s">
        <v>476</v>
      </c>
      <c r="B257" s="6" t="s">
        <v>479</v>
      </c>
      <c r="C257" s="6" t="s">
        <v>57</v>
      </c>
      <c r="D257" s="62">
        <v>674</v>
      </c>
      <c r="E257" s="6" t="s">
        <v>45</v>
      </c>
      <c r="F257" s="6" t="s">
        <v>2094</v>
      </c>
      <c r="G257" s="6" t="s">
        <v>2095</v>
      </c>
      <c r="H257" s="6" t="s">
        <v>2096</v>
      </c>
      <c r="I257" s="6" t="s">
        <v>55</v>
      </c>
      <c r="J257" s="6" t="s">
        <v>56</v>
      </c>
      <c r="K257" s="5" t="s">
        <v>5392</v>
      </c>
      <c r="L257" s="6" t="s">
        <v>458</v>
      </c>
      <c r="M257" s="6" t="s">
        <v>173</v>
      </c>
      <c r="N257" s="6" t="s">
        <v>45</v>
      </c>
      <c r="O257" s="17">
        <v>44616</v>
      </c>
      <c r="P257" s="62">
        <v>625</v>
      </c>
      <c r="Q257" s="17">
        <v>47172</v>
      </c>
      <c r="R257" s="6" t="s">
        <v>225</v>
      </c>
      <c r="S257" s="6" t="s">
        <v>189</v>
      </c>
      <c r="T257" s="6" t="s">
        <v>49</v>
      </c>
      <c r="U257" s="6" t="s">
        <v>53</v>
      </c>
    </row>
    <row r="258" spans="1:21" x14ac:dyDescent="0.2">
      <c r="A258" s="6" t="s">
        <v>476</v>
      </c>
      <c r="B258" s="6" t="s">
        <v>479</v>
      </c>
      <c r="C258" s="6" t="s">
        <v>57</v>
      </c>
      <c r="D258" s="10">
        <v>0.42</v>
      </c>
      <c r="E258" s="6" t="s">
        <v>45</v>
      </c>
      <c r="F258" s="6" t="s">
        <v>2098</v>
      </c>
      <c r="G258" s="6" t="s">
        <v>2099</v>
      </c>
      <c r="H258" s="6" t="s">
        <v>2100</v>
      </c>
      <c r="I258" s="6" t="s">
        <v>55</v>
      </c>
      <c r="J258" s="6" t="s">
        <v>56</v>
      </c>
      <c r="K258" s="5">
        <v>11051200</v>
      </c>
      <c r="L258" s="6" t="s">
        <v>482</v>
      </c>
      <c r="M258" s="6" t="s">
        <v>173</v>
      </c>
      <c r="N258" s="6" t="s">
        <v>45</v>
      </c>
      <c r="O258" s="17">
        <v>44623</v>
      </c>
      <c r="P258" s="5" t="s">
        <v>5393</v>
      </c>
      <c r="Q258" s="17">
        <v>45719</v>
      </c>
      <c r="R258" s="6" t="s">
        <v>225</v>
      </c>
      <c r="S258" s="6" t="s">
        <v>483</v>
      </c>
      <c r="T258" s="6" t="s">
        <v>49</v>
      </c>
      <c r="U258" s="6" t="s">
        <v>53</v>
      </c>
    </row>
    <row r="259" spans="1:21" x14ac:dyDescent="0.2">
      <c r="A259" s="6" t="s">
        <v>476</v>
      </c>
      <c r="B259" s="6" t="s">
        <v>479</v>
      </c>
      <c r="C259" s="6" t="s">
        <v>57</v>
      </c>
      <c r="D259" s="64">
        <v>0.77</v>
      </c>
      <c r="E259" s="6" t="s">
        <v>45</v>
      </c>
      <c r="F259" s="6" t="s">
        <v>2102</v>
      </c>
      <c r="G259" s="6" t="s">
        <v>2103</v>
      </c>
      <c r="H259" s="6" t="s">
        <v>2104</v>
      </c>
      <c r="I259" s="6" t="s">
        <v>55</v>
      </c>
      <c r="J259" s="6" t="s">
        <v>56</v>
      </c>
      <c r="K259" s="5">
        <v>55256000</v>
      </c>
      <c r="L259" s="6" t="s">
        <v>482</v>
      </c>
      <c r="M259" s="6" t="s">
        <v>1770</v>
      </c>
      <c r="N259" s="6" t="s">
        <v>45</v>
      </c>
      <c r="O259" s="17">
        <v>44623</v>
      </c>
      <c r="P259" s="5" t="s">
        <v>5346</v>
      </c>
      <c r="Q259" s="17">
        <v>45719</v>
      </c>
      <c r="R259" s="6" t="s">
        <v>225</v>
      </c>
      <c r="S259" s="6" t="s">
        <v>483</v>
      </c>
      <c r="T259" s="6" t="s">
        <v>49</v>
      </c>
      <c r="U259" s="6" t="s">
        <v>53</v>
      </c>
    </row>
    <row r="260" spans="1:21" x14ac:dyDescent="0.2">
      <c r="A260" s="6" t="s">
        <v>1335</v>
      </c>
      <c r="B260" s="6" t="s">
        <v>1338</v>
      </c>
      <c r="C260" s="6" t="s">
        <v>71</v>
      </c>
      <c r="D260" s="65" t="s">
        <v>48</v>
      </c>
      <c r="E260" s="6" t="s">
        <v>1339</v>
      </c>
      <c r="F260" s="6" t="s">
        <v>2347</v>
      </c>
      <c r="G260" s="6" t="s">
        <v>173</v>
      </c>
      <c r="H260" s="6" t="s">
        <v>2348</v>
      </c>
      <c r="I260" s="6" t="s">
        <v>55</v>
      </c>
      <c r="J260" s="6" t="s">
        <v>70</v>
      </c>
      <c r="K260" s="5" t="s">
        <v>5394</v>
      </c>
      <c r="L260" s="6" t="s">
        <v>52</v>
      </c>
      <c r="M260" s="6" t="s">
        <v>1770</v>
      </c>
      <c r="N260" s="6" t="s">
        <v>169</v>
      </c>
      <c r="O260" s="17">
        <v>44664</v>
      </c>
      <c r="P260" s="5">
        <v>0</v>
      </c>
      <c r="Q260" s="17">
        <v>46856</v>
      </c>
      <c r="R260" s="6" t="s">
        <v>157</v>
      </c>
      <c r="S260" s="6" t="s">
        <v>54</v>
      </c>
      <c r="T260" s="6" t="s">
        <v>49</v>
      </c>
      <c r="U260" s="6" t="s">
        <v>53</v>
      </c>
    </row>
    <row r="261" spans="1:21" x14ac:dyDescent="0.2">
      <c r="A261" s="6" t="s">
        <v>1335</v>
      </c>
      <c r="B261" s="6" t="s">
        <v>1338</v>
      </c>
      <c r="C261" s="6" t="s">
        <v>71</v>
      </c>
      <c r="D261" s="65" t="s">
        <v>48</v>
      </c>
      <c r="E261" s="6" t="s">
        <v>1339</v>
      </c>
      <c r="F261" s="6" t="s">
        <v>2350</v>
      </c>
      <c r="G261" s="6" t="s">
        <v>173</v>
      </c>
      <c r="H261" s="6" t="s">
        <v>2351</v>
      </c>
      <c r="I261" s="6" t="s">
        <v>55</v>
      </c>
      <c r="J261" s="6" t="s">
        <v>70</v>
      </c>
      <c r="K261" s="5" t="s">
        <v>5394</v>
      </c>
      <c r="L261" s="6" t="s">
        <v>52</v>
      </c>
      <c r="M261" s="6" t="s">
        <v>1770</v>
      </c>
      <c r="N261" s="6" t="s">
        <v>169</v>
      </c>
      <c r="O261" s="17">
        <v>44664</v>
      </c>
      <c r="P261" s="5">
        <v>0</v>
      </c>
      <c r="Q261" s="17">
        <v>46125</v>
      </c>
      <c r="R261" s="6" t="s">
        <v>161</v>
      </c>
      <c r="S261" s="6" t="s">
        <v>54</v>
      </c>
      <c r="T261" s="6" t="s">
        <v>49</v>
      </c>
      <c r="U261" s="6" t="s">
        <v>53</v>
      </c>
    </row>
    <row r="262" spans="1:21" x14ac:dyDescent="0.2">
      <c r="A262" s="6" t="s">
        <v>476</v>
      </c>
      <c r="B262" s="6" t="s">
        <v>479</v>
      </c>
      <c r="C262" s="6" t="s">
        <v>57</v>
      </c>
      <c r="D262" s="10">
        <v>1.3105</v>
      </c>
      <c r="E262" s="6" t="s">
        <v>45</v>
      </c>
      <c r="F262" s="6" t="s">
        <v>2106</v>
      </c>
      <c r="G262" s="6" t="s">
        <v>2107</v>
      </c>
      <c r="H262" s="6" t="s">
        <v>2108</v>
      </c>
      <c r="I262" s="6" t="s">
        <v>55</v>
      </c>
      <c r="J262" s="6" t="s">
        <v>56</v>
      </c>
      <c r="K262" s="5">
        <v>10938400</v>
      </c>
      <c r="L262" s="6" t="s">
        <v>482</v>
      </c>
      <c r="M262" s="6" t="s">
        <v>173</v>
      </c>
      <c r="N262" s="6" t="s">
        <v>45</v>
      </c>
      <c r="O262" s="17">
        <v>44635</v>
      </c>
      <c r="P262" s="62">
        <v>1125</v>
      </c>
      <c r="Q262" s="17">
        <v>48288</v>
      </c>
      <c r="R262" s="6" t="s">
        <v>225</v>
      </c>
      <c r="S262" s="6" t="s">
        <v>483</v>
      </c>
      <c r="T262" s="6" t="s">
        <v>49</v>
      </c>
      <c r="U262" s="6" t="s">
        <v>53</v>
      </c>
    </row>
    <row r="263" spans="1:21" x14ac:dyDescent="0.2">
      <c r="A263" s="6" t="s">
        <v>476</v>
      </c>
      <c r="B263" s="6" t="s">
        <v>479</v>
      </c>
      <c r="C263" s="6" t="s">
        <v>57</v>
      </c>
      <c r="D263" s="10">
        <v>0.55000000000000004</v>
      </c>
      <c r="E263" s="6" t="s">
        <v>45</v>
      </c>
      <c r="F263" s="6" t="s">
        <v>2110</v>
      </c>
      <c r="G263" s="6" t="s">
        <v>2111</v>
      </c>
      <c r="H263" s="6" t="s">
        <v>2112</v>
      </c>
      <c r="I263" s="6" t="s">
        <v>55</v>
      </c>
      <c r="J263" s="6" t="s">
        <v>56</v>
      </c>
      <c r="K263" s="5">
        <v>27646750</v>
      </c>
      <c r="L263" s="6" t="s">
        <v>482</v>
      </c>
      <c r="M263" s="6" t="s">
        <v>1770</v>
      </c>
      <c r="N263" s="6" t="s">
        <v>45</v>
      </c>
      <c r="O263" s="17">
        <v>44638</v>
      </c>
      <c r="P263" s="5" t="s">
        <v>5233</v>
      </c>
      <c r="Q263" s="17">
        <v>45734</v>
      </c>
      <c r="R263" s="6" t="s">
        <v>225</v>
      </c>
      <c r="S263" s="6" t="s">
        <v>483</v>
      </c>
      <c r="T263" s="6" t="s">
        <v>49</v>
      </c>
      <c r="U263" s="6" t="s">
        <v>53</v>
      </c>
    </row>
    <row r="264" spans="1:21" x14ac:dyDescent="0.2">
      <c r="A264" s="6" t="s">
        <v>1473</v>
      </c>
      <c r="B264" s="6" t="s">
        <v>1476</v>
      </c>
      <c r="C264" s="6" t="s">
        <v>57</v>
      </c>
      <c r="D264" s="62">
        <v>454</v>
      </c>
      <c r="E264" s="6" t="s">
        <v>184</v>
      </c>
      <c r="F264" s="6" t="s">
        <v>2870</v>
      </c>
      <c r="G264" s="6" t="s">
        <v>2871</v>
      </c>
      <c r="H264" s="6" t="s">
        <v>2872</v>
      </c>
      <c r="I264" s="6" t="s">
        <v>133</v>
      </c>
      <c r="J264" s="6" t="s">
        <v>56</v>
      </c>
      <c r="K264" s="5" t="s">
        <v>5275</v>
      </c>
      <c r="L264" s="6" t="s">
        <v>52</v>
      </c>
      <c r="M264" s="6" t="s">
        <v>2873</v>
      </c>
      <c r="N264" s="6" t="s">
        <v>184</v>
      </c>
      <c r="O264" s="17">
        <v>44649</v>
      </c>
      <c r="P264" s="62">
        <v>375</v>
      </c>
      <c r="Q264" s="17">
        <v>45380</v>
      </c>
      <c r="R264" s="6" t="s">
        <v>173</v>
      </c>
      <c r="S264" s="6" t="s">
        <v>420</v>
      </c>
      <c r="T264" s="6" t="s">
        <v>115</v>
      </c>
      <c r="U264" s="6" t="s">
        <v>53</v>
      </c>
    </row>
    <row r="265" spans="1:21" x14ac:dyDescent="0.2">
      <c r="A265" s="6" t="s">
        <v>1473</v>
      </c>
      <c r="B265" s="6" t="s">
        <v>1476</v>
      </c>
      <c r="C265" s="6" t="s">
        <v>391</v>
      </c>
      <c r="D265" s="10">
        <v>-0.45340000000000003</v>
      </c>
      <c r="E265" s="6" t="s">
        <v>184</v>
      </c>
      <c r="F265" s="6" t="s">
        <v>2875</v>
      </c>
      <c r="G265" s="6" t="s">
        <v>2876</v>
      </c>
      <c r="H265" s="6" t="s">
        <v>2877</v>
      </c>
      <c r="I265" s="6" t="s">
        <v>133</v>
      </c>
      <c r="J265" s="6" t="s">
        <v>70</v>
      </c>
      <c r="K265" s="5" t="s">
        <v>5395</v>
      </c>
      <c r="L265" s="6" t="s">
        <v>52</v>
      </c>
      <c r="M265" s="6" t="s">
        <v>1770</v>
      </c>
      <c r="N265" s="6" t="s">
        <v>184</v>
      </c>
      <c r="O265" s="17">
        <v>44649</v>
      </c>
      <c r="P265" s="62">
        <v>223</v>
      </c>
      <c r="Q265" s="17">
        <v>45380</v>
      </c>
      <c r="R265" s="6" t="s">
        <v>173</v>
      </c>
      <c r="S265" s="6" t="s">
        <v>420</v>
      </c>
      <c r="T265" s="6" t="s">
        <v>115</v>
      </c>
      <c r="U265" s="6" t="s">
        <v>53</v>
      </c>
    </row>
    <row r="266" spans="1:21" x14ac:dyDescent="0.2">
      <c r="A266" s="6" t="s">
        <v>476</v>
      </c>
      <c r="B266" s="6" t="s">
        <v>479</v>
      </c>
      <c r="C266" s="6" t="s">
        <v>57</v>
      </c>
      <c r="D266" s="10">
        <v>0.98770000000000002</v>
      </c>
      <c r="E266" s="6" t="s">
        <v>45</v>
      </c>
      <c r="F266" s="6" t="s">
        <v>2114</v>
      </c>
      <c r="G266" s="6" t="s">
        <v>2115</v>
      </c>
      <c r="H266" s="6" t="s">
        <v>2116</v>
      </c>
      <c r="I266" s="6" t="s">
        <v>55</v>
      </c>
      <c r="J266" s="6" t="s">
        <v>56</v>
      </c>
      <c r="K266" s="5">
        <v>21949600</v>
      </c>
      <c r="L266" s="6" t="s">
        <v>458</v>
      </c>
      <c r="M266" s="6" t="s">
        <v>173</v>
      </c>
      <c r="N266" s="6" t="s">
        <v>45</v>
      </c>
      <c r="O266" s="17">
        <v>44655</v>
      </c>
      <c r="P266" s="5" t="s">
        <v>5246</v>
      </c>
      <c r="Q266" s="17">
        <v>45751</v>
      </c>
      <c r="R266" s="6" t="s">
        <v>225</v>
      </c>
      <c r="S266" s="6" t="s">
        <v>189</v>
      </c>
      <c r="T266" s="6" t="s">
        <v>49</v>
      </c>
      <c r="U266" s="6" t="s">
        <v>53</v>
      </c>
    </row>
    <row r="267" spans="1:21" x14ac:dyDescent="0.2">
      <c r="A267" s="6" t="s">
        <v>1518</v>
      </c>
      <c r="B267" s="6" t="s">
        <v>1521</v>
      </c>
      <c r="C267" s="6" t="s">
        <v>57</v>
      </c>
      <c r="D267" s="62">
        <v>903</v>
      </c>
      <c r="E267" s="6" t="s">
        <v>184</v>
      </c>
      <c r="F267" s="6" t="s">
        <v>3119</v>
      </c>
      <c r="G267" s="6" t="s">
        <v>3120</v>
      </c>
      <c r="H267" s="6" t="s">
        <v>3121</v>
      </c>
      <c r="I267" s="6" t="s">
        <v>117</v>
      </c>
      <c r="J267" s="6" t="s">
        <v>56</v>
      </c>
      <c r="K267" s="5" t="s">
        <v>5396</v>
      </c>
      <c r="L267" s="6" t="s">
        <v>52</v>
      </c>
      <c r="M267" s="6" t="s">
        <v>1770</v>
      </c>
      <c r="N267" s="6" t="s">
        <v>184</v>
      </c>
      <c r="O267" s="17">
        <v>44657</v>
      </c>
      <c r="P267" s="62">
        <v>875</v>
      </c>
      <c r="Q267" s="17">
        <v>45753</v>
      </c>
      <c r="R267" s="6" t="s">
        <v>173</v>
      </c>
      <c r="S267" s="6" t="s">
        <v>483</v>
      </c>
      <c r="T267" s="6" t="s">
        <v>115</v>
      </c>
      <c r="U267" s="6" t="s">
        <v>53</v>
      </c>
    </row>
    <row r="268" spans="1:21" x14ac:dyDescent="0.2">
      <c r="A268" s="6" t="s">
        <v>1625</v>
      </c>
      <c r="B268" s="6" t="s">
        <v>1628</v>
      </c>
      <c r="C268" s="6" t="s">
        <v>71</v>
      </c>
      <c r="D268" s="6" t="s">
        <v>54</v>
      </c>
      <c r="E268" s="6" t="s">
        <v>45</v>
      </c>
      <c r="F268" s="6" t="s">
        <v>2707</v>
      </c>
      <c r="G268" s="6" t="s">
        <v>173</v>
      </c>
      <c r="H268" s="6" t="s">
        <v>2708</v>
      </c>
      <c r="I268" s="6" t="s">
        <v>55</v>
      </c>
      <c r="J268" s="6" t="s">
        <v>70</v>
      </c>
      <c r="K268" s="5">
        <v>64086400</v>
      </c>
      <c r="L268" s="6" t="s">
        <v>52</v>
      </c>
      <c r="M268" s="6" t="s">
        <v>173</v>
      </c>
      <c r="N268" s="6" t="s">
        <v>45</v>
      </c>
      <c r="O268" s="17">
        <v>44573</v>
      </c>
      <c r="P268" s="5">
        <v>0</v>
      </c>
      <c r="Q268" s="17">
        <v>48225</v>
      </c>
      <c r="R268" s="6" t="s">
        <v>51</v>
      </c>
      <c r="S268" s="6" t="s">
        <v>54</v>
      </c>
      <c r="T268" s="6" t="s">
        <v>49</v>
      </c>
      <c r="U268" s="6" t="s">
        <v>53</v>
      </c>
    </row>
    <row r="269" spans="1:21" x14ac:dyDescent="0.2">
      <c r="A269" s="6" t="s">
        <v>1625</v>
      </c>
      <c r="B269" s="6" t="s">
        <v>1628</v>
      </c>
      <c r="C269" s="6" t="s">
        <v>71</v>
      </c>
      <c r="D269" s="6" t="s">
        <v>54</v>
      </c>
      <c r="E269" s="6" t="s">
        <v>45</v>
      </c>
      <c r="F269" s="6" t="s">
        <v>2710</v>
      </c>
      <c r="G269" s="6" t="s">
        <v>173</v>
      </c>
      <c r="H269" s="6" t="s">
        <v>2711</v>
      </c>
      <c r="I269" s="6" t="s">
        <v>55</v>
      </c>
      <c r="J269" s="6" t="s">
        <v>70</v>
      </c>
      <c r="K269" s="5">
        <v>64086400</v>
      </c>
      <c r="L269" s="6" t="s">
        <v>52</v>
      </c>
      <c r="M269" s="6" t="s">
        <v>173</v>
      </c>
      <c r="N269" s="6" t="s">
        <v>45</v>
      </c>
      <c r="O269" s="17">
        <v>44573</v>
      </c>
      <c r="P269" s="5">
        <v>0</v>
      </c>
      <c r="Q269" s="17">
        <v>47130</v>
      </c>
      <c r="R269" s="6" t="s">
        <v>69</v>
      </c>
      <c r="S269" s="6" t="s">
        <v>54</v>
      </c>
      <c r="T269" s="6" t="s">
        <v>49</v>
      </c>
      <c r="U269" s="6" t="s">
        <v>53</v>
      </c>
    </row>
    <row r="270" spans="1:21" x14ac:dyDescent="0.2">
      <c r="A270" s="6" t="s">
        <v>1625</v>
      </c>
      <c r="B270" s="6" t="s">
        <v>1628</v>
      </c>
      <c r="C270" s="6" t="s">
        <v>71</v>
      </c>
      <c r="D270" s="6" t="s">
        <v>54</v>
      </c>
      <c r="E270" s="6" t="s">
        <v>45</v>
      </c>
      <c r="F270" s="6" t="s">
        <v>2713</v>
      </c>
      <c r="G270" s="6" t="s">
        <v>173</v>
      </c>
      <c r="H270" s="6" t="s">
        <v>2714</v>
      </c>
      <c r="I270" s="6" t="s">
        <v>55</v>
      </c>
      <c r="J270" s="6" t="s">
        <v>70</v>
      </c>
      <c r="K270" s="5">
        <v>64086400</v>
      </c>
      <c r="L270" s="6" t="s">
        <v>52</v>
      </c>
      <c r="M270" s="6" t="s">
        <v>173</v>
      </c>
      <c r="N270" s="6" t="s">
        <v>45</v>
      </c>
      <c r="O270" s="17">
        <v>44573</v>
      </c>
      <c r="P270" s="5">
        <v>0</v>
      </c>
      <c r="Q270" s="17">
        <v>46399</v>
      </c>
      <c r="R270" s="6" t="s">
        <v>76</v>
      </c>
      <c r="S270" s="6" t="s">
        <v>54</v>
      </c>
      <c r="T270" s="6" t="s">
        <v>49</v>
      </c>
      <c r="U270" s="6" t="s">
        <v>53</v>
      </c>
    </row>
    <row r="271" spans="1:21" x14ac:dyDescent="0.2">
      <c r="A271" s="6" t="s">
        <v>165</v>
      </c>
      <c r="B271" s="6" t="s">
        <v>168</v>
      </c>
      <c r="C271" s="6" t="s">
        <v>57</v>
      </c>
      <c r="D271" s="10">
        <v>1.4388000000000001</v>
      </c>
      <c r="E271" s="6" t="s">
        <v>170</v>
      </c>
      <c r="F271" s="6" t="s">
        <v>2662</v>
      </c>
      <c r="G271" s="6" t="s">
        <v>2663</v>
      </c>
      <c r="H271" s="6" t="s">
        <v>2664</v>
      </c>
      <c r="I271" s="6" t="s">
        <v>55</v>
      </c>
      <c r="J271" s="6" t="s">
        <v>56</v>
      </c>
      <c r="K271" s="5" t="s">
        <v>5397</v>
      </c>
      <c r="L271" s="6" t="s">
        <v>52</v>
      </c>
      <c r="M271" s="6" t="s">
        <v>1770</v>
      </c>
      <c r="N271" s="6" t="s">
        <v>169</v>
      </c>
      <c r="O271" s="17">
        <v>44657</v>
      </c>
      <c r="P271" s="5" t="s">
        <v>5225</v>
      </c>
      <c r="Q271" s="17">
        <v>45753</v>
      </c>
      <c r="R271" s="6" t="s">
        <v>173</v>
      </c>
      <c r="S271" s="6" t="s">
        <v>174</v>
      </c>
      <c r="T271" s="6" t="s">
        <v>49</v>
      </c>
      <c r="U271" s="6" t="s">
        <v>53</v>
      </c>
    </row>
    <row r="272" spans="1:21" x14ac:dyDescent="0.2">
      <c r="A272" s="6" t="s">
        <v>476</v>
      </c>
      <c r="B272" s="6" t="s">
        <v>479</v>
      </c>
      <c r="C272" s="6" t="s">
        <v>57</v>
      </c>
      <c r="D272" s="10">
        <v>1.1715</v>
      </c>
      <c r="E272" s="6" t="s">
        <v>45</v>
      </c>
      <c r="F272" s="6" t="s">
        <v>2118</v>
      </c>
      <c r="G272" s="6" t="s">
        <v>2119</v>
      </c>
      <c r="H272" s="6" t="s">
        <v>2120</v>
      </c>
      <c r="I272" s="6" t="s">
        <v>55</v>
      </c>
      <c r="J272" s="6" t="s">
        <v>56</v>
      </c>
      <c r="K272" s="5">
        <v>8653040</v>
      </c>
      <c r="L272" s="6" t="s">
        <v>482</v>
      </c>
      <c r="M272" s="6" t="s">
        <v>173</v>
      </c>
      <c r="N272" s="6" t="s">
        <v>45</v>
      </c>
      <c r="O272" s="17">
        <v>44665</v>
      </c>
      <c r="P272" s="5">
        <v>1</v>
      </c>
      <c r="Q272" s="17">
        <v>45761</v>
      </c>
      <c r="R272" s="6" t="s">
        <v>225</v>
      </c>
      <c r="S272" s="6" t="s">
        <v>483</v>
      </c>
      <c r="T272" s="6" t="s">
        <v>49</v>
      </c>
      <c r="U272" s="6" t="s">
        <v>53</v>
      </c>
    </row>
    <row r="273" spans="1:21" x14ac:dyDescent="0.2">
      <c r="A273" s="6" t="s">
        <v>476</v>
      </c>
      <c r="B273" s="6" t="s">
        <v>479</v>
      </c>
      <c r="C273" s="6" t="s">
        <v>57</v>
      </c>
      <c r="D273" s="10">
        <v>1.1000000000000001</v>
      </c>
      <c r="E273" s="6" t="s">
        <v>45</v>
      </c>
      <c r="F273" s="6" t="s">
        <v>2122</v>
      </c>
      <c r="G273" s="6" t="s">
        <v>2123</v>
      </c>
      <c r="H273" s="6" t="s">
        <v>2124</v>
      </c>
      <c r="I273" s="6" t="s">
        <v>55</v>
      </c>
      <c r="J273" s="6" t="s">
        <v>56</v>
      </c>
      <c r="K273" s="5">
        <v>21558800</v>
      </c>
      <c r="L273" s="6" t="s">
        <v>482</v>
      </c>
      <c r="M273" s="6" t="s">
        <v>173</v>
      </c>
      <c r="N273" s="6" t="s">
        <v>45</v>
      </c>
      <c r="O273" s="17">
        <v>44673</v>
      </c>
      <c r="P273" s="5" t="s">
        <v>5398</v>
      </c>
      <c r="Q273" s="17">
        <v>45769</v>
      </c>
      <c r="R273" s="6" t="s">
        <v>225</v>
      </c>
      <c r="S273" s="6" t="s">
        <v>483</v>
      </c>
      <c r="T273" s="6" t="s">
        <v>49</v>
      </c>
      <c r="U273" s="6" t="s">
        <v>53</v>
      </c>
    </row>
    <row r="274" spans="1:21" x14ac:dyDescent="0.2">
      <c r="A274" s="6" t="s">
        <v>979</v>
      </c>
      <c r="B274" s="6" t="s">
        <v>982</v>
      </c>
      <c r="C274" s="6" t="s">
        <v>57</v>
      </c>
      <c r="D274" s="6" t="s">
        <v>54</v>
      </c>
      <c r="E274" s="6" t="s">
        <v>199</v>
      </c>
      <c r="F274" s="6" t="s">
        <v>2622</v>
      </c>
      <c r="G274" s="6" t="s">
        <v>2623</v>
      </c>
      <c r="H274" s="6" t="s">
        <v>2624</v>
      </c>
      <c r="I274" s="6" t="s">
        <v>55</v>
      </c>
      <c r="J274" s="6" t="s">
        <v>56</v>
      </c>
      <c r="K274" s="5">
        <v>87494920</v>
      </c>
      <c r="L274" s="6" t="s">
        <v>52</v>
      </c>
      <c r="M274" s="6" t="s">
        <v>1775</v>
      </c>
      <c r="N274" s="6" t="s">
        <v>199</v>
      </c>
      <c r="O274" s="17">
        <v>41416</v>
      </c>
      <c r="P274" s="62">
        <v>3375</v>
      </c>
      <c r="Q274" s="17">
        <v>45068</v>
      </c>
      <c r="R274" s="6" t="s">
        <v>225</v>
      </c>
      <c r="S274" s="6" t="s">
        <v>174</v>
      </c>
      <c r="T274" s="6" t="s">
        <v>49</v>
      </c>
      <c r="U274" s="6" t="s">
        <v>53</v>
      </c>
    </row>
    <row r="275" spans="1:21" x14ac:dyDescent="0.2">
      <c r="A275" s="6" t="s">
        <v>832</v>
      </c>
      <c r="B275" s="6" t="s">
        <v>168</v>
      </c>
      <c r="C275" s="6" t="s">
        <v>57</v>
      </c>
      <c r="D275" s="6" t="s">
        <v>54</v>
      </c>
      <c r="E275" s="6" t="s">
        <v>170</v>
      </c>
      <c r="F275" s="6" t="s">
        <v>2682</v>
      </c>
      <c r="G275" s="6" t="s">
        <v>2683</v>
      </c>
      <c r="H275" s="6" t="s">
        <v>2684</v>
      </c>
      <c r="I275" s="6" t="s">
        <v>55</v>
      </c>
      <c r="J275" s="6" t="s">
        <v>56</v>
      </c>
      <c r="K275" s="5">
        <v>50000000</v>
      </c>
      <c r="L275" s="6" t="s">
        <v>52</v>
      </c>
      <c r="M275" s="6" t="s">
        <v>1770</v>
      </c>
      <c r="N275" s="6" t="s">
        <v>169</v>
      </c>
      <c r="O275" s="17">
        <v>41428</v>
      </c>
      <c r="P275" s="5" t="s">
        <v>5399</v>
      </c>
      <c r="Q275" s="17">
        <v>48733</v>
      </c>
      <c r="R275" s="6" t="s">
        <v>225</v>
      </c>
      <c r="S275" s="6" t="s">
        <v>174</v>
      </c>
      <c r="T275" s="6" t="s">
        <v>49</v>
      </c>
      <c r="U275" s="6" t="s">
        <v>262</v>
      </c>
    </row>
    <row r="276" spans="1:21" x14ac:dyDescent="0.2">
      <c r="A276" s="6" t="s">
        <v>979</v>
      </c>
      <c r="B276" s="6" t="s">
        <v>982</v>
      </c>
      <c r="C276" s="6" t="s">
        <v>57</v>
      </c>
      <c r="D276" s="6" t="s">
        <v>54</v>
      </c>
      <c r="E276" s="6" t="s">
        <v>199</v>
      </c>
      <c r="F276" s="6" t="s">
        <v>2626</v>
      </c>
      <c r="G276" s="6" t="s">
        <v>2627</v>
      </c>
      <c r="H276" s="6" t="s">
        <v>2628</v>
      </c>
      <c r="I276" s="6" t="s">
        <v>55</v>
      </c>
      <c r="J276" s="6" t="s">
        <v>56</v>
      </c>
      <c r="K276" s="5">
        <v>41174080</v>
      </c>
      <c r="L276" s="6" t="s">
        <v>52</v>
      </c>
      <c r="M276" s="6" t="s">
        <v>1775</v>
      </c>
      <c r="N276" s="6" t="s">
        <v>199</v>
      </c>
      <c r="O276" s="17">
        <v>41416</v>
      </c>
      <c r="P276" s="5" t="s">
        <v>5256</v>
      </c>
      <c r="Q276" s="17">
        <v>45799</v>
      </c>
      <c r="R276" s="6" t="s">
        <v>225</v>
      </c>
      <c r="S276" s="6" t="s">
        <v>174</v>
      </c>
      <c r="T276" s="6" t="s">
        <v>49</v>
      </c>
      <c r="U276" s="6" t="s">
        <v>53</v>
      </c>
    </row>
    <row r="277" spans="1:21" x14ac:dyDescent="0.2">
      <c r="A277" s="6" t="s">
        <v>613</v>
      </c>
      <c r="B277" s="6" t="s">
        <v>616</v>
      </c>
      <c r="C277" s="6" t="s">
        <v>57</v>
      </c>
      <c r="D277" s="6" t="s">
        <v>54</v>
      </c>
      <c r="E277" s="6" t="s">
        <v>199</v>
      </c>
      <c r="F277" s="6" t="s">
        <v>2500</v>
      </c>
      <c r="G277" s="6" t="s">
        <v>2501</v>
      </c>
      <c r="H277" s="6" t="s">
        <v>2502</v>
      </c>
      <c r="I277" s="6" t="s">
        <v>117</v>
      </c>
      <c r="J277" s="6" t="s">
        <v>56</v>
      </c>
      <c r="K277" s="5" t="s">
        <v>5400</v>
      </c>
      <c r="L277" s="6" t="s">
        <v>52</v>
      </c>
      <c r="M277" s="6" t="s">
        <v>1770</v>
      </c>
      <c r="N277" s="6" t="s">
        <v>199</v>
      </c>
      <c r="O277" s="17">
        <v>41464</v>
      </c>
      <c r="P277" s="5" t="s">
        <v>5255</v>
      </c>
      <c r="Q277" s="17">
        <v>45117</v>
      </c>
      <c r="R277" s="6" t="s">
        <v>225</v>
      </c>
      <c r="S277" s="6" t="s">
        <v>619</v>
      </c>
      <c r="T277" s="6" t="s">
        <v>49</v>
      </c>
      <c r="U277" s="6" t="s">
        <v>53</v>
      </c>
    </row>
    <row r="278" spans="1:21" x14ac:dyDescent="0.2">
      <c r="A278" s="6" t="s">
        <v>476</v>
      </c>
      <c r="B278" s="6" t="s">
        <v>479</v>
      </c>
      <c r="C278" s="6" t="s">
        <v>57</v>
      </c>
      <c r="D278" s="6" t="s">
        <v>54</v>
      </c>
      <c r="E278" s="6" t="s">
        <v>45</v>
      </c>
      <c r="F278" s="6" t="s">
        <v>2126</v>
      </c>
      <c r="G278" s="6" t="s">
        <v>2127</v>
      </c>
      <c r="H278" s="6" t="s">
        <v>2128</v>
      </c>
      <c r="I278" s="6" t="s">
        <v>55</v>
      </c>
      <c r="J278" s="6" t="s">
        <v>56</v>
      </c>
      <c r="K278" s="5">
        <v>26621200</v>
      </c>
      <c r="L278" s="6" t="s">
        <v>2011</v>
      </c>
      <c r="M278" s="6" t="s">
        <v>2129</v>
      </c>
      <c r="N278" s="6" t="s">
        <v>45</v>
      </c>
      <c r="O278" s="17">
        <v>41529</v>
      </c>
      <c r="P278" s="5" t="s">
        <v>5401</v>
      </c>
      <c r="Q278" s="17">
        <v>44816</v>
      </c>
      <c r="R278" s="6">
        <v>78</v>
      </c>
      <c r="S278" s="6" t="s">
        <v>189</v>
      </c>
      <c r="T278" s="6" t="s">
        <v>49</v>
      </c>
      <c r="U278" s="6" t="s">
        <v>53</v>
      </c>
    </row>
    <row r="279" spans="1:21" x14ac:dyDescent="0.2">
      <c r="A279" s="6" t="s">
        <v>613</v>
      </c>
      <c r="B279" s="6" t="s">
        <v>616</v>
      </c>
      <c r="C279" s="6" t="s">
        <v>57</v>
      </c>
      <c r="D279" s="6" t="s">
        <v>54</v>
      </c>
      <c r="E279" s="6" t="s">
        <v>199</v>
      </c>
      <c r="F279" s="6" t="s">
        <v>2504</v>
      </c>
      <c r="G279" s="6" t="s">
        <v>2505</v>
      </c>
      <c r="H279" s="6" t="s">
        <v>2506</v>
      </c>
      <c r="I279" s="6" t="s">
        <v>117</v>
      </c>
      <c r="J279" s="6" t="s">
        <v>56</v>
      </c>
      <c r="K279" s="5" t="s">
        <v>5402</v>
      </c>
      <c r="L279" s="6" t="s">
        <v>52</v>
      </c>
      <c r="M279" s="6" t="s">
        <v>1770</v>
      </c>
      <c r="N279" s="6" t="s">
        <v>199</v>
      </c>
      <c r="O279" s="17">
        <v>41529</v>
      </c>
      <c r="P279" s="5" t="s">
        <v>5358</v>
      </c>
      <c r="Q279" s="17">
        <v>45912</v>
      </c>
      <c r="R279" s="6" t="s">
        <v>225</v>
      </c>
      <c r="S279" s="6" t="s">
        <v>619</v>
      </c>
      <c r="T279" s="6" t="s">
        <v>49</v>
      </c>
      <c r="U279" s="6" t="s">
        <v>53</v>
      </c>
    </row>
    <row r="280" spans="1:21" x14ac:dyDescent="0.2">
      <c r="A280" s="6" t="s">
        <v>1518</v>
      </c>
      <c r="B280" s="6" t="s">
        <v>1521</v>
      </c>
      <c r="C280" s="6" t="s">
        <v>57</v>
      </c>
      <c r="D280" s="6" t="s">
        <v>54</v>
      </c>
      <c r="E280" s="6" t="s">
        <v>184</v>
      </c>
      <c r="F280" s="6" t="s">
        <v>3123</v>
      </c>
      <c r="G280" s="6" t="s">
        <v>3124</v>
      </c>
      <c r="H280" s="6" t="s">
        <v>3125</v>
      </c>
      <c r="I280" s="6" t="s">
        <v>117</v>
      </c>
      <c r="J280" s="6" t="s">
        <v>56</v>
      </c>
      <c r="K280" s="5" t="s">
        <v>5403</v>
      </c>
      <c r="L280" s="6" t="s">
        <v>52</v>
      </c>
      <c r="M280" s="6" t="s">
        <v>1770</v>
      </c>
      <c r="N280" s="6" t="s">
        <v>184</v>
      </c>
      <c r="O280" s="17">
        <v>41592</v>
      </c>
      <c r="P280" s="5" t="s">
        <v>5230</v>
      </c>
      <c r="Q280" s="17">
        <v>45244</v>
      </c>
      <c r="R280" s="6" t="s">
        <v>225</v>
      </c>
      <c r="S280" s="6" t="s">
        <v>483</v>
      </c>
      <c r="T280" s="6" t="s">
        <v>115</v>
      </c>
      <c r="U280" s="6" t="s">
        <v>53</v>
      </c>
    </row>
    <row r="281" spans="1:21" x14ac:dyDescent="0.2">
      <c r="A281" s="6" t="s">
        <v>774</v>
      </c>
      <c r="B281" s="6" t="s">
        <v>777</v>
      </c>
      <c r="C281" s="6" t="s">
        <v>57</v>
      </c>
      <c r="D281" s="6" t="s">
        <v>54</v>
      </c>
      <c r="E281" s="6" t="s">
        <v>199</v>
      </c>
      <c r="F281" s="6" t="s">
        <v>1781</v>
      </c>
      <c r="G281" s="6" t="s">
        <v>1782</v>
      </c>
      <c r="H281" s="6" t="s">
        <v>1783</v>
      </c>
      <c r="I281" s="6" t="s">
        <v>55</v>
      </c>
      <c r="J281" s="6" t="s">
        <v>56</v>
      </c>
      <c r="K281" s="5" t="s">
        <v>5404</v>
      </c>
      <c r="L281" s="6" t="s">
        <v>52</v>
      </c>
      <c r="M281" s="6" t="s">
        <v>1770</v>
      </c>
      <c r="N281" s="6" t="s">
        <v>199</v>
      </c>
      <c r="O281" s="17">
        <v>41612</v>
      </c>
      <c r="P281" s="5">
        <v>4</v>
      </c>
      <c r="Q281" s="17">
        <v>45264</v>
      </c>
      <c r="R281" s="6" t="s">
        <v>225</v>
      </c>
      <c r="S281" s="6" t="s">
        <v>189</v>
      </c>
      <c r="T281" s="6" t="s">
        <v>49</v>
      </c>
      <c r="U281" s="6" t="s">
        <v>53</v>
      </c>
    </row>
    <row r="282" spans="1:21" x14ac:dyDescent="0.2">
      <c r="A282" s="6" t="s">
        <v>813</v>
      </c>
      <c r="B282" s="6" t="s">
        <v>816</v>
      </c>
      <c r="C282" s="6" t="s">
        <v>57</v>
      </c>
      <c r="D282" s="6" t="s">
        <v>54</v>
      </c>
      <c r="E282" s="6" t="s">
        <v>184</v>
      </c>
      <c r="F282" s="6" t="s">
        <v>3444</v>
      </c>
      <c r="G282" s="6" t="s">
        <v>3445</v>
      </c>
      <c r="H282" s="6" t="s">
        <v>3446</v>
      </c>
      <c r="I282" s="6" t="s">
        <v>133</v>
      </c>
      <c r="J282" s="6" t="s">
        <v>56</v>
      </c>
      <c r="K282" s="5" t="s">
        <v>5405</v>
      </c>
      <c r="L282" s="6" t="s">
        <v>52</v>
      </c>
      <c r="M282" s="6" t="s">
        <v>1770</v>
      </c>
      <c r="N282" s="6" t="s">
        <v>184</v>
      </c>
      <c r="O282" s="17">
        <v>41661</v>
      </c>
      <c r="P282" s="5" t="s">
        <v>5255</v>
      </c>
      <c r="Q282" s="17">
        <v>45313</v>
      </c>
      <c r="R282" s="6" t="s">
        <v>225</v>
      </c>
      <c r="S282" s="6" t="s">
        <v>263</v>
      </c>
      <c r="T282" s="6" t="s">
        <v>49</v>
      </c>
      <c r="U282" s="6" t="s">
        <v>53</v>
      </c>
    </row>
    <row r="283" spans="1:21" x14ac:dyDescent="0.2">
      <c r="A283" s="6" t="s">
        <v>1359</v>
      </c>
      <c r="B283" s="6" t="s">
        <v>1362</v>
      </c>
      <c r="C283" s="6" t="s">
        <v>57</v>
      </c>
      <c r="D283" s="62">
        <v>3367</v>
      </c>
      <c r="E283" s="6" t="s">
        <v>199</v>
      </c>
      <c r="F283" s="6" t="s">
        <v>3245</v>
      </c>
      <c r="G283" s="6" t="s">
        <v>3246</v>
      </c>
      <c r="H283" s="6" t="s">
        <v>3247</v>
      </c>
      <c r="I283" s="6" t="s">
        <v>117</v>
      </c>
      <c r="J283" s="6" t="s">
        <v>56</v>
      </c>
      <c r="K283" s="5" t="s">
        <v>5406</v>
      </c>
      <c r="L283" s="6" t="s">
        <v>52</v>
      </c>
      <c r="M283" s="6" t="s">
        <v>1770</v>
      </c>
      <c r="N283" s="6" t="s">
        <v>199</v>
      </c>
      <c r="O283" s="17">
        <v>41661</v>
      </c>
      <c r="P283" s="5" t="s">
        <v>5255</v>
      </c>
      <c r="Q283" s="17">
        <v>45313</v>
      </c>
      <c r="R283" s="6" t="s">
        <v>225</v>
      </c>
      <c r="S283" s="6" t="s">
        <v>174</v>
      </c>
      <c r="T283" s="6" t="s">
        <v>49</v>
      </c>
      <c r="U283" s="6" t="s">
        <v>53</v>
      </c>
    </row>
    <row r="284" spans="1:21" x14ac:dyDescent="0.2">
      <c r="A284" s="6" t="s">
        <v>165</v>
      </c>
      <c r="B284" s="6" t="s">
        <v>168</v>
      </c>
      <c r="C284" s="6" t="s">
        <v>57</v>
      </c>
      <c r="D284" s="62">
        <v>3068</v>
      </c>
      <c r="E284" s="6" t="s">
        <v>170</v>
      </c>
      <c r="F284" s="6" t="s">
        <v>2666</v>
      </c>
      <c r="G284" s="6" t="s">
        <v>2667</v>
      </c>
      <c r="H284" s="6" t="s">
        <v>2668</v>
      </c>
      <c r="I284" s="6" t="s">
        <v>55</v>
      </c>
      <c r="J284" s="6" t="s">
        <v>56</v>
      </c>
      <c r="K284" s="5" t="s">
        <v>5407</v>
      </c>
      <c r="L284" s="6" t="s">
        <v>52</v>
      </c>
      <c r="M284" s="6" t="s">
        <v>1770</v>
      </c>
      <c r="N284" s="6" t="s">
        <v>169</v>
      </c>
      <c r="O284" s="17">
        <v>41661</v>
      </c>
      <c r="P284" s="5">
        <v>3</v>
      </c>
      <c r="Q284" s="17">
        <v>45313</v>
      </c>
      <c r="R284" s="6" t="s">
        <v>2134</v>
      </c>
      <c r="S284" s="6" t="s">
        <v>174</v>
      </c>
      <c r="T284" s="6" t="s">
        <v>49</v>
      </c>
      <c r="U284" s="6" t="s">
        <v>53</v>
      </c>
    </row>
    <row r="285" spans="1:21" x14ac:dyDescent="0.2">
      <c r="A285" s="6" t="s">
        <v>613</v>
      </c>
      <c r="B285" s="6" t="s">
        <v>616</v>
      </c>
      <c r="C285" s="6" t="s">
        <v>57</v>
      </c>
      <c r="D285" s="5" t="s">
        <v>5408</v>
      </c>
      <c r="E285" s="6" t="s">
        <v>199</v>
      </c>
      <c r="F285" s="6" t="s">
        <v>2508</v>
      </c>
      <c r="G285" s="6" t="s">
        <v>2509</v>
      </c>
      <c r="H285" s="6" t="s">
        <v>2510</v>
      </c>
      <c r="I285" s="6" t="s">
        <v>117</v>
      </c>
      <c r="J285" s="6" t="s">
        <v>56</v>
      </c>
      <c r="K285" s="5" t="s">
        <v>5409</v>
      </c>
      <c r="L285" s="6" t="s">
        <v>52</v>
      </c>
      <c r="M285" s="6" t="s">
        <v>1770</v>
      </c>
      <c r="N285" s="6" t="s">
        <v>199</v>
      </c>
      <c r="O285" s="17">
        <v>41667</v>
      </c>
      <c r="P285" s="62">
        <v>3625</v>
      </c>
      <c r="Q285" s="17">
        <v>47147</v>
      </c>
      <c r="R285" s="6" t="s">
        <v>225</v>
      </c>
      <c r="S285" s="6" t="s">
        <v>619</v>
      </c>
      <c r="T285" s="6" t="s">
        <v>49</v>
      </c>
      <c r="U285" s="6" t="s">
        <v>53</v>
      </c>
    </row>
    <row r="286" spans="1:21" x14ac:dyDescent="0.2">
      <c r="A286" s="6" t="s">
        <v>1166</v>
      </c>
      <c r="B286" s="6" t="s">
        <v>1169</v>
      </c>
      <c r="C286" s="6" t="s">
        <v>57</v>
      </c>
      <c r="D286" s="62">
        <v>3439</v>
      </c>
      <c r="E286" s="6" t="s">
        <v>199</v>
      </c>
      <c r="F286" s="6" t="s">
        <v>1832</v>
      </c>
      <c r="G286" s="6" t="s">
        <v>1833</v>
      </c>
      <c r="H286" s="6" t="s">
        <v>1834</v>
      </c>
      <c r="I286" s="6" t="s">
        <v>55</v>
      </c>
      <c r="J286" s="6" t="s">
        <v>56</v>
      </c>
      <c r="K286" s="5" t="s">
        <v>5410</v>
      </c>
      <c r="L286" s="6" t="s">
        <v>1829</v>
      </c>
      <c r="M286" s="6" t="s">
        <v>1830</v>
      </c>
      <c r="N286" s="6" t="s">
        <v>199</v>
      </c>
      <c r="O286" s="17">
        <v>41683</v>
      </c>
      <c r="P286" s="62">
        <v>3375</v>
      </c>
      <c r="Q286" s="17">
        <v>45335</v>
      </c>
      <c r="R286" s="6" t="s">
        <v>225</v>
      </c>
      <c r="S286" s="6" t="s">
        <v>496</v>
      </c>
      <c r="T286" s="6" t="s">
        <v>49</v>
      </c>
      <c r="U286" s="6" t="s">
        <v>53</v>
      </c>
    </row>
    <row r="287" spans="1:21" x14ac:dyDescent="0.2">
      <c r="A287" s="6" t="s">
        <v>476</v>
      </c>
      <c r="B287" s="6" t="s">
        <v>479</v>
      </c>
      <c r="C287" s="6" t="s">
        <v>57</v>
      </c>
      <c r="D287" s="6" t="s">
        <v>54</v>
      </c>
      <c r="E287" s="6" t="s">
        <v>45</v>
      </c>
      <c r="F287" s="6" t="s">
        <v>2131</v>
      </c>
      <c r="G287" s="6" t="s">
        <v>2132</v>
      </c>
      <c r="H287" s="6" t="s">
        <v>2133</v>
      </c>
      <c r="I287" s="6" t="s">
        <v>55</v>
      </c>
      <c r="J287" s="6" t="s">
        <v>56</v>
      </c>
      <c r="K287" s="5">
        <v>34174250</v>
      </c>
      <c r="L287" s="6" t="s">
        <v>2011</v>
      </c>
      <c r="M287" s="6" t="s">
        <v>2129</v>
      </c>
      <c r="N287" s="6" t="s">
        <v>45</v>
      </c>
      <c r="O287" s="17">
        <v>41683</v>
      </c>
      <c r="P287" s="5" t="s">
        <v>5230</v>
      </c>
      <c r="Q287" s="17">
        <v>46066</v>
      </c>
      <c r="R287" s="6" t="s">
        <v>2134</v>
      </c>
      <c r="S287" s="6" t="s">
        <v>189</v>
      </c>
      <c r="T287" s="6" t="s">
        <v>49</v>
      </c>
      <c r="U287" s="6" t="s">
        <v>53</v>
      </c>
    </row>
    <row r="288" spans="1:21" x14ac:dyDescent="0.2">
      <c r="A288" s="6" t="s">
        <v>476</v>
      </c>
      <c r="B288" s="6" t="s">
        <v>479</v>
      </c>
      <c r="C288" s="6" t="s">
        <v>57</v>
      </c>
      <c r="D288" s="6" t="s">
        <v>54</v>
      </c>
      <c r="E288" s="6" t="s">
        <v>45</v>
      </c>
      <c r="F288" s="6" t="s">
        <v>2136</v>
      </c>
      <c r="G288" s="6" t="s">
        <v>2137</v>
      </c>
      <c r="H288" s="6" t="s">
        <v>2138</v>
      </c>
      <c r="I288" s="6" t="s">
        <v>55</v>
      </c>
      <c r="J288" s="6" t="s">
        <v>56</v>
      </c>
      <c r="K288" s="5">
        <v>6876950</v>
      </c>
      <c r="L288" s="6" t="s">
        <v>2011</v>
      </c>
      <c r="M288" s="6" t="s">
        <v>2129</v>
      </c>
      <c r="N288" s="6" t="s">
        <v>45</v>
      </c>
      <c r="O288" s="17">
        <v>41688</v>
      </c>
      <c r="P288" s="62">
        <v>2125</v>
      </c>
      <c r="Q288" s="17">
        <v>44974</v>
      </c>
      <c r="R288" s="6" t="s">
        <v>225</v>
      </c>
      <c r="S288" s="6" t="s">
        <v>189</v>
      </c>
      <c r="T288" s="6" t="s">
        <v>49</v>
      </c>
      <c r="U288" s="6" t="s">
        <v>53</v>
      </c>
    </row>
    <row r="289" spans="1:21" x14ac:dyDescent="0.2">
      <c r="A289" s="6" t="s">
        <v>679</v>
      </c>
      <c r="B289" s="6" t="s">
        <v>682</v>
      </c>
      <c r="C289" s="6" t="s">
        <v>391</v>
      </c>
      <c r="D289" s="6" t="s">
        <v>54</v>
      </c>
      <c r="E289" s="6" t="s">
        <v>367</v>
      </c>
      <c r="F289" s="6" t="s">
        <v>3285</v>
      </c>
      <c r="G289" s="6" t="s">
        <v>3286</v>
      </c>
      <c r="H289" s="6" t="s">
        <v>3287</v>
      </c>
      <c r="I289" s="6" t="s">
        <v>55</v>
      </c>
      <c r="J289" s="6" t="s">
        <v>342</v>
      </c>
      <c r="K289" s="5">
        <v>50000000</v>
      </c>
      <c r="L289" s="6" t="s">
        <v>458</v>
      </c>
      <c r="M289" s="6" t="s">
        <v>1770</v>
      </c>
      <c r="N289" s="6" t="s">
        <v>367</v>
      </c>
      <c r="O289" s="17">
        <v>41724</v>
      </c>
      <c r="P289" s="5" t="s">
        <v>5411</v>
      </c>
      <c r="Q289" s="17">
        <v>49035</v>
      </c>
      <c r="R289" s="6" t="s">
        <v>173</v>
      </c>
      <c r="S289" s="6" t="s">
        <v>189</v>
      </c>
      <c r="T289" s="6" t="s">
        <v>49</v>
      </c>
      <c r="U289" s="6" t="s">
        <v>262</v>
      </c>
    </row>
    <row r="290" spans="1:21" x14ac:dyDescent="0.2">
      <c r="A290" s="6" t="s">
        <v>468</v>
      </c>
      <c r="B290" s="6" t="s">
        <v>471</v>
      </c>
      <c r="C290" s="6" t="s">
        <v>57</v>
      </c>
      <c r="D290" s="5" t="s">
        <v>5412</v>
      </c>
      <c r="E290" s="6" t="s">
        <v>257</v>
      </c>
      <c r="F290" s="6" t="s">
        <v>2807</v>
      </c>
      <c r="G290" s="6" t="s">
        <v>2808</v>
      </c>
      <c r="H290" s="6" t="s">
        <v>2809</v>
      </c>
      <c r="I290" s="6" t="s">
        <v>55</v>
      </c>
      <c r="J290" s="6" t="s">
        <v>56</v>
      </c>
      <c r="K290" s="5" t="s">
        <v>5413</v>
      </c>
      <c r="L290" s="6" t="s">
        <v>52</v>
      </c>
      <c r="M290" s="6" t="s">
        <v>173</v>
      </c>
      <c r="N290" s="6" t="s">
        <v>257</v>
      </c>
      <c r="O290" s="17">
        <v>41815</v>
      </c>
      <c r="P290" s="5">
        <v>3</v>
      </c>
      <c r="Q290" s="17">
        <v>46198</v>
      </c>
      <c r="R290" s="6" t="s">
        <v>225</v>
      </c>
      <c r="S290" s="6" t="s">
        <v>189</v>
      </c>
      <c r="T290" s="6" t="s">
        <v>49</v>
      </c>
      <c r="U290" s="6" t="s">
        <v>53</v>
      </c>
    </row>
    <row r="291" spans="1:21" x14ac:dyDescent="0.2">
      <c r="A291" s="6" t="s">
        <v>1157</v>
      </c>
      <c r="B291" s="6" t="s">
        <v>1160</v>
      </c>
      <c r="C291" s="6" t="s">
        <v>57</v>
      </c>
      <c r="D291" s="6" t="s">
        <v>54</v>
      </c>
      <c r="E291" s="6" t="s">
        <v>184</v>
      </c>
      <c r="F291" s="6" t="s">
        <v>1802</v>
      </c>
      <c r="G291" s="6" t="s">
        <v>1803</v>
      </c>
      <c r="H291" s="6" t="s">
        <v>1804</v>
      </c>
      <c r="I291" s="6" t="s">
        <v>117</v>
      </c>
      <c r="J291" s="6" t="s">
        <v>1805</v>
      </c>
      <c r="K291" s="5" t="s">
        <v>5414</v>
      </c>
      <c r="L291" s="6" t="s">
        <v>52</v>
      </c>
      <c r="M291" s="6" t="s">
        <v>173</v>
      </c>
      <c r="N291" s="6" t="s">
        <v>184</v>
      </c>
      <c r="O291" s="17">
        <v>41817</v>
      </c>
      <c r="P291" s="5">
        <v>3</v>
      </c>
      <c r="Q291" s="17">
        <v>44739</v>
      </c>
      <c r="R291" s="6" t="s">
        <v>225</v>
      </c>
      <c r="S291" s="6" t="s">
        <v>263</v>
      </c>
      <c r="T291" s="6" t="s">
        <v>49</v>
      </c>
      <c r="U291" s="6" t="s">
        <v>1806</v>
      </c>
    </row>
    <row r="292" spans="1:21" x14ac:dyDescent="0.2">
      <c r="A292" s="6" t="s">
        <v>1486</v>
      </c>
      <c r="B292" s="6" t="s">
        <v>1489</v>
      </c>
      <c r="C292" s="6" t="s">
        <v>57</v>
      </c>
      <c r="D292" s="62">
        <v>1846</v>
      </c>
      <c r="E292" s="6" t="s">
        <v>184</v>
      </c>
      <c r="F292" s="6" t="s">
        <v>2271</v>
      </c>
      <c r="G292" s="6" t="s">
        <v>2272</v>
      </c>
      <c r="H292" s="6" t="s">
        <v>2273</v>
      </c>
      <c r="I292" s="6" t="s">
        <v>117</v>
      </c>
      <c r="J292" s="6" t="s">
        <v>56</v>
      </c>
      <c r="K292" s="5" t="s">
        <v>5415</v>
      </c>
      <c r="L292" s="6" t="s">
        <v>52</v>
      </c>
      <c r="M292" s="6" t="s">
        <v>1770</v>
      </c>
      <c r="N292" s="6" t="s">
        <v>184</v>
      </c>
      <c r="O292" s="17">
        <v>41835</v>
      </c>
      <c r="P292" s="5" t="s">
        <v>5249</v>
      </c>
      <c r="Q292" s="17">
        <v>44757</v>
      </c>
      <c r="R292" s="6" t="s">
        <v>225</v>
      </c>
      <c r="S292" s="6" t="s">
        <v>189</v>
      </c>
      <c r="T292" s="6" t="s">
        <v>115</v>
      </c>
      <c r="U292" s="6" t="s">
        <v>53</v>
      </c>
    </row>
    <row r="293" spans="1:21" x14ac:dyDescent="0.2">
      <c r="A293" s="6" t="s">
        <v>476</v>
      </c>
      <c r="B293" s="6" t="s">
        <v>479</v>
      </c>
      <c r="C293" s="6" t="s">
        <v>57</v>
      </c>
      <c r="D293" s="6" t="s">
        <v>54</v>
      </c>
      <c r="E293" s="6" t="s">
        <v>45</v>
      </c>
      <c r="F293" s="6" t="s">
        <v>2140</v>
      </c>
      <c r="G293" s="6" t="s">
        <v>2141</v>
      </c>
      <c r="H293" s="6" t="s">
        <v>2142</v>
      </c>
      <c r="I293" s="6" t="s">
        <v>55</v>
      </c>
      <c r="J293" s="6" t="s">
        <v>56</v>
      </c>
      <c r="K293" s="5">
        <v>68058000</v>
      </c>
      <c r="L293" s="6" t="s">
        <v>458</v>
      </c>
      <c r="M293" s="6" t="s">
        <v>1770</v>
      </c>
      <c r="N293" s="6" t="s">
        <v>45</v>
      </c>
      <c r="O293" s="17">
        <v>41834</v>
      </c>
      <c r="P293" s="5" t="s">
        <v>5416</v>
      </c>
      <c r="Q293" s="17">
        <v>44756</v>
      </c>
      <c r="R293" s="6" t="s">
        <v>2134</v>
      </c>
      <c r="S293" s="6" t="s">
        <v>189</v>
      </c>
      <c r="T293" s="6" t="s">
        <v>49</v>
      </c>
      <c r="U293" s="6" t="s">
        <v>53</v>
      </c>
    </row>
    <row r="294" spans="1:21" x14ac:dyDescent="0.2">
      <c r="A294" s="6" t="s">
        <v>476</v>
      </c>
      <c r="B294" s="6" t="s">
        <v>479</v>
      </c>
      <c r="C294" s="6" t="s">
        <v>57</v>
      </c>
      <c r="D294" s="62">
        <v>1526</v>
      </c>
      <c r="E294" s="6" t="s">
        <v>45</v>
      </c>
      <c r="F294" s="6" t="s">
        <v>2144</v>
      </c>
      <c r="G294" s="6" t="s">
        <v>2145</v>
      </c>
      <c r="H294" s="6" t="s">
        <v>2146</v>
      </c>
      <c r="I294" s="6" t="s">
        <v>55</v>
      </c>
      <c r="J294" s="6" t="s">
        <v>56</v>
      </c>
      <c r="K294" s="5" t="s">
        <v>5417</v>
      </c>
      <c r="L294" s="6" t="s">
        <v>458</v>
      </c>
      <c r="M294" s="6" t="s">
        <v>1770</v>
      </c>
      <c r="N294" s="6" t="s">
        <v>45</v>
      </c>
      <c r="O294" s="17">
        <v>41834</v>
      </c>
      <c r="P294" s="5" t="s">
        <v>5418</v>
      </c>
      <c r="Q294" s="17">
        <v>45488</v>
      </c>
      <c r="R294" s="6" t="s">
        <v>2134</v>
      </c>
      <c r="S294" s="6" t="s">
        <v>189</v>
      </c>
      <c r="T294" s="6" t="s">
        <v>49</v>
      </c>
      <c r="U294" s="6" t="s">
        <v>53</v>
      </c>
    </row>
    <row r="295" spans="1:21" x14ac:dyDescent="0.2">
      <c r="A295" s="6" t="s">
        <v>253</v>
      </c>
      <c r="B295" s="6" t="s">
        <v>256</v>
      </c>
      <c r="C295" s="6" t="s">
        <v>71</v>
      </c>
      <c r="D295" s="5" t="s">
        <v>5419</v>
      </c>
      <c r="E295" s="6" t="s">
        <v>258</v>
      </c>
      <c r="F295" s="6" t="s">
        <v>2838</v>
      </c>
      <c r="G295" s="6" t="s">
        <v>2839</v>
      </c>
      <c r="H295" s="6" t="s">
        <v>2840</v>
      </c>
      <c r="I295" s="6" t="s">
        <v>55</v>
      </c>
      <c r="J295" s="6" t="s">
        <v>56</v>
      </c>
      <c r="K295" s="63">
        <v>500000000</v>
      </c>
      <c r="L295" s="6" t="s">
        <v>52</v>
      </c>
      <c r="M295" s="6" t="s">
        <v>1770</v>
      </c>
      <c r="N295" s="6" t="s">
        <v>257</v>
      </c>
      <c r="O295" s="17">
        <v>41836</v>
      </c>
      <c r="P295" s="5" t="s">
        <v>5419</v>
      </c>
      <c r="Q295" s="17">
        <v>45489</v>
      </c>
      <c r="R295" s="6" t="s">
        <v>261</v>
      </c>
      <c r="S295" s="6" t="s">
        <v>263</v>
      </c>
      <c r="T295" s="6" t="s">
        <v>49</v>
      </c>
      <c r="U295" s="6" t="s">
        <v>262</v>
      </c>
    </row>
    <row r="296" spans="1:21" x14ac:dyDescent="0.2">
      <c r="A296" s="6" t="s">
        <v>253</v>
      </c>
      <c r="B296" s="6" t="s">
        <v>256</v>
      </c>
      <c r="C296" s="6" t="s">
        <v>71</v>
      </c>
      <c r="D296" s="5" t="s">
        <v>5419</v>
      </c>
      <c r="E296" s="6" t="s">
        <v>258</v>
      </c>
      <c r="F296" s="6" t="s">
        <v>2842</v>
      </c>
      <c r="G296" s="6" t="s">
        <v>2843</v>
      </c>
      <c r="H296" s="6" t="s">
        <v>2844</v>
      </c>
      <c r="I296" s="6" t="s">
        <v>55</v>
      </c>
      <c r="J296" s="6" t="s">
        <v>56</v>
      </c>
      <c r="K296" s="63">
        <v>500000000</v>
      </c>
      <c r="L296" s="6" t="s">
        <v>52</v>
      </c>
      <c r="M296" s="6" t="s">
        <v>1770</v>
      </c>
      <c r="N296" s="6" t="s">
        <v>257</v>
      </c>
      <c r="O296" s="17">
        <v>41836</v>
      </c>
      <c r="P296" s="5" t="s">
        <v>5419</v>
      </c>
      <c r="Q296" s="17">
        <v>45489</v>
      </c>
      <c r="R296" s="6" t="s">
        <v>270</v>
      </c>
      <c r="S296" s="6" t="s">
        <v>263</v>
      </c>
      <c r="T296" s="6" t="s">
        <v>49</v>
      </c>
      <c r="U296" s="6" t="s">
        <v>262</v>
      </c>
    </row>
    <row r="297" spans="1:21" x14ac:dyDescent="0.2">
      <c r="A297" s="6" t="s">
        <v>476</v>
      </c>
      <c r="B297" s="6" t="s">
        <v>479</v>
      </c>
      <c r="C297" s="6" t="s">
        <v>57</v>
      </c>
      <c r="D297" s="6" t="s">
        <v>54</v>
      </c>
      <c r="E297" s="6" t="s">
        <v>45</v>
      </c>
      <c r="F297" s="6" t="s">
        <v>2148</v>
      </c>
      <c r="G297" s="6" t="s">
        <v>2149</v>
      </c>
      <c r="H297" s="6" t="s">
        <v>2150</v>
      </c>
      <c r="I297" s="6" t="s">
        <v>55</v>
      </c>
      <c r="J297" s="6" t="s">
        <v>56</v>
      </c>
      <c r="K297" s="5">
        <v>13368900</v>
      </c>
      <c r="L297" s="6" t="s">
        <v>2011</v>
      </c>
      <c r="M297" s="6" t="s">
        <v>2129</v>
      </c>
      <c r="N297" s="6" t="s">
        <v>45</v>
      </c>
      <c r="O297" s="17">
        <v>41857</v>
      </c>
      <c r="P297" s="62">
        <v>1625</v>
      </c>
      <c r="Q297" s="17">
        <v>45510</v>
      </c>
      <c r="R297" s="6" t="s">
        <v>2134</v>
      </c>
      <c r="S297" s="6" t="s">
        <v>189</v>
      </c>
      <c r="T297" s="6" t="s">
        <v>49</v>
      </c>
      <c r="U297" s="6" t="s">
        <v>53</v>
      </c>
    </row>
    <row r="298" spans="1:21" x14ac:dyDescent="0.2">
      <c r="A298" s="6" t="s">
        <v>1518</v>
      </c>
      <c r="B298" s="6" t="s">
        <v>1521</v>
      </c>
      <c r="C298" s="6" t="s">
        <v>57</v>
      </c>
      <c r="D298" s="62">
        <v>1872</v>
      </c>
      <c r="E298" s="6" t="s">
        <v>184</v>
      </c>
      <c r="F298" s="6" t="s">
        <v>3127</v>
      </c>
      <c r="G298" s="6" t="s">
        <v>3128</v>
      </c>
      <c r="H298" s="6" t="s">
        <v>3129</v>
      </c>
      <c r="I298" s="6" t="s">
        <v>117</v>
      </c>
      <c r="J298" s="6" t="s">
        <v>56</v>
      </c>
      <c r="K298" s="5" t="s">
        <v>5420</v>
      </c>
      <c r="L298" s="6" t="s">
        <v>52</v>
      </c>
      <c r="M298" s="6" t="s">
        <v>1770</v>
      </c>
      <c r="N298" s="6" t="s">
        <v>184</v>
      </c>
      <c r="O298" s="17">
        <v>41892</v>
      </c>
      <c r="P298" s="5" t="s">
        <v>5249</v>
      </c>
      <c r="Q298" s="17">
        <v>46275</v>
      </c>
      <c r="R298" s="6" t="s">
        <v>225</v>
      </c>
      <c r="S298" s="6" t="s">
        <v>483</v>
      </c>
      <c r="T298" s="6" t="s">
        <v>115</v>
      </c>
      <c r="U298" s="6" t="s">
        <v>53</v>
      </c>
    </row>
    <row r="299" spans="1:21" x14ac:dyDescent="0.2">
      <c r="A299" s="6" t="s">
        <v>1525</v>
      </c>
      <c r="B299" s="6" t="s">
        <v>1528</v>
      </c>
      <c r="C299" s="6" t="s">
        <v>57</v>
      </c>
      <c r="D299" s="6" t="s">
        <v>54</v>
      </c>
      <c r="E299" s="6" t="s">
        <v>184</v>
      </c>
      <c r="F299" s="6" t="s">
        <v>3009</v>
      </c>
      <c r="G299" s="6" t="s">
        <v>3010</v>
      </c>
      <c r="H299" s="6" t="s">
        <v>3011</v>
      </c>
      <c r="I299" s="6" t="s">
        <v>420</v>
      </c>
      <c r="J299" s="6" t="s">
        <v>56</v>
      </c>
      <c r="K299" s="5" t="s">
        <v>5359</v>
      </c>
      <c r="L299" s="6" t="s">
        <v>52</v>
      </c>
      <c r="M299" s="6" t="s">
        <v>1770</v>
      </c>
      <c r="N299" s="6" t="s">
        <v>184</v>
      </c>
      <c r="O299" s="17">
        <v>41911</v>
      </c>
      <c r="P299" s="62">
        <v>2125</v>
      </c>
      <c r="Q299" s="17">
        <v>45562</v>
      </c>
      <c r="R299" s="6" t="s">
        <v>173</v>
      </c>
      <c r="S299" s="6" t="s">
        <v>619</v>
      </c>
      <c r="T299" s="6" t="s">
        <v>115</v>
      </c>
      <c r="U299" s="6" t="s">
        <v>53</v>
      </c>
    </row>
    <row r="300" spans="1:21" x14ac:dyDescent="0.2">
      <c r="A300" s="6" t="s">
        <v>476</v>
      </c>
      <c r="B300" s="6" t="s">
        <v>479</v>
      </c>
      <c r="C300" s="6" t="s">
        <v>391</v>
      </c>
      <c r="D300" s="6" t="s">
        <v>54</v>
      </c>
      <c r="E300" s="6" t="s">
        <v>45</v>
      </c>
      <c r="F300" s="6" t="s">
        <v>2152</v>
      </c>
      <c r="G300" s="6" t="s">
        <v>2153</v>
      </c>
      <c r="H300" s="6" t="s">
        <v>2154</v>
      </c>
      <c r="I300" s="6" t="s">
        <v>55</v>
      </c>
      <c r="J300" s="6" t="s">
        <v>70</v>
      </c>
      <c r="K300" s="5">
        <v>6344650</v>
      </c>
      <c r="L300" s="6" t="s">
        <v>2011</v>
      </c>
      <c r="M300" s="6" t="s">
        <v>2129</v>
      </c>
      <c r="N300" s="6" t="s">
        <v>45</v>
      </c>
      <c r="O300" s="17">
        <v>41908</v>
      </c>
      <c r="P300" s="5" t="s">
        <v>5421</v>
      </c>
      <c r="Q300" s="17">
        <v>44830</v>
      </c>
      <c r="R300" s="6" t="s">
        <v>225</v>
      </c>
      <c r="S300" s="6" t="s">
        <v>189</v>
      </c>
      <c r="T300" s="6" t="s">
        <v>49</v>
      </c>
      <c r="U300" s="6" t="s">
        <v>53</v>
      </c>
    </row>
    <row r="301" spans="1:21" x14ac:dyDescent="0.2">
      <c r="A301" s="6" t="s">
        <v>1359</v>
      </c>
      <c r="B301" s="6" t="s">
        <v>1362</v>
      </c>
      <c r="C301" s="6" t="s">
        <v>57</v>
      </c>
      <c r="D301" s="62">
        <v>1591</v>
      </c>
      <c r="E301" s="6" t="s">
        <v>199</v>
      </c>
      <c r="F301" s="6" t="s">
        <v>3249</v>
      </c>
      <c r="G301" s="6" t="s">
        <v>3250</v>
      </c>
      <c r="H301" s="6" t="s">
        <v>3251</v>
      </c>
      <c r="I301" s="6" t="s">
        <v>117</v>
      </c>
      <c r="J301" s="6" t="s">
        <v>56</v>
      </c>
      <c r="K301" s="5" t="s">
        <v>5422</v>
      </c>
      <c r="L301" s="6" t="s">
        <v>52</v>
      </c>
      <c r="M301" s="6" t="s">
        <v>1770</v>
      </c>
      <c r="N301" s="6" t="s">
        <v>199</v>
      </c>
      <c r="O301" s="17">
        <v>41934</v>
      </c>
      <c r="P301" s="5" t="s">
        <v>5225</v>
      </c>
      <c r="Q301" s="17">
        <v>45037</v>
      </c>
      <c r="R301" s="6" t="s">
        <v>225</v>
      </c>
      <c r="S301" s="6" t="s">
        <v>174</v>
      </c>
      <c r="T301" s="6" t="s">
        <v>49</v>
      </c>
      <c r="U301" s="6" t="s">
        <v>53</v>
      </c>
    </row>
    <row r="302" spans="1:21" x14ac:dyDescent="0.2">
      <c r="A302" s="6" t="s">
        <v>1639</v>
      </c>
      <c r="B302" s="6" t="s">
        <v>1642</v>
      </c>
      <c r="C302" s="6" t="s">
        <v>57</v>
      </c>
      <c r="D302" s="62">
        <v>1653</v>
      </c>
      <c r="E302" s="6" t="s">
        <v>170</v>
      </c>
      <c r="F302" s="6" t="s">
        <v>2984</v>
      </c>
      <c r="G302" s="6" t="s">
        <v>2985</v>
      </c>
      <c r="H302" s="6" t="s">
        <v>2986</v>
      </c>
      <c r="I302" s="6" t="s">
        <v>55</v>
      </c>
      <c r="J302" s="6" t="s">
        <v>56</v>
      </c>
      <c r="K302" s="5" t="s">
        <v>5423</v>
      </c>
      <c r="L302" s="6" t="s">
        <v>52</v>
      </c>
      <c r="M302" s="6" t="s">
        <v>1770</v>
      </c>
      <c r="N302" s="6" t="s">
        <v>169</v>
      </c>
      <c r="O302" s="17">
        <v>41950</v>
      </c>
      <c r="P302" s="62">
        <v>1625</v>
      </c>
      <c r="Q302" s="17">
        <v>46335</v>
      </c>
      <c r="R302" s="6" t="s">
        <v>173</v>
      </c>
      <c r="S302" s="6" t="s">
        <v>1645</v>
      </c>
      <c r="T302" s="6" t="s">
        <v>49</v>
      </c>
      <c r="U302" s="6" t="s">
        <v>53</v>
      </c>
    </row>
    <row r="303" spans="1:21" x14ac:dyDescent="0.2">
      <c r="A303" s="6" t="s">
        <v>476</v>
      </c>
      <c r="B303" s="6" t="s">
        <v>479</v>
      </c>
      <c r="C303" s="6" t="s">
        <v>57</v>
      </c>
      <c r="D303" s="6" t="s">
        <v>54</v>
      </c>
      <c r="E303" s="6" t="s">
        <v>45</v>
      </c>
      <c r="F303" s="6" t="s">
        <v>2156</v>
      </c>
      <c r="G303" s="6" t="s">
        <v>2157</v>
      </c>
      <c r="H303" s="6" t="s">
        <v>2158</v>
      </c>
      <c r="I303" s="6" t="s">
        <v>55</v>
      </c>
      <c r="J303" s="6" t="s">
        <v>56</v>
      </c>
      <c r="K303" s="5">
        <v>12531600</v>
      </c>
      <c r="L303" s="6" t="s">
        <v>2011</v>
      </c>
      <c r="M303" s="6" t="s">
        <v>2129</v>
      </c>
      <c r="N303" s="6" t="s">
        <v>45</v>
      </c>
      <c r="O303" s="17">
        <v>41961</v>
      </c>
      <c r="P303" s="5" t="s">
        <v>5424</v>
      </c>
      <c r="Q303" s="17">
        <v>45614</v>
      </c>
      <c r="R303" s="6" t="s">
        <v>225</v>
      </c>
      <c r="S303" s="6" t="s">
        <v>189</v>
      </c>
      <c r="T303" s="6" t="s">
        <v>49</v>
      </c>
      <c r="U303" s="6" t="s">
        <v>53</v>
      </c>
    </row>
    <row r="304" spans="1:21" x14ac:dyDescent="0.2">
      <c r="A304" s="6" t="s">
        <v>566</v>
      </c>
      <c r="B304" s="6" t="s">
        <v>569</v>
      </c>
      <c r="C304" s="6" t="s">
        <v>57</v>
      </c>
      <c r="D304" s="62">
        <v>2127</v>
      </c>
      <c r="E304" s="6" t="s">
        <v>184</v>
      </c>
      <c r="F304" s="6" t="s">
        <v>2690</v>
      </c>
      <c r="G304" s="6" t="s">
        <v>2691</v>
      </c>
      <c r="H304" s="6" t="s">
        <v>2692</v>
      </c>
      <c r="I304" s="6" t="s">
        <v>55</v>
      </c>
      <c r="J304" s="6" t="s">
        <v>56</v>
      </c>
      <c r="K304" s="5" t="s">
        <v>5425</v>
      </c>
      <c r="L304" s="6" t="s">
        <v>52</v>
      </c>
      <c r="M304" s="6" t="s">
        <v>1770</v>
      </c>
      <c r="N304" s="6" t="s">
        <v>184</v>
      </c>
      <c r="O304" s="17">
        <v>41983</v>
      </c>
      <c r="P304" s="5">
        <v>2</v>
      </c>
      <c r="Q304" s="17">
        <v>45636</v>
      </c>
      <c r="R304" s="6" t="s">
        <v>225</v>
      </c>
      <c r="S304" s="6" t="s">
        <v>496</v>
      </c>
      <c r="T304" s="6" t="s">
        <v>115</v>
      </c>
      <c r="U304" s="6" t="s">
        <v>53</v>
      </c>
    </row>
    <row r="305" spans="1:21" x14ac:dyDescent="0.2">
      <c r="A305" s="6" t="s">
        <v>476</v>
      </c>
      <c r="B305" s="6" t="s">
        <v>479</v>
      </c>
      <c r="C305" s="6" t="s">
        <v>57</v>
      </c>
      <c r="D305" s="6" t="s">
        <v>54</v>
      </c>
      <c r="E305" s="6" t="s">
        <v>45</v>
      </c>
      <c r="F305" s="6" t="s">
        <v>2160</v>
      </c>
      <c r="G305" s="6" t="s">
        <v>2161</v>
      </c>
      <c r="H305" s="6" t="s">
        <v>2162</v>
      </c>
      <c r="I305" s="6" t="s">
        <v>55</v>
      </c>
      <c r="J305" s="6" t="s">
        <v>56</v>
      </c>
      <c r="K305" s="5">
        <v>12175700</v>
      </c>
      <c r="L305" s="6" t="s">
        <v>2011</v>
      </c>
      <c r="M305" s="6" t="s">
        <v>2129</v>
      </c>
      <c r="N305" s="6" t="s">
        <v>45</v>
      </c>
      <c r="O305" s="17">
        <v>41996</v>
      </c>
      <c r="P305" s="5">
        <v>1</v>
      </c>
      <c r="Q305" s="17">
        <v>45287</v>
      </c>
      <c r="R305" s="6" t="s">
        <v>225</v>
      </c>
      <c r="S305" s="6" t="s">
        <v>189</v>
      </c>
      <c r="T305" s="6" t="s">
        <v>49</v>
      </c>
      <c r="U305" s="6" t="s">
        <v>53</v>
      </c>
    </row>
    <row r="306" spans="1:21" x14ac:dyDescent="0.2">
      <c r="A306" s="6" t="s">
        <v>476</v>
      </c>
      <c r="B306" s="6" t="s">
        <v>479</v>
      </c>
      <c r="C306" s="6" t="s">
        <v>391</v>
      </c>
      <c r="D306" s="6" t="s">
        <v>54</v>
      </c>
      <c r="E306" s="6" t="s">
        <v>45</v>
      </c>
      <c r="F306" s="6" t="s">
        <v>2164</v>
      </c>
      <c r="G306" s="6" t="s">
        <v>2165</v>
      </c>
      <c r="H306" s="6" t="s">
        <v>2166</v>
      </c>
      <c r="I306" s="6" t="s">
        <v>55</v>
      </c>
      <c r="J306" s="6" t="s">
        <v>70</v>
      </c>
      <c r="K306" s="5">
        <v>24315000</v>
      </c>
      <c r="L306" s="6" t="s">
        <v>2011</v>
      </c>
      <c r="M306" s="6" t="s">
        <v>2129</v>
      </c>
      <c r="N306" s="6" t="s">
        <v>45</v>
      </c>
      <c r="O306" s="17">
        <v>42003</v>
      </c>
      <c r="P306" s="5" t="s">
        <v>5385</v>
      </c>
      <c r="Q306" s="17">
        <v>45656</v>
      </c>
      <c r="R306" s="6" t="s">
        <v>2134</v>
      </c>
      <c r="S306" s="6" t="s">
        <v>189</v>
      </c>
      <c r="T306" s="6" t="s">
        <v>49</v>
      </c>
      <c r="U306" s="6" t="s">
        <v>53</v>
      </c>
    </row>
    <row r="307" spans="1:21" x14ac:dyDescent="0.2">
      <c r="A307" s="6" t="s">
        <v>476</v>
      </c>
      <c r="B307" s="6" t="s">
        <v>479</v>
      </c>
      <c r="C307" s="6" t="s">
        <v>391</v>
      </c>
      <c r="D307" s="6" t="s">
        <v>54</v>
      </c>
      <c r="E307" s="6" t="s">
        <v>45</v>
      </c>
      <c r="F307" s="6" t="s">
        <v>2168</v>
      </c>
      <c r="G307" s="6" t="s">
        <v>2169</v>
      </c>
      <c r="H307" s="6" t="s">
        <v>2170</v>
      </c>
      <c r="I307" s="6" t="s">
        <v>55</v>
      </c>
      <c r="J307" s="6" t="s">
        <v>70</v>
      </c>
      <c r="K307" s="5">
        <v>36472500</v>
      </c>
      <c r="L307" s="6" t="s">
        <v>482</v>
      </c>
      <c r="M307" s="6" t="s">
        <v>1770</v>
      </c>
      <c r="N307" s="6" t="s">
        <v>45</v>
      </c>
      <c r="O307" s="17">
        <v>42003</v>
      </c>
      <c r="P307" s="5" t="s">
        <v>5385</v>
      </c>
      <c r="Q307" s="17">
        <v>45656</v>
      </c>
      <c r="R307" s="6" t="s">
        <v>2171</v>
      </c>
      <c r="S307" s="6" t="s">
        <v>483</v>
      </c>
      <c r="T307" s="6" t="s">
        <v>49</v>
      </c>
      <c r="U307" s="6" t="s">
        <v>53</v>
      </c>
    </row>
    <row r="308" spans="1:21" x14ac:dyDescent="0.2">
      <c r="A308" s="6" t="s">
        <v>476</v>
      </c>
      <c r="B308" s="6" t="s">
        <v>479</v>
      </c>
      <c r="C308" s="6" t="s">
        <v>57</v>
      </c>
      <c r="D308" s="6" t="s">
        <v>54</v>
      </c>
      <c r="E308" s="6" t="s">
        <v>45</v>
      </c>
      <c r="F308" s="6" t="s">
        <v>2173</v>
      </c>
      <c r="G308" s="6" t="s">
        <v>2174</v>
      </c>
      <c r="H308" s="6" t="s">
        <v>2175</v>
      </c>
      <c r="I308" s="6" t="s">
        <v>55</v>
      </c>
      <c r="J308" s="6" t="s">
        <v>56</v>
      </c>
      <c r="K308" s="5" t="s">
        <v>5318</v>
      </c>
      <c r="L308" s="6" t="s">
        <v>2011</v>
      </c>
      <c r="M308" s="6" t="s">
        <v>2129</v>
      </c>
      <c r="N308" s="6" t="s">
        <v>45</v>
      </c>
      <c r="O308" s="17">
        <v>42026</v>
      </c>
      <c r="P308" s="5" t="s">
        <v>5228</v>
      </c>
      <c r="Q308" s="17">
        <v>45679</v>
      </c>
      <c r="R308" s="6" t="s">
        <v>225</v>
      </c>
      <c r="S308" s="6" t="s">
        <v>189</v>
      </c>
      <c r="T308" s="6" t="s">
        <v>49</v>
      </c>
      <c r="U308" s="6" t="s">
        <v>53</v>
      </c>
    </row>
    <row r="309" spans="1:21" x14ac:dyDescent="0.2">
      <c r="A309" s="6" t="s">
        <v>641</v>
      </c>
      <c r="B309" s="6" t="s">
        <v>644</v>
      </c>
      <c r="C309" s="6" t="s">
        <v>57</v>
      </c>
      <c r="D309" s="62">
        <v>1966</v>
      </c>
      <c r="E309" s="6" t="s">
        <v>199</v>
      </c>
      <c r="F309" s="6" t="s">
        <v>2433</v>
      </c>
      <c r="G309" s="6" t="s">
        <v>2434</v>
      </c>
      <c r="H309" s="6" t="s">
        <v>2435</v>
      </c>
      <c r="I309" s="6" t="s">
        <v>55</v>
      </c>
      <c r="J309" s="6" t="s">
        <v>56</v>
      </c>
      <c r="K309" s="5" t="s">
        <v>5426</v>
      </c>
      <c r="L309" s="6" t="s">
        <v>52</v>
      </c>
      <c r="M309" s="6" t="s">
        <v>1770</v>
      </c>
      <c r="N309" s="6" t="s">
        <v>366</v>
      </c>
      <c r="O309" s="17">
        <v>42031</v>
      </c>
      <c r="P309" s="62">
        <v>1966</v>
      </c>
      <c r="Q309" s="17">
        <v>45684</v>
      </c>
      <c r="R309" s="6" t="s">
        <v>225</v>
      </c>
      <c r="S309" s="6" t="s">
        <v>619</v>
      </c>
      <c r="T309" s="6" t="s">
        <v>49</v>
      </c>
      <c r="U309" s="6" t="s">
        <v>53</v>
      </c>
    </row>
    <row r="310" spans="1:21" x14ac:dyDescent="0.2">
      <c r="A310" s="6" t="s">
        <v>1486</v>
      </c>
      <c r="B310" s="6" t="s">
        <v>1489</v>
      </c>
      <c r="C310" s="6" t="s">
        <v>57</v>
      </c>
      <c r="D310" s="62">
        <v>1305</v>
      </c>
      <c r="E310" s="6" t="s">
        <v>184</v>
      </c>
      <c r="F310" s="6" t="s">
        <v>2275</v>
      </c>
      <c r="G310" s="6" t="s">
        <v>2276</v>
      </c>
      <c r="H310" s="6" t="s">
        <v>2277</v>
      </c>
      <c r="I310" s="6" t="s">
        <v>117</v>
      </c>
      <c r="J310" s="6" t="s">
        <v>56</v>
      </c>
      <c r="K310" s="5" t="s">
        <v>5310</v>
      </c>
      <c r="L310" s="6" t="s">
        <v>52</v>
      </c>
      <c r="M310" s="6" t="s">
        <v>1770</v>
      </c>
      <c r="N310" s="6" t="s">
        <v>184</v>
      </c>
      <c r="O310" s="17">
        <v>42038</v>
      </c>
      <c r="P310" s="5" t="s">
        <v>5228</v>
      </c>
      <c r="Q310" s="17">
        <v>45811</v>
      </c>
      <c r="R310" s="6" t="s">
        <v>225</v>
      </c>
      <c r="S310" s="6" t="s">
        <v>189</v>
      </c>
      <c r="T310" s="6" t="s">
        <v>115</v>
      </c>
      <c r="U310" s="6" t="s">
        <v>53</v>
      </c>
    </row>
    <row r="311" spans="1:21" x14ac:dyDescent="0.2">
      <c r="A311" s="6" t="s">
        <v>613</v>
      </c>
      <c r="B311" s="6" t="s">
        <v>616</v>
      </c>
      <c r="C311" s="6" t="s">
        <v>57</v>
      </c>
      <c r="D311" s="62">
        <v>1573</v>
      </c>
      <c r="E311" s="6" t="s">
        <v>199</v>
      </c>
      <c r="F311" s="6" t="s">
        <v>2512</v>
      </c>
      <c r="G311" s="6" t="s">
        <v>2513</v>
      </c>
      <c r="H311" s="6" t="s">
        <v>2514</v>
      </c>
      <c r="I311" s="6" t="s">
        <v>117</v>
      </c>
      <c r="J311" s="6" t="s">
        <v>56</v>
      </c>
      <c r="K311" s="5" t="s">
        <v>5427</v>
      </c>
      <c r="L311" s="6" t="s">
        <v>52</v>
      </c>
      <c r="M311" s="6" t="s">
        <v>1770</v>
      </c>
      <c r="N311" s="6" t="s">
        <v>199</v>
      </c>
      <c r="O311" s="17">
        <v>42037</v>
      </c>
      <c r="P311" s="5" t="s">
        <v>5225</v>
      </c>
      <c r="Q311" s="17">
        <v>46055</v>
      </c>
      <c r="R311" s="6" t="s">
        <v>225</v>
      </c>
      <c r="S311" s="6" t="s">
        <v>619</v>
      </c>
      <c r="T311" s="6" t="s">
        <v>49</v>
      </c>
      <c r="U311" s="6" t="s">
        <v>53</v>
      </c>
    </row>
    <row r="312" spans="1:21" x14ac:dyDescent="0.2">
      <c r="A312" s="6" t="s">
        <v>774</v>
      </c>
      <c r="B312" s="6" t="s">
        <v>777</v>
      </c>
      <c r="C312" s="6" t="s">
        <v>57</v>
      </c>
      <c r="D312" s="6" t="s">
        <v>54</v>
      </c>
      <c r="E312" s="6" t="s">
        <v>199</v>
      </c>
      <c r="F312" s="6" t="s">
        <v>1785</v>
      </c>
      <c r="G312" s="6" t="s">
        <v>1786</v>
      </c>
      <c r="H312" s="6" t="s">
        <v>1787</v>
      </c>
      <c r="I312" s="6" t="s">
        <v>55</v>
      </c>
      <c r="J312" s="6" t="s">
        <v>56</v>
      </c>
      <c r="K312" s="5" t="s">
        <v>5428</v>
      </c>
      <c r="L312" s="6" t="s">
        <v>52</v>
      </c>
      <c r="M312" s="6" t="s">
        <v>1770</v>
      </c>
      <c r="N312" s="6" t="s">
        <v>199</v>
      </c>
      <c r="O312" s="17">
        <v>42060</v>
      </c>
      <c r="P312" s="5" t="s">
        <v>5249</v>
      </c>
      <c r="Q312" s="17">
        <v>45713</v>
      </c>
      <c r="R312" s="6" t="s">
        <v>225</v>
      </c>
      <c r="S312" s="6" t="s">
        <v>174</v>
      </c>
      <c r="T312" s="6" t="s">
        <v>115</v>
      </c>
      <c r="U312" s="6" t="s">
        <v>53</v>
      </c>
    </row>
    <row r="313" spans="1:21" x14ac:dyDescent="0.2">
      <c r="A313" s="6" t="s">
        <v>670</v>
      </c>
      <c r="B313" s="6" t="s">
        <v>673</v>
      </c>
      <c r="C313" s="6" t="s">
        <v>57</v>
      </c>
      <c r="D313" s="5" t="s">
        <v>5429</v>
      </c>
      <c r="E313" s="6" t="s">
        <v>184</v>
      </c>
      <c r="F313" s="6" t="s">
        <v>2378</v>
      </c>
      <c r="G313" s="6" t="s">
        <v>2379</v>
      </c>
      <c r="H313" s="6" t="s">
        <v>2380</v>
      </c>
      <c r="I313" s="6" t="s">
        <v>420</v>
      </c>
      <c r="J313" s="6" t="s">
        <v>56</v>
      </c>
      <c r="K313" s="5" t="s">
        <v>5430</v>
      </c>
      <c r="L313" s="6" t="s">
        <v>52</v>
      </c>
      <c r="M313" s="6" t="s">
        <v>1775</v>
      </c>
      <c r="N313" s="6" t="s">
        <v>184</v>
      </c>
      <c r="O313" s="17">
        <v>42073</v>
      </c>
      <c r="P313" s="62">
        <v>1375</v>
      </c>
      <c r="Q313" s="17">
        <v>45726</v>
      </c>
      <c r="R313" s="6" t="s">
        <v>173</v>
      </c>
      <c r="S313" s="6" t="s">
        <v>189</v>
      </c>
      <c r="T313" s="6" t="s">
        <v>115</v>
      </c>
      <c r="U313" s="6" t="s">
        <v>53</v>
      </c>
    </row>
    <row r="314" spans="1:21" x14ac:dyDescent="0.2">
      <c r="A314" s="6" t="s">
        <v>180</v>
      </c>
      <c r="B314" s="6" t="s">
        <v>183</v>
      </c>
      <c r="C314" s="6" t="s">
        <v>57</v>
      </c>
      <c r="D314" s="6" t="s">
        <v>54</v>
      </c>
      <c r="E314" s="6" t="s">
        <v>185</v>
      </c>
      <c r="F314" s="6" t="s">
        <v>3184</v>
      </c>
      <c r="G314" s="6" t="s">
        <v>3185</v>
      </c>
      <c r="H314" s="6" t="s">
        <v>3186</v>
      </c>
      <c r="I314" s="6" t="s">
        <v>133</v>
      </c>
      <c r="J314" s="6" t="s">
        <v>56</v>
      </c>
      <c r="K314" s="5" t="s">
        <v>5431</v>
      </c>
      <c r="L314" s="6" t="s">
        <v>52</v>
      </c>
      <c r="M314" s="6" t="s">
        <v>1770</v>
      </c>
      <c r="N314" s="6" t="s">
        <v>184</v>
      </c>
      <c r="O314" s="17">
        <v>42074</v>
      </c>
      <c r="P314" s="62">
        <v>875</v>
      </c>
      <c r="Q314" s="17">
        <v>45727</v>
      </c>
      <c r="R314" s="6" t="s">
        <v>225</v>
      </c>
      <c r="S314" s="6" t="s">
        <v>446</v>
      </c>
      <c r="T314" s="6" t="s">
        <v>115</v>
      </c>
      <c r="U314" s="6" t="s">
        <v>53</v>
      </c>
    </row>
    <row r="315" spans="1:21" x14ac:dyDescent="0.2">
      <c r="A315" s="6" t="s">
        <v>1042</v>
      </c>
      <c r="B315" s="6" t="s">
        <v>1045</v>
      </c>
      <c r="C315" s="6" t="s">
        <v>57</v>
      </c>
      <c r="D315" s="6" t="s">
        <v>54</v>
      </c>
      <c r="E315" s="6" t="s">
        <v>1046</v>
      </c>
      <c r="F315" s="6" t="s">
        <v>3342</v>
      </c>
      <c r="G315" s="6" t="s">
        <v>3343</v>
      </c>
      <c r="H315" s="6" t="s">
        <v>3344</v>
      </c>
      <c r="I315" s="6" t="s">
        <v>55</v>
      </c>
      <c r="J315" s="6" t="s">
        <v>56</v>
      </c>
      <c r="K315" s="5" t="s">
        <v>5432</v>
      </c>
      <c r="L315" s="6" t="s">
        <v>52</v>
      </c>
      <c r="M315" s="6" t="s">
        <v>1770</v>
      </c>
      <c r="N315" s="6" t="s">
        <v>366</v>
      </c>
      <c r="O315" s="17">
        <v>42094</v>
      </c>
      <c r="P315" s="62">
        <v>1875</v>
      </c>
      <c r="Q315" s="17">
        <v>46477</v>
      </c>
      <c r="R315" s="6" t="s">
        <v>173</v>
      </c>
      <c r="S315" s="6" t="s">
        <v>296</v>
      </c>
      <c r="T315" s="6" t="s">
        <v>115</v>
      </c>
      <c r="U315" s="6" t="s">
        <v>53</v>
      </c>
    </row>
    <row r="316" spans="1:21" x14ac:dyDescent="0.2">
      <c r="A316" s="6" t="s">
        <v>1042</v>
      </c>
      <c r="B316" s="6" t="s">
        <v>1045</v>
      </c>
      <c r="C316" s="6" t="s">
        <v>57</v>
      </c>
      <c r="D316" s="6" t="s">
        <v>54</v>
      </c>
      <c r="E316" s="6" t="s">
        <v>1046</v>
      </c>
      <c r="F316" s="6" t="s">
        <v>3346</v>
      </c>
      <c r="G316" s="6" t="s">
        <v>3347</v>
      </c>
      <c r="H316" s="6" t="s">
        <v>3348</v>
      </c>
      <c r="I316" s="6" t="s">
        <v>55</v>
      </c>
      <c r="J316" s="6" t="s">
        <v>56</v>
      </c>
      <c r="K316" s="5" t="s">
        <v>5433</v>
      </c>
      <c r="L316" s="6" t="s">
        <v>52</v>
      </c>
      <c r="M316" s="6" t="s">
        <v>1770</v>
      </c>
      <c r="N316" s="6" t="s">
        <v>366</v>
      </c>
      <c r="O316" s="17">
        <v>42094</v>
      </c>
      <c r="P316" s="5" t="s">
        <v>5228</v>
      </c>
      <c r="Q316" s="17">
        <v>45016</v>
      </c>
      <c r="R316" s="6" t="s">
        <v>173</v>
      </c>
      <c r="S316" s="6" t="s">
        <v>296</v>
      </c>
      <c r="T316" s="6" t="s">
        <v>115</v>
      </c>
      <c r="U316" s="6" t="s">
        <v>53</v>
      </c>
    </row>
    <row r="317" spans="1:21" x14ac:dyDescent="0.2">
      <c r="A317" s="6" t="s">
        <v>1559</v>
      </c>
      <c r="B317" s="6" t="s">
        <v>1562</v>
      </c>
      <c r="C317" s="6" t="s">
        <v>57</v>
      </c>
      <c r="D317" s="62">
        <v>1763</v>
      </c>
      <c r="E317" s="6" t="s">
        <v>257</v>
      </c>
      <c r="F317" s="6" t="s">
        <v>2767</v>
      </c>
      <c r="G317" s="6" t="s">
        <v>2768</v>
      </c>
      <c r="H317" s="6" t="s">
        <v>2769</v>
      </c>
      <c r="I317" s="6" t="s">
        <v>55</v>
      </c>
      <c r="J317" s="6" t="s">
        <v>56</v>
      </c>
      <c r="K317" s="5" t="s">
        <v>5434</v>
      </c>
      <c r="L317" s="6" t="s">
        <v>52</v>
      </c>
      <c r="M317" s="6" t="s">
        <v>1775</v>
      </c>
      <c r="N317" s="6" t="s">
        <v>366</v>
      </c>
      <c r="O317" s="17">
        <v>42124</v>
      </c>
      <c r="P317" s="62">
        <v>1625</v>
      </c>
      <c r="Q317" s="17">
        <v>45777</v>
      </c>
      <c r="R317" s="6" t="s">
        <v>173</v>
      </c>
      <c r="S317" s="6" t="s">
        <v>174</v>
      </c>
      <c r="T317" s="6" t="s">
        <v>49</v>
      </c>
      <c r="U317" s="6" t="s">
        <v>53</v>
      </c>
    </row>
    <row r="318" spans="1:21" x14ac:dyDescent="0.2">
      <c r="A318" s="6" t="s">
        <v>218</v>
      </c>
      <c r="B318" s="6" t="s">
        <v>221</v>
      </c>
      <c r="C318" s="6" t="s">
        <v>57</v>
      </c>
      <c r="D318" s="6" t="s">
        <v>54</v>
      </c>
      <c r="E318" s="6" t="s">
        <v>222</v>
      </c>
      <c r="F318" s="6" t="s">
        <v>3041</v>
      </c>
      <c r="G318" s="6" t="s">
        <v>3042</v>
      </c>
      <c r="H318" s="6" t="s">
        <v>3043</v>
      </c>
      <c r="I318" s="6" t="s">
        <v>55</v>
      </c>
      <c r="J318" s="6" t="s">
        <v>56</v>
      </c>
      <c r="K318" s="5">
        <v>21763600</v>
      </c>
      <c r="L318" s="6" t="s">
        <v>52</v>
      </c>
      <c r="M318" s="6" t="s">
        <v>173</v>
      </c>
      <c r="N318" s="6" t="s">
        <v>222</v>
      </c>
      <c r="O318" s="17">
        <v>42151</v>
      </c>
      <c r="P318" s="5">
        <v>5</v>
      </c>
      <c r="Q318" s="17">
        <v>45804</v>
      </c>
      <c r="R318" s="6">
        <v>1</v>
      </c>
      <c r="S318" s="6" t="s">
        <v>54</v>
      </c>
      <c r="T318" s="6" t="s">
        <v>49</v>
      </c>
      <c r="U318" s="6" t="s">
        <v>53</v>
      </c>
    </row>
    <row r="319" spans="1:21" x14ac:dyDescent="0.2">
      <c r="A319" s="6" t="s">
        <v>218</v>
      </c>
      <c r="B319" s="6" t="s">
        <v>221</v>
      </c>
      <c r="C319" s="6" t="s">
        <v>57</v>
      </c>
      <c r="D319" s="6" t="s">
        <v>54</v>
      </c>
      <c r="E319" s="6" t="s">
        <v>222</v>
      </c>
      <c r="F319" s="6" t="s">
        <v>3045</v>
      </c>
      <c r="G319" s="6" t="s">
        <v>3046</v>
      </c>
      <c r="H319" s="6" t="s">
        <v>3047</v>
      </c>
      <c r="I319" s="6" t="s">
        <v>55</v>
      </c>
      <c r="J319" s="6" t="s">
        <v>56</v>
      </c>
      <c r="K319" s="5">
        <v>10881800</v>
      </c>
      <c r="L319" s="6" t="s">
        <v>52</v>
      </c>
      <c r="M319" s="6" t="s">
        <v>173</v>
      </c>
      <c r="N319" s="6" t="s">
        <v>222</v>
      </c>
      <c r="O319" s="17">
        <v>42151</v>
      </c>
      <c r="P319" s="5" t="s">
        <v>5274</v>
      </c>
      <c r="Q319" s="17">
        <v>44708</v>
      </c>
      <c r="R319" s="6">
        <v>2</v>
      </c>
      <c r="S319" s="6" t="s">
        <v>54</v>
      </c>
      <c r="T319" s="6" t="s">
        <v>49</v>
      </c>
      <c r="U319" s="6" t="s">
        <v>53</v>
      </c>
    </row>
    <row r="320" spans="1:21" x14ac:dyDescent="0.2">
      <c r="A320" s="6" t="s">
        <v>476</v>
      </c>
      <c r="B320" s="6" t="s">
        <v>479</v>
      </c>
      <c r="C320" s="6" t="s">
        <v>57</v>
      </c>
      <c r="D320" s="6" t="s">
        <v>54</v>
      </c>
      <c r="E320" s="6" t="s">
        <v>45</v>
      </c>
      <c r="F320" s="6" t="s">
        <v>2177</v>
      </c>
      <c r="G320" s="6" t="s">
        <v>2178</v>
      </c>
      <c r="H320" s="6" t="s">
        <v>2179</v>
      </c>
      <c r="I320" s="6" t="s">
        <v>55</v>
      </c>
      <c r="J320" s="6" t="s">
        <v>56</v>
      </c>
      <c r="K320" s="5" t="s">
        <v>5435</v>
      </c>
      <c r="L320" s="6" t="s">
        <v>458</v>
      </c>
      <c r="M320" s="6" t="s">
        <v>1770</v>
      </c>
      <c r="N320" s="6" t="s">
        <v>45</v>
      </c>
      <c r="O320" s="17">
        <v>42422</v>
      </c>
      <c r="P320" s="5" t="s">
        <v>5290</v>
      </c>
      <c r="Q320" s="17">
        <v>44979</v>
      </c>
      <c r="R320" s="6" t="s">
        <v>225</v>
      </c>
      <c r="S320" s="6" t="s">
        <v>189</v>
      </c>
      <c r="T320" s="6" t="s">
        <v>49</v>
      </c>
      <c r="U320" s="6" t="s">
        <v>53</v>
      </c>
    </row>
    <row r="321" spans="1:21" x14ac:dyDescent="0.2">
      <c r="A321" s="6" t="s">
        <v>813</v>
      </c>
      <c r="B321" s="6" t="s">
        <v>816</v>
      </c>
      <c r="C321" s="6" t="s">
        <v>57</v>
      </c>
      <c r="D321" s="6" t="s">
        <v>54</v>
      </c>
      <c r="E321" s="6" t="s">
        <v>184</v>
      </c>
      <c r="F321" s="6" t="s">
        <v>3448</v>
      </c>
      <c r="G321" s="6" t="s">
        <v>3449</v>
      </c>
      <c r="H321" s="6" t="s">
        <v>3450</v>
      </c>
      <c r="I321" s="6" t="s">
        <v>133</v>
      </c>
      <c r="J321" s="6" t="s">
        <v>56</v>
      </c>
      <c r="K321" s="5" t="s">
        <v>5436</v>
      </c>
      <c r="L321" s="6" t="s">
        <v>52</v>
      </c>
      <c r="M321" s="6" t="s">
        <v>2894</v>
      </c>
      <c r="N321" s="6" t="s">
        <v>184</v>
      </c>
      <c r="O321" s="17">
        <v>42447</v>
      </c>
      <c r="P321" s="62">
        <v>1625</v>
      </c>
      <c r="Q321" s="17">
        <v>46099</v>
      </c>
      <c r="R321" s="6" t="s">
        <v>225</v>
      </c>
      <c r="S321" s="6" t="s">
        <v>263</v>
      </c>
      <c r="T321" s="6" t="s">
        <v>115</v>
      </c>
      <c r="U321" s="6" t="s">
        <v>53</v>
      </c>
    </row>
    <row r="322" spans="1:21" x14ac:dyDescent="0.2">
      <c r="A322" s="6" t="s">
        <v>566</v>
      </c>
      <c r="B322" s="6" t="s">
        <v>569</v>
      </c>
      <c r="C322" s="6" t="s">
        <v>57</v>
      </c>
      <c r="D322" s="6" t="s">
        <v>54</v>
      </c>
      <c r="E322" s="6" t="s">
        <v>184</v>
      </c>
      <c r="F322" s="6" t="s">
        <v>2694</v>
      </c>
      <c r="G322" s="6" t="s">
        <v>2695</v>
      </c>
      <c r="H322" s="6" t="s">
        <v>2696</v>
      </c>
      <c r="I322" s="6" t="s">
        <v>55</v>
      </c>
      <c r="J322" s="6" t="s">
        <v>56</v>
      </c>
      <c r="K322" s="5" t="s">
        <v>5437</v>
      </c>
      <c r="L322" s="6" t="s">
        <v>52</v>
      </c>
      <c r="M322" s="6" t="s">
        <v>173</v>
      </c>
      <c r="N322" s="6" t="s">
        <v>184</v>
      </c>
      <c r="O322" s="17">
        <v>42461</v>
      </c>
      <c r="P322" s="62">
        <v>1875</v>
      </c>
      <c r="Q322" s="17">
        <v>46843</v>
      </c>
      <c r="R322" s="6" t="s">
        <v>225</v>
      </c>
      <c r="S322" s="6" t="s">
        <v>496</v>
      </c>
      <c r="T322" s="6" t="s">
        <v>115</v>
      </c>
      <c r="U322" s="6" t="s">
        <v>53</v>
      </c>
    </row>
    <row r="323" spans="1:21" x14ac:dyDescent="0.2">
      <c r="A323" s="6" t="s">
        <v>1518</v>
      </c>
      <c r="B323" s="6" t="s">
        <v>1521</v>
      </c>
      <c r="C323" s="6" t="s">
        <v>57</v>
      </c>
      <c r="D323" s="6" t="s">
        <v>54</v>
      </c>
      <c r="E323" s="6" t="s">
        <v>184</v>
      </c>
      <c r="F323" s="6" t="s">
        <v>3131</v>
      </c>
      <c r="G323" s="6" t="s">
        <v>3132</v>
      </c>
      <c r="H323" s="6" t="s">
        <v>3133</v>
      </c>
      <c r="I323" s="6" t="s">
        <v>117</v>
      </c>
      <c r="J323" s="6" t="s">
        <v>56</v>
      </c>
      <c r="K323" s="5" t="s">
        <v>5438</v>
      </c>
      <c r="L323" s="6" t="s">
        <v>52</v>
      </c>
      <c r="M323" s="6" t="s">
        <v>1770</v>
      </c>
      <c r="N323" s="6" t="s">
        <v>184</v>
      </c>
      <c r="O323" s="17">
        <v>42465</v>
      </c>
      <c r="P323" s="62">
        <v>625</v>
      </c>
      <c r="Q323" s="17">
        <v>45387</v>
      </c>
      <c r="R323" s="6" t="s">
        <v>225</v>
      </c>
      <c r="S323" s="6" t="s">
        <v>483</v>
      </c>
      <c r="T323" s="6" t="s">
        <v>115</v>
      </c>
      <c r="U323" s="6" t="s">
        <v>53</v>
      </c>
    </row>
    <row r="324" spans="1:21" x14ac:dyDescent="0.2">
      <c r="A324" s="6" t="s">
        <v>1518</v>
      </c>
      <c r="B324" s="6" t="s">
        <v>1521</v>
      </c>
      <c r="C324" s="6" t="s">
        <v>57</v>
      </c>
      <c r="D324" s="6" t="s">
        <v>54</v>
      </c>
      <c r="E324" s="6" t="s">
        <v>184</v>
      </c>
      <c r="F324" s="6" t="s">
        <v>3135</v>
      </c>
      <c r="G324" s="6" t="s">
        <v>3136</v>
      </c>
      <c r="H324" s="6" t="s">
        <v>3137</v>
      </c>
      <c r="I324" s="6" t="s">
        <v>117</v>
      </c>
      <c r="J324" s="6" t="s">
        <v>56</v>
      </c>
      <c r="K324" s="5" t="s">
        <v>5439</v>
      </c>
      <c r="L324" s="6" t="s">
        <v>52</v>
      </c>
      <c r="M324" s="6" t="s">
        <v>1770</v>
      </c>
      <c r="N324" s="6" t="s">
        <v>184</v>
      </c>
      <c r="O324" s="17">
        <v>42465</v>
      </c>
      <c r="P324" s="62">
        <v>1125</v>
      </c>
      <c r="Q324" s="17">
        <v>46848</v>
      </c>
      <c r="R324" s="6" t="s">
        <v>225</v>
      </c>
      <c r="S324" s="6" t="s">
        <v>483</v>
      </c>
      <c r="T324" s="6" t="s">
        <v>115</v>
      </c>
      <c r="U324" s="6" t="s">
        <v>53</v>
      </c>
    </row>
    <row r="325" spans="1:21" x14ac:dyDescent="0.2">
      <c r="A325" s="6" t="s">
        <v>1486</v>
      </c>
      <c r="B325" s="6" t="s">
        <v>1489</v>
      </c>
      <c r="C325" s="6" t="s">
        <v>57</v>
      </c>
      <c r="D325" s="6" t="s">
        <v>54</v>
      </c>
      <c r="E325" s="6" t="s">
        <v>184</v>
      </c>
      <c r="F325" s="6" t="s">
        <v>2279</v>
      </c>
      <c r="G325" s="6" t="s">
        <v>2280</v>
      </c>
      <c r="H325" s="6" t="s">
        <v>2281</v>
      </c>
      <c r="I325" s="6" t="s">
        <v>117</v>
      </c>
      <c r="J325" s="6" t="s">
        <v>56</v>
      </c>
      <c r="K325" s="5" t="s">
        <v>5440</v>
      </c>
      <c r="L325" s="6" t="s">
        <v>52</v>
      </c>
      <c r="M325" s="6" t="s">
        <v>1770</v>
      </c>
      <c r="N325" s="6" t="s">
        <v>184</v>
      </c>
      <c r="O325" s="17">
        <v>42486</v>
      </c>
      <c r="P325" s="5" t="s">
        <v>5246</v>
      </c>
      <c r="Q325" s="17">
        <v>45408</v>
      </c>
      <c r="R325" s="6" t="s">
        <v>225</v>
      </c>
      <c r="S325" s="6" t="s">
        <v>189</v>
      </c>
      <c r="T325" s="6" t="s">
        <v>115</v>
      </c>
      <c r="U325" s="6" t="s">
        <v>53</v>
      </c>
    </row>
    <row r="326" spans="1:21" x14ac:dyDescent="0.2">
      <c r="A326" s="6" t="s">
        <v>476</v>
      </c>
      <c r="B326" s="6" t="s">
        <v>479</v>
      </c>
      <c r="C326" s="6" t="s">
        <v>57</v>
      </c>
      <c r="D326" s="6" t="s">
        <v>54</v>
      </c>
      <c r="E326" s="6" t="s">
        <v>45</v>
      </c>
      <c r="F326" s="6" t="s">
        <v>2181</v>
      </c>
      <c r="G326" s="6" t="s">
        <v>2182</v>
      </c>
      <c r="H326" s="6" t="s">
        <v>2183</v>
      </c>
      <c r="I326" s="6" t="s">
        <v>55</v>
      </c>
      <c r="J326" s="6" t="s">
        <v>56</v>
      </c>
      <c r="K326" s="5" t="s">
        <v>5441</v>
      </c>
      <c r="L326" s="6" t="s">
        <v>458</v>
      </c>
      <c r="M326" s="6" t="s">
        <v>1770</v>
      </c>
      <c r="N326" s="6" t="s">
        <v>45</v>
      </c>
      <c r="O326" s="17">
        <v>42493</v>
      </c>
      <c r="P326" s="62">
        <v>375</v>
      </c>
      <c r="Q326" s="17">
        <v>45415</v>
      </c>
      <c r="R326" s="6">
        <v>198</v>
      </c>
      <c r="S326" s="6" t="s">
        <v>189</v>
      </c>
      <c r="T326" s="6" t="s">
        <v>49</v>
      </c>
      <c r="U326" s="6" t="s">
        <v>53</v>
      </c>
    </row>
    <row r="327" spans="1:21" x14ac:dyDescent="0.2">
      <c r="A327" s="6" t="s">
        <v>916</v>
      </c>
      <c r="B327" s="6" t="s">
        <v>919</v>
      </c>
      <c r="C327" s="6" t="s">
        <v>57</v>
      </c>
      <c r="D327" s="62">
        <v>1954</v>
      </c>
      <c r="E327" s="6" t="s">
        <v>184</v>
      </c>
      <c r="F327" s="6" t="s">
        <v>2925</v>
      </c>
      <c r="G327" s="6" t="s">
        <v>2926</v>
      </c>
      <c r="H327" s="6" t="s">
        <v>2927</v>
      </c>
      <c r="I327" s="6" t="s">
        <v>420</v>
      </c>
      <c r="J327" s="6" t="s">
        <v>56</v>
      </c>
      <c r="K327" s="5" t="s">
        <v>5442</v>
      </c>
      <c r="L327" s="6" t="s">
        <v>52</v>
      </c>
      <c r="M327" s="6" t="s">
        <v>1839</v>
      </c>
      <c r="N327" s="6" t="s">
        <v>184</v>
      </c>
      <c r="O327" s="17">
        <v>42354</v>
      </c>
      <c r="P327" s="62">
        <v>1875</v>
      </c>
      <c r="Q327" s="17">
        <v>46737</v>
      </c>
      <c r="R327" s="6" t="s">
        <v>173</v>
      </c>
      <c r="S327" s="6" t="s">
        <v>189</v>
      </c>
      <c r="T327" s="6" t="s">
        <v>115</v>
      </c>
      <c r="U327" s="6" t="s">
        <v>53</v>
      </c>
    </row>
    <row r="328" spans="1:21" x14ac:dyDescent="0.2">
      <c r="A328" s="6" t="s">
        <v>946</v>
      </c>
      <c r="B328" s="6" t="s">
        <v>949</v>
      </c>
      <c r="C328" s="6" t="s">
        <v>57</v>
      </c>
      <c r="D328" s="6" t="s">
        <v>54</v>
      </c>
      <c r="E328" s="6" t="s">
        <v>366</v>
      </c>
      <c r="F328" s="6" t="s">
        <v>2960</v>
      </c>
      <c r="G328" s="6" t="s">
        <v>2961</v>
      </c>
      <c r="H328" s="6" t="s">
        <v>2962</v>
      </c>
      <c r="I328" s="6" t="s">
        <v>55</v>
      </c>
      <c r="J328" s="6" t="s">
        <v>56</v>
      </c>
      <c r="K328" s="5" t="s">
        <v>5443</v>
      </c>
      <c r="L328" s="6" t="s">
        <v>52</v>
      </c>
      <c r="M328" s="6" t="s">
        <v>173</v>
      </c>
      <c r="N328" s="6" t="s">
        <v>366</v>
      </c>
      <c r="O328" s="17">
        <v>42501</v>
      </c>
      <c r="P328" s="5">
        <v>1</v>
      </c>
      <c r="Q328" s="17">
        <v>46153</v>
      </c>
      <c r="R328" s="6" t="s">
        <v>225</v>
      </c>
      <c r="S328" s="6" t="s">
        <v>1645</v>
      </c>
      <c r="T328" s="6" t="s">
        <v>115</v>
      </c>
      <c r="U328" s="6" t="s">
        <v>53</v>
      </c>
    </row>
    <row r="329" spans="1:21" x14ac:dyDescent="0.2">
      <c r="A329" s="6" t="s">
        <v>1525</v>
      </c>
      <c r="B329" s="6" t="s">
        <v>1528</v>
      </c>
      <c r="C329" s="6" t="s">
        <v>57</v>
      </c>
      <c r="D329" s="6" t="s">
        <v>54</v>
      </c>
      <c r="E329" s="6" t="s">
        <v>184</v>
      </c>
      <c r="F329" s="6" t="s">
        <v>3013</v>
      </c>
      <c r="G329" s="6" t="s">
        <v>3014</v>
      </c>
      <c r="H329" s="6" t="s">
        <v>3015</v>
      </c>
      <c r="I329" s="6" t="s">
        <v>420</v>
      </c>
      <c r="J329" s="6" t="s">
        <v>56</v>
      </c>
      <c r="K329" s="5" t="s">
        <v>5444</v>
      </c>
      <c r="L329" s="6" t="s">
        <v>52</v>
      </c>
      <c r="M329" s="6" t="s">
        <v>1770</v>
      </c>
      <c r="N329" s="6" t="s">
        <v>184</v>
      </c>
      <c r="O329" s="17">
        <v>42507</v>
      </c>
      <c r="P329" s="5" t="s">
        <v>5225</v>
      </c>
      <c r="Q329" s="17">
        <v>46160</v>
      </c>
      <c r="R329" s="6" t="s">
        <v>173</v>
      </c>
      <c r="S329" s="6" t="s">
        <v>619</v>
      </c>
      <c r="T329" s="6" t="s">
        <v>115</v>
      </c>
      <c r="U329" s="6" t="s">
        <v>53</v>
      </c>
    </row>
    <row r="330" spans="1:21" x14ac:dyDescent="0.2">
      <c r="A330" s="6" t="s">
        <v>613</v>
      </c>
      <c r="B330" s="6" t="s">
        <v>616</v>
      </c>
      <c r="C330" s="6" t="s">
        <v>57</v>
      </c>
      <c r="D330" s="6" t="s">
        <v>54</v>
      </c>
      <c r="E330" s="6" t="s">
        <v>199</v>
      </c>
      <c r="F330" s="6" t="s">
        <v>2516</v>
      </c>
      <c r="G330" s="6" t="s">
        <v>2517</v>
      </c>
      <c r="H330" s="6" t="s">
        <v>2518</v>
      </c>
      <c r="I330" s="6" t="s">
        <v>117</v>
      </c>
      <c r="J330" s="6" t="s">
        <v>56</v>
      </c>
      <c r="K330" s="5" t="s">
        <v>5445</v>
      </c>
      <c r="L330" s="6" t="s">
        <v>52</v>
      </c>
      <c r="M330" s="6" t="s">
        <v>1770</v>
      </c>
      <c r="N330" s="6" t="s">
        <v>199</v>
      </c>
      <c r="O330" s="17">
        <v>42507</v>
      </c>
      <c r="P330" s="5" t="s">
        <v>5246</v>
      </c>
      <c r="Q330" s="17">
        <v>44698</v>
      </c>
      <c r="R330" s="6" t="s">
        <v>225</v>
      </c>
      <c r="S330" s="6" t="s">
        <v>619</v>
      </c>
      <c r="T330" s="6" t="s">
        <v>49</v>
      </c>
      <c r="U330" s="6" t="s">
        <v>53</v>
      </c>
    </row>
    <row r="331" spans="1:21" x14ac:dyDescent="0.2">
      <c r="A331" s="6" t="s">
        <v>613</v>
      </c>
      <c r="B331" s="6" t="s">
        <v>616</v>
      </c>
      <c r="C331" s="6" t="s">
        <v>57</v>
      </c>
      <c r="D331" s="62">
        <v>1743</v>
      </c>
      <c r="E331" s="6" t="s">
        <v>199</v>
      </c>
      <c r="F331" s="6" t="s">
        <v>2520</v>
      </c>
      <c r="G331" s="6" t="s">
        <v>2521</v>
      </c>
      <c r="H331" s="6" t="s">
        <v>2522</v>
      </c>
      <c r="I331" s="6" t="s">
        <v>117</v>
      </c>
      <c r="J331" s="6" t="s">
        <v>56</v>
      </c>
      <c r="K331" s="5" t="s">
        <v>5446</v>
      </c>
      <c r="L331" s="6" t="s">
        <v>52</v>
      </c>
      <c r="M331" s="6" t="s">
        <v>1770</v>
      </c>
      <c r="N331" s="6" t="s">
        <v>199</v>
      </c>
      <c r="O331" s="17">
        <v>42507</v>
      </c>
      <c r="P331" s="62">
        <v>1625</v>
      </c>
      <c r="Q331" s="17">
        <v>46890</v>
      </c>
      <c r="R331" s="6" t="s">
        <v>225</v>
      </c>
      <c r="S331" s="6" t="s">
        <v>619</v>
      </c>
      <c r="T331" s="6" t="s">
        <v>49</v>
      </c>
      <c r="U331" s="6" t="s">
        <v>53</v>
      </c>
    </row>
    <row r="332" spans="1:21" x14ac:dyDescent="0.2">
      <c r="A332" s="6" t="s">
        <v>641</v>
      </c>
      <c r="B332" s="6" t="s">
        <v>644</v>
      </c>
      <c r="C332" s="6" t="s">
        <v>57</v>
      </c>
      <c r="D332" s="6" t="s">
        <v>54</v>
      </c>
      <c r="E332" s="6" t="s">
        <v>199</v>
      </c>
      <c r="F332" s="6" t="s">
        <v>2437</v>
      </c>
      <c r="G332" s="6" t="s">
        <v>2438</v>
      </c>
      <c r="H332" s="6" t="s">
        <v>2439</v>
      </c>
      <c r="I332" s="6" t="s">
        <v>55</v>
      </c>
      <c r="J332" s="6" t="s">
        <v>56</v>
      </c>
      <c r="K332" s="5" t="s">
        <v>5447</v>
      </c>
      <c r="L332" s="6" t="s">
        <v>52</v>
      </c>
      <c r="M332" s="6" t="s">
        <v>1770</v>
      </c>
      <c r="N332" s="6" t="s">
        <v>366</v>
      </c>
      <c r="O332" s="17">
        <v>42522</v>
      </c>
      <c r="P332" s="62">
        <v>1375</v>
      </c>
      <c r="Q332" s="17">
        <v>46174</v>
      </c>
      <c r="R332" s="6" t="s">
        <v>173</v>
      </c>
      <c r="S332" s="6" t="s">
        <v>619</v>
      </c>
      <c r="T332" s="6" t="s">
        <v>49</v>
      </c>
      <c r="U332" s="6" t="s">
        <v>53</v>
      </c>
    </row>
    <row r="333" spans="1:21" x14ac:dyDescent="0.2">
      <c r="A333" s="6" t="s">
        <v>1559</v>
      </c>
      <c r="B333" s="6" t="s">
        <v>1562</v>
      </c>
      <c r="C333" s="6" t="s">
        <v>57</v>
      </c>
      <c r="D333" s="6" t="s">
        <v>54</v>
      </c>
      <c r="E333" s="6" t="s">
        <v>257</v>
      </c>
      <c r="F333" s="6" t="s">
        <v>2771</v>
      </c>
      <c r="G333" s="6" t="s">
        <v>2772</v>
      </c>
      <c r="H333" s="6" t="s">
        <v>2773</v>
      </c>
      <c r="I333" s="6" t="s">
        <v>55</v>
      </c>
      <c r="J333" s="6" t="s">
        <v>56</v>
      </c>
      <c r="K333" s="63">
        <v>1000000000</v>
      </c>
      <c r="L333" s="6" t="s">
        <v>52</v>
      </c>
      <c r="M333" s="6" t="s">
        <v>1775</v>
      </c>
      <c r="N333" s="6" t="s">
        <v>366</v>
      </c>
      <c r="O333" s="17">
        <v>42515</v>
      </c>
      <c r="P333" s="5" t="s">
        <v>5249</v>
      </c>
      <c r="Q333" s="17">
        <v>45071</v>
      </c>
      <c r="R333" s="6" t="s">
        <v>173</v>
      </c>
      <c r="S333" s="6" t="s">
        <v>174</v>
      </c>
      <c r="T333" s="6" t="s">
        <v>49</v>
      </c>
      <c r="U333" s="6" t="s">
        <v>53</v>
      </c>
    </row>
    <row r="334" spans="1:21" x14ac:dyDescent="0.2">
      <c r="A334" s="6" t="s">
        <v>165</v>
      </c>
      <c r="B334" s="6" t="s">
        <v>168</v>
      </c>
      <c r="C334" s="6" t="s">
        <v>57</v>
      </c>
      <c r="D334" s="6" t="s">
        <v>54</v>
      </c>
      <c r="E334" s="6" t="s">
        <v>170</v>
      </c>
      <c r="F334" s="6" t="s">
        <v>2670</v>
      </c>
      <c r="G334" s="6" t="s">
        <v>2671</v>
      </c>
      <c r="H334" s="6" t="s">
        <v>2672</v>
      </c>
      <c r="I334" s="6" t="s">
        <v>55</v>
      </c>
      <c r="J334" s="6" t="s">
        <v>56</v>
      </c>
      <c r="K334" s="5" t="s">
        <v>5448</v>
      </c>
      <c r="L334" s="6" t="s">
        <v>52</v>
      </c>
      <c r="M334" s="6" t="s">
        <v>1770</v>
      </c>
      <c r="N334" s="6" t="s">
        <v>169</v>
      </c>
      <c r="O334" s="17">
        <v>42516</v>
      </c>
      <c r="P334" s="62">
        <v>1375</v>
      </c>
      <c r="Q334" s="17">
        <v>45072</v>
      </c>
      <c r="R334" s="6" t="s">
        <v>225</v>
      </c>
      <c r="S334" s="6" t="s">
        <v>174</v>
      </c>
      <c r="T334" s="6" t="s">
        <v>115</v>
      </c>
      <c r="U334" s="6" t="s">
        <v>53</v>
      </c>
    </row>
    <row r="335" spans="1:21" x14ac:dyDescent="0.2">
      <c r="A335" s="6" t="s">
        <v>165</v>
      </c>
      <c r="B335" s="6" t="s">
        <v>168</v>
      </c>
      <c r="C335" s="6" t="s">
        <v>57</v>
      </c>
      <c r="D335" s="6" t="s">
        <v>54</v>
      </c>
      <c r="E335" s="6" t="s">
        <v>170</v>
      </c>
      <c r="F335" s="6" t="s">
        <v>2674</v>
      </c>
      <c r="G335" s="6" t="s">
        <v>2675</v>
      </c>
      <c r="H335" s="6" t="s">
        <v>2676</v>
      </c>
      <c r="I335" s="6" t="s">
        <v>55</v>
      </c>
      <c r="J335" s="6" t="s">
        <v>56</v>
      </c>
      <c r="K335" s="5" t="s">
        <v>5448</v>
      </c>
      <c r="L335" s="6" t="s">
        <v>52</v>
      </c>
      <c r="M335" s="6" t="s">
        <v>1770</v>
      </c>
      <c r="N335" s="6" t="s">
        <v>169</v>
      </c>
      <c r="O335" s="17">
        <v>42516</v>
      </c>
      <c r="P335" s="5" t="s">
        <v>5449</v>
      </c>
      <c r="Q335" s="17">
        <v>46899</v>
      </c>
      <c r="R335" s="6" t="s">
        <v>225</v>
      </c>
      <c r="S335" s="6" t="s">
        <v>174</v>
      </c>
      <c r="T335" s="6" t="s">
        <v>115</v>
      </c>
      <c r="U335" s="6" t="s">
        <v>53</v>
      </c>
    </row>
    <row r="336" spans="1:21" x14ac:dyDescent="0.2">
      <c r="A336" s="6" t="s">
        <v>1525</v>
      </c>
      <c r="B336" s="6" t="s">
        <v>1528</v>
      </c>
      <c r="C336" s="6" t="s">
        <v>71</v>
      </c>
      <c r="D336" s="62">
        <v>3316</v>
      </c>
      <c r="E336" s="6" t="s">
        <v>184</v>
      </c>
      <c r="F336" s="6" t="s">
        <v>3017</v>
      </c>
      <c r="G336" s="6" t="s">
        <v>3018</v>
      </c>
      <c r="H336" s="6" t="s">
        <v>3019</v>
      </c>
      <c r="I336" s="6" t="s">
        <v>420</v>
      </c>
      <c r="J336" s="6" t="s">
        <v>56</v>
      </c>
      <c r="K336" s="63">
        <v>600000000</v>
      </c>
      <c r="L336" s="6" t="s">
        <v>52</v>
      </c>
      <c r="M336" s="6" t="s">
        <v>1770</v>
      </c>
      <c r="N336" s="6" t="s">
        <v>184</v>
      </c>
      <c r="O336" s="17">
        <v>42529</v>
      </c>
      <c r="P336" s="5" t="s">
        <v>5255</v>
      </c>
      <c r="Q336" s="17">
        <v>46181</v>
      </c>
      <c r="R336" s="6" t="s">
        <v>261</v>
      </c>
      <c r="S336" s="6" t="s">
        <v>619</v>
      </c>
      <c r="T336" s="6" t="s">
        <v>115</v>
      </c>
      <c r="U336" s="6" t="s">
        <v>262</v>
      </c>
    </row>
    <row r="337" spans="1:21" x14ac:dyDescent="0.2">
      <c r="A337" s="6" t="s">
        <v>1525</v>
      </c>
      <c r="B337" s="6" t="s">
        <v>1528</v>
      </c>
      <c r="C337" s="6" t="s">
        <v>71</v>
      </c>
      <c r="D337" s="62">
        <v>3316</v>
      </c>
      <c r="E337" s="6" t="s">
        <v>184</v>
      </c>
      <c r="F337" s="6" t="s">
        <v>3021</v>
      </c>
      <c r="G337" s="6" t="s">
        <v>3022</v>
      </c>
      <c r="H337" s="6" t="s">
        <v>3023</v>
      </c>
      <c r="I337" s="6" t="s">
        <v>420</v>
      </c>
      <c r="J337" s="6" t="s">
        <v>56</v>
      </c>
      <c r="K337" s="63">
        <v>600000000</v>
      </c>
      <c r="L337" s="6" t="s">
        <v>52</v>
      </c>
      <c r="M337" s="6" t="s">
        <v>1770</v>
      </c>
      <c r="N337" s="6" t="s">
        <v>184</v>
      </c>
      <c r="O337" s="17">
        <v>42529</v>
      </c>
      <c r="P337" s="5" t="s">
        <v>5255</v>
      </c>
      <c r="Q337" s="17">
        <v>46181</v>
      </c>
      <c r="R337" s="6" t="s">
        <v>270</v>
      </c>
      <c r="S337" s="6" t="s">
        <v>619</v>
      </c>
      <c r="T337" s="6" t="s">
        <v>115</v>
      </c>
      <c r="U337" s="6" t="s">
        <v>262</v>
      </c>
    </row>
    <row r="338" spans="1:21" x14ac:dyDescent="0.2">
      <c r="A338" s="6" t="s">
        <v>1058</v>
      </c>
      <c r="B338" s="6" t="s">
        <v>1045</v>
      </c>
      <c r="C338" s="6" t="s">
        <v>71</v>
      </c>
      <c r="D338" s="62">
        <v>2853</v>
      </c>
      <c r="E338" s="6" t="s">
        <v>1046</v>
      </c>
      <c r="F338" s="6" t="s">
        <v>3386</v>
      </c>
      <c r="G338" s="6" t="s">
        <v>3387</v>
      </c>
      <c r="H338" s="6" t="s">
        <v>3388</v>
      </c>
      <c r="I338" s="6" t="s">
        <v>55</v>
      </c>
      <c r="J338" s="6" t="s">
        <v>56</v>
      </c>
      <c r="K338" s="63">
        <v>3000000000</v>
      </c>
      <c r="L338" s="6" t="s">
        <v>52</v>
      </c>
      <c r="M338" s="6" t="s">
        <v>2894</v>
      </c>
      <c r="N338" s="6" t="s">
        <v>366</v>
      </c>
      <c r="O338" s="17">
        <v>42572</v>
      </c>
      <c r="P338" s="5" t="s">
        <v>5450</v>
      </c>
      <c r="Q338" s="17">
        <v>45128</v>
      </c>
      <c r="R338" s="6" t="s">
        <v>173</v>
      </c>
      <c r="S338" s="6" t="s">
        <v>296</v>
      </c>
      <c r="T338" s="6" t="s">
        <v>49</v>
      </c>
      <c r="U338" s="6" t="s">
        <v>262</v>
      </c>
    </row>
    <row r="339" spans="1:21" x14ac:dyDescent="0.2">
      <c r="A339" s="6" t="s">
        <v>1058</v>
      </c>
      <c r="B339" s="6" t="s">
        <v>1045</v>
      </c>
      <c r="C339" s="6" t="s">
        <v>71</v>
      </c>
      <c r="D339" s="5" t="s">
        <v>5451</v>
      </c>
      <c r="E339" s="6" t="s">
        <v>1046</v>
      </c>
      <c r="F339" s="6" t="s">
        <v>3390</v>
      </c>
      <c r="G339" s="6" t="s">
        <v>3391</v>
      </c>
      <c r="H339" s="6" t="s">
        <v>3392</v>
      </c>
      <c r="I339" s="6" t="s">
        <v>55</v>
      </c>
      <c r="J339" s="6" t="s">
        <v>56</v>
      </c>
      <c r="K339" s="5" t="s">
        <v>5452</v>
      </c>
      <c r="L339" s="6" t="s">
        <v>52</v>
      </c>
      <c r="M339" s="6" t="s">
        <v>2894</v>
      </c>
      <c r="N339" s="6" t="s">
        <v>366</v>
      </c>
      <c r="O339" s="17">
        <v>42572</v>
      </c>
      <c r="P339" s="5" t="s">
        <v>5453</v>
      </c>
      <c r="Q339" s="17">
        <v>46296</v>
      </c>
      <c r="R339" s="6" t="s">
        <v>173</v>
      </c>
      <c r="S339" s="6" t="s">
        <v>296</v>
      </c>
      <c r="T339" s="6" t="s">
        <v>49</v>
      </c>
      <c r="U339" s="6" t="s">
        <v>262</v>
      </c>
    </row>
    <row r="340" spans="1:21" x14ac:dyDescent="0.2">
      <c r="A340" s="6" t="s">
        <v>1058</v>
      </c>
      <c r="B340" s="6" t="s">
        <v>1045</v>
      </c>
      <c r="C340" s="6" t="s">
        <v>71</v>
      </c>
      <c r="D340" s="62">
        <v>4148</v>
      </c>
      <c r="E340" s="6" t="s">
        <v>1046</v>
      </c>
      <c r="F340" s="6" t="s">
        <v>3394</v>
      </c>
      <c r="G340" s="6" t="s">
        <v>3395</v>
      </c>
      <c r="H340" s="6" t="s">
        <v>3396</v>
      </c>
      <c r="I340" s="6" t="s">
        <v>55</v>
      </c>
      <c r="J340" s="6" t="s">
        <v>56</v>
      </c>
      <c r="K340" s="63">
        <v>2000000000</v>
      </c>
      <c r="L340" s="6" t="s">
        <v>52</v>
      </c>
      <c r="M340" s="6" t="s">
        <v>2894</v>
      </c>
      <c r="N340" s="6" t="s">
        <v>366</v>
      </c>
      <c r="O340" s="17">
        <v>42572</v>
      </c>
      <c r="P340" s="5" t="s">
        <v>5454</v>
      </c>
      <c r="Q340" s="17">
        <v>53601</v>
      </c>
      <c r="R340" s="6" t="s">
        <v>173</v>
      </c>
      <c r="S340" s="6" t="s">
        <v>296</v>
      </c>
      <c r="T340" s="6" t="s">
        <v>49</v>
      </c>
      <c r="U340" s="6" t="s">
        <v>262</v>
      </c>
    </row>
    <row r="341" spans="1:21" x14ac:dyDescent="0.2">
      <c r="A341" s="6" t="s">
        <v>1042</v>
      </c>
      <c r="B341" s="6" t="s">
        <v>1045</v>
      </c>
      <c r="C341" s="6" t="s">
        <v>57</v>
      </c>
      <c r="D341" s="6" t="s">
        <v>54</v>
      </c>
      <c r="E341" s="6" t="s">
        <v>1046</v>
      </c>
      <c r="F341" s="6" t="s">
        <v>3350</v>
      </c>
      <c r="G341" s="6" t="s">
        <v>3351</v>
      </c>
      <c r="H341" s="6" t="s">
        <v>3352</v>
      </c>
      <c r="I341" s="6" t="s">
        <v>55</v>
      </c>
      <c r="J341" s="6" t="s">
        <v>56</v>
      </c>
      <c r="K341" s="5" t="s">
        <v>5455</v>
      </c>
      <c r="L341" s="6" t="s">
        <v>52</v>
      </c>
      <c r="M341" s="6" t="s">
        <v>2894</v>
      </c>
      <c r="N341" s="6" t="s">
        <v>366</v>
      </c>
      <c r="O341" s="17">
        <v>42576</v>
      </c>
      <c r="P341" s="62">
        <v>1125</v>
      </c>
      <c r="Q341" s="17">
        <v>45580</v>
      </c>
      <c r="R341" s="6" t="s">
        <v>173</v>
      </c>
      <c r="S341" s="6" t="s">
        <v>296</v>
      </c>
      <c r="T341" s="6" t="s">
        <v>49</v>
      </c>
      <c r="U341" s="6" t="s">
        <v>53</v>
      </c>
    </row>
    <row r="342" spans="1:21" x14ac:dyDescent="0.2">
      <c r="A342" s="6" t="s">
        <v>1042</v>
      </c>
      <c r="B342" s="6" t="s">
        <v>1045</v>
      </c>
      <c r="C342" s="6" t="s">
        <v>57</v>
      </c>
      <c r="D342" s="6" t="s">
        <v>54</v>
      </c>
      <c r="E342" s="6" t="s">
        <v>1046</v>
      </c>
      <c r="F342" s="6" t="s">
        <v>3354</v>
      </c>
      <c r="G342" s="6" t="s">
        <v>3355</v>
      </c>
      <c r="H342" s="6" t="s">
        <v>3356</v>
      </c>
      <c r="I342" s="6" t="s">
        <v>55</v>
      </c>
      <c r="J342" s="6" t="s">
        <v>56</v>
      </c>
      <c r="K342" s="5" t="s">
        <v>5456</v>
      </c>
      <c r="L342" s="6" t="s">
        <v>52</v>
      </c>
      <c r="M342" s="6" t="s">
        <v>2894</v>
      </c>
      <c r="N342" s="6" t="s">
        <v>366</v>
      </c>
      <c r="O342" s="17">
        <v>42576</v>
      </c>
      <c r="P342" s="62">
        <v>1625</v>
      </c>
      <c r="Q342" s="17">
        <v>47041</v>
      </c>
      <c r="R342" s="6" t="s">
        <v>173</v>
      </c>
      <c r="S342" s="6" t="s">
        <v>296</v>
      </c>
      <c r="T342" s="6" t="s">
        <v>49</v>
      </c>
      <c r="U342" s="6" t="s">
        <v>53</v>
      </c>
    </row>
    <row r="343" spans="1:21" x14ac:dyDescent="0.2">
      <c r="A343" s="6" t="s">
        <v>1359</v>
      </c>
      <c r="B343" s="6" t="s">
        <v>1362</v>
      </c>
      <c r="C343" s="6" t="s">
        <v>57</v>
      </c>
      <c r="D343" s="6" t="s">
        <v>54</v>
      </c>
      <c r="E343" s="6" t="s">
        <v>199</v>
      </c>
      <c r="F343" s="6" t="s">
        <v>3253</v>
      </c>
      <c r="G343" s="6" t="s">
        <v>3254</v>
      </c>
      <c r="H343" s="6" t="s">
        <v>3255</v>
      </c>
      <c r="I343" s="6" t="s">
        <v>117</v>
      </c>
      <c r="J343" s="6" t="s">
        <v>56</v>
      </c>
      <c r="K343" s="5" t="s">
        <v>5314</v>
      </c>
      <c r="L343" s="6" t="s">
        <v>52</v>
      </c>
      <c r="M343" s="6" t="s">
        <v>1770</v>
      </c>
      <c r="N343" s="6" t="s">
        <v>199</v>
      </c>
      <c r="O343" s="17">
        <v>42327</v>
      </c>
      <c r="P343" s="62">
        <v>1375</v>
      </c>
      <c r="Q343" s="17">
        <v>45249</v>
      </c>
      <c r="R343" s="6" t="s">
        <v>225</v>
      </c>
      <c r="S343" s="6" t="s">
        <v>174</v>
      </c>
      <c r="T343" s="6" t="s">
        <v>49</v>
      </c>
      <c r="U343" s="6" t="s">
        <v>53</v>
      </c>
    </row>
    <row r="344" spans="1:21" x14ac:dyDescent="0.2">
      <c r="A344" s="6" t="s">
        <v>1121</v>
      </c>
      <c r="B344" s="6" t="s">
        <v>1124</v>
      </c>
      <c r="C344" s="6" t="s">
        <v>57</v>
      </c>
      <c r="D344" s="6" t="s">
        <v>54</v>
      </c>
      <c r="E344" s="6" t="s">
        <v>366</v>
      </c>
      <c r="F344" s="6" t="s">
        <v>2858</v>
      </c>
      <c r="G344" s="6" t="s">
        <v>2859</v>
      </c>
      <c r="H344" s="6" t="s">
        <v>2860</v>
      </c>
      <c r="I344" s="6" t="s">
        <v>133</v>
      </c>
      <c r="J344" s="6" t="s">
        <v>56</v>
      </c>
      <c r="K344" s="5" t="s">
        <v>5457</v>
      </c>
      <c r="L344" s="6" t="s">
        <v>52</v>
      </c>
      <c r="M344" s="6" t="s">
        <v>1770</v>
      </c>
      <c r="N344" s="6" t="s">
        <v>366</v>
      </c>
      <c r="O344" s="17">
        <v>42622</v>
      </c>
      <c r="P344" s="62">
        <v>625</v>
      </c>
      <c r="Q344" s="17">
        <v>45756</v>
      </c>
      <c r="R344" s="6" t="s">
        <v>1127</v>
      </c>
      <c r="S344" s="6" t="s">
        <v>496</v>
      </c>
      <c r="T344" s="6" t="s">
        <v>115</v>
      </c>
      <c r="U344" s="6" t="s">
        <v>53</v>
      </c>
    </row>
    <row r="345" spans="1:21" x14ac:dyDescent="0.2">
      <c r="A345" s="6" t="s">
        <v>1121</v>
      </c>
      <c r="B345" s="6" t="s">
        <v>1124</v>
      </c>
      <c r="C345" s="6" t="s">
        <v>57</v>
      </c>
      <c r="D345" s="6" t="s">
        <v>54</v>
      </c>
      <c r="E345" s="6" t="s">
        <v>366</v>
      </c>
      <c r="F345" s="6" t="s">
        <v>2862</v>
      </c>
      <c r="G345" s="6" t="s">
        <v>2863</v>
      </c>
      <c r="H345" s="6" t="s">
        <v>2864</v>
      </c>
      <c r="I345" s="6" t="s">
        <v>133</v>
      </c>
      <c r="J345" s="6" t="s">
        <v>56</v>
      </c>
      <c r="K345" s="5" t="s">
        <v>5457</v>
      </c>
      <c r="L345" s="6" t="s">
        <v>52</v>
      </c>
      <c r="M345" s="6" t="s">
        <v>1770</v>
      </c>
      <c r="N345" s="6" t="s">
        <v>366</v>
      </c>
      <c r="O345" s="17">
        <v>42622</v>
      </c>
      <c r="P345" s="62">
        <v>1125</v>
      </c>
      <c r="Q345" s="17">
        <v>47007</v>
      </c>
      <c r="R345" s="6" t="s">
        <v>1127</v>
      </c>
      <c r="S345" s="6" t="s">
        <v>496</v>
      </c>
      <c r="T345" s="6" t="s">
        <v>115</v>
      </c>
      <c r="U345" s="6" t="s">
        <v>53</v>
      </c>
    </row>
    <row r="346" spans="1:21" x14ac:dyDescent="0.2">
      <c r="A346" s="6" t="s">
        <v>180</v>
      </c>
      <c r="B346" s="6" t="s">
        <v>183</v>
      </c>
      <c r="C346" s="6" t="s">
        <v>57</v>
      </c>
      <c r="D346" s="6" t="s">
        <v>54</v>
      </c>
      <c r="E346" s="6" t="s">
        <v>185</v>
      </c>
      <c r="F346" s="6" t="s">
        <v>3188</v>
      </c>
      <c r="G346" s="6" t="s">
        <v>3189</v>
      </c>
      <c r="H346" s="6" t="s">
        <v>3190</v>
      </c>
      <c r="I346" s="6" t="s">
        <v>133</v>
      </c>
      <c r="J346" s="6" t="s">
        <v>56</v>
      </c>
      <c r="K346" s="5" t="s">
        <v>5458</v>
      </c>
      <c r="L346" s="6" t="s">
        <v>52</v>
      </c>
      <c r="M346" s="6" t="s">
        <v>1770</v>
      </c>
      <c r="N346" s="6" t="s">
        <v>184</v>
      </c>
      <c r="O346" s="17">
        <v>42622</v>
      </c>
      <c r="P346" s="5" t="s">
        <v>5290</v>
      </c>
      <c r="Q346" s="17">
        <v>45544</v>
      </c>
      <c r="R346" s="6" t="s">
        <v>225</v>
      </c>
      <c r="S346" s="6" t="s">
        <v>446</v>
      </c>
      <c r="T346" s="6" t="s">
        <v>115</v>
      </c>
      <c r="U346" s="6" t="s">
        <v>53</v>
      </c>
    </row>
    <row r="347" spans="1:21" x14ac:dyDescent="0.2">
      <c r="A347" s="6" t="s">
        <v>1132</v>
      </c>
      <c r="B347" s="6" t="s">
        <v>1135</v>
      </c>
      <c r="C347" s="6" t="s">
        <v>57</v>
      </c>
      <c r="D347" s="62">
        <v>946</v>
      </c>
      <c r="E347" s="6" t="s">
        <v>45</v>
      </c>
      <c r="F347" s="6" t="s">
        <v>2605</v>
      </c>
      <c r="G347" s="6" t="s">
        <v>2606</v>
      </c>
      <c r="H347" s="6" t="s">
        <v>2607</v>
      </c>
      <c r="I347" s="6" t="s">
        <v>420</v>
      </c>
      <c r="J347" s="6" t="s">
        <v>56</v>
      </c>
      <c r="K347" s="5" t="s">
        <v>5459</v>
      </c>
      <c r="L347" s="6" t="s">
        <v>52</v>
      </c>
      <c r="M347" s="6" t="s">
        <v>2608</v>
      </c>
      <c r="N347" s="6" t="s">
        <v>45</v>
      </c>
      <c r="O347" s="17">
        <v>42626</v>
      </c>
      <c r="P347" s="62">
        <v>875</v>
      </c>
      <c r="Q347" s="17">
        <v>44817</v>
      </c>
      <c r="R347" s="6" t="s">
        <v>225</v>
      </c>
      <c r="S347" s="6" t="s">
        <v>117</v>
      </c>
      <c r="T347" s="6" t="s">
        <v>115</v>
      </c>
      <c r="U347" s="6" t="s">
        <v>1547</v>
      </c>
    </row>
    <row r="348" spans="1:21" x14ac:dyDescent="0.2">
      <c r="A348" s="6" t="s">
        <v>1518</v>
      </c>
      <c r="B348" s="6" t="s">
        <v>1521</v>
      </c>
      <c r="C348" s="6" t="s">
        <v>57</v>
      </c>
      <c r="D348" s="6" t="s">
        <v>54</v>
      </c>
      <c r="E348" s="6" t="s">
        <v>184</v>
      </c>
      <c r="F348" s="6" t="s">
        <v>3139</v>
      </c>
      <c r="G348" s="6" t="s">
        <v>3140</v>
      </c>
      <c r="H348" s="6" t="s">
        <v>3141</v>
      </c>
      <c r="I348" s="6" t="s">
        <v>117</v>
      </c>
      <c r="J348" s="6" t="s">
        <v>56</v>
      </c>
      <c r="K348" s="5" t="s">
        <v>5460</v>
      </c>
      <c r="L348" s="6" t="s">
        <v>52</v>
      </c>
      <c r="M348" s="6" t="s">
        <v>1770</v>
      </c>
      <c r="N348" s="6" t="s">
        <v>184</v>
      </c>
      <c r="O348" s="17">
        <v>42626</v>
      </c>
      <c r="P348" s="5">
        <v>0</v>
      </c>
      <c r="Q348" s="17">
        <v>44817</v>
      </c>
      <c r="R348" s="6" t="s">
        <v>225</v>
      </c>
      <c r="S348" s="6" t="s">
        <v>483</v>
      </c>
      <c r="T348" s="6" t="s">
        <v>115</v>
      </c>
      <c r="U348" s="6" t="s">
        <v>53</v>
      </c>
    </row>
    <row r="349" spans="1:21" x14ac:dyDescent="0.2">
      <c r="A349" s="6" t="s">
        <v>1518</v>
      </c>
      <c r="B349" s="6" t="s">
        <v>1521</v>
      </c>
      <c r="C349" s="6" t="s">
        <v>57</v>
      </c>
      <c r="D349" s="6" t="s">
        <v>54</v>
      </c>
      <c r="E349" s="6" t="s">
        <v>184</v>
      </c>
      <c r="F349" s="6" t="s">
        <v>3143</v>
      </c>
      <c r="G349" s="6" t="s">
        <v>3144</v>
      </c>
      <c r="H349" s="6" t="s">
        <v>3145</v>
      </c>
      <c r="I349" s="6" t="s">
        <v>117</v>
      </c>
      <c r="J349" s="6" t="s">
        <v>56</v>
      </c>
      <c r="K349" s="5" t="s">
        <v>5448</v>
      </c>
      <c r="L349" s="6" t="s">
        <v>52</v>
      </c>
      <c r="M349" s="6" t="s">
        <v>1770</v>
      </c>
      <c r="N349" s="6" t="s">
        <v>184</v>
      </c>
      <c r="O349" s="17">
        <v>42626</v>
      </c>
      <c r="P349" s="5" t="s">
        <v>5259</v>
      </c>
      <c r="Q349" s="17">
        <v>46400</v>
      </c>
      <c r="R349" s="6" t="s">
        <v>225</v>
      </c>
      <c r="S349" s="6" t="s">
        <v>483</v>
      </c>
      <c r="T349" s="6" t="s">
        <v>115</v>
      </c>
      <c r="U349" s="6" t="s">
        <v>53</v>
      </c>
    </row>
    <row r="350" spans="1:21" x14ac:dyDescent="0.2">
      <c r="A350" s="6" t="s">
        <v>1639</v>
      </c>
      <c r="B350" s="6" t="s">
        <v>1642</v>
      </c>
      <c r="C350" s="6" t="s">
        <v>57</v>
      </c>
      <c r="D350" s="6" t="s">
        <v>54</v>
      </c>
      <c r="E350" s="6" t="s">
        <v>170</v>
      </c>
      <c r="F350" s="6" t="s">
        <v>2988</v>
      </c>
      <c r="G350" s="6" t="s">
        <v>2989</v>
      </c>
      <c r="H350" s="6" t="s">
        <v>2990</v>
      </c>
      <c r="I350" s="6" t="s">
        <v>55</v>
      </c>
      <c r="J350" s="6" t="s">
        <v>56</v>
      </c>
      <c r="K350" s="5" t="s">
        <v>5447</v>
      </c>
      <c r="L350" s="6" t="s">
        <v>52</v>
      </c>
      <c r="M350" s="6" t="s">
        <v>173</v>
      </c>
      <c r="N350" s="6" t="s">
        <v>169</v>
      </c>
      <c r="O350" s="17">
        <v>42633</v>
      </c>
      <c r="P350" s="62">
        <v>125</v>
      </c>
      <c r="Q350" s="17">
        <v>45189</v>
      </c>
      <c r="R350" s="6" t="s">
        <v>173</v>
      </c>
      <c r="S350" s="6" t="s">
        <v>1645</v>
      </c>
      <c r="T350" s="6" t="s">
        <v>49</v>
      </c>
      <c r="U350" s="6" t="s">
        <v>53</v>
      </c>
    </row>
    <row r="351" spans="1:21" x14ac:dyDescent="0.2">
      <c r="A351" s="6" t="s">
        <v>1639</v>
      </c>
      <c r="B351" s="6" t="s">
        <v>1642</v>
      </c>
      <c r="C351" s="6" t="s">
        <v>57</v>
      </c>
      <c r="D351" s="6" t="s">
        <v>54</v>
      </c>
      <c r="E351" s="6" t="s">
        <v>170</v>
      </c>
      <c r="F351" s="6" t="s">
        <v>2992</v>
      </c>
      <c r="G351" s="6" t="s">
        <v>2993</v>
      </c>
      <c r="H351" s="6" t="s">
        <v>2994</v>
      </c>
      <c r="I351" s="6" t="s">
        <v>55</v>
      </c>
      <c r="J351" s="6" t="s">
        <v>56</v>
      </c>
      <c r="K351" s="5" t="s">
        <v>5392</v>
      </c>
      <c r="L351" s="6" t="s">
        <v>52</v>
      </c>
      <c r="M351" s="6" t="s">
        <v>173</v>
      </c>
      <c r="N351" s="6" t="s">
        <v>169</v>
      </c>
      <c r="O351" s="17">
        <v>42633</v>
      </c>
      <c r="P351" s="62">
        <v>625</v>
      </c>
      <c r="Q351" s="17">
        <v>47016</v>
      </c>
      <c r="R351" s="6" t="s">
        <v>173</v>
      </c>
      <c r="S351" s="6" t="s">
        <v>1645</v>
      </c>
      <c r="T351" s="6" t="s">
        <v>49</v>
      </c>
      <c r="U351" s="6" t="s">
        <v>53</v>
      </c>
    </row>
    <row r="352" spans="1:21" x14ac:dyDescent="0.2">
      <c r="A352" s="6" t="s">
        <v>613</v>
      </c>
      <c r="B352" s="6" t="s">
        <v>616</v>
      </c>
      <c r="C352" s="6" t="s">
        <v>57</v>
      </c>
      <c r="D352" s="6" t="s">
        <v>54</v>
      </c>
      <c r="E352" s="6" t="s">
        <v>199</v>
      </c>
      <c r="F352" s="6" t="s">
        <v>2524</v>
      </c>
      <c r="G352" s="6" t="s">
        <v>2525</v>
      </c>
      <c r="H352" s="6" t="s">
        <v>2526</v>
      </c>
      <c r="I352" s="6" t="s">
        <v>117</v>
      </c>
      <c r="J352" s="6" t="s">
        <v>56</v>
      </c>
      <c r="K352" s="5" t="s">
        <v>5461</v>
      </c>
      <c r="L352" s="6" t="s">
        <v>52</v>
      </c>
      <c r="M352" s="6" t="s">
        <v>1770</v>
      </c>
      <c r="N352" s="6" t="s">
        <v>199</v>
      </c>
      <c r="O352" s="17">
        <v>42632</v>
      </c>
      <c r="P352" s="62">
        <v>625</v>
      </c>
      <c r="Q352" s="17">
        <v>45554</v>
      </c>
      <c r="R352" s="6" t="s">
        <v>225</v>
      </c>
      <c r="S352" s="6" t="s">
        <v>619</v>
      </c>
      <c r="T352" s="6" t="s">
        <v>49</v>
      </c>
      <c r="U352" s="6" t="s">
        <v>53</v>
      </c>
    </row>
    <row r="353" spans="1:21" x14ac:dyDescent="0.2">
      <c r="A353" s="6" t="s">
        <v>613</v>
      </c>
      <c r="B353" s="6" t="s">
        <v>616</v>
      </c>
      <c r="C353" s="6" t="s">
        <v>57</v>
      </c>
      <c r="D353" s="6" t="s">
        <v>54</v>
      </c>
      <c r="E353" s="6" t="s">
        <v>199</v>
      </c>
      <c r="F353" s="6" t="s">
        <v>2528</v>
      </c>
      <c r="G353" s="6" t="s">
        <v>2529</v>
      </c>
      <c r="H353" s="6" t="s">
        <v>2530</v>
      </c>
      <c r="I353" s="6" t="s">
        <v>117</v>
      </c>
      <c r="J353" s="6" t="s">
        <v>56</v>
      </c>
      <c r="K353" s="5" t="s">
        <v>5462</v>
      </c>
      <c r="L353" s="6" t="s">
        <v>52</v>
      </c>
      <c r="M353" s="6" t="s">
        <v>1770</v>
      </c>
      <c r="N353" s="6" t="s">
        <v>199</v>
      </c>
      <c r="O353" s="17">
        <v>42632</v>
      </c>
      <c r="P353" s="62">
        <v>1125</v>
      </c>
      <c r="Q353" s="17">
        <v>47015</v>
      </c>
      <c r="R353" s="6" t="s">
        <v>225</v>
      </c>
      <c r="S353" s="6" t="s">
        <v>619</v>
      </c>
      <c r="T353" s="6" t="s">
        <v>49</v>
      </c>
      <c r="U353" s="6" t="s">
        <v>53</v>
      </c>
    </row>
    <row r="354" spans="1:21" x14ac:dyDescent="0.2">
      <c r="A354" s="6" t="s">
        <v>979</v>
      </c>
      <c r="B354" s="6" t="s">
        <v>982</v>
      </c>
      <c r="C354" s="6" t="s">
        <v>57</v>
      </c>
      <c r="D354" s="6" t="s">
        <v>54</v>
      </c>
      <c r="E354" s="6" t="s">
        <v>199</v>
      </c>
      <c r="F354" s="6" t="s">
        <v>2630</v>
      </c>
      <c r="G354" s="6" t="s">
        <v>2631</v>
      </c>
      <c r="H354" s="6" t="s">
        <v>2632</v>
      </c>
      <c r="I354" s="6" t="s">
        <v>55</v>
      </c>
      <c r="J354" s="6" t="s">
        <v>56</v>
      </c>
      <c r="K354" s="5" t="s">
        <v>5463</v>
      </c>
      <c r="L354" s="6" t="s">
        <v>52</v>
      </c>
      <c r="M354" s="6" t="s">
        <v>1775</v>
      </c>
      <c r="N354" s="6" t="s">
        <v>199</v>
      </c>
      <c r="O354" s="17">
        <v>42657</v>
      </c>
      <c r="P354" s="62">
        <v>875</v>
      </c>
      <c r="Q354" s="17">
        <v>46309</v>
      </c>
      <c r="R354" s="6" t="s">
        <v>225</v>
      </c>
      <c r="S354" s="6" t="s">
        <v>174</v>
      </c>
      <c r="T354" s="6" t="s">
        <v>49</v>
      </c>
      <c r="U354" s="6" t="s">
        <v>53</v>
      </c>
    </row>
    <row r="355" spans="1:21" x14ac:dyDescent="0.2">
      <c r="A355" s="6" t="s">
        <v>1216</v>
      </c>
      <c r="B355" s="6" t="s">
        <v>1219</v>
      </c>
      <c r="C355" s="6" t="s">
        <v>57</v>
      </c>
      <c r="D355" s="6" t="s">
        <v>54</v>
      </c>
      <c r="E355" s="6" t="s">
        <v>45</v>
      </c>
      <c r="F355" s="6" t="s">
        <v>2887</v>
      </c>
      <c r="G355" s="6" t="s">
        <v>2888</v>
      </c>
      <c r="H355" s="6" t="s">
        <v>2889</v>
      </c>
      <c r="I355" s="6" t="s">
        <v>420</v>
      </c>
      <c r="J355" s="6" t="s">
        <v>56</v>
      </c>
      <c r="K355" s="5" t="s">
        <v>5392</v>
      </c>
      <c r="L355" s="6" t="s">
        <v>52</v>
      </c>
      <c r="M355" s="6" t="s">
        <v>1770</v>
      </c>
      <c r="N355" s="6" t="s">
        <v>45</v>
      </c>
      <c r="O355" s="17">
        <v>42650</v>
      </c>
      <c r="P355" s="5">
        <v>1</v>
      </c>
      <c r="Q355" s="17">
        <v>46302</v>
      </c>
      <c r="R355" s="6" t="s">
        <v>225</v>
      </c>
      <c r="S355" s="6" t="s">
        <v>174</v>
      </c>
      <c r="T355" s="6" t="s">
        <v>115</v>
      </c>
      <c r="U355" s="6" t="s">
        <v>53</v>
      </c>
    </row>
    <row r="356" spans="1:21" x14ac:dyDescent="0.2">
      <c r="A356" s="6" t="s">
        <v>1066</v>
      </c>
      <c r="B356" s="6" t="s">
        <v>1069</v>
      </c>
      <c r="C356" s="6" t="s">
        <v>57</v>
      </c>
      <c r="D356" s="6" t="s">
        <v>54</v>
      </c>
      <c r="E356" s="6" t="s">
        <v>184</v>
      </c>
      <c r="F356" s="6" t="s">
        <v>1849</v>
      </c>
      <c r="G356" s="6" t="s">
        <v>1850</v>
      </c>
      <c r="H356" s="6" t="s">
        <v>1851</v>
      </c>
      <c r="I356" s="6" t="s">
        <v>55</v>
      </c>
      <c r="J356" s="6" t="s">
        <v>56</v>
      </c>
      <c r="K356" s="5" t="s">
        <v>5464</v>
      </c>
      <c r="L356" s="6" t="s">
        <v>52</v>
      </c>
      <c r="M356" s="6" t="s">
        <v>1770</v>
      </c>
      <c r="N356" s="6" t="s">
        <v>184</v>
      </c>
      <c r="O356" s="17">
        <v>42649</v>
      </c>
      <c r="P356" s="62">
        <v>1444</v>
      </c>
      <c r="Q356" s="17">
        <v>45205</v>
      </c>
      <c r="R356" s="6" t="s">
        <v>173</v>
      </c>
      <c r="S356" s="6" t="s">
        <v>54</v>
      </c>
      <c r="T356" s="6" t="s">
        <v>115</v>
      </c>
      <c r="U356" s="6" t="s">
        <v>53</v>
      </c>
    </row>
    <row r="357" spans="1:21" x14ac:dyDescent="0.2">
      <c r="A357" s="6" t="s">
        <v>1359</v>
      </c>
      <c r="B357" s="6" t="s">
        <v>1362</v>
      </c>
      <c r="C357" s="6" t="s">
        <v>57</v>
      </c>
      <c r="D357" s="6" t="s">
        <v>54</v>
      </c>
      <c r="E357" s="6" t="s">
        <v>199</v>
      </c>
      <c r="F357" s="6" t="s">
        <v>3257</v>
      </c>
      <c r="G357" s="6" t="s">
        <v>3258</v>
      </c>
      <c r="H357" s="6" t="s">
        <v>3259</v>
      </c>
      <c r="I357" s="6" t="s">
        <v>117</v>
      </c>
      <c r="J357" s="6" t="s">
        <v>56</v>
      </c>
      <c r="K357" s="5" t="s">
        <v>5415</v>
      </c>
      <c r="L357" s="6" t="s">
        <v>52</v>
      </c>
      <c r="M357" s="6" t="s">
        <v>1770</v>
      </c>
      <c r="N357" s="6" t="s">
        <v>199</v>
      </c>
      <c r="O357" s="17">
        <v>42668</v>
      </c>
      <c r="P357" s="62">
        <v>875</v>
      </c>
      <c r="Q357" s="17">
        <v>46320</v>
      </c>
      <c r="R357" s="6" t="s">
        <v>225</v>
      </c>
      <c r="S357" s="6" t="s">
        <v>174</v>
      </c>
      <c r="T357" s="6" t="s">
        <v>49</v>
      </c>
      <c r="U357" s="6" t="s">
        <v>53</v>
      </c>
    </row>
    <row r="358" spans="1:21" x14ac:dyDescent="0.2">
      <c r="A358" s="6" t="s">
        <v>679</v>
      </c>
      <c r="B358" s="6" t="s">
        <v>682</v>
      </c>
      <c r="C358" s="6" t="s">
        <v>391</v>
      </c>
      <c r="D358" s="6" t="s">
        <v>54</v>
      </c>
      <c r="E358" s="6" t="s">
        <v>367</v>
      </c>
      <c r="F358" s="6" t="s">
        <v>3289</v>
      </c>
      <c r="G358" s="6" t="s">
        <v>3290</v>
      </c>
      <c r="H358" s="6" t="s">
        <v>3291</v>
      </c>
      <c r="I358" s="6" t="s">
        <v>55</v>
      </c>
      <c r="J358" s="6" t="s">
        <v>342</v>
      </c>
      <c r="K358" s="5">
        <v>50000000</v>
      </c>
      <c r="L358" s="6" t="s">
        <v>458</v>
      </c>
      <c r="M358" s="6" t="s">
        <v>1770</v>
      </c>
      <c r="N358" s="6" t="s">
        <v>367</v>
      </c>
      <c r="O358" s="17">
        <v>42235</v>
      </c>
      <c r="P358" s="5" t="s">
        <v>5411</v>
      </c>
      <c r="Q358" s="17">
        <v>49522</v>
      </c>
      <c r="R358" s="6" t="s">
        <v>350</v>
      </c>
      <c r="S358" s="6" t="s">
        <v>189</v>
      </c>
      <c r="T358" s="6" t="s">
        <v>3292</v>
      </c>
      <c r="U358" s="6" t="s">
        <v>262</v>
      </c>
    </row>
    <row r="359" spans="1:21" x14ac:dyDescent="0.2">
      <c r="A359" s="6" t="s">
        <v>1224</v>
      </c>
      <c r="B359" s="6" t="s">
        <v>1227</v>
      </c>
      <c r="C359" s="6" t="s">
        <v>57</v>
      </c>
      <c r="D359" s="6" t="s">
        <v>54</v>
      </c>
      <c r="E359" s="6" t="s">
        <v>594</v>
      </c>
      <c r="F359" s="6" t="s">
        <v>2814</v>
      </c>
      <c r="G359" s="6" t="s">
        <v>2815</v>
      </c>
      <c r="H359" s="6" t="s">
        <v>2816</v>
      </c>
      <c r="I359" s="6" t="s">
        <v>55</v>
      </c>
      <c r="J359" s="6" t="s">
        <v>56</v>
      </c>
      <c r="K359" s="5" t="s">
        <v>5465</v>
      </c>
      <c r="L359" s="6" t="s">
        <v>52</v>
      </c>
      <c r="M359" s="6" t="s">
        <v>173</v>
      </c>
      <c r="N359" s="6" t="s">
        <v>594</v>
      </c>
      <c r="O359" s="17">
        <v>42257</v>
      </c>
      <c r="P359" s="62">
        <v>2375</v>
      </c>
      <c r="Q359" s="17">
        <v>45910</v>
      </c>
      <c r="R359" s="6" t="s">
        <v>173</v>
      </c>
      <c r="S359" s="6" t="s">
        <v>174</v>
      </c>
      <c r="T359" s="6" t="s">
        <v>115</v>
      </c>
      <c r="U359" s="6" t="s">
        <v>53</v>
      </c>
    </row>
    <row r="360" spans="1:21" x14ac:dyDescent="0.2">
      <c r="A360" s="6" t="s">
        <v>1559</v>
      </c>
      <c r="B360" s="6" t="s">
        <v>1562</v>
      </c>
      <c r="C360" s="6" t="s">
        <v>57</v>
      </c>
      <c r="D360" s="6" t="s">
        <v>54</v>
      </c>
      <c r="E360" s="6" t="s">
        <v>257</v>
      </c>
      <c r="F360" s="6" t="s">
        <v>2775</v>
      </c>
      <c r="G360" s="6" t="s">
        <v>2776</v>
      </c>
      <c r="H360" s="6" t="s">
        <v>2777</v>
      </c>
      <c r="I360" s="6" t="s">
        <v>55</v>
      </c>
      <c r="J360" s="6" t="s">
        <v>56</v>
      </c>
      <c r="K360" s="5" t="s">
        <v>5466</v>
      </c>
      <c r="L360" s="6" t="s">
        <v>52</v>
      </c>
      <c r="M360" s="6" t="s">
        <v>1770</v>
      </c>
      <c r="N360" s="6" t="s">
        <v>366</v>
      </c>
      <c r="O360" s="17">
        <v>42263</v>
      </c>
      <c r="P360" s="62">
        <v>2125</v>
      </c>
      <c r="Q360" s="17">
        <v>44820</v>
      </c>
      <c r="R360" s="6" t="s">
        <v>173</v>
      </c>
      <c r="S360" s="6" t="s">
        <v>174</v>
      </c>
      <c r="T360" s="6" t="s">
        <v>49</v>
      </c>
      <c r="U360" s="6" t="s">
        <v>53</v>
      </c>
    </row>
    <row r="361" spans="1:21" x14ac:dyDescent="0.2">
      <c r="A361" s="6" t="s">
        <v>180</v>
      </c>
      <c r="B361" s="6" t="s">
        <v>183</v>
      </c>
      <c r="C361" s="6" t="s">
        <v>57</v>
      </c>
      <c r="D361" s="6" t="s">
        <v>54</v>
      </c>
      <c r="E361" s="6" t="s">
        <v>185</v>
      </c>
      <c r="F361" s="6" t="s">
        <v>3192</v>
      </c>
      <c r="G361" s="6" t="s">
        <v>3193</v>
      </c>
      <c r="H361" s="6" t="s">
        <v>3194</v>
      </c>
      <c r="I361" s="6" t="s">
        <v>133</v>
      </c>
      <c r="J361" s="6" t="s">
        <v>56</v>
      </c>
      <c r="K361" s="5" t="s">
        <v>5467</v>
      </c>
      <c r="L361" s="6" t="s">
        <v>52</v>
      </c>
      <c r="M361" s="6" t="s">
        <v>1770</v>
      </c>
      <c r="N361" s="6" t="s">
        <v>184</v>
      </c>
      <c r="O361" s="17">
        <v>42255</v>
      </c>
      <c r="P361" s="5" t="s">
        <v>5225</v>
      </c>
      <c r="Q361" s="17">
        <v>45177</v>
      </c>
      <c r="R361" s="6" t="s">
        <v>2171</v>
      </c>
      <c r="S361" s="6" t="s">
        <v>446</v>
      </c>
      <c r="T361" s="6" t="s">
        <v>115</v>
      </c>
      <c r="U361" s="6" t="s">
        <v>53</v>
      </c>
    </row>
    <row r="362" spans="1:21" x14ac:dyDescent="0.2">
      <c r="A362" s="6" t="s">
        <v>1157</v>
      </c>
      <c r="B362" s="6" t="s">
        <v>1160</v>
      </c>
      <c r="C362" s="6" t="s">
        <v>57</v>
      </c>
      <c r="D362" s="62">
        <v>2408</v>
      </c>
      <c r="E362" s="6" t="s">
        <v>184</v>
      </c>
      <c r="F362" s="6" t="s">
        <v>1808</v>
      </c>
      <c r="G362" s="6" t="s">
        <v>1809</v>
      </c>
      <c r="H362" s="6" t="s">
        <v>1810</v>
      </c>
      <c r="I362" s="6" t="s">
        <v>117</v>
      </c>
      <c r="J362" s="6" t="s">
        <v>56</v>
      </c>
      <c r="K362" s="5" t="s">
        <v>5468</v>
      </c>
      <c r="L362" s="6" t="s">
        <v>52</v>
      </c>
      <c r="M362" s="6" t="s">
        <v>1770</v>
      </c>
      <c r="N362" s="6" t="s">
        <v>184</v>
      </c>
      <c r="O362" s="17">
        <v>42264</v>
      </c>
      <c r="P362" s="62">
        <v>3625</v>
      </c>
      <c r="Q362" s="17">
        <v>45186</v>
      </c>
      <c r="R362" s="6" t="s">
        <v>173</v>
      </c>
      <c r="S362" s="6" t="s">
        <v>263</v>
      </c>
      <c r="T362" s="6" t="s">
        <v>49</v>
      </c>
      <c r="U362" s="6" t="s">
        <v>53</v>
      </c>
    </row>
    <row r="363" spans="1:21" x14ac:dyDescent="0.2">
      <c r="A363" s="6" t="s">
        <v>476</v>
      </c>
      <c r="B363" s="6" t="s">
        <v>479</v>
      </c>
      <c r="C363" s="6" t="s">
        <v>391</v>
      </c>
      <c r="D363" s="6" t="s">
        <v>54</v>
      </c>
      <c r="E363" s="6" t="s">
        <v>45</v>
      </c>
      <c r="F363" s="6" t="s">
        <v>2185</v>
      </c>
      <c r="G363" s="6" t="s">
        <v>2186</v>
      </c>
      <c r="H363" s="6" t="s">
        <v>2187</v>
      </c>
      <c r="I363" s="6" t="s">
        <v>55</v>
      </c>
      <c r="J363" s="6" t="s">
        <v>70</v>
      </c>
      <c r="K363" s="5">
        <v>11160000</v>
      </c>
      <c r="L363" s="6" t="s">
        <v>2011</v>
      </c>
      <c r="M363" s="6" t="s">
        <v>2129</v>
      </c>
      <c r="N363" s="6" t="s">
        <v>45</v>
      </c>
      <c r="O363" s="17">
        <v>42256</v>
      </c>
      <c r="P363" s="62">
        <v>102</v>
      </c>
      <c r="Q363" s="17">
        <v>44813</v>
      </c>
      <c r="R363" s="6" t="s">
        <v>225</v>
      </c>
      <c r="S363" s="6" t="s">
        <v>117</v>
      </c>
      <c r="T363" s="6" t="s">
        <v>49</v>
      </c>
      <c r="U363" s="6" t="s">
        <v>53</v>
      </c>
    </row>
    <row r="364" spans="1:21" x14ac:dyDescent="0.2">
      <c r="A364" s="6" t="s">
        <v>613</v>
      </c>
      <c r="B364" s="6" t="s">
        <v>616</v>
      </c>
      <c r="C364" s="6" t="s">
        <v>57</v>
      </c>
      <c r="D364" s="6" t="s">
        <v>54</v>
      </c>
      <c r="E364" s="6" t="s">
        <v>199</v>
      </c>
      <c r="F364" s="6" t="s">
        <v>2532</v>
      </c>
      <c r="G364" s="6" t="s">
        <v>2533</v>
      </c>
      <c r="H364" s="6" t="s">
        <v>2534</v>
      </c>
      <c r="I364" s="6" t="s">
        <v>117</v>
      </c>
      <c r="J364" s="6" t="s">
        <v>56</v>
      </c>
      <c r="K364" s="5" t="s">
        <v>5469</v>
      </c>
      <c r="L364" s="6" t="s">
        <v>52</v>
      </c>
      <c r="M364" s="6" t="s">
        <v>1770</v>
      </c>
      <c r="N364" s="6" t="s">
        <v>199</v>
      </c>
      <c r="O364" s="17">
        <v>42265</v>
      </c>
      <c r="P364" s="5" t="s">
        <v>5249</v>
      </c>
      <c r="Q364" s="17">
        <v>45309</v>
      </c>
      <c r="R364" s="6" t="s">
        <v>225</v>
      </c>
      <c r="S364" s="6" t="s">
        <v>619</v>
      </c>
      <c r="T364" s="6" t="s">
        <v>49</v>
      </c>
      <c r="U364" s="6" t="s">
        <v>53</v>
      </c>
    </row>
    <row r="365" spans="1:21" x14ac:dyDescent="0.2">
      <c r="A365" s="6" t="s">
        <v>1518</v>
      </c>
      <c r="B365" s="6" t="s">
        <v>1521</v>
      </c>
      <c r="C365" s="6" t="s">
        <v>57</v>
      </c>
      <c r="D365" s="6" t="s">
        <v>54</v>
      </c>
      <c r="E365" s="6" t="s">
        <v>184</v>
      </c>
      <c r="F365" s="6" t="s">
        <v>3147</v>
      </c>
      <c r="G365" s="6" t="s">
        <v>3148</v>
      </c>
      <c r="H365" s="6" t="s">
        <v>3149</v>
      </c>
      <c r="I365" s="6" t="s">
        <v>117</v>
      </c>
      <c r="J365" s="6" t="s">
        <v>56</v>
      </c>
      <c r="K365" s="5" t="s">
        <v>5236</v>
      </c>
      <c r="L365" s="6" t="s">
        <v>52</v>
      </c>
      <c r="M365" s="6" t="s">
        <v>1770</v>
      </c>
      <c r="N365" s="6" t="s">
        <v>184</v>
      </c>
      <c r="O365" s="17">
        <v>42269</v>
      </c>
      <c r="P365" s="5" t="s">
        <v>5225</v>
      </c>
      <c r="Q365" s="17">
        <v>45922</v>
      </c>
      <c r="R365" s="6" t="s">
        <v>225</v>
      </c>
      <c r="S365" s="6" t="s">
        <v>483</v>
      </c>
      <c r="T365" s="6" t="s">
        <v>115</v>
      </c>
      <c r="U365" s="6" t="s">
        <v>53</v>
      </c>
    </row>
    <row r="366" spans="1:21" x14ac:dyDescent="0.2">
      <c r="A366" s="6" t="s">
        <v>1525</v>
      </c>
      <c r="B366" s="6" t="s">
        <v>1528</v>
      </c>
      <c r="C366" s="6" t="s">
        <v>57</v>
      </c>
      <c r="D366" s="6" t="s">
        <v>54</v>
      </c>
      <c r="E366" s="6" t="s">
        <v>184</v>
      </c>
      <c r="F366" s="6" t="s">
        <v>3025</v>
      </c>
      <c r="G366" s="6" t="s">
        <v>3026</v>
      </c>
      <c r="H366" s="6" t="s">
        <v>3027</v>
      </c>
      <c r="I366" s="6" t="s">
        <v>420</v>
      </c>
      <c r="J366" s="6" t="s">
        <v>56</v>
      </c>
      <c r="K366" s="5" t="s">
        <v>5352</v>
      </c>
      <c r="L366" s="6" t="s">
        <v>52</v>
      </c>
      <c r="M366" s="6" t="s">
        <v>1770</v>
      </c>
      <c r="N366" s="6" t="s">
        <v>184</v>
      </c>
      <c r="O366" s="17">
        <v>42275</v>
      </c>
      <c r="P366" s="62">
        <v>1875</v>
      </c>
      <c r="Q366" s="17">
        <v>45197</v>
      </c>
      <c r="R366" s="6" t="s">
        <v>173</v>
      </c>
      <c r="S366" s="6" t="s">
        <v>189</v>
      </c>
      <c r="T366" s="6" t="s">
        <v>115</v>
      </c>
      <c r="U366" s="6" t="s">
        <v>53</v>
      </c>
    </row>
    <row r="367" spans="1:21" x14ac:dyDescent="0.2">
      <c r="A367" s="6" t="s">
        <v>1058</v>
      </c>
      <c r="B367" s="6" t="s">
        <v>1045</v>
      </c>
      <c r="C367" s="6" t="s">
        <v>71</v>
      </c>
      <c r="D367" s="6" t="s">
        <v>54</v>
      </c>
      <c r="E367" s="6" t="s">
        <v>1046</v>
      </c>
      <c r="F367" s="6" t="s">
        <v>3398</v>
      </c>
      <c r="G367" s="6" t="s">
        <v>3399</v>
      </c>
      <c r="H367" s="6" t="s">
        <v>3400</v>
      </c>
      <c r="I367" s="6" t="s">
        <v>55</v>
      </c>
      <c r="J367" s="6" t="s">
        <v>56</v>
      </c>
      <c r="K367" s="5" t="s">
        <v>5470</v>
      </c>
      <c r="L367" s="6" t="s">
        <v>52</v>
      </c>
      <c r="M367" s="6" t="s">
        <v>173</v>
      </c>
      <c r="N367" s="6" t="s">
        <v>366</v>
      </c>
      <c r="O367" s="17">
        <v>44088</v>
      </c>
      <c r="P367" s="62">
        <v>7125</v>
      </c>
      <c r="Q367" s="17">
        <v>45688</v>
      </c>
      <c r="R367" s="6" t="s">
        <v>173</v>
      </c>
      <c r="S367" s="6" t="s">
        <v>296</v>
      </c>
      <c r="T367" s="6" t="s">
        <v>115</v>
      </c>
      <c r="U367" s="6" t="s">
        <v>262</v>
      </c>
    </row>
    <row r="368" spans="1:21" x14ac:dyDescent="0.2">
      <c r="A368" s="6" t="s">
        <v>1121</v>
      </c>
      <c r="B368" s="6" t="s">
        <v>1124</v>
      </c>
      <c r="C368" s="6" t="s">
        <v>57</v>
      </c>
      <c r="D368" s="6" t="s">
        <v>54</v>
      </c>
      <c r="E368" s="6" t="s">
        <v>366</v>
      </c>
      <c r="F368" s="6" t="s">
        <v>2866</v>
      </c>
      <c r="G368" s="6" t="s">
        <v>2867</v>
      </c>
      <c r="H368" s="6" t="s">
        <v>2868</v>
      </c>
      <c r="I368" s="6" t="s">
        <v>133</v>
      </c>
      <c r="J368" s="6" t="s">
        <v>56</v>
      </c>
      <c r="K368" s="5" t="s">
        <v>5471</v>
      </c>
      <c r="L368" s="6" t="s">
        <v>52</v>
      </c>
      <c r="M368" s="6" t="s">
        <v>1770</v>
      </c>
      <c r="N368" s="6" t="s">
        <v>366</v>
      </c>
      <c r="O368" s="17">
        <v>44088</v>
      </c>
      <c r="P368" s="62">
        <v>875</v>
      </c>
      <c r="Q368" s="17">
        <v>48562</v>
      </c>
      <c r="R368" s="6" t="s">
        <v>225</v>
      </c>
      <c r="S368" s="6" t="s">
        <v>496</v>
      </c>
      <c r="T368" s="6" t="s">
        <v>115</v>
      </c>
      <c r="U368" s="6" t="s">
        <v>53</v>
      </c>
    </row>
    <row r="369" spans="1:21" x14ac:dyDescent="0.2">
      <c r="A369" s="6" t="s">
        <v>871</v>
      </c>
      <c r="B369" s="6" t="s">
        <v>874</v>
      </c>
      <c r="C369" s="6" t="s">
        <v>57</v>
      </c>
      <c r="D369" s="6" t="s">
        <v>54</v>
      </c>
      <c r="E369" s="6" t="s">
        <v>185</v>
      </c>
      <c r="F369" s="6" t="s">
        <v>2799</v>
      </c>
      <c r="G369" s="6" t="s">
        <v>2800</v>
      </c>
      <c r="H369" s="6" t="s">
        <v>2801</v>
      </c>
      <c r="I369" s="6" t="s">
        <v>55</v>
      </c>
      <c r="J369" s="6" t="s">
        <v>56</v>
      </c>
      <c r="K369" s="5" t="s">
        <v>5376</v>
      </c>
      <c r="L369" s="6" t="s">
        <v>52</v>
      </c>
      <c r="M369" s="6" t="s">
        <v>1775</v>
      </c>
      <c r="N369" s="6" t="s">
        <v>594</v>
      </c>
      <c r="O369" s="17">
        <v>44089</v>
      </c>
      <c r="P369" s="62">
        <v>375</v>
      </c>
      <c r="Q369" s="17">
        <v>46645</v>
      </c>
      <c r="R369" s="6" t="s">
        <v>173</v>
      </c>
      <c r="S369" s="6" t="s">
        <v>174</v>
      </c>
      <c r="T369" s="6" t="s">
        <v>115</v>
      </c>
      <c r="U369" s="6" t="s">
        <v>53</v>
      </c>
    </row>
    <row r="370" spans="1:21" x14ac:dyDescent="0.2">
      <c r="A370" s="6" t="s">
        <v>871</v>
      </c>
      <c r="B370" s="6" t="s">
        <v>874</v>
      </c>
      <c r="C370" s="6" t="s">
        <v>57</v>
      </c>
      <c r="D370" s="6" t="s">
        <v>54</v>
      </c>
      <c r="E370" s="6" t="s">
        <v>185</v>
      </c>
      <c r="F370" s="6" t="s">
        <v>2803</v>
      </c>
      <c r="G370" s="6" t="s">
        <v>2804</v>
      </c>
      <c r="H370" s="6" t="s">
        <v>2805</v>
      </c>
      <c r="I370" s="6" t="s">
        <v>55</v>
      </c>
      <c r="J370" s="6" t="s">
        <v>56</v>
      </c>
      <c r="K370" s="5" t="s">
        <v>5376</v>
      </c>
      <c r="L370" s="6" t="s">
        <v>52</v>
      </c>
      <c r="M370" s="6" t="s">
        <v>1775</v>
      </c>
      <c r="N370" s="6" t="s">
        <v>594</v>
      </c>
      <c r="O370" s="17">
        <v>44089</v>
      </c>
      <c r="P370" s="5">
        <v>1</v>
      </c>
      <c r="Q370" s="17">
        <v>48472</v>
      </c>
      <c r="R370" s="6" t="s">
        <v>173</v>
      </c>
      <c r="S370" s="6" t="s">
        <v>174</v>
      </c>
      <c r="T370" s="6" t="s">
        <v>115</v>
      </c>
      <c r="U370" s="6" t="s">
        <v>53</v>
      </c>
    </row>
    <row r="371" spans="1:21" x14ac:dyDescent="0.2">
      <c r="A371" s="6" t="s">
        <v>1042</v>
      </c>
      <c r="B371" s="6" t="s">
        <v>1045</v>
      </c>
      <c r="C371" s="6" t="s">
        <v>71</v>
      </c>
      <c r="D371" s="6" t="s">
        <v>54</v>
      </c>
      <c r="E371" s="6" t="s">
        <v>1046</v>
      </c>
      <c r="F371" s="6" t="s">
        <v>3358</v>
      </c>
      <c r="G371" s="6" t="s">
        <v>3359</v>
      </c>
      <c r="H371" s="6" t="s">
        <v>3360</v>
      </c>
      <c r="I371" s="6" t="s">
        <v>55</v>
      </c>
      <c r="J371" s="6" t="s">
        <v>56</v>
      </c>
      <c r="K371" s="5" t="s">
        <v>5382</v>
      </c>
      <c r="L371" s="6" t="s">
        <v>52</v>
      </c>
      <c r="M371" s="6" t="s">
        <v>1775</v>
      </c>
      <c r="N371" s="6" t="s">
        <v>366</v>
      </c>
      <c r="O371" s="17">
        <v>44088</v>
      </c>
      <c r="P371" s="5">
        <v>6</v>
      </c>
      <c r="Q371" s="17">
        <v>45688</v>
      </c>
      <c r="R371" s="6" t="s">
        <v>173</v>
      </c>
      <c r="S371" s="6" t="s">
        <v>296</v>
      </c>
      <c r="T371" s="6" t="s">
        <v>115</v>
      </c>
      <c r="U371" s="6" t="s">
        <v>53</v>
      </c>
    </row>
    <row r="372" spans="1:21" x14ac:dyDescent="0.2">
      <c r="A372" s="6" t="s">
        <v>476</v>
      </c>
      <c r="B372" s="6" t="s">
        <v>479</v>
      </c>
      <c r="C372" s="6" t="s">
        <v>57</v>
      </c>
      <c r="D372" s="6" t="s">
        <v>54</v>
      </c>
      <c r="E372" s="6" t="s">
        <v>45</v>
      </c>
      <c r="F372" s="6" t="s">
        <v>2189</v>
      </c>
      <c r="G372" s="6" t="s">
        <v>2190</v>
      </c>
      <c r="H372" s="6" t="s">
        <v>2191</v>
      </c>
      <c r="I372" s="6" t="s">
        <v>55</v>
      </c>
      <c r="J372" s="6" t="s">
        <v>56</v>
      </c>
      <c r="K372" s="5">
        <v>10563930</v>
      </c>
      <c r="L372" s="6" t="s">
        <v>458</v>
      </c>
      <c r="M372" s="6" t="s">
        <v>1770</v>
      </c>
      <c r="N372" s="6" t="s">
        <v>45</v>
      </c>
      <c r="O372" s="17">
        <v>44103</v>
      </c>
      <c r="P372" s="5" t="s">
        <v>5472</v>
      </c>
      <c r="Q372" s="17">
        <v>48486</v>
      </c>
      <c r="R372" s="6" t="s">
        <v>225</v>
      </c>
      <c r="S372" s="6" t="s">
        <v>189</v>
      </c>
      <c r="T372" s="6" t="s">
        <v>115</v>
      </c>
      <c r="U372" s="6" t="s">
        <v>53</v>
      </c>
    </row>
    <row r="373" spans="1:21" x14ac:dyDescent="0.2">
      <c r="A373" s="6" t="s">
        <v>41</v>
      </c>
      <c r="B373" s="6" t="s">
        <v>44</v>
      </c>
      <c r="C373" s="6" t="s">
        <v>57</v>
      </c>
      <c r="D373" s="6" t="s">
        <v>54</v>
      </c>
      <c r="E373" s="6" t="s">
        <v>45</v>
      </c>
      <c r="F373" s="6" t="s">
        <v>2361</v>
      </c>
      <c r="G373" s="6" t="s">
        <v>2362</v>
      </c>
      <c r="H373" s="6" t="s">
        <v>2363</v>
      </c>
      <c r="I373" s="6" t="s">
        <v>55</v>
      </c>
      <c r="J373" s="6" t="s">
        <v>56</v>
      </c>
      <c r="K373" s="5" t="s">
        <v>5375</v>
      </c>
      <c r="L373" s="6" t="s">
        <v>52</v>
      </c>
      <c r="M373" s="6" t="s">
        <v>1815</v>
      </c>
      <c r="N373" s="6" t="s">
        <v>45</v>
      </c>
      <c r="O373" s="17">
        <v>44105</v>
      </c>
      <c r="P373" s="5" t="s">
        <v>5246</v>
      </c>
      <c r="Q373" s="17">
        <v>46037</v>
      </c>
      <c r="R373" s="6" t="s">
        <v>2364</v>
      </c>
      <c r="S373" s="6" t="s">
        <v>54</v>
      </c>
      <c r="T373" s="6" t="s">
        <v>188</v>
      </c>
      <c r="U373" s="6" t="s">
        <v>53</v>
      </c>
    </row>
    <row r="374" spans="1:21" x14ac:dyDescent="0.2">
      <c r="A374" s="6" t="s">
        <v>476</v>
      </c>
      <c r="B374" s="6" t="s">
        <v>479</v>
      </c>
      <c r="C374" s="6" t="s">
        <v>57</v>
      </c>
      <c r="D374" s="6" t="s">
        <v>54</v>
      </c>
      <c r="E374" s="6" t="s">
        <v>45</v>
      </c>
      <c r="F374" s="6" t="s">
        <v>2193</v>
      </c>
      <c r="G374" s="6" t="s">
        <v>2194</v>
      </c>
      <c r="H374" s="6" t="s">
        <v>2195</v>
      </c>
      <c r="I374" s="6" t="s">
        <v>55</v>
      </c>
      <c r="J374" s="6" t="s">
        <v>1805</v>
      </c>
      <c r="K374" s="5">
        <v>17716200</v>
      </c>
      <c r="L374" s="6" t="s">
        <v>458</v>
      </c>
      <c r="M374" s="6" t="s">
        <v>173</v>
      </c>
      <c r="N374" s="6" t="s">
        <v>45</v>
      </c>
      <c r="O374" s="17">
        <v>44116</v>
      </c>
      <c r="P374" s="5" t="s">
        <v>5380</v>
      </c>
      <c r="Q374" s="17">
        <v>55073</v>
      </c>
      <c r="R374" s="6" t="s">
        <v>225</v>
      </c>
      <c r="S374" s="6" t="s">
        <v>189</v>
      </c>
      <c r="T374" s="6" t="s">
        <v>115</v>
      </c>
      <c r="U374" s="6" t="s">
        <v>53</v>
      </c>
    </row>
    <row r="375" spans="1:21" x14ac:dyDescent="0.2">
      <c r="A375" s="6" t="s">
        <v>476</v>
      </c>
      <c r="B375" s="6" t="s">
        <v>479</v>
      </c>
      <c r="C375" s="6" t="s">
        <v>57</v>
      </c>
      <c r="D375" s="62">
        <v>55</v>
      </c>
      <c r="E375" s="6" t="s">
        <v>45</v>
      </c>
      <c r="F375" s="6" t="s">
        <v>2197</v>
      </c>
      <c r="G375" s="6" t="s">
        <v>2198</v>
      </c>
      <c r="H375" s="6" t="s">
        <v>2199</v>
      </c>
      <c r="I375" s="6" t="s">
        <v>55</v>
      </c>
      <c r="J375" s="6" t="s">
        <v>56</v>
      </c>
      <c r="K375" s="5">
        <v>11719000</v>
      </c>
      <c r="L375" s="6" t="s">
        <v>482</v>
      </c>
      <c r="M375" s="6" t="s">
        <v>1770</v>
      </c>
      <c r="N375" s="6" t="s">
        <v>45</v>
      </c>
      <c r="O375" s="17">
        <v>44120</v>
      </c>
      <c r="P375" s="62">
        <v>55</v>
      </c>
      <c r="Q375" s="17">
        <v>47772</v>
      </c>
      <c r="R375" s="6" t="s">
        <v>225</v>
      </c>
      <c r="S375" s="6" t="s">
        <v>483</v>
      </c>
      <c r="T375" s="6" t="s">
        <v>49</v>
      </c>
      <c r="U375" s="6" t="s">
        <v>53</v>
      </c>
    </row>
    <row r="376" spans="1:21" x14ac:dyDescent="0.2">
      <c r="A376" s="6" t="s">
        <v>813</v>
      </c>
      <c r="B376" s="6" t="s">
        <v>816</v>
      </c>
      <c r="C376" s="6" t="s">
        <v>57</v>
      </c>
      <c r="D376" s="6" t="s">
        <v>54</v>
      </c>
      <c r="E376" s="6" t="s">
        <v>184</v>
      </c>
      <c r="F376" s="6" t="s">
        <v>3452</v>
      </c>
      <c r="G376" s="6" t="s">
        <v>173</v>
      </c>
      <c r="H376" s="6" t="s">
        <v>3453</v>
      </c>
      <c r="I376" s="6" t="s">
        <v>133</v>
      </c>
      <c r="J376" s="6" t="s">
        <v>56</v>
      </c>
      <c r="K376" s="5" t="s">
        <v>5322</v>
      </c>
      <c r="L376" s="6" t="s">
        <v>52</v>
      </c>
      <c r="M376" s="6" t="s">
        <v>173</v>
      </c>
      <c r="N376" s="6" t="s">
        <v>184</v>
      </c>
      <c r="O376" s="17">
        <v>43564</v>
      </c>
      <c r="P376" s="62">
        <v>1291</v>
      </c>
      <c r="Q376" s="17">
        <v>45756</v>
      </c>
      <c r="R376" s="6" t="s">
        <v>1311</v>
      </c>
      <c r="S376" s="6" t="s">
        <v>54</v>
      </c>
      <c r="T376" s="6" t="s">
        <v>49</v>
      </c>
      <c r="U376" s="6" t="s">
        <v>53</v>
      </c>
    </row>
    <row r="377" spans="1:21" x14ac:dyDescent="0.2">
      <c r="A377" s="6" t="s">
        <v>813</v>
      </c>
      <c r="B377" s="6" t="s">
        <v>816</v>
      </c>
      <c r="C377" s="6" t="s">
        <v>57</v>
      </c>
      <c r="D377" s="6" t="s">
        <v>54</v>
      </c>
      <c r="E377" s="6" t="s">
        <v>184</v>
      </c>
      <c r="F377" s="6" t="s">
        <v>3455</v>
      </c>
      <c r="G377" s="6" t="s">
        <v>173</v>
      </c>
      <c r="H377" s="6" t="s">
        <v>3456</v>
      </c>
      <c r="I377" s="6" t="s">
        <v>133</v>
      </c>
      <c r="J377" s="6" t="s">
        <v>56</v>
      </c>
      <c r="K377" s="5" t="s">
        <v>5322</v>
      </c>
      <c r="L377" s="6" t="s">
        <v>52</v>
      </c>
      <c r="M377" s="6" t="s">
        <v>173</v>
      </c>
      <c r="N377" s="6" t="s">
        <v>184</v>
      </c>
      <c r="O377" s="17">
        <v>43564</v>
      </c>
      <c r="P377" s="5" t="s">
        <v>5473</v>
      </c>
      <c r="Q377" s="17">
        <v>45025</v>
      </c>
      <c r="R377" s="6" t="s">
        <v>1315</v>
      </c>
      <c r="S377" s="6" t="s">
        <v>54</v>
      </c>
      <c r="T377" s="6" t="s">
        <v>49</v>
      </c>
      <c r="U377" s="6" t="s">
        <v>53</v>
      </c>
    </row>
    <row r="378" spans="1:21" x14ac:dyDescent="0.2">
      <c r="A378" s="6" t="s">
        <v>1625</v>
      </c>
      <c r="B378" s="6" t="s">
        <v>1628</v>
      </c>
      <c r="C378" s="6" t="s">
        <v>57</v>
      </c>
      <c r="D378" s="6" t="s">
        <v>54</v>
      </c>
      <c r="E378" s="6" t="s">
        <v>45</v>
      </c>
      <c r="F378" s="6" t="s">
        <v>2716</v>
      </c>
      <c r="G378" s="6" t="s">
        <v>173</v>
      </c>
      <c r="H378" s="6" t="s">
        <v>2717</v>
      </c>
      <c r="I378" s="6" t="s">
        <v>55</v>
      </c>
      <c r="J378" s="6" t="s">
        <v>56</v>
      </c>
      <c r="K378" s="5">
        <v>65749800</v>
      </c>
      <c r="L378" s="6" t="s">
        <v>52</v>
      </c>
      <c r="M378" s="6" t="s">
        <v>173</v>
      </c>
      <c r="N378" s="6" t="s">
        <v>45</v>
      </c>
      <c r="O378" s="17">
        <v>43740</v>
      </c>
      <c r="P378" s="5">
        <v>0</v>
      </c>
      <c r="Q378" s="17">
        <v>46306</v>
      </c>
      <c r="R378" s="6" t="s">
        <v>69</v>
      </c>
      <c r="S378" s="6" t="s">
        <v>54</v>
      </c>
      <c r="T378" s="6" t="s">
        <v>49</v>
      </c>
      <c r="U378" s="6" t="s">
        <v>53</v>
      </c>
    </row>
    <row r="379" spans="1:21" x14ac:dyDescent="0.2">
      <c r="A379" s="6" t="s">
        <v>1625</v>
      </c>
      <c r="B379" s="6" t="s">
        <v>1628</v>
      </c>
      <c r="C379" s="6" t="s">
        <v>57</v>
      </c>
      <c r="D379" s="6" t="s">
        <v>54</v>
      </c>
      <c r="E379" s="6" t="s">
        <v>45</v>
      </c>
      <c r="F379" s="6" t="s">
        <v>2719</v>
      </c>
      <c r="G379" s="6" t="s">
        <v>173</v>
      </c>
      <c r="H379" s="6" t="s">
        <v>2720</v>
      </c>
      <c r="I379" s="6" t="s">
        <v>55</v>
      </c>
      <c r="J379" s="6" t="s">
        <v>56</v>
      </c>
      <c r="K379" s="5">
        <v>65749800</v>
      </c>
      <c r="L379" s="6" t="s">
        <v>52</v>
      </c>
      <c r="M379" s="6" t="s">
        <v>173</v>
      </c>
      <c r="N379" s="6" t="s">
        <v>45</v>
      </c>
      <c r="O379" s="17">
        <v>43740</v>
      </c>
      <c r="P379" s="5">
        <v>0</v>
      </c>
      <c r="Q379" s="17">
        <v>46297</v>
      </c>
      <c r="R379" s="6" t="s">
        <v>69</v>
      </c>
      <c r="S379" s="6" t="s">
        <v>54</v>
      </c>
      <c r="T379" s="6" t="s">
        <v>49</v>
      </c>
      <c r="U379" s="6" t="s">
        <v>53</v>
      </c>
    </row>
    <row r="380" spans="1:21" x14ac:dyDescent="0.2">
      <c r="A380" s="6" t="s">
        <v>1198</v>
      </c>
      <c r="B380" s="6" t="s">
        <v>1201</v>
      </c>
      <c r="C380" s="6" t="s">
        <v>57</v>
      </c>
      <c r="D380" s="6" t="s">
        <v>54</v>
      </c>
      <c r="E380" s="6" t="s">
        <v>1202</v>
      </c>
      <c r="F380" s="6" t="s">
        <v>2946</v>
      </c>
      <c r="G380" s="6" t="s">
        <v>2947</v>
      </c>
      <c r="H380" s="6" t="s">
        <v>2948</v>
      </c>
      <c r="I380" s="6" t="s">
        <v>55</v>
      </c>
      <c r="J380" s="6" t="s">
        <v>56</v>
      </c>
      <c r="K380" s="5">
        <v>55699500</v>
      </c>
      <c r="L380" s="6" t="s">
        <v>52</v>
      </c>
      <c r="M380" s="6" t="s">
        <v>173</v>
      </c>
      <c r="N380" s="6" t="s">
        <v>1202</v>
      </c>
      <c r="O380" s="17">
        <v>43843</v>
      </c>
      <c r="P380" s="5" t="s">
        <v>5329</v>
      </c>
      <c r="Q380" s="17">
        <v>45304</v>
      </c>
      <c r="R380" s="6" t="s">
        <v>173</v>
      </c>
      <c r="S380" s="6" t="s">
        <v>54</v>
      </c>
      <c r="T380" s="6" t="s">
        <v>2949</v>
      </c>
      <c r="U380" s="6" t="s">
        <v>53</v>
      </c>
    </row>
    <row r="381" spans="1:21" x14ac:dyDescent="0.2">
      <c r="A381" s="6" t="s">
        <v>1413</v>
      </c>
      <c r="B381" s="6" t="s">
        <v>1416</v>
      </c>
      <c r="C381" s="6" t="s">
        <v>57</v>
      </c>
      <c r="D381" s="6" t="s">
        <v>54</v>
      </c>
      <c r="E381" s="6" t="s">
        <v>199</v>
      </c>
      <c r="F381" s="6" t="s">
        <v>3469</v>
      </c>
      <c r="G381" s="6" t="s">
        <v>3470</v>
      </c>
      <c r="H381" s="6" t="s">
        <v>3471</v>
      </c>
      <c r="I381" s="6" t="s">
        <v>55</v>
      </c>
      <c r="J381" s="6" t="s">
        <v>56</v>
      </c>
      <c r="K381" s="5" t="s">
        <v>5474</v>
      </c>
      <c r="L381" s="6" t="s">
        <v>52</v>
      </c>
      <c r="M381" s="6" t="s">
        <v>1775</v>
      </c>
      <c r="N381" s="6" t="s">
        <v>199</v>
      </c>
      <c r="O381" s="17">
        <v>43858</v>
      </c>
      <c r="P381" s="62">
        <v>3625</v>
      </c>
      <c r="Q381" s="17">
        <v>46415</v>
      </c>
      <c r="R381" s="6" t="s">
        <v>173</v>
      </c>
      <c r="S381" s="6" t="s">
        <v>189</v>
      </c>
      <c r="T381" s="6" t="s">
        <v>49</v>
      </c>
      <c r="U381" s="6" t="s">
        <v>53</v>
      </c>
    </row>
    <row r="382" spans="1:21" x14ac:dyDescent="0.2">
      <c r="A382" s="6" t="s">
        <v>613</v>
      </c>
      <c r="B382" s="6" t="s">
        <v>616</v>
      </c>
      <c r="C382" s="6" t="s">
        <v>57</v>
      </c>
      <c r="D382" s="6" t="s">
        <v>54</v>
      </c>
      <c r="E382" s="6" t="s">
        <v>199</v>
      </c>
      <c r="F382" s="6" t="s">
        <v>2536</v>
      </c>
      <c r="G382" s="6" t="s">
        <v>2537</v>
      </c>
      <c r="H382" s="6" t="s">
        <v>2538</v>
      </c>
      <c r="I382" s="6" t="s">
        <v>117</v>
      </c>
      <c r="J382" s="6" t="s">
        <v>56</v>
      </c>
      <c r="K382" s="5" t="s">
        <v>5275</v>
      </c>
      <c r="L382" s="6" t="s">
        <v>52</v>
      </c>
      <c r="M382" s="6" t="s">
        <v>1770</v>
      </c>
      <c r="N382" s="6" t="s">
        <v>199</v>
      </c>
      <c r="O382" s="17">
        <v>43853</v>
      </c>
      <c r="P382" s="62">
        <v>625</v>
      </c>
      <c r="Q382" s="17">
        <v>47506</v>
      </c>
      <c r="R382" s="6" t="s">
        <v>225</v>
      </c>
      <c r="S382" s="6" t="s">
        <v>619</v>
      </c>
      <c r="T382" s="6" t="s">
        <v>49</v>
      </c>
      <c r="U382" s="6" t="s">
        <v>53</v>
      </c>
    </row>
    <row r="383" spans="1:21" x14ac:dyDescent="0.2">
      <c r="A383" s="6" t="s">
        <v>476</v>
      </c>
      <c r="B383" s="6" t="s">
        <v>479</v>
      </c>
      <c r="C383" s="6" t="s">
        <v>57</v>
      </c>
      <c r="D383" s="6" t="s">
        <v>54</v>
      </c>
      <c r="E383" s="6" t="s">
        <v>45</v>
      </c>
      <c r="F383" s="6" t="s">
        <v>2201</v>
      </c>
      <c r="G383" s="6" t="s">
        <v>2202</v>
      </c>
      <c r="H383" s="6" t="s">
        <v>2203</v>
      </c>
      <c r="I383" s="6" t="s">
        <v>55</v>
      </c>
      <c r="J383" s="6" t="s">
        <v>56</v>
      </c>
      <c r="K383" s="5">
        <v>33153000</v>
      </c>
      <c r="L383" s="6" t="s">
        <v>482</v>
      </c>
      <c r="M383" s="6" t="s">
        <v>173</v>
      </c>
      <c r="N383" s="6" t="s">
        <v>45</v>
      </c>
      <c r="O383" s="17">
        <v>43853</v>
      </c>
      <c r="P383" s="62">
        <v>89</v>
      </c>
      <c r="Q383" s="17">
        <v>45680</v>
      </c>
      <c r="R383" s="6" t="s">
        <v>225</v>
      </c>
      <c r="S383" s="6" t="s">
        <v>483</v>
      </c>
      <c r="T383" s="6" t="s">
        <v>49</v>
      </c>
      <c r="U383" s="6" t="s">
        <v>53</v>
      </c>
    </row>
    <row r="384" spans="1:21" x14ac:dyDescent="0.2">
      <c r="A384" s="6" t="s">
        <v>476</v>
      </c>
      <c r="B384" s="6" t="s">
        <v>479</v>
      </c>
      <c r="C384" s="6" t="s">
        <v>391</v>
      </c>
      <c r="D384" s="6" t="s">
        <v>54</v>
      </c>
      <c r="E384" s="6" t="s">
        <v>45</v>
      </c>
      <c r="F384" s="6" t="s">
        <v>2205</v>
      </c>
      <c r="G384" s="6" t="s">
        <v>2206</v>
      </c>
      <c r="H384" s="6" t="s">
        <v>2207</v>
      </c>
      <c r="I384" s="6" t="s">
        <v>55</v>
      </c>
      <c r="J384" s="6" t="s">
        <v>70</v>
      </c>
      <c r="K384" s="5">
        <v>22017800</v>
      </c>
      <c r="L384" s="6" t="s">
        <v>458</v>
      </c>
      <c r="M384" s="6" t="s">
        <v>1770</v>
      </c>
      <c r="N384" s="6" t="s">
        <v>45</v>
      </c>
      <c r="O384" s="17">
        <v>43858</v>
      </c>
      <c r="P384" s="5" t="s">
        <v>5475</v>
      </c>
      <c r="Q384" s="17">
        <v>45685</v>
      </c>
      <c r="R384" s="6" t="s">
        <v>225</v>
      </c>
      <c r="S384" s="6" t="s">
        <v>189</v>
      </c>
      <c r="T384" s="6" t="s">
        <v>49</v>
      </c>
      <c r="U384" s="6" t="s">
        <v>53</v>
      </c>
    </row>
    <row r="385" spans="1:21" x14ac:dyDescent="0.2">
      <c r="A385" s="6" t="s">
        <v>1559</v>
      </c>
      <c r="B385" s="6" t="s">
        <v>1562</v>
      </c>
      <c r="C385" s="6" t="s">
        <v>57</v>
      </c>
      <c r="D385" s="6" t="s">
        <v>54</v>
      </c>
      <c r="E385" s="6" t="s">
        <v>257</v>
      </c>
      <c r="F385" s="6" t="s">
        <v>2779</v>
      </c>
      <c r="G385" s="6" t="s">
        <v>2780</v>
      </c>
      <c r="H385" s="6" t="s">
        <v>2781</v>
      </c>
      <c r="I385" s="6" t="s">
        <v>55</v>
      </c>
      <c r="J385" s="6" t="s">
        <v>56</v>
      </c>
      <c r="K385" s="5" t="s">
        <v>5476</v>
      </c>
      <c r="L385" s="6" t="s">
        <v>52</v>
      </c>
      <c r="M385" s="6" t="s">
        <v>173</v>
      </c>
      <c r="N385" s="6" t="s">
        <v>366</v>
      </c>
      <c r="O385" s="17">
        <v>43861</v>
      </c>
      <c r="P385" s="5">
        <v>2</v>
      </c>
      <c r="Q385" s="17">
        <v>51123</v>
      </c>
      <c r="R385" s="6" t="s">
        <v>173</v>
      </c>
      <c r="S385" s="6" t="s">
        <v>54</v>
      </c>
      <c r="T385" s="6" t="s">
        <v>49</v>
      </c>
      <c r="U385" s="6" t="s">
        <v>53</v>
      </c>
    </row>
    <row r="386" spans="1:21" x14ac:dyDescent="0.2">
      <c r="A386" s="6" t="s">
        <v>1335</v>
      </c>
      <c r="B386" s="6" t="s">
        <v>1338</v>
      </c>
      <c r="C386" s="6" t="s">
        <v>57</v>
      </c>
      <c r="D386" s="6" t="s">
        <v>54</v>
      </c>
      <c r="E386" s="6" t="s">
        <v>1339</v>
      </c>
      <c r="F386" s="6" t="s">
        <v>2353</v>
      </c>
      <c r="G386" s="6" t="s">
        <v>2354</v>
      </c>
      <c r="H386" s="6" t="s">
        <v>2355</v>
      </c>
      <c r="I386" s="6" t="s">
        <v>55</v>
      </c>
      <c r="J386" s="6" t="s">
        <v>56</v>
      </c>
      <c r="K386" s="5">
        <v>32186500</v>
      </c>
      <c r="L386" s="6" t="s">
        <v>52</v>
      </c>
      <c r="M386" s="6" t="s">
        <v>173</v>
      </c>
      <c r="N386" s="6" t="s">
        <v>169</v>
      </c>
      <c r="O386" s="17">
        <v>43874</v>
      </c>
      <c r="P386" s="62">
        <v>3014</v>
      </c>
      <c r="Q386" s="17">
        <v>47527</v>
      </c>
      <c r="R386" s="6" t="s">
        <v>225</v>
      </c>
      <c r="S386" s="6" t="s">
        <v>174</v>
      </c>
      <c r="T386" s="6" t="s">
        <v>49</v>
      </c>
      <c r="U386" s="6" t="s">
        <v>2330</v>
      </c>
    </row>
    <row r="387" spans="1:21" x14ac:dyDescent="0.2">
      <c r="A387" s="6" t="s">
        <v>476</v>
      </c>
      <c r="B387" s="6" t="s">
        <v>479</v>
      </c>
      <c r="C387" s="6" t="s">
        <v>57</v>
      </c>
      <c r="D387" s="6" t="s">
        <v>54</v>
      </c>
      <c r="E387" s="6" t="s">
        <v>45</v>
      </c>
      <c r="F387" s="6" t="s">
        <v>2209</v>
      </c>
      <c r="G387" s="6" t="s">
        <v>2210</v>
      </c>
      <c r="H387" s="6" t="s">
        <v>2211</v>
      </c>
      <c r="I387" s="6" t="s">
        <v>55</v>
      </c>
      <c r="J387" s="6" t="s">
        <v>56</v>
      </c>
      <c r="K387" s="5" t="s">
        <v>5341</v>
      </c>
      <c r="L387" s="6" t="s">
        <v>458</v>
      </c>
      <c r="M387" s="6" t="s">
        <v>173</v>
      </c>
      <c r="N387" s="6" t="s">
        <v>45</v>
      </c>
      <c r="O387" s="17">
        <v>43878</v>
      </c>
      <c r="P387" s="5" t="s">
        <v>5334</v>
      </c>
      <c r="Q387" s="17">
        <v>46435</v>
      </c>
      <c r="R387" s="6" t="s">
        <v>173</v>
      </c>
      <c r="S387" s="6" t="s">
        <v>189</v>
      </c>
      <c r="T387" s="6" t="s">
        <v>49</v>
      </c>
      <c r="U387" s="6" t="s">
        <v>53</v>
      </c>
    </row>
    <row r="388" spans="1:21" x14ac:dyDescent="0.2">
      <c r="A388" s="6" t="s">
        <v>476</v>
      </c>
      <c r="B388" s="6" t="s">
        <v>479</v>
      </c>
      <c r="C388" s="6" t="s">
        <v>57</v>
      </c>
      <c r="D388" s="6" t="s">
        <v>54</v>
      </c>
      <c r="E388" s="6" t="s">
        <v>45</v>
      </c>
      <c r="F388" s="6" t="s">
        <v>2213</v>
      </c>
      <c r="G388" s="6" t="s">
        <v>2214</v>
      </c>
      <c r="H388" s="6" t="s">
        <v>2215</v>
      </c>
      <c r="I388" s="6" t="s">
        <v>55</v>
      </c>
      <c r="J388" s="6" t="s">
        <v>56</v>
      </c>
      <c r="K388" s="5" t="s">
        <v>5477</v>
      </c>
      <c r="L388" s="6" t="s">
        <v>458</v>
      </c>
      <c r="M388" s="6" t="s">
        <v>173</v>
      </c>
      <c r="N388" s="6" t="s">
        <v>45</v>
      </c>
      <c r="O388" s="17">
        <v>43755</v>
      </c>
      <c r="P388" s="5" t="s">
        <v>5334</v>
      </c>
      <c r="Q388" s="17">
        <v>45947</v>
      </c>
      <c r="R388" s="6" t="s">
        <v>225</v>
      </c>
      <c r="S388" s="6" t="s">
        <v>189</v>
      </c>
      <c r="T388" s="6" t="s">
        <v>49</v>
      </c>
      <c r="U388" s="6" t="s">
        <v>53</v>
      </c>
    </row>
    <row r="389" spans="1:21" x14ac:dyDescent="0.2">
      <c r="A389" s="6" t="s">
        <v>1525</v>
      </c>
      <c r="B389" s="6" t="s">
        <v>1528</v>
      </c>
      <c r="C389" s="6" t="s">
        <v>57</v>
      </c>
      <c r="D389" s="6" t="s">
        <v>54</v>
      </c>
      <c r="E389" s="6" t="s">
        <v>184</v>
      </c>
      <c r="F389" s="6" t="s">
        <v>3029</v>
      </c>
      <c r="G389" s="6" t="s">
        <v>3030</v>
      </c>
      <c r="H389" s="6" t="s">
        <v>3031</v>
      </c>
      <c r="I389" s="6" t="s">
        <v>420</v>
      </c>
      <c r="J389" s="6" t="s">
        <v>56</v>
      </c>
      <c r="K389" s="5" t="s">
        <v>5478</v>
      </c>
      <c r="L389" s="6" t="s">
        <v>52</v>
      </c>
      <c r="M389" s="6" t="s">
        <v>1770</v>
      </c>
      <c r="N389" s="6" t="s">
        <v>184</v>
      </c>
      <c r="O389" s="17">
        <v>43762</v>
      </c>
      <c r="P389" s="5">
        <v>0</v>
      </c>
      <c r="Q389" s="17">
        <v>45223</v>
      </c>
      <c r="R389" s="6" t="s">
        <v>173</v>
      </c>
      <c r="S389" s="6" t="s">
        <v>619</v>
      </c>
      <c r="T389" s="6" t="s">
        <v>115</v>
      </c>
      <c r="U389" s="6" t="s">
        <v>53</v>
      </c>
    </row>
    <row r="390" spans="1:21" x14ac:dyDescent="0.2">
      <c r="A390" s="6" t="s">
        <v>1525</v>
      </c>
      <c r="B390" s="6" t="s">
        <v>1528</v>
      </c>
      <c r="C390" s="6" t="s">
        <v>57</v>
      </c>
      <c r="D390" s="6" t="s">
        <v>54</v>
      </c>
      <c r="E390" s="6" t="s">
        <v>184</v>
      </c>
      <c r="F390" s="6" t="s">
        <v>3033</v>
      </c>
      <c r="G390" s="6" t="s">
        <v>3034</v>
      </c>
      <c r="H390" s="6" t="s">
        <v>3035</v>
      </c>
      <c r="I390" s="6" t="s">
        <v>420</v>
      </c>
      <c r="J390" s="6" t="s">
        <v>56</v>
      </c>
      <c r="K390" s="5" t="s">
        <v>5478</v>
      </c>
      <c r="L390" s="6" t="s">
        <v>52</v>
      </c>
      <c r="M390" s="6" t="s">
        <v>1770</v>
      </c>
      <c r="N390" s="6" t="s">
        <v>184</v>
      </c>
      <c r="O390" s="17">
        <v>43762</v>
      </c>
      <c r="P390" s="5" t="s">
        <v>5259</v>
      </c>
      <c r="Q390" s="17">
        <v>46684</v>
      </c>
      <c r="R390" s="6" t="s">
        <v>173</v>
      </c>
      <c r="S390" s="6" t="s">
        <v>619</v>
      </c>
      <c r="T390" s="6" t="s">
        <v>115</v>
      </c>
      <c r="U390" s="6" t="s">
        <v>53</v>
      </c>
    </row>
    <row r="391" spans="1:21" x14ac:dyDescent="0.2">
      <c r="A391" s="6" t="s">
        <v>1525</v>
      </c>
      <c r="B391" s="6" t="s">
        <v>1528</v>
      </c>
      <c r="C391" s="6" t="s">
        <v>57</v>
      </c>
      <c r="D391" s="6" t="s">
        <v>54</v>
      </c>
      <c r="E391" s="6" t="s">
        <v>184</v>
      </c>
      <c r="F391" s="6" t="s">
        <v>3037</v>
      </c>
      <c r="G391" s="6" t="s">
        <v>3038</v>
      </c>
      <c r="H391" s="6" t="s">
        <v>3039</v>
      </c>
      <c r="I391" s="6" t="s">
        <v>420</v>
      </c>
      <c r="J391" s="6" t="s">
        <v>56</v>
      </c>
      <c r="K391" s="5" t="s">
        <v>5478</v>
      </c>
      <c r="L391" s="6" t="s">
        <v>52</v>
      </c>
      <c r="M391" s="6" t="s">
        <v>1770</v>
      </c>
      <c r="N391" s="6" t="s">
        <v>184</v>
      </c>
      <c r="O391" s="17">
        <v>43762</v>
      </c>
      <c r="P391" s="62">
        <v>875</v>
      </c>
      <c r="Q391" s="17">
        <v>48145</v>
      </c>
      <c r="R391" s="6" t="s">
        <v>173</v>
      </c>
      <c r="S391" s="6" t="s">
        <v>619</v>
      </c>
      <c r="T391" s="6" t="s">
        <v>115</v>
      </c>
      <c r="U391" s="6" t="s">
        <v>53</v>
      </c>
    </row>
    <row r="392" spans="1:21" x14ac:dyDescent="0.2">
      <c r="A392" s="6" t="s">
        <v>1198</v>
      </c>
      <c r="B392" s="6" t="s">
        <v>1201</v>
      </c>
      <c r="C392" s="6" t="s">
        <v>71</v>
      </c>
      <c r="D392" s="6" t="s">
        <v>54</v>
      </c>
      <c r="E392" s="6" t="s">
        <v>1202</v>
      </c>
      <c r="F392" s="6" t="s">
        <v>2951</v>
      </c>
      <c r="G392" s="6" t="s">
        <v>2952</v>
      </c>
      <c r="H392" s="6" t="s">
        <v>2953</v>
      </c>
      <c r="I392" s="6" t="s">
        <v>55</v>
      </c>
      <c r="J392" s="6" t="s">
        <v>56</v>
      </c>
      <c r="K392" s="5" t="s">
        <v>5296</v>
      </c>
      <c r="L392" s="6" t="s">
        <v>52</v>
      </c>
      <c r="M392" s="6" t="s">
        <v>173</v>
      </c>
      <c r="N392" s="6" t="s">
        <v>1202</v>
      </c>
      <c r="O392" s="17">
        <v>43768</v>
      </c>
      <c r="P392" s="62">
        <v>4375</v>
      </c>
      <c r="Q392" s="17">
        <v>45595</v>
      </c>
      <c r="R392" s="6" t="s">
        <v>173</v>
      </c>
      <c r="S392" s="6" t="s">
        <v>54</v>
      </c>
      <c r="T392" s="6" t="s">
        <v>1205</v>
      </c>
      <c r="U392" s="6" t="s">
        <v>53</v>
      </c>
    </row>
    <row r="393" spans="1:21" x14ac:dyDescent="0.2">
      <c r="A393" s="6" t="s">
        <v>1066</v>
      </c>
      <c r="B393" s="6" t="s">
        <v>1069</v>
      </c>
      <c r="C393" s="6" t="s">
        <v>173</v>
      </c>
      <c r="D393" s="6" t="s">
        <v>54</v>
      </c>
      <c r="E393" s="6" t="s">
        <v>184</v>
      </c>
      <c r="F393" s="6" t="s">
        <v>1853</v>
      </c>
      <c r="G393" s="6" t="s">
        <v>1854</v>
      </c>
      <c r="H393" s="6" t="s">
        <v>1855</v>
      </c>
      <c r="I393" s="6" t="s">
        <v>55</v>
      </c>
      <c r="J393" s="6" t="s">
        <v>675</v>
      </c>
      <c r="K393" s="5" t="s">
        <v>5479</v>
      </c>
      <c r="L393" s="6" t="s">
        <v>52</v>
      </c>
      <c r="M393" s="6" t="s">
        <v>1775</v>
      </c>
      <c r="N393" s="6" t="s">
        <v>184</v>
      </c>
      <c r="O393" s="17">
        <v>43775</v>
      </c>
      <c r="P393" s="5">
        <v>0</v>
      </c>
      <c r="Q393" s="17">
        <v>45602</v>
      </c>
      <c r="R393" s="6" t="s">
        <v>173</v>
      </c>
      <c r="S393" s="6" t="s">
        <v>54</v>
      </c>
      <c r="T393" s="6" t="s">
        <v>188</v>
      </c>
      <c r="U393" s="6" t="s">
        <v>53</v>
      </c>
    </row>
    <row r="394" spans="1:21" x14ac:dyDescent="0.2">
      <c r="A394" s="6" t="s">
        <v>528</v>
      </c>
      <c r="B394" s="6" t="s">
        <v>531</v>
      </c>
      <c r="C394" s="6" t="s">
        <v>57</v>
      </c>
      <c r="D394" s="6" t="s">
        <v>54</v>
      </c>
      <c r="E394" s="6" t="s">
        <v>257</v>
      </c>
      <c r="F394" s="6" t="s">
        <v>3422</v>
      </c>
      <c r="G394" s="6" t="s">
        <v>3423</v>
      </c>
      <c r="H394" s="6" t="s">
        <v>3424</v>
      </c>
      <c r="I394" s="6" t="s">
        <v>55</v>
      </c>
      <c r="J394" s="6" t="s">
        <v>56</v>
      </c>
      <c r="K394" s="5" t="s">
        <v>5480</v>
      </c>
      <c r="L394" s="6" t="s">
        <v>52</v>
      </c>
      <c r="M394" s="6" t="s">
        <v>173</v>
      </c>
      <c r="N394" s="6" t="s">
        <v>257</v>
      </c>
      <c r="O394" s="17">
        <v>43782</v>
      </c>
      <c r="P394" s="5" t="s">
        <v>5329</v>
      </c>
      <c r="Q394" s="17">
        <v>45974</v>
      </c>
      <c r="R394" s="6" t="s">
        <v>173</v>
      </c>
      <c r="S394" s="6" t="s">
        <v>54</v>
      </c>
      <c r="T394" s="6" t="s">
        <v>49</v>
      </c>
      <c r="U394" s="6" t="s">
        <v>53</v>
      </c>
    </row>
    <row r="395" spans="1:21" x14ac:dyDescent="0.2">
      <c r="A395" s="6" t="s">
        <v>1058</v>
      </c>
      <c r="B395" s="6" t="s">
        <v>1045</v>
      </c>
      <c r="C395" s="6" t="s">
        <v>71</v>
      </c>
      <c r="D395" s="62">
        <v>7125</v>
      </c>
      <c r="E395" s="6" t="s">
        <v>1046</v>
      </c>
      <c r="F395" s="6" t="s">
        <v>3402</v>
      </c>
      <c r="G395" s="6" t="s">
        <v>3403</v>
      </c>
      <c r="H395" s="6" t="s">
        <v>3404</v>
      </c>
      <c r="I395" s="6" t="s">
        <v>55</v>
      </c>
      <c r="J395" s="6" t="s">
        <v>56</v>
      </c>
      <c r="K395" s="63">
        <v>1000000000</v>
      </c>
      <c r="L395" s="6" t="s">
        <v>52</v>
      </c>
      <c r="M395" s="6" t="s">
        <v>1770</v>
      </c>
      <c r="N395" s="6" t="s">
        <v>366</v>
      </c>
      <c r="O395" s="17">
        <v>43794</v>
      </c>
      <c r="P395" s="62">
        <v>7125</v>
      </c>
      <c r="Q395" s="17">
        <v>45688</v>
      </c>
      <c r="R395" s="6" t="s">
        <v>261</v>
      </c>
      <c r="S395" s="6" t="s">
        <v>296</v>
      </c>
      <c r="T395" s="6" t="s">
        <v>115</v>
      </c>
      <c r="U395" s="6" t="s">
        <v>262</v>
      </c>
    </row>
    <row r="396" spans="1:21" x14ac:dyDescent="0.2">
      <c r="A396" s="6" t="s">
        <v>1058</v>
      </c>
      <c r="B396" s="6" t="s">
        <v>1045</v>
      </c>
      <c r="C396" s="6" t="s">
        <v>71</v>
      </c>
      <c r="D396" s="62">
        <v>7125</v>
      </c>
      <c r="E396" s="6" t="s">
        <v>1046</v>
      </c>
      <c r="F396" s="6" t="s">
        <v>3406</v>
      </c>
      <c r="G396" s="6" t="s">
        <v>3407</v>
      </c>
      <c r="H396" s="6" t="s">
        <v>3408</v>
      </c>
      <c r="I396" s="6" t="s">
        <v>55</v>
      </c>
      <c r="J396" s="6" t="s">
        <v>56</v>
      </c>
      <c r="K396" s="63">
        <v>1000000000</v>
      </c>
      <c r="L396" s="6" t="s">
        <v>52</v>
      </c>
      <c r="M396" s="6" t="s">
        <v>1770</v>
      </c>
      <c r="N396" s="6" t="s">
        <v>366</v>
      </c>
      <c r="O396" s="17">
        <v>43794</v>
      </c>
      <c r="P396" s="62">
        <v>7125</v>
      </c>
      <c r="Q396" s="17">
        <v>45688</v>
      </c>
      <c r="R396" s="6" t="s">
        <v>270</v>
      </c>
      <c r="S396" s="6" t="s">
        <v>296</v>
      </c>
      <c r="T396" s="6" t="s">
        <v>115</v>
      </c>
      <c r="U396" s="6" t="s">
        <v>262</v>
      </c>
    </row>
    <row r="397" spans="1:21" x14ac:dyDescent="0.2">
      <c r="A397" s="6" t="s">
        <v>1075</v>
      </c>
      <c r="B397" s="6" t="s">
        <v>1078</v>
      </c>
      <c r="C397" s="6" t="s">
        <v>71</v>
      </c>
      <c r="D397" s="6" t="s">
        <v>54</v>
      </c>
      <c r="E397" s="6" t="s">
        <v>184</v>
      </c>
      <c r="F397" s="6" t="s">
        <v>2578</v>
      </c>
      <c r="G397" s="6" t="s">
        <v>2579</v>
      </c>
      <c r="H397" s="6" t="s">
        <v>2580</v>
      </c>
      <c r="I397" s="6" t="s">
        <v>884</v>
      </c>
      <c r="J397" s="6" t="s">
        <v>56</v>
      </c>
      <c r="K397" s="5" t="s">
        <v>5481</v>
      </c>
      <c r="L397" s="6" t="s">
        <v>52</v>
      </c>
      <c r="M397" s="6" t="s">
        <v>1839</v>
      </c>
      <c r="N397" s="6" t="s">
        <v>184</v>
      </c>
      <c r="O397" s="17">
        <v>43796</v>
      </c>
      <c r="P397" s="62">
        <v>2375</v>
      </c>
      <c r="Q397" s="17">
        <v>46553</v>
      </c>
      <c r="R397" s="6" t="s">
        <v>173</v>
      </c>
      <c r="S397" s="6" t="s">
        <v>884</v>
      </c>
      <c r="T397" s="6" t="s">
        <v>115</v>
      </c>
      <c r="U397" s="6" t="s">
        <v>53</v>
      </c>
    </row>
    <row r="398" spans="1:21" x14ac:dyDescent="0.2">
      <c r="A398" s="6" t="s">
        <v>165</v>
      </c>
      <c r="B398" s="6" t="s">
        <v>168</v>
      </c>
      <c r="C398" s="6" t="s">
        <v>57</v>
      </c>
      <c r="D398" s="6" t="s">
        <v>54</v>
      </c>
      <c r="E398" s="6" t="s">
        <v>170</v>
      </c>
      <c r="F398" s="6" t="s">
        <v>2678</v>
      </c>
      <c r="G398" s="6" t="s">
        <v>2679</v>
      </c>
      <c r="H398" s="6" t="s">
        <v>2680</v>
      </c>
      <c r="I398" s="6" t="s">
        <v>55</v>
      </c>
      <c r="J398" s="6" t="s">
        <v>56</v>
      </c>
      <c r="K398" s="5" t="s">
        <v>5435</v>
      </c>
      <c r="L398" s="6" t="s">
        <v>52</v>
      </c>
      <c r="M398" s="6" t="s">
        <v>1770</v>
      </c>
      <c r="N398" s="6" t="s">
        <v>169</v>
      </c>
      <c r="O398" s="17">
        <v>43798</v>
      </c>
      <c r="P398" s="5" t="s">
        <v>5259</v>
      </c>
      <c r="Q398" s="17">
        <v>46355</v>
      </c>
      <c r="R398" s="6" t="s">
        <v>225</v>
      </c>
      <c r="S398" s="6" t="s">
        <v>174</v>
      </c>
      <c r="T398" s="6" t="s">
        <v>115</v>
      </c>
      <c r="U398" s="6" t="s">
        <v>53</v>
      </c>
    </row>
    <row r="399" spans="1:21" x14ac:dyDescent="0.2">
      <c r="A399" s="6" t="s">
        <v>127</v>
      </c>
      <c r="B399" s="6" t="s">
        <v>130</v>
      </c>
      <c r="C399" s="6" t="s">
        <v>57</v>
      </c>
      <c r="D399" s="6" t="s">
        <v>54</v>
      </c>
      <c r="E399" s="6" t="s">
        <v>45</v>
      </c>
      <c r="F399" s="6" t="s">
        <v>3069</v>
      </c>
      <c r="G399" s="6" t="s">
        <v>173</v>
      </c>
      <c r="H399" s="6" t="s">
        <v>3070</v>
      </c>
      <c r="I399" s="6" t="s">
        <v>133</v>
      </c>
      <c r="J399" s="6" t="s">
        <v>56</v>
      </c>
      <c r="K399" s="5">
        <v>77916300</v>
      </c>
      <c r="L399" s="6" t="s">
        <v>52</v>
      </c>
      <c r="M399" s="6" t="s">
        <v>1770</v>
      </c>
      <c r="N399" s="6" t="s">
        <v>45</v>
      </c>
      <c r="O399" s="17">
        <v>43844</v>
      </c>
      <c r="P399" s="5">
        <v>0</v>
      </c>
      <c r="Q399" s="17">
        <v>45671</v>
      </c>
      <c r="R399" s="6" t="s">
        <v>104</v>
      </c>
      <c r="S399" s="6" t="s">
        <v>54</v>
      </c>
      <c r="T399" s="6" t="s">
        <v>49</v>
      </c>
      <c r="U399" s="6" t="s">
        <v>53</v>
      </c>
    </row>
    <row r="400" spans="1:21" x14ac:dyDescent="0.2">
      <c r="A400" s="6" t="s">
        <v>127</v>
      </c>
      <c r="B400" s="6" t="s">
        <v>130</v>
      </c>
      <c r="C400" s="6" t="s">
        <v>71</v>
      </c>
      <c r="D400" s="6" t="s">
        <v>54</v>
      </c>
      <c r="E400" s="6" t="s">
        <v>45</v>
      </c>
      <c r="F400" s="6" t="s">
        <v>3072</v>
      </c>
      <c r="G400" s="6" t="s">
        <v>173</v>
      </c>
      <c r="H400" s="6" t="s">
        <v>3073</v>
      </c>
      <c r="I400" s="6" t="s">
        <v>133</v>
      </c>
      <c r="J400" s="6" t="s">
        <v>70</v>
      </c>
      <c r="K400" s="5">
        <v>77916300</v>
      </c>
      <c r="L400" s="6" t="s">
        <v>52</v>
      </c>
      <c r="M400" s="6" t="s">
        <v>1770</v>
      </c>
      <c r="N400" s="6" t="s">
        <v>45</v>
      </c>
      <c r="O400" s="17">
        <v>43844</v>
      </c>
      <c r="P400" s="5">
        <v>0</v>
      </c>
      <c r="Q400" s="17">
        <v>45671</v>
      </c>
      <c r="R400" s="6" t="s">
        <v>94</v>
      </c>
      <c r="S400" s="6" t="s">
        <v>54</v>
      </c>
      <c r="T400" s="6" t="s">
        <v>49</v>
      </c>
      <c r="U400" s="6" t="s">
        <v>53</v>
      </c>
    </row>
    <row r="401" spans="1:21" x14ac:dyDescent="0.2">
      <c r="A401" s="6" t="s">
        <v>476</v>
      </c>
      <c r="B401" s="6" t="s">
        <v>479</v>
      </c>
      <c r="C401" s="6" t="s">
        <v>391</v>
      </c>
      <c r="D401" s="6" t="s">
        <v>54</v>
      </c>
      <c r="E401" s="6" t="s">
        <v>45</v>
      </c>
      <c r="F401" s="6" t="s">
        <v>2217</v>
      </c>
      <c r="G401" s="6" t="s">
        <v>2218</v>
      </c>
      <c r="H401" s="6" t="s">
        <v>2219</v>
      </c>
      <c r="I401" s="6" t="s">
        <v>55</v>
      </c>
      <c r="J401" s="6" t="s">
        <v>70</v>
      </c>
      <c r="K401" s="5" t="s">
        <v>5482</v>
      </c>
      <c r="L401" s="6" t="s">
        <v>458</v>
      </c>
      <c r="M401" s="6" t="s">
        <v>173</v>
      </c>
      <c r="N401" s="6" t="s">
        <v>45</v>
      </c>
      <c r="O401" s="17">
        <v>43794</v>
      </c>
      <c r="P401" s="5">
        <v>0</v>
      </c>
      <c r="Q401" s="17">
        <v>45610</v>
      </c>
      <c r="R401" s="6" t="s">
        <v>225</v>
      </c>
      <c r="S401" s="6" t="s">
        <v>189</v>
      </c>
      <c r="T401" s="6" t="s">
        <v>49</v>
      </c>
      <c r="U401" s="6" t="s">
        <v>53</v>
      </c>
    </row>
    <row r="402" spans="1:21" x14ac:dyDescent="0.2">
      <c r="A402" s="6" t="s">
        <v>476</v>
      </c>
      <c r="B402" s="6" t="s">
        <v>479</v>
      </c>
      <c r="C402" s="6" t="s">
        <v>57</v>
      </c>
      <c r="D402" s="6" t="s">
        <v>54</v>
      </c>
      <c r="E402" s="6" t="s">
        <v>45</v>
      </c>
      <c r="F402" s="6" t="s">
        <v>2221</v>
      </c>
      <c r="G402" s="6" t="s">
        <v>2222</v>
      </c>
      <c r="H402" s="6" t="s">
        <v>2223</v>
      </c>
      <c r="I402" s="6" t="s">
        <v>55</v>
      </c>
      <c r="J402" s="6" t="s">
        <v>56</v>
      </c>
      <c r="K402" s="5">
        <v>49756050</v>
      </c>
      <c r="L402" s="6" t="s">
        <v>2011</v>
      </c>
      <c r="M402" s="6" t="s">
        <v>2012</v>
      </c>
      <c r="N402" s="6" t="s">
        <v>45</v>
      </c>
      <c r="O402" s="17">
        <v>43808</v>
      </c>
      <c r="P402" s="62">
        <v>1157</v>
      </c>
      <c r="Q402" s="17">
        <v>51113</v>
      </c>
      <c r="R402" s="6" t="s">
        <v>173</v>
      </c>
      <c r="S402" s="6" t="s">
        <v>117</v>
      </c>
      <c r="T402" s="6" t="s">
        <v>49</v>
      </c>
      <c r="U402" s="6" t="s">
        <v>53</v>
      </c>
    </row>
    <row r="403" spans="1:21" x14ac:dyDescent="0.2">
      <c r="A403" s="6" t="s">
        <v>1559</v>
      </c>
      <c r="B403" s="6" t="s">
        <v>1562</v>
      </c>
      <c r="C403" s="6" t="s">
        <v>57</v>
      </c>
      <c r="D403" s="6" t="s">
        <v>54</v>
      </c>
      <c r="E403" s="6" t="s">
        <v>257</v>
      </c>
      <c r="F403" s="6" t="s">
        <v>2783</v>
      </c>
      <c r="G403" s="6" t="s">
        <v>2784</v>
      </c>
      <c r="H403" s="6" t="s">
        <v>2785</v>
      </c>
      <c r="I403" s="6" t="s">
        <v>55</v>
      </c>
      <c r="J403" s="6" t="s">
        <v>56</v>
      </c>
      <c r="K403" s="5" t="s">
        <v>5236</v>
      </c>
      <c r="L403" s="6" t="s">
        <v>52</v>
      </c>
      <c r="M403" s="6" t="s">
        <v>1775</v>
      </c>
      <c r="N403" s="6" t="s">
        <v>366</v>
      </c>
      <c r="O403" s="17">
        <v>43817</v>
      </c>
      <c r="P403" s="5">
        <v>1</v>
      </c>
      <c r="Q403" s="17">
        <v>46741</v>
      </c>
      <c r="R403" s="6" t="s">
        <v>173</v>
      </c>
      <c r="S403" s="6" t="s">
        <v>174</v>
      </c>
      <c r="T403" s="6" t="s">
        <v>49</v>
      </c>
      <c r="U403" s="6" t="s">
        <v>53</v>
      </c>
    </row>
    <row r="404" spans="1:21" x14ac:dyDescent="0.2">
      <c r="A404" s="6" t="s">
        <v>1559</v>
      </c>
      <c r="B404" s="6" t="s">
        <v>1562</v>
      </c>
      <c r="C404" s="6" t="s">
        <v>57</v>
      </c>
      <c r="D404" s="6" t="s">
        <v>54</v>
      </c>
      <c r="E404" s="6" t="s">
        <v>257</v>
      </c>
      <c r="F404" s="6" t="s">
        <v>2787</v>
      </c>
      <c r="G404" s="6" t="s">
        <v>2788</v>
      </c>
      <c r="H404" s="6" t="s">
        <v>2789</v>
      </c>
      <c r="I404" s="6" t="s">
        <v>55</v>
      </c>
      <c r="J404" s="6" t="s">
        <v>56</v>
      </c>
      <c r="K404" s="5" t="s">
        <v>5236</v>
      </c>
      <c r="L404" s="6" t="s">
        <v>52</v>
      </c>
      <c r="M404" s="6" t="s">
        <v>1770</v>
      </c>
      <c r="N404" s="6" t="s">
        <v>366</v>
      </c>
      <c r="O404" s="17">
        <v>43817</v>
      </c>
      <c r="P404" s="5" t="s">
        <v>5449</v>
      </c>
      <c r="Q404" s="17">
        <v>51123</v>
      </c>
      <c r="R404" s="6" t="s">
        <v>173</v>
      </c>
      <c r="S404" s="6" t="s">
        <v>174</v>
      </c>
      <c r="T404" s="6" t="s">
        <v>49</v>
      </c>
      <c r="U404" s="6" t="s">
        <v>53</v>
      </c>
    </row>
    <row r="405" spans="1:21" x14ac:dyDescent="0.2">
      <c r="A405" s="6" t="s">
        <v>476</v>
      </c>
      <c r="B405" s="6" t="s">
        <v>479</v>
      </c>
      <c r="C405" s="6" t="s">
        <v>57</v>
      </c>
      <c r="D405" s="6" t="s">
        <v>54</v>
      </c>
      <c r="E405" s="6" t="s">
        <v>45</v>
      </c>
      <c r="F405" s="6" t="s">
        <v>2225</v>
      </c>
      <c r="G405" s="6" t="s">
        <v>2226</v>
      </c>
      <c r="H405" s="6" t="s">
        <v>2227</v>
      </c>
      <c r="I405" s="6" t="s">
        <v>55</v>
      </c>
      <c r="J405" s="6" t="s">
        <v>56</v>
      </c>
      <c r="K405" s="5" t="s">
        <v>5275</v>
      </c>
      <c r="L405" s="6" t="s">
        <v>458</v>
      </c>
      <c r="M405" s="6" t="s">
        <v>1770</v>
      </c>
      <c r="N405" s="6" t="s">
        <v>45</v>
      </c>
      <c r="O405" s="17">
        <v>43704</v>
      </c>
      <c r="P405" s="5" t="s">
        <v>5334</v>
      </c>
      <c r="Q405" s="17">
        <v>44802</v>
      </c>
      <c r="R405" s="6" t="s">
        <v>225</v>
      </c>
      <c r="S405" s="6" t="s">
        <v>189</v>
      </c>
      <c r="T405" s="6" t="s">
        <v>49</v>
      </c>
      <c r="U405" s="6" t="s">
        <v>53</v>
      </c>
    </row>
    <row r="406" spans="1:21" x14ac:dyDescent="0.2">
      <c r="A406" s="6" t="s">
        <v>670</v>
      </c>
      <c r="B406" s="6" t="s">
        <v>673</v>
      </c>
      <c r="C406" s="6" t="s">
        <v>173</v>
      </c>
      <c r="D406" s="6" t="s">
        <v>54</v>
      </c>
      <c r="E406" s="6" t="s">
        <v>184</v>
      </c>
      <c r="F406" s="6" t="s">
        <v>2382</v>
      </c>
      <c r="G406" s="6" t="s">
        <v>2383</v>
      </c>
      <c r="H406" s="6" t="s">
        <v>2384</v>
      </c>
      <c r="I406" s="6" t="s">
        <v>420</v>
      </c>
      <c r="J406" s="6" t="s">
        <v>675</v>
      </c>
      <c r="K406" s="5" t="s">
        <v>5483</v>
      </c>
      <c r="L406" s="6" t="s">
        <v>52</v>
      </c>
      <c r="M406" s="6" t="s">
        <v>1770</v>
      </c>
      <c r="N406" s="6" t="s">
        <v>184</v>
      </c>
      <c r="O406" s="17">
        <v>43714</v>
      </c>
      <c r="P406" s="5">
        <v>0</v>
      </c>
      <c r="Q406" s="17">
        <v>45541</v>
      </c>
      <c r="R406" s="6" t="s">
        <v>674</v>
      </c>
      <c r="S406" s="6" t="s">
        <v>54</v>
      </c>
      <c r="T406" s="6" t="s">
        <v>188</v>
      </c>
      <c r="U406" s="6" t="s">
        <v>53</v>
      </c>
    </row>
    <row r="407" spans="1:21" x14ac:dyDescent="0.2">
      <c r="A407" s="6" t="s">
        <v>1359</v>
      </c>
      <c r="B407" s="6" t="s">
        <v>1362</v>
      </c>
      <c r="C407" s="6" t="s">
        <v>57</v>
      </c>
      <c r="D407" s="6" t="s">
        <v>54</v>
      </c>
      <c r="E407" s="6" t="s">
        <v>199</v>
      </c>
      <c r="F407" s="6" t="s">
        <v>3261</v>
      </c>
      <c r="G407" s="6" t="s">
        <v>3262</v>
      </c>
      <c r="H407" s="6" t="s">
        <v>3263</v>
      </c>
      <c r="I407" s="6" t="s">
        <v>117</v>
      </c>
      <c r="J407" s="6" t="s">
        <v>56</v>
      </c>
      <c r="K407" s="5" t="s">
        <v>5484</v>
      </c>
      <c r="L407" s="6" t="s">
        <v>52</v>
      </c>
      <c r="M407" s="6" t="s">
        <v>1770</v>
      </c>
      <c r="N407" s="6" t="s">
        <v>199</v>
      </c>
      <c r="O407" s="17">
        <v>43720</v>
      </c>
      <c r="P407" s="5">
        <v>0</v>
      </c>
      <c r="Q407" s="17">
        <v>45424</v>
      </c>
      <c r="R407" s="6" t="s">
        <v>173</v>
      </c>
      <c r="S407" s="6" t="s">
        <v>174</v>
      </c>
      <c r="T407" s="6" t="s">
        <v>115</v>
      </c>
      <c r="U407" s="6" t="s">
        <v>53</v>
      </c>
    </row>
    <row r="408" spans="1:21" x14ac:dyDescent="0.2">
      <c r="A408" s="6" t="s">
        <v>1359</v>
      </c>
      <c r="B408" s="6" t="s">
        <v>1362</v>
      </c>
      <c r="C408" s="6" t="s">
        <v>57</v>
      </c>
      <c r="D408" s="6" t="s">
        <v>54</v>
      </c>
      <c r="E408" s="6" t="s">
        <v>199</v>
      </c>
      <c r="F408" s="6" t="s">
        <v>3265</v>
      </c>
      <c r="G408" s="6" t="s">
        <v>3266</v>
      </c>
      <c r="H408" s="6" t="s">
        <v>3267</v>
      </c>
      <c r="I408" s="6" t="s">
        <v>117</v>
      </c>
      <c r="J408" s="6" t="s">
        <v>56</v>
      </c>
      <c r="K408" s="5" t="s">
        <v>5485</v>
      </c>
      <c r="L408" s="6" t="s">
        <v>52</v>
      </c>
      <c r="M408" s="6" t="s">
        <v>1770</v>
      </c>
      <c r="N408" s="6" t="s">
        <v>199</v>
      </c>
      <c r="O408" s="17">
        <v>43720</v>
      </c>
      <c r="P408" s="5">
        <v>1</v>
      </c>
      <c r="Q408" s="17">
        <v>49199</v>
      </c>
      <c r="R408" s="6" t="s">
        <v>225</v>
      </c>
      <c r="S408" s="6" t="s">
        <v>174</v>
      </c>
      <c r="T408" s="6" t="s">
        <v>115</v>
      </c>
      <c r="U408" s="6" t="s">
        <v>53</v>
      </c>
    </row>
    <row r="409" spans="1:21" x14ac:dyDescent="0.2">
      <c r="A409" s="6" t="s">
        <v>1208</v>
      </c>
      <c r="B409" s="6" t="s">
        <v>1211</v>
      </c>
      <c r="C409" s="6" t="s">
        <v>391</v>
      </c>
      <c r="D409" s="6" t="s">
        <v>54</v>
      </c>
      <c r="E409" s="6" t="s">
        <v>367</v>
      </c>
      <c r="F409" s="6" t="s">
        <v>2929</v>
      </c>
      <c r="G409" s="6" t="s">
        <v>2930</v>
      </c>
      <c r="H409" s="6" t="s">
        <v>2931</v>
      </c>
      <c r="I409" s="6" t="s">
        <v>55</v>
      </c>
      <c r="J409" s="6" t="s">
        <v>70</v>
      </c>
      <c r="K409" s="5" t="s">
        <v>5486</v>
      </c>
      <c r="L409" s="6" t="s">
        <v>52</v>
      </c>
      <c r="M409" s="6" t="s">
        <v>1770</v>
      </c>
      <c r="N409" s="6" t="s">
        <v>367</v>
      </c>
      <c r="O409" s="17">
        <v>43726</v>
      </c>
      <c r="P409" s="5" t="s">
        <v>5487</v>
      </c>
      <c r="Q409" s="17">
        <v>45187</v>
      </c>
      <c r="R409" s="6" t="s">
        <v>685</v>
      </c>
      <c r="S409" s="6" t="s">
        <v>54</v>
      </c>
      <c r="T409" s="6" t="s">
        <v>49</v>
      </c>
      <c r="U409" s="6" t="s">
        <v>686</v>
      </c>
    </row>
    <row r="410" spans="1:21" x14ac:dyDescent="0.2">
      <c r="A410" s="6" t="s">
        <v>1224</v>
      </c>
      <c r="B410" s="6" t="s">
        <v>1227</v>
      </c>
      <c r="C410" s="6" t="s">
        <v>57</v>
      </c>
      <c r="D410" s="6" t="s">
        <v>54</v>
      </c>
      <c r="E410" s="6" t="s">
        <v>594</v>
      </c>
      <c r="F410" s="6" t="s">
        <v>2818</v>
      </c>
      <c r="G410" s="6" t="s">
        <v>2819</v>
      </c>
      <c r="H410" s="6" t="s">
        <v>2820</v>
      </c>
      <c r="I410" s="6" t="s">
        <v>55</v>
      </c>
      <c r="J410" s="6" t="s">
        <v>56</v>
      </c>
      <c r="K410" s="5" t="s">
        <v>5488</v>
      </c>
      <c r="L410" s="6" t="s">
        <v>52</v>
      </c>
      <c r="M410" s="6" t="s">
        <v>173</v>
      </c>
      <c r="N410" s="6" t="s">
        <v>594</v>
      </c>
      <c r="O410" s="17">
        <v>43728</v>
      </c>
      <c r="P410" s="62">
        <v>625</v>
      </c>
      <c r="Q410" s="17">
        <v>47381</v>
      </c>
      <c r="R410" s="6" t="s">
        <v>173</v>
      </c>
      <c r="S410" s="6" t="s">
        <v>174</v>
      </c>
      <c r="T410" s="6" t="s">
        <v>115</v>
      </c>
      <c r="U410" s="6" t="s">
        <v>53</v>
      </c>
    </row>
    <row r="411" spans="1:21" x14ac:dyDescent="0.2">
      <c r="A411" s="6" t="s">
        <v>1132</v>
      </c>
      <c r="B411" s="6" t="s">
        <v>1135</v>
      </c>
      <c r="C411" s="6" t="s">
        <v>57</v>
      </c>
      <c r="D411" s="6" t="s">
        <v>54</v>
      </c>
      <c r="E411" s="6" t="s">
        <v>45</v>
      </c>
      <c r="F411" s="6" t="s">
        <v>2610</v>
      </c>
      <c r="G411" s="6" t="s">
        <v>2611</v>
      </c>
      <c r="H411" s="6" t="s">
        <v>2612</v>
      </c>
      <c r="I411" s="6" t="s">
        <v>420</v>
      </c>
      <c r="J411" s="6" t="s">
        <v>56</v>
      </c>
      <c r="K411" s="5" t="s">
        <v>5489</v>
      </c>
      <c r="L411" s="6" t="s">
        <v>52</v>
      </c>
      <c r="M411" s="6" t="s">
        <v>1770</v>
      </c>
      <c r="N411" s="6" t="s">
        <v>45</v>
      </c>
      <c r="O411" s="17">
        <v>43738</v>
      </c>
      <c r="P411" s="5">
        <v>1</v>
      </c>
      <c r="Q411" s="17">
        <v>44834</v>
      </c>
      <c r="R411" s="6" t="s">
        <v>173</v>
      </c>
      <c r="S411" s="6" t="s">
        <v>117</v>
      </c>
      <c r="T411" s="6" t="s">
        <v>115</v>
      </c>
      <c r="U411" s="6" t="s">
        <v>1547</v>
      </c>
    </row>
    <row r="412" spans="1:21" x14ac:dyDescent="0.2">
      <c r="A412" s="6" t="s">
        <v>1132</v>
      </c>
      <c r="B412" s="6" t="s">
        <v>1135</v>
      </c>
      <c r="C412" s="6" t="s">
        <v>57</v>
      </c>
      <c r="D412" s="6" t="s">
        <v>54</v>
      </c>
      <c r="E412" s="6" t="s">
        <v>45</v>
      </c>
      <c r="F412" s="6" t="s">
        <v>2614</v>
      </c>
      <c r="G412" s="6" t="s">
        <v>2615</v>
      </c>
      <c r="H412" s="6" t="s">
        <v>2616</v>
      </c>
      <c r="I412" s="6" t="s">
        <v>420</v>
      </c>
      <c r="J412" s="6" t="s">
        <v>56</v>
      </c>
      <c r="K412" s="5" t="s">
        <v>5490</v>
      </c>
      <c r="L412" s="6" t="s">
        <v>52</v>
      </c>
      <c r="M412" s="6" t="s">
        <v>1770</v>
      </c>
      <c r="N412" s="6" t="s">
        <v>45</v>
      </c>
      <c r="O412" s="17">
        <v>43738</v>
      </c>
      <c r="P412" s="5" t="s">
        <v>5228</v>
      </c>
      <c r="Q412" s="17">
        <v>46295</v>
      </c>
      <c r="R412" s="6" t="s">
        <v>173</v>
      </c>
      <c r="S412" s="6" t="s">
        <v>117</v>
      </c>
      <c r="T412" s="6" t="s">
        <v>115</v>
      </c>
      <c r="U412" s="6" t="s">
        <v>1547</v>
      </c>
    </row>
    <row r="413" spans="1:21" x14ac:dyDescent="0.2">
      <c r="A413" s="6" t="s">
        <v>946</v>
      </c>
      <c r="B413" s="6" t="s">
        <v>949</v>
      </c>
      <c r="C413" s="6" t="s">
        <v>57</v>
      </c>
      <c r="D413" s="6" t="s">
        <v>54</v>
      </c>
      <c r="E413" s="6" t="s">
        <v>366</v>
      </c>
      <c r="F413" s="6" t="s">
        <v>2964</v>
      </c>
      <c r="G413" s="6" t="s">
        <v>2965</v>
      </c>
      <c r="H413" s="6" t="s">
        <v>2966</v>
      </c>
      <c r="I413" s="6" t="s">
        <v>55</v>
      </c>
      <c r="J413" s="6" t="s">
        <v>56</v>
      </c>
      <c r="K413" s="5" t="s">
        <v>5491</v>
      </c>
      <c r="L413" s="6" t="s">
        <v>52</v>
      </c>
      <c r="M413" s="6" t="s">
        <v>1770</v>
      </c>
      <c r="N413" s="6" t="s">
        <v>366</v>
      </c>
      <c r="O413" s="17">
        <v>43741</v>
      </c>
      <c r="P413" s="62">
        <v>375</v>
      </c>
      <c r="Q413" s="17">
        <v>48124</v>
      </c>
      <c r="R413" s="6" t="s">
        <v>225</v>
      </c>
      <c r="S413" s="6" t="s">
        <v>189</v>
      </c>
      <c r="T413" s="6" t="s">
        <v>115</v>
      </c>
      <c r="U413" s="6" t="s">
        <v>53</v>
      </c>
    </row>
    <row r="414" spans="1:21" x14ac:dyDescent="0.2">
      <c r="A414" s="6" t="s">
        <v>476</v>
      </c>
      <c r="B414" s="6" t="s">
        <v>479</v>
      </c>
      <c r="C414" s="6" t="s">
        <v>391</v>
      </c>
      <c r="D414" s="6" t="s">
        <v>54</v>
      </c>
      <c r="E414" s="6" t="s">
        <v>45</v>
      </c>
      <c r="F414" s="6" t="s">
        <v>2229</v>
      </c>
      <c r="G414" s="6" t="s">
        <v>2230</v>
      </c>
      <c r="H414" s="6" t="s">
        <v>2231</v>
      </c>
      <c r="I414" s="6" t="s">
        <v>55</v>
      </c>
      <c r="J414" s="6" t="s">
        <v>70</v>
      </c>
      <c r="K414" s="5" t="s">
        <v>5492</v>
      </c>
      <c r="L414" s="6" t="s">
        <v>458</v>
      </c>
      <c r="M414" s="6" t="s">
        <v>173</v>
      </c>
      <c r="N414" s="6" t="s">
        <v>45</v>
      </c>
      <c r="O414" s="17">
        <v>43738</v>
      </c>
      <c r="P414" s="5">
        <v>0</v>
      </c>
      <c r="Q414" s="17">
        <v>45230</v>
      </c>
      <c r="R414" s="6" t="s">
        <v>225</v>
      </c>
      <c r="S414" s="6" t="s">
        <v>189</v>
      </c>
      <c r="T414" s="6" t="s">
        <v>49</v>
      </c>
      <c r="U414" s="6" t="s">
        <v>53</v>
      </c>
    </row>
    <row r="415" spans="1:21" x14ac:dyDescent="0.2">
      <c r="A415" s="6" t="s">
        <v>613</v>
      </c>
      <c r="B415" s="6" t="s">
        <v>616</v>
      </c>
      <c r="C415" s="6" t="s">
        <v>57</v>
      </c>
      <c r="D415" s="6" t="s">
        <v>54</v>
      </c>
      <c r="E415" s="6" t="s">
        <v>199</v>
      </c>
      <c r="F415" s="6" t="s">
        <v>2540</v>
      </c>
      <c r="G415" s="6" t="s">
        <v>2541</v>
      </c>
      <c r="H415" s="6" t="s">
        <v>2542</v>
      </c>
      <c r="I415" s="6" t="s">
        <v>117</v>
      </c>
      <c r="J415" s="6" t="s">
        <v>56</v>
      </c>
      <c r="K415" s="5" t="s">
        <v>5493</v>
      </c>
      <c r="L415" s="6" t="s">
        <v>52</v>
      </c>
      <c r="M415" s="6" t="s">
        <v>1770</v>
      </c>
      <c r="N415" s="6" t="s">
        <v>199</v>
      </c>
      <c r="O415" s="17">
        <v>43749</v>
      </c>
      <c r="P415" s="5">
        <v>1</v>
      </c>
      <c r="Q415" s="17">
        <v>49228</v>
      </c>
      <c r="R415" s="6" t="s">
        <v>225</v>
      </c>
      <c r="S415" s="6" t="s">
        <v>619</v>
      </c>
      <c r="T415" s="6" t="s">
        <v>49</v>
      </c>
      <c r="U415" s="6" t="s">
        <v>53</v>
      </c>
    </row>
    <row r="416" spans="1:21" x14ac:dyDescent="0.2">
      <c r="A416" s="6" t="s">
        <v>1066</v>
      </c>
      <c r="B416" s="6" t="s">
        <v>1069</v>
      </c>
      <c r="C416" s="6" t="s">
        <v>57</v>
      </c>
      <c r="D416" s="6" t="s">
        <v>54</v>
      </c>
      <c r="E416" s="6" t="s">
        <v>184</v>
      </c>
      <c r="F416" s="6" t="s">
        <v>1857</v>
      </c>
      <c r="G416" s="6" t="s">
        <v>1858</v>
      </c>
      <c r="H416" s="6" t="s">
        <v>1859</v>
      </c>
      <c r="I416" s="6" t="s">
        <v>55</v>
      </c>
      <c r="J416" s="6" t="s">
        <v>56</v>
      </c>
      <c r="K416" s="5">
        <v>56481500</v>
      </c>
      <c r="L416" s="6" t="s">
        <v>52</v>
      </c>
      <c r="M416" s="6" t="s">
        <v>173</v>
      </c>
      <c r="N416" s="6" t="s">
        <v>184</v>
      </c>
      <c r="O416" s="17">
        <v>43572</v>
      </c>
      <c r="P416" s="62">
        <v>1125</v>
      </c>
      <c r="Q416" s="17">
        <v>46129</v>
      </c>
      <c r="R416" s="6" t="s">
        <v>173</v>
      </c>
      <c r="S416" s="6" t="s">
        <v>54</v>
      </c>
      <c r="T416" s="6" t="s">
        <v>49</v>
      </c>
      <c r="U416" s="6" t="s">
        <v>53</v>
      </c>
    </row>
    <row r="417" spans="1:21" x14ac:dyDescent="0.2">
      <c r="A417" s="6" t="s">
        <v>613</v>
      </c>
      <c r="B417" s="6" t="s">
        <v>616</v>
      </c>
      <c r="C417" s="6" t="s">
        <v>71</v>
      </c>
      <c r="D417" s="62">
        <v>4282</v>
      </c>
      <c r="E417" s="6" t="s">
        <v>199</v>
      </c>
      <c r="F417" s="6" t="s">
        <v>2544</v>
      </c>
      <c r="G417" s="6" t="s">
        <v>2545</v>
      </c>
      <c r="H417" s="6" t="s">
        <v>2546</v>
      </c>
      <c r="I417" s="6" t="s">
        <v>117</v>
      </c>
      <c r="J417" s="6" t="s">
        <v>56</v>
      </c>
      <c r="K417" s="63">
        <v>1000000000</v>
      </c>
      <c r="L417" s="6" t="s">
        <v>52</v>
      </c>
      <c r="M417" s="6" t="s">
        <v>1775</v>
      </c>
      <c r="N417" s="6" t="s">
        <v>199</v>
      </c>
      <c r="O417" s="17">
        <v>43594</v>
      </c>
      <c r="P417" s="5" t="s">
        <v>5264</v>
      </c>
      <c r="Q417" s="17">
        <v>47247</v>
      </c>
      <c r="R417" s="6" t="s">
        <v>261</v>
      </c>
      <c r="S417" s="6" t="s">
        <v>619</v>
      </c>
      <c r="T417" s="6" t="s">
        <v>115</v>
      </c>
      <c r="U417" s="6" t="s">
        <v>262</v>
      </c>
    </row>
    <row r="418" spans="1:21" x14ac:dyDescent="0.2">
      <c r="A418" s="6" t="s">
        <v>613</v>
      </c>
      <c r="B418" s="6" t="s">
        <v>616</v>
      </c>
      <c r="C418" s="6" t="s">
        <v>71</v>
      </c>
      <c r="D418" s="62">
        <v>4282</v>
      </c>
      <c r="E418" s="6" t="s">
        <v>199</v>
      </c>
      <c r="F418" s="6" t="s">
        <v>2548</v>
      </c>
      <c r="G418" s="6" t="s">
        <v>2549</v>
      </c>
      <c r="H418" s="6" t="s">
        <v>2550</v>
      </c>
      <c r="I418" s="6" t="s">
        <v>117</v>
      </c>
      <c r="J418" s="6" t="s">
        <v>56</v>
      </c>
      <c r="K418" s="63">
        <v>1000000000</v>
      </c>
      <c r="L418" s="6" t="s">
        <v>52</v>
      </c>
      <c r="M418" s="6" t="s">
        <v>1775</v>
      </c>
      <c r="N418" s="6" t="s">
        <v>199</v>
      </c>
      <c r="O418" s="17">
        <v>43594</v>
      </c>
      <c r="P418" s="5" t="s">
        <v>5264</v>
      </c>
      <c r="Q418" s="17">
        <v>47247</v>
      </c>
      <c r="R418" s="6" t="s">
        <v>270</v>
      </c>
      <c r="S418" s="6" t="s">
        <v>619</v>
      </c>
      <c r="T418" s="6" t="s">
        <v>115</v>
      </c>
      <c r="U418" s="6" t="s">
        <v>262</v>
      </c>
    </row>
    <row r="419" spans="1:21" x14ac:dyDescent="0.2">
      <c r="A419" s="6" t="s">
        <v>1486</v>
      </c>
      <c r="B419" s="6" t="s">
        <v>1489</v>
      </c>
      <c r="C419" s="6" t="s">
        <v>57</v>
      </c>
      <c r="D419" s="6" t="s">
        <v>54</v>
      </c>
      <c r="E419" s="6" t="s">
        <v>184</v>
      </c>
      <c r="F419" s="6" t="s">
        <v>2283</v>
      </c>
      <c r="G419" s="6" t="s">
        <v>2284</v>
      </c>
      <c r="H419" s="6" t="s">
        <v>2285</v>
      </c>
      <c r="I419" s="6" t="s">
        <v>117</v>
      </c>
      <c r="J419" s="6" t="s">
        <v>56</v>
      </c>
      <c r="K419" s="5" t="s">
        <v>5494</v>
      </c>
      <c r="L419" s="6" t="s">
        <v>52</v>
      </c>
      <c r="M419" s="6" t="s">
        <v>1770</v>
      </c>
      <c r="N419" s="6" t="s">
        <v>184</v>
      </c>
      <c r="O419" s="17">
        <v>43600</v>
      </c>
      <c r="P419" s="5">
        <v>1</v>
      </c>
      <c r="Q419" s="17">
        <v>46524</v>
      </c>
      <c r="R419" s="6" t="s">
        <v>225</v>
      </c>
      <c r="S419" s="6" t="s">
        <v>189</v>
      </c>
      <c r="T419" s="6" t="s">
        <v>115</v>
      </c>
      <c r="U419" s="6" t="s">
        <v>53</v>
      </c>
    </row>
    <row r="420" spans="1:21" x14ac:dyDescent="0.2">
      <c r="A420" s="6" t="s">
        <v>613</v>
      </c>
      <c r="B420" s="6" t="s">
        <v>616</v>
      </c>
      <c r="C420" s="6" t="s">
        <v>71</v>
      </c>
      <c r="D420" s="62">
        <v>4282</v>
      </c>
      <c r="E420" s="6" t="s">
        <v>199</v>
      </c>
      <c r="F420" s="6" t="s">
        <v>2552</v>
      </c>
      <c r="G420" s="6" t="s">
        <v>2553</v>
      </c>
      <c r="H420" s="6" t="s">
        <v>2554</v>
      </c>
      <c r="I420" s="6" t="s">
        <v>117</v>
      </c>
      <c r="J420" s="6" t="s">
        <v>56</v>
      </c>
      <c r="K420" s="63">
        <v>1000000000</v>
      </c>
      <c r="L420" s="6" t="s">
        <v>52</v>
      </c>
      <c r="M420" s="6" t="s">
        <v>1775</v>
      </c>
      <c r="N420" s="6" t="s">
        <v>199</v>
      </c>
      <c r="O420" s="17">
        <v>43594</v>
      </c>
      <c r="P420" s="5" t="s">
        <v>5264</v>
      </c>
      <c r="Q420" s="17">
        <v>47247</v>
      </c>
      <c r="R420" s="6" t="s">
        <v>1333</v>
      </c>
      <c r="S420" s="6" t="s">
        <v>619</v>
      </c>
      <c r="T420" s="6" t="s">
        <v>115</v>
      </c>
      <c r="U420" s="6" t="s">
        <v>262</v>
      </c>
    </row>
    <row r="421" spans="1:21" x14ac:dyDescent="0.2">
      <c r="A421" s="6" t="s">
        <v>1431</v>
      </c>
      <c r="B421" s="6" t="s">
        <v>1434</v>
      </c>
      <c r="C421" s="6" t="s">
        <v>391</v>
      </c>
      <c r="D421" s="6" t="s">
        <v>54</v>
      </c>
      <c r="E421" s="6" t="s">
        <v>367</v>
      </c>
      <c r="F421" s="6" t="s">
        <v>1877</v>
      </c>
      <c r="G421" s="6" t="s">
        <v>1878</v>
      </c>
      <c r="H421" s="6" t="s">
        <v>1879</v>
      </c>
      <c r="I421" s="6" t="s">
        <v>55</v>
      </c>
      <c r="J421" s="6" t="s">
        <v>70</v>
      </c>
      <c r="K421" s="5">
        <v>51782500</v>
      </c>
      <c r="L421" s="6" t="s">
        <v>52</v>
      </c>
      <c r="M421" s="6" t="s">
        <v>173</v>
      </c>
      <c r="N421" s="6" t="s">
        <v>367</v>
      </c>
      <c r="O421" s="17">
        <v>43606</v>
      </c>
      <c r="P421" s="62">
        <v>906</v>
      </c>
      <c r="Q421" s="17">
        <v>44886</v>
      </c>
      <c r="R421" s="6" t="s">
        <v>685</v>
      </c>
      <c r="S421" s="6" t="s">
        <v>54</v>
      </c>
      <c r="T421" s="6" t="s">
        <v>49</v>
      </c>
      <c r="U421" s="6" t="s">
        <v>686</v>
      </c>
    </row>
    <row r="422" spans="1:21" x14ac:dyDescent="0.2">
      <c r="A422" s="6" t="s">
        <v>1010</v>
      </c>
      <c r="B422" s="6" t="s">
        <v>1013</v>
      </c>
      <c r="C422" s="6" t="s">
        <v>71</v>
      </c>
      <c r="D422" s="6" t="s">
        <v>54</v>
      </c>
      <c r="E422" s="6" t="s">
        <v>184</v>
      </c>
      <c r="F422" s="6" t="s">
        <v>3204</v>
      </c>
      <c r="G422" s="6" t="s">
        <v>3205</v>
      </c>
      <c r="H422" s="6" t="s">
        <v>3206</v>
      </c>
      <c r="I422" s="6" t="s">
        <v>55</v>
      </c>
      <c r="J422" s="6" t="s">
        <v>56</v>
      </c>
      <c r="K422" s="5">
        <v>66942000</v>
      </c>
      <c r="L422" s="6" t="s">
        <v>52</v>
      </c>
      <c r="M422" s="6" t="s">
        <v>173</v>
      </c>
      <c r="N422" s="6" t="s">
        <v>184</v>
      </c>
      <c r="O422" s="17">
        <v>43607</v>
      </c>
      <c r="P422" s="5" t="s">
        <v>5495</v>
      </c>
      <c r="Q422" s="17">
        <v>46164</v>
      </c>
      <c r="R422" s="6" t="s">
        <v>173</v>
      </c>
      <c r="S422" s="6" t="s">
        <v>54</v>
      </c>
      <c r="T422" s="6" t="s">
        <v>49</v>
      </c>
      <c r="U422" s="6" t="s">
        <v>53</v>
      </c>
    </row>
    <row r="423" spans="1:21" x14ac:dyDescent="0.2">
      <c r="A423" s="6" t="s">
        <v>754</v>
      </c>
      <c r="B423" s="6" t="s">
        <v>757</v>
      </c>
      <c r="C423" s="6" t="s">
        <v>71</v>
      </c>
      <c r="D423" s="5" t="s">
        <v>5496</v>
      </c>
      <c r="E423" s="6" t="s">
        <v>258</v>
      </c>
      <c r="F423" s="6" t="s">
        <v>3318</v>
      </c>
      <c r="G423" s="6" t="s">
        <v>3319</v>
      </c>
      <c r="H423" s="6" t="s">
        <v>3320</v>
      </c>
      <c r="I423" s="6" t="s">
        <v>55</v>
      </c>
      <c r="J423" s="6" t="s">
        <v>56</v>
      </c>
      <c r="K423" s="63">
        <v>1000000000</v>
      </c>
      <c r="L423" s="6" t="s">
        <v>52</v>
      </c>
      <c r="M423" s="6" t="s">
        <v>1775</v>
      </c>
      <c r="N423" s="6" t="s">
        <v>257</v>
      </c>
      <c r="O423" s="17">
        <v>43614</v>
      </c>
      <c r="P423" s="5">
        <v>5</v>
      </c>
      <c r="Q423" s="17">
        <v>47498</v>
      </c>
      <c r="R423" s="6" t="s">
        <v>261</v>
      </c>
      <c r="S423" s="6" t="s">
        <v>496</v>
      </c>
      <c r="T423" s="6" t="s">
        <v>115</v>
      </c>
      <c r="U423" s="6" t="s">
        <v>262</v>
      </c>
    </row>
    <row r="424" spans="1:21" x14ac:dyDescent="0.2">
      <c r="A424" s="6" t="s">
        <v>754</v>
      </c>
      <c r="B424" s="6" t="s">
        <v>757</v>
      </c>
      <c r="C424" s="6" t="s">
        <v>71</v>
      </c>
      <c r="D424" s="5" t="s">
        <v>5496</v>
      </c>
      <c r="E424" s="6" t="s">
        <v>258</v>
      </c>
      <c r="F424" s="6" t="s">
        <v>3322</v>
      </c>
      <c r="G424" s="6" t="s">
        <v>3323</v>
      </c>
      <c r="H424" s="6" t="s">
        <v>3324</v>
      </c>
      <c r="I424" s="6" t="s">
        <v>55</v>
      </c>
      <c r="J424" s="6" t="s">
        <v>56</v>
      </c>
      <c r="K424" s="63">
        <v>1000000000</v>
      </c>
      <c r="L424" s="6" t="s">
        <v>52</v>
      </c>
      <c r="M424" s="6" t="s">
        <v>1775</v>
      </c>
      <c r="N424" s="6" t="s">
        <v>257</v>
      </c>
      <c r="O424" s="17">
        <v>43614</v>
      </c>
      <c r="P424" s="5">
        <v>5</v>
      </c>
      <c r="Q424" s="17">
        <v>47498</v>
      </c>
      <c r="R424" s="6" t="s">
        <v>270</v>
      </c>
      <c r="S424" s="6" t="s">
        <v>496</v>
      </c>
      <c r="T424" s="6" t="s">
        <v>115</v>
      </c>
      <c r="U424" s="6" t="s">
        <v>262</v>
      </c>
    </row>
    <row r="425" spans="1:21" x14ac:dyDescent="0.2">
      <c r="A425" s="6" t="s">
        <v>476</v>
      </c>
      <c r="B425" s="6" t="s">
        <v>479</v>
      </c>
      <c r="C425" s="6" t="s">
        <v>57</v>
      </c>
      <c r="D425" s="6" t="s">
        <v>54</v>
      </c>
      <c r="E425" s="6" t="s">
        <v>45</v>
      </c>
      <c r="F425" s="6" t="s">
        <v>2233</v>
      </c>
      <c r="G425" s="6" t="s">
        <v>2234</v>
      </c>
      <c r="H425" s="6" t="s">
        <v>2235</v>
      </c>
      <c r="I425" s="6" t="s">
        <v>55</v>
      </c>
      <c r="J425" s="6" t="s">
        <v>56</v>
      </c>
      <c r="K425" s="5" t="s">
        <v>5497</v>
      </c>
      <c r="L425" s="6" t="s">
        <v>458</v>
      </c>
      <c r="M425" s="6" t="s">
        <v>173</v>
      </c>
      <c r="N425" s="6" t="s">
        <v>45</v>
      </c>
      <c r="O425" s="17">
        <v>43614</v>
      </c>
      <c r="P425" s="62">
        <v>375</v>
      </c>
      <c r="Q425" s="17">
        <v>47267</v>
      </c>
      <c r="R425" s="6" t="s">
        <v>173</v>
      </c>
      <c r="S425" s="6" t="s">
        <v>189</v>
      </c>
      <c r="T425" s="6" t="s">
        <v>49</v>
      </c>
      <c r="U425" s="6" t="s">
        <v>53</v>
      </c>
    </row>
    <row r="426" spans="1:21" x14ac:dyDescent="0.2">
      <c r="A426" s="6" t="s">
        <v>1359</v>
      </c>
      <c r="B426" s="6" t="s">
        <v>1362</v>
      </c>
      <c r="C426" s="6" t="s">
        <v>57</v>
      </c>
      <c r="D426" s="6" t="s">
        <v>54</v>
      </c>
      <c r="E426" s="6" t="s">
        <v>199</v>
      </c>
      <c r="F426" s="6" t="s">
        <v>3269</v>
      </c>
      <c r="G426" s="6" t="s">
        <v>3270</v>
      </c>
      <c r="H426" s="6" t="s">
        <v>3271</v>
      </c>
      <c r="I426" s="6" t="s">
        <v>117</v>
      </c>
      <c r="J426" s="6" t="s">
        <v>56</v>
      </c>
      <c r="K426" s="5" t="s">
        <v>5498</v>
      </c>
      <c r="L426" s="6" t="s">
        <v>52</v>
      </c>
      <c r="M426" s="6" t="s">
        <v>1770</v>
      </c>
      <c r="N426" s="6" t="s">
        <v>199</v>
      </c>
      <c r="O426" s="17">
        <v>43623</v>
      </c>
      <c r="P426" s="62">
        <v>1625</v>
      </c>
      <c r="Q426" s="17">
        <v>47490</v>
      </c>
      <c r="R426" s="6" t="s">
        <v>225</v>
      </c>
      <c r="S426" s="6" t="s">
        <v>174</v>
      </c>
      <c r="T426" s="6" t="s">
        <v>115</v>
      </c>
      <c r="U426" s="6" t="s">
        <v>53</v>
      </c>
    </row>
    <row r="427" spans="1:21" x14ac:dyDescent="0.2">
      <c r="A427" s="6" t="s">
        <v>1335</v>
      </c>
      <c r="B427" s="6" t="s">
        <v>1338</v>
      </c>
      <c r="C427" s="6" t="s">
        <v>57</v>
      </c>
      <c r="D427" s="6" t="s">
        <v>54</v>
      </c>
      <c r="E427" s="6" t="s">
        <v>1339</v>
      </c>
      <c r="F427" s="6" t="s">
        <v>2357</v>
      </c>
      <c r="G427" s="6" t="s">
        <v>2358</v>
      </c>
      <c r="H427" s="6" t="s">
        <v>2359</v>
      </c>
      <c r="I427" s="6" t="s">
        <v>55</v>
      </c>
      <c r="J427" s="6" t="s">
        <v>56</v>
      </c>
      <c r="K427" s="5">
        <v>36096650</v>
      </c>
      <c r="L427" s="6" t="s">
        <v>52</v>
      </c>
      <c r="M427" s="6" t="s">
        <v>173</v>
      </c>
      <c r="N427" s="6" t="s">
        <v>169</v>
      </c>
      <c r="O427" s="17">
        <v>43622</v>
      </c>
      <c r="P427" s="5" t="s">
        <v>5499</v>
      </c>
      <c r="Q427" s="17">
        <v>46179</v>
      </c>
      <c r="R427" s="6" t="s">
        <v>225</v>
      </c>
      <c r="S427" s="6" t="s">
        <v>174</v>
      </c>
      <c r="T427" s="6" t="s">
        <v>49</v>
      </c>
      <c r="U427" s="6" t="s">
        <v>2330</v>
      </c>
    </row>
  </sheetData>
  <autoFilter ref="A1:U427" xr:uid="{00000000-0009-0000-0000-000007000000}"/>
  <conditionalFormatting sqref="D2:D427">
    <cfRule type="containsText" dxfId="0" priority="1" operator="containsText" text="#N/A N/A">
      <formula>NOT(ISERROR(SEARCH(("#N/A N/A"),(D2))))</formula>
    </cfRule>
  </conditionalFormatting>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Sheet2</vt:lpstr>
      <vt:lpstr>SLBs</vt:lpstr>
      <vt:lpstr>CBs</vt:lpstr>
      <vt:lpstr>Pairs</vt:lpstr>
      <vt:lpstr>All SLBs Pivot</vt:lpstr>
      <vt:lpstr>slb RAW</vt:lpstr>
      <vt:lpstr>CBs RAW</vt:lpstr>
      <vt:lpstr>Refinitiv SLB</vt:lpstr>
      <vt:lpstr>CB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Meritxell Ramirez Lopez</dc:creator>
  <cp:lastModifiedBy>Linda Ruiyi Huang</cp:lastModifiedBy>
  <dcterms:created xsi:type="dcterms:W3CDTF">2022-05-01T13:02:46Z</dcterms:created>
  <dcterms:modified xsi:type="dcterms:W3CDTF">2022-05-15T14:09:23Z</dcterms:modified>
</cp:coreProperties>
</file>